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esa.coelho\Desktop\SegurançaSocial\Anos_PlanoeContas\2026\8_ContasMensais\9_setembro\"/>
    </mc:Choice>
  </mc:AlternateContent>
  <xr:revisionPtr revIDLastSave="0" documentId="8_{24240DCB-DDD8-4410-806F-EB2666C4F694}" xr6:coauthVersionLast="47" xr6:coauthVersionMax="47" xr10:uidLastSave="{00000000-0000-0000-0000-000000000000}"/>
  <bookViews>
    <workbookView xWindow="-120" yWindow="-120" windowWidth="29040" windowHeight="15720" tabRatio="743" firstSheet="15" activeTab="17" xr2:uid="{00000000-000D-0000-FFFF-FFFF00000000}"/>
  </bookViews>
  <sheets>
    <sheet name="ClassificacaoFuncional" sheetId="672" r:id="rId1"/>
    <sheet name="Programas" sheetId="683" r:id="rId2"/>
    <sheet name="Atividade_A040101" sheetId="674" r:id="rId3"/>
    <sheet name="Atividade_A040201" sheetId="675" r:id="rId4"/>
    <sheet name="Atividade_A040202" sheetId="676" r:id="rId5"/>
    <sheet name="Atividade_A050101" sheetId="677" r:id="rId6"/>
    <sheet name="Atividade_A060101" sheetId="678" r:id="rId7"/>
    <sheet name="Atividade_A060102" sheetId="679" r:id="rId8"/>
    <sheet name="Atividade_A060103" sheetId="657" r:id="rId9"/>
    <sheet name="Atividade_A060104" sheetId="680" r:id="rId10"/>
    <sheet name="Atividade_A060201" sheetId="660" r:id="rId11"/>
    <sheet name="Atividade_A060202" sheetId="661" r:id="rId12"/>
    <sheet name="Atividade_A060203" sheetId="662" r:id="rId13"/>
    <sheet name="Atividade_A070101" sheetId="692" r:id="rId14"/>
    <sheet name="Atividade_A070102" sheetId="685" r:id="rId15"/>
    <sheet name="Atividade_A070201" sheetId="665" r:id="rId16"/>
    <sheet name="CE_OSS_Global" sheetId="693" r:id="rId17"/>
    <sheet name="CE_RegimeNaoContributivo" sheetId="687" r:id="rId18"/>
    <sheet name="CE_RegimeContributivo" sheetId="688" r:id="rId19"/>
    <sheet name="CE_AdministraçãoINSS" sheetId="689" r:id="rId20"/>
    <sheet name="CE_AdministraçãoFRSS" sheetId="694" r:id="rId21"/>
    <sheet name="Saldos_TesourariaSS" sheetId="3" r:id="rId22"/>
    <sheet name="NovaLEO_Receitas" sheetId="474" r:id="rId23"/>
    <sheet name="NovaLEO_Despesas" sheetId="475" r:id="rId24"/>
    <sheet name="TABELA_SINTESE" sheetId="671" r:id="rId25"/>
  </sheets>
  <externalReferences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__Xk366">[1]Consolidado!$O$1065,[1]Consolidado!$O$1051</definedName>
    <definedName name="__ra113001" localSheetId="20">#REF!</definedName>
    <definedName name="__ra113001" localSheetId="19">#REF!</definedName>
    <definedName name="__ra113001" localSheetId="16">#REF!</definedName>
    <definedName name="__ra113001" localSheetId="18">#REF!</definedName>
    <definedName name="__ra113001" localSheetId="0">#REF!</definedName>
    <definedName name="__ra113001" localSheetId="23">#REF!</definedName>
    <definedName name="__ra113001" localSheetId="22">#REF!</definedName>
    <definedName name="__ra113001" localSheetId="1">#REF!</definedName>
    <definedName name="__ra113001" localSheetId="21">#REF!</definedName>
    <definedName name="__ra113001">#REF!</definedName>
    <definedName name="__RA211006" localSheetId="20">#REF!</definedName>
    <definedName name="__RA211006" localSheetId="19">#REF!</definedName>
    <definedName name="__RA211006" localSheetId="16">#REF!</definedName>
    <definedName name="__RA211006" localSheetId="18">#REF!</definedName>
    <definedName name="__RA211006" localSheetId="0">#REF!</definedName>
    <definedName name="__RA211006" localSheetId="1">#REF!</definedName>
    <definedName name="__RA211006" localSheetId="21">#REF!</definedName>
    <definedName name="__RA211006">#REF!</definedName>
    <definedName name="__raa118" localSheetId="20">#REF!</definedName>
    <definedName name="__raa118" localSheetId="19">#REF!</definedName>
    <definedName name="__raa118" localSheetId="16">#REF!</definedName>
    <definedName name="__raa118" localSheetId="18">#REF!</definedName>
    <definedName name="__raa118" localSheetId="0">#REF!</definedName>
    <definedName name="__raa118" localSheetId="1">#REF!</definedName>
    <definedName name="__raa118" localSheetId="21">#REF!</definedName>
    <definedName name="__raa118">#REF!</definedName>
    <definedName name="__Xk366">[2]Consolidado!$N$3012,[2]Consolidado!$N$3008</definedName>
    <definedName name="_xlnm._FilterDatabase" localSheetId="0" hidden="1">ClassificacaoFuncional!$I$1:$N$90</definedName>
    <definedName name="_xlnm._FilterDatabase" localSheetId="1" hidden="1">Programas!$A$2:$CA$98</definedName>
    <definedName name="_IK100000" localSheetId="13">#REF!</definedName>
    <definedName name="_IK100000" localSheetId="14">#REF!</definedName>
    <definedName name="_IK100000" localSheetId="15">#REF!</definedName>
    <definedName name="_IK100000" localSheetId="20">#REF!</definedName>
    <definedName name="_IK100000" localSheetId="19">#REF!</definedName>
    <definedName name="_IK100000" localSheetId="16">#REF!</definedName>
    <definedName name="_IK100000" localSheetId="18">#REF!</definedName>
    <definedName name="_IK100000" localSheetId="0">#REF!</definedName>
    <definedName name="_IK100000" localSheetId="23">#REF!</definedName>
    <definedName name="_IK100000" localSheetId="22">#REF!</definedName>
    <definedName name="_IK100000" localSheetId="1">#REF!</definedName>
    <definedName name="_IK100000" localSheetId="21">#REF!</definedName>
    <definedName name="_IK100000">#REF!</definedName>
    <definedName name="_IK66000" localSheetId="20">#REF!</definedName>
    <definedName name="_IK66000" localSheetId="19">#REF!</definedName>
    <definedName name="_IK66000" localSheetId="16">#REF!</definedName>
    <definedName name="_IK66000" localSheetId="18">#REF!</definedName>
    <definedName name="_IK66000" localSheetId="0">#REF!</definedName>
    <definedName name="_IK66000" localSheetId="1">#REF!</definedName>
    <definedName name="_IK66000" localSheetId="21">#REF!</definedName>
    <definedName name="_IK66000">#REF!</definedName>
    <definedName name="_IK67000" localSheetId="20">#REF!</definedName>
    <definedName name="_IK67000" localSheetId="19">#REF!</definedName>
    <definedName name="_IK67000" localSheetId="16">#REF!</definedName>
    <definedName name="_IK67000" localSheetId="18">#REF!</definedName>
    <definedName name="_IK67000" localSheetId="0">#REF!</definedName>
    <definedName name="_IK67000" localSheetId="1">#REF!</definedName>
    <definedName name="_IK67000" localSheetId="21">#REF!</definedName>
    <definedName name="_IK67000">#REF!</definedName>
    <definedName name="_IK70000" localSheetId="21">#REF!</definedName>
    <definedName name="_IK70000">#REF!</definedName>
    <definedName name="_IK90000" localSheetId="21">#REF!</definedName>
    <definedName name="_IK90000">#REF!</definedName>
    <definedName name="_ra113001" localSheetId="21">#REF!</definedName>
    <definedName name="_ra113001">#REF!</definedName>
    <definedName name="_RA21003" localSheetId="21">#REF!</definedName>
    <definedName name="_RA21003">#REF!</definedName>
    <definedName name="_RA211003" localSheetId="21">#REF!</definedName>
    <definedName name="_RA211003">#REF!</definedName>
    <definedName name="_RA211006" localSheetId="21">#REF!</definedName>
    <definedName name="_RA211006">#REF!</definedName>
    <definedName name="_raa118" localSheetId="21">#REF!</definedName>
    <definedName name="_raa118">#REF!</definedName>
    <definedName name="_ww1000" localSheetId="21">#REF!</definedName>
    <definedName name="_ww1000">#REF!</definedName>
    <definedName name="_ww10000" localSheetId="21">#REF!</definedName>
    <definedName name="_ww10000">#REF!</definedName>
    <definedName name="_Xk366">[3]Consolidado!$Y$1065,[3]Consolidado!$Y$1051</definedName>
    <definedName name="a">'[4]2008'!$B$35:$B$36</definedName>
    <definedName name="aa">'[4]2008'!$B$35:$B$36</definedName>
    <definedName name="aaaaaaaaaaaa">'[5]2008'!$B$35:$B$36</definedName>
    <definedName name="Abonos_novos_do_mês_de_Agosto_de_1994" localSheetId="13">#REF!</definedName>
    <definedName name="Abonos_novos_do_mês_de_Agosto_de_1994" localSheetId="14">#REF!</definedName>
    <definedName name="Abonos_novos_do_mês_de_Agosto_de_1994" localSheetId="15">#REF!</definedName>
    <definedName name="Abonos_novos_do_mês_de_Agosto_de_1994" localSheetId="20">#REF!</definedName>
    <definedName name="Abonos_novos_do_mês_de_Agosto_de_1994" localSheetId="19">#REF!</definedName>
    <definedName name="Abonos_novos_do_mês_de_Agosto_de_1994" localSheetId="16">#REF!</definedName>
    <definedName name="Abonos_novos_do_mês_de_Agosto_de_1994" localSheetId="18">#REF!</definedName>
    <definedName name="Abonos_novos_do_mês_de_Agosto_de_1994" localSheetId="0">#REF!</definedName>
    <definedName name="Abonos_novos_do_mês_de_Agosto_de_1994" localSheetId="23">#REF!</definedName>
    <definedName name="Abonos_novos_do_mês_de_Agosto_de_1994" localSheetId="22">#REF!</definedName>
    <definedName name="Abonos_novos_do_mês_de_Agosto_de_1994" localSheetId="1">#REF!</definedName>
    <definedName name="Abonos_novos_do_mês_de_Agosto_de_1994" localSheetId="21">#REF!</definedName>
    <definedName name="Abonos_novos_do_mês_de_Agosto_de_1994">#REF!</definedName>
    <definedName name="Abril" localSheetId="20">#REF!</definedName>
    <definedName name="Abril" localSheetId="19">#REF!</definedName>
    <definedName name="Abril" localSheetId="16">#REF!</definedName>
    <definedName name="Abril" localSheetId="18">#REF!</definedName>
    <definedName name="Abril" localSheetId="0">#REF!</definedName>
    <definedName name="Abril" localSheetId="1">#REF!</definedName>
    <definedName name="Abril" localSheetId="21">#REF!</definedName>
    <definedName name="Abril">#REF!</definedName>
    <definedName name="ag" localSheetId="20">#REF!</definedName>
    <definedName name="ag" localSheetId="19">#REF!</definedName>
    <definedName name="ag" localSheetId="16">#REF!</definedName>
    <definedName name="ag" localSheetId="18">#REF!</definedName>
    <definedName name="ag" localSheetId="0">#REF!</definedName>
    <definedName name="ag" localSheetId="1">#REF!</definedName>
    <definedName name="ag" localSheetId="21">#REF!</definedName>
    <definedName name="ag">#REF!</definedName>
    <definedName name="Ago" localSheetId="21">#REF!</definedName>
    <definedName name="Ago">#REF!</definedName>
    <definedName name="agosto" localSheetId="21">#REF!</definedName>
    <definedName name="agosto">#REF!</definedName>
    <definedName name="Agosto1" localSheetId="21">#REF!</definedName>
    <definedName name="Agosto1">#REF!</definedName>
    <definedName name="an424." localSheetId="21">#REF!</definedName>
    <definedName name="an424.">#REF!</definedName>
    <definedName name="_xlnm.Print_Area" localSheetId="22">NovaLEO_Receitas!$A$1:$AD$170</definedName>
    <definedName name="AT" localSheetId="2">[6]Classificadores_Listas!$V$3:$V$13</definedName>
    <definedName name="AT" localSheetId="3">[6]Classificadores_Listas!$V$3:$V$13</definedName>
    <definedName name="AT" localSheetId="4">[6]Classificadores_Listas!$V$3:$V$13</definedName>
    <definedName name="AT" localSheetId="5">[6]Classificadores_Listas!$V$3:$V$13</definedName>
    <definedName name="AT" localSheetId="6">[6]Classificadores_Listas!$V$3:$V$13</definedName>
    <definedName name="AT" localSheetId="7">[6]Classificadores_Listas!$V$3:$V$13</definedName>
    <definedName name="AT" localSheetId="8">[7]Classificadores_Listas!$V$3:$V$13</definedName>
    <definedName name="AT" localSheetId="9">[6]Classificadores_Listas!$V$3:$V$13</definedName>
    <definedName name="AT" localSheetId="10">[7]Classificadores_Listas!$V$3:$V$13</definedName>
    <definedName name="AT" localSheetId="11">[7]Classificadores_Listas!$V$3:$V$13</definedName>
    <definedName name="AT" localSheetId="12">[7]Classificadores_Listas!$V$3:$V$13</definedName>
    <definedName name="AT" localSheetId="13">[8]Classificadores_Listas!$V$3:$V$13</definedName>
    <definedName name="AT" localSheetId="14">[8]Classificadores_Listas!$V$3:$V$13</definedName>
    <definedName name="AT" localSheetId="15">[8]Classificadores_Listas!$V$3:$V$13</definedName>
    <definedName name="AT" localSheetId="20">[6]Classificadores_Listas!$V$3:$V$13</definedName>
    <definedName name="AT" localSheetId="19">[6]Classificadores_Listas!$V$3:$V$13</definedName>
    <definedName name="AT" localSheetId="16">[6]Classificadores_Listas!$V$3:$V$13</definedName>
    <definedName name="AT" localSheetId="18">[6]Classificadores_Listas!$V$3:$V$13</definedName>
    <definedName name="AT" localSheetId="17">[6]Classificadores_Listas!$V$3:$V$13</definedName>
    <definedName name="AT" localSheetId="0">[6]Classificadores_Listas!$V$3:$V$13</definedName>
    <definedName name="AT" localSheetId="1">[6]Classificadores_Listas!$V$3:$V$13</definedName>
    <definedName name="AT">[9]Classificadores_Listas!$AC$3:$AC$16</definedName>
    <definedName name="ATIVIDADE" localSheetId="13">[10]Classificadores_Listas!$AC$3:$AC$16</definedName>
    <definedName name="ATIVIDADE" localSheetId="14">[10]Classificadores_Listas!$AC$3:$AC$16</definedName>
    <definedName name="ATIVIDADE" localSheetId="15">[10]Classificadores_Listas!$AC$3:$AC$16</definedName>
    <definedName name="ATIVIDADE" localSheetId="20">[10]Classificadores_Listas!$AC$3:$AC$16</definedName>
    <definedName name="ATIVIDADE" localSheetId="19">[10]Classificadores_Listas!$AC$3:$AC$16</definedName>
    <definedName name="ATIVIDADE" localSheetId="16">[10]Classificadores_Listas!$AC$3:$AC$16</definedName>
    <definedName name="ATIVIDADE" localSheetId="18">[10]Classificadores_Listas!$AC$3:$AC$16</definedName>
    <definedName name="ATIVIDADE" localSheetId="17">[10]Classificadores_Listas!$AC$3:$AC$16</definedName>
    <definedName name="ATIVIDADE" localSheetId="0">[10]Classificadores_Listas!$AC$3:$AC$16</definedName>
    <definedName name="ATIVIDADE" localSheetId="1">[10]Classificadores_Listas!$AC$3:$AC$16</definedName>
    <definedName name="ATIVIDADE">[9]Classificadores_Listas!$AC$3:$AC$16</definedName>
    <definedName name="ATR" localSheetId="13">#REF!</definedName>
    <definedName name="ATR" localSheetId="14">#REF!</definedName>
    <definedName name="ATR" localSheetId="15">#REF!</definedName>
    <definedName name="ATR" localSheetId="20">[6]Classificadores_Listas!$V$3:$V$14</definedName>
    <definedName name="ATR" localSheetId="19">[6]Classificadores_Listas!$V$3:$V$14</definedName>
    <definedName name="ATR" localSheetId="16">[6]Classificadores_Listas!$V$3:$V$14</definedName>
    <definedName name="ATR" localSheetId="18">[6]Classificadores_Listas!$V$3:$V$14</definedName>
    <definedName name="ATR" localSheetId="17">[6]Classificadores_Listas!$V$3:$V$14</definedName>
    <definedName name="ATR" localSheetId="0">[6]Classificadores_Listas!$V$3:$V$14</definedName>
    <definedName name="ATR" localSheetId="1">[6]Classificadores_Listas!$V$3:$V$14</definedName>
    <definedName name="ATR">[11]Classificadores_Listas!$V$3:$V$14</definedName>
    <definedName name="Bi" localSheetId="2">[6]Classificadores_Listas!$G$9:$G$10</definedName>
    <definedName name="Bi" localSheetId="3">[6]Classificadores_Listas!$G$9:$G$10</definedName>
    <definedName name="Bi" localSheetId="4">[6]Classificadores_Listas!$G$9:$G$10</definedName>
    <definedName name="Bi" localSheetId="5">[6]Classificadores_Listas!$G$9:$G$10</definedName>
    <definedName name="Bi" localSheetId="6">[6]Classificadores_Listas!$G$9:$G$10</definedName>
    <definedName name="Bi" localSheetId="7">[6]Classificadores_Listas!$G$9:$G$10</definedName>
    <definedName name="Bi" localSheetId="8">[7]Classificadores_Listas!$G$9:$G$10</definedName>
    <definedName name="Bi" localSheetId="9">[6]Classificadores_Listas!$G$9:$G$10</definedName>
    <definedName name="Bi" localSheetId="10">[7]Classificadores_Listas!$G$9:$G$10</definedName>
    <definedName name="Bi" localSheetId="11">[7]Classificadores_Listas!$G$9:$G$10</definedName>
    <definedName name="Bi" localSheetId="12">[7]Classificadores_Listas!$G$9:$G$10</definedName>
    <definedName name="Bi" localSheetId="13">[8]Classificadores_Listas!$G$9:$G$10</definedName>
    <definedName name="Bi" localSheetId="14">[8]Classificadores_Listas!$G$9:$G$10</definedName>
    <definedName name="Bi" localSheetId="15">[8]Classificadores_Listas!$G$9:$G$10</definedName>
    <definedName name="Bi" localSheetId="20">[6]Classificadores_Listas!$G$9:$G$10</definedName>
    <definedName name="Bi" localSheetId="19">[6]Classificadores_Listas!$G$9:$G$10</definedName>
    <definedName name="Bi" localSheetId="16">[6]Classificadores_Listas!$G$9:$G$10</definedName>
    <definedName name="Bi" localSheetId="18">[6]Classificadores_Listas!$G$9:$G$10</definedName>
    <definedName name="Bi" localSheetId="17">[6]Classificadores_Listas!$G$9:$G$10</definedName>
    <definedName name="Bi" localSheetId="0">[6]Classificadores_Listas!$G$9:$G$10</definedName>
    <definedName name="Bi" localSheetId="1">[6]Classificadores_Listas!$G$9:$G$10</definedName>
    <definedName name="BI" localSheetId="21">[12]ClassificadorEconomico!#REF!</definedName>
    <definedName name="BI">[13]ClassificadorEconomico!#REF!</definedName>
    <definedName name="Bin" localSheetId="13">[14]Classificadores_Listas!$G$9:$G$10</definedName>
    <definedName name="Bin" localSheetId="14">[14]Classificadores_Listas!$G$9:$G$10</definedName>
    <definedName name="Bin" localSheetId="15">[15]Classificadores_Listas!$G$9:$G$10</definedName>
    <definedName name="Bin" localSheetId="20">[14]Classificadores_Listas!$G$9:$G$10</definedName>
    <definedName name="Bin" localSheetId="19">[14]Classificadores_Listas!$G$9:$G$10</definedName>
    <definedName name="Bin" localSheetId="16">[14]Classificadores_Listas!$G$9:$G$10</definedName>
    <definedName name="Bin" localSheetId="18">[14]Classificadores_Listas!$G$9:$G$10</definedName>
    <definedName name="Bin" localSheetId="17">[14]Classificadores_Listas!$G$9:$G$10</definedName>
    <definedName name="Bin" localSheetId="0">[14]Classificadores_Listas!$G$9:$G$10</definedName>
    <definedName name="Bin" localSheetId="1">[14]Classificadores_Listas!$G$9:$G$10</definedName>
    <definedName name="Bin">[16]Classificadores_Listas!$G$9:$G$10</definedName>
    <definedName name="CABIMENTOS" localSheetId="13">#REF!</definedName>
    <definedName name="CABIMENTOS" localSheetId="14">#REF!</definedName>
    <definedName name="CABIMENTOS" localSheetId="15">#REF!</definedName>
    <definedName name="CABIMENTOS" localSheetId="20">#REF!</definedName>
    <definedName name="CABIMENTOS" localSheetId="19">#REF!</definedName>
    <definedName name="CABIMENTOS" localSheetId="16">#REF!</definedName>
    <definedName name="CABIMENTOS" localSheetId="18">#REF!</definedName>
    <definedName name="CABIMENTOS" localSheetId="0">#REF!</definedName>
    <definedName name="CABIMENTOS" localSheetId="23">#REF!</definedName>
    <definedName name="CABIMENTOS" localSheetId="22">#REF!</definedName>
    <definedName name="CABIMENTOS" localSheetId="1">#REF!</definedName>
    <definedName name="CABIMENTOS" localSheetId="21">#REF!</definedName>
    <definedName name="CABIMENTOS">#REF!</definedName>
    <definedName name="CC" localSheetId="2">[6]Classificadores_Listas!$G$14:$G$29</definedName>
    <definedName name="CC" localSheetId="3">[6]Classificadores_Listas!$G$14:$G$29</definedName>
    <definedName name="CC" localSheetId="4">[6]Classificadores_Listas!$G$14:$G$29</definedName>
    <definedName name="CC" localSheetId="5">[6]Classificadores_Listas!$G$14:$G$29</definedName>
    <definedName name="CC" localSheetId="6">[6]Classificadores_Listas!$G$14:$G$29</definedName>
    <definedName name="CC" localSheetId="7">[6]Classificadores_Listas!$G$14:$G$29</definedName>
    <definedName name="CC" localSheetId="8">[7]Classificadores_Listas!$G$14:$G$29</definedName>
    <definedName name="CC" localSheetId="9">[6]Classificadores_Listas!$G$14:$G$29</definedName>
    <definedName name="CC" localSheetId="10">[7]Classificadores_Listas!$G$14:$G$29</definedName>
    <definedName name="CC" localSheetId="11">[7]Classificadores_Listas!$G$14:$G$29</definedName>
    <definedName name="CC" localSheetId="12">[7]Classificadores_Listas!$G$14:$G$29</definedName>
    <definedName name="CC" localSheetId="13">[8]Classificadores_Listas!$G$14:$G$29</definedName>
    <definedName name="CC" localSheetId="14">[8]Classificadores_Listas!$G$14:$G$29</definedName>
    <definedName name="CC" localSheetId="15">[8]Classificadores_Listas!$G$14:$G$29</definedName>
    <definedName name="CC" localSheetId="20">[6]Classificadores_Listas!$G$14:$G$29</definedName>
    <definedName name="CC" localSheetId="19">[6]Classificadores_Listas!$G$14:$G$29</definedName>
    <definedName name="CC" localSheetId="16">[6]Classificadores_Listas!$G$14:$G$29</definedName>
    <definedName name="CC" localSheetId="18">[6]Classificadores_Listas!$G$14:$G$29</definedName>
    <definedName name="CC" localSheetId="17">[6]Classificadores_Listas!$G$14:$G$29</definedName>
    <definedName name="CC" localSheetId="0">[6]Classificadores_Listas!$G$14:$G$29</definedName>
    <definedName name="CC" localSheetId="1">[6]Classificadores_Listas!$G$14:$G$29</definedName>
    <definedName name="CC" localSheetId="21">[12]ClassificadorEconomico!$G$3:$G$6</definedName>
    <definedName name="CC">[13]ClassificadorEconomico!$G$3:$G$6</definedName>
    <definedName name="CE" localSheetId="13">[8]Classificadores_Listas!$D$3:$D$384</definedName>
    <definedName name="CE" localSheetId="14">[8]Classificadores_Listas!$D$3:$D$384</definedName>
    <definedName name="CE" localSheetId="15">[8]Classificadores_Listas!$D$3:$D$384</definedName>
    <definedName name="CE" localSheetId="20">[6]Classificadores_Listas!$D$3:$D$390</definedName>
    <definedName name="CE" localSheetId="19">[6]Classificadores_Listas!$D$3:$D$390</definedName>
    <definedName name="CE" localSheetId="16">[6]Classificadores_Listas!$D$3:$D$390</definedName>
    <definedName name="CE" localSheetId="18">[6]Classificadores_Listas!$D$3:$D$390</definedName>
    <definedName name="CE" localSheetId="17">[6]Classificadores_Listas!$D$3:$D$390</definedName>
    <definedName name="CE" localSheetId="0">[6]Classificadores_Listas!$D$3:$D$390</definedName>
    <definedName name="CE" localSheetId="1">[6]Classificadores_Listas!$D$3:$D$390</definedName>
    <definedName name="CE">[9]Classificadores_Listas!$E$5:$E$329</definedName>
    <definedName name="CED" localSheetId="13">[8]Classificadores_Listas!$D$3:$D$253</definedName>
    <definedName name="CED" localSheetId="14">[8]Classificadores_Listas!$D$3:$D$253</definedName>
    <definedName name="CED" localSheetId="15">[8]Classificadores_Listas!$D$3:$D$253</definedName>
    <definedName name="CED" localSheetId="20">[6]Classificadores_Listas!$D$3:$D$257</definedName>
    <definedName name="CED" localSheetId="19">[6]Classificadores_Listas!$D$3:$D$257</definedName>
    <definedName name="CED" localSheetId="16">[6]Classificadores_Listas!$D$3:$D$257</definedName>
    <definedName name="CED" localSheetId="18">[6]Classificadores_Listas!$D$3:$D$257</definedName>
    <definedName name="CED" localSheetId="17">[6]Classificadores_Listas!$D$3:$D$257</definedName>
    <definedName name="CED" localSheetId="0">[6]Classificadores_Listas!$D$3:$D$257</definedName>
    <definedName name="CED" localSheetId="1">[6]Classificadores_Listas!$D$3:$D$257</definedName>
    <definedName name="CED">[9]Classificadores_Listas!$E$5:$E$204</definedName>
    <definedName name="CEDes" localSheetId="20">[14]Classificadores_Listas!$D$3:$D$253</definedName>
    <definedName name="CEDes" localSheetId="19">[14]Classificadores_Listas!$D$3:$D$253</definedName>
    <definedName name="CEDes" localSheetId="16">[14]Classificadores_Listas!$D$3:$D$253</definedName>
    <definedName name="CEDes" localSheetId="18">[14]Classificadores_Listas!$D$3:$D$253</definedName>
    <definedName name="CEDes" localSheetId="17">[14]Classificadores_Listas!$D$3:$D$253</definedName>
    <definedName name="CEDes" localSheetId="0">[14]Classificadores_Listas!$D$3:$D$253</definedName>
    <definedName name="CEDes" localSheetId="1">[14]Classificadores_Listas!$D$3:$D$253</definedName>
    <definedName name="CEDes">[16]Classificadores_Listas!$D$3:$D$253</definedName>
    <definedName name="CEF" localSheetId="2">[6]Classificadores_Listas!$D$3:$D$388</definedName>
    <definedName name="CEF" localSheetId="3">[6]Classificadores_Listas!$D$3:$D$388</definedName>
    <definedName name="CEF" localSheetId="4">[6]Classificadores_Listas!$D$3:$D$388</definedName>
    <definedName name="CEF" localSheetId="5">[6]Classificadores_Listas!$D$3:$D$388</definedName>
    <definedName name="CEF" localSheetId="6">[6]Classificadores_Listas!$D$3:$D$388</definedName>
    <definedName name="CEF" localSheetId="7">[6]Classificadores_Listas!$D$3:$D$388</definedName>
    <definedName name="CEF" localSheetId="8">[7]Classificadores_Listas!$D$3:$D$388</definedName>
    <definedName name="CEF" localSheetId="9">[6]Classificadores_Listas!$D$3:$D$388</definedName>
    <definedName name="CEF" localSheetId="10">[7]Classificadores_Listas!$D$3:$D$388</definedName>
    <definedName name="CEF" localSheetId="11">[7]Classificadores_Listas!$D$3:$D$388</definedName>
    <definedName name="CEF" localSheetId="12">[7]Classificadores_Listas!$D$3:$D$388</definedName>
    <definedName name="CEF">[17]Classificadores_Listas!$D$3:$D$388</definedName>
    <definedName name="CEFD" localSheetId="2">[6]Classificadores_Listas!$D$3:$D$255</definedName>
    <definedName name="CEFD" localSheetId="3">[6]Classificadores_Listas!$D$3:$D$255</definedName>
    <definedName name="CEFD" localSheetId="4">[6]Classificadores_Listas!$D$3:$D$255</definedName>
    <definedName name="CEFD" localSheetId="5">[6]Classificadores_Listas!$D$3:$D$255</definedName>
    <definedName name="CEFD" localSheetId="6">[6]Classificadores_Listas!$D$3:$D$255</definedName>
    <definedName name="CEFD" localSheetId="7">[6]Classificadores_Listas!$D$3:$D$255</definedName>
    <definedName name="CEFD" localSheetId="8">[7]Classificadores_Listas!$D$3:$D$255</definedName>
    <definedName name="CEFD" localSheetId="9">[6]Classificadores_Listas!$D$3:$D$255</definedName>
    <definedName name="CEFD" localSheetId="10">[7]Classificadores_Listas!$D$3:$D$255</definedName>
    <definedName name="CEFD" localSheetId="11">[7]Classificadores_Listas!$D$3:$D$255</definedName>
    <definedName name="CEFD" localSheetId="12">[7]Classificadores_Listas!$D$3:$D$255</definedName>
    <definedName name="CEFD">[17]Classificadores_Listas!$D$3:$D$255</definedName>
    <definedName name="CEFDes" localSheetId="13">[14]Classificadores_Listas!$D$3:$D$255</definedName>
    <definedName name="CEFDes" localSheetId="14">[14]Classificadores_Listas!$D$3:$D$255</definedName>
    <definedName name="CEFDes" localSheetId="15">[15]Classificadores_Listas!$D$3:$D$255</definedName>
    <definedName name="CEFDes">[18]Classificadores_Listas!$D$3:$D$255</definedName>
    <definedName name="CEFR" localSheetId="2">[6]Classificadores_Listas!$D$256:$D$388</definedName>
    <definedName name="CEFR" localSheetId="3">[6]Classificadores_Listas!$D$256:$D$388</definedName>
    <definedName name="CEFR" localSheetId="4">[6]Classificadores_Listas!$D$256:$D$388</definedName>
    <definedName name="CEFR" localSheetId="5">[6]Classificadores_Listas!$D$256:$D$388</definedName>
    <definedName name="CEFR" localSheetId="6">[6]Classificadores_Listas!$D$256:$D$388</definedName>
    <definedName name="CEFR" localSheetId="7">[6]Classificadores_Listas!$D$256:$D$388</definedName>
    <definedName name="CEFR" localSheetId="8">[7]Classificadores_Listas!$D$256:$D$388</definedName>
    <definedName name="CEFR" localSheetId="9">[6]Classificadores_Listas!$D$256:$D$388</definedName>
    <definedName name="CEFR" localSheetId="10">[7]Classificadores_Listas!$D$256:$D$388</definedName>
    <definedName name="CEFR" localSheetId="11">[7]Classificadores_Listas!$D$256:$D$388</definedName>
    <definedName name="CEFR" localSheetId="12">[7]Classificadores_Listas!$D$256:$D$388</definedName>
    <definedName name="CEFR">[17]Classificadores_Listas!$D$256:$D$388</definedName>
    <definedName name="CEFRec" localSheetId="13">[14]Classificadores_Listas!$D$256:$D$388</definedName>
    <definedName name="CEFRec" localSheetId="14">[14]Classificadores_Listas!$D$256:$D$388</definedName>
    <definedName name="CEFRec" localSheetId="15">[15]Classificadores_Listas!$D$256:$D$388</definedName>
    <definedName name="CEFRec">[18]Classificadores_Listas!$D$256:$D$388</definedName>
    <definedName name="CEFT" localSheetId="13">[14]Classificadores_Listas!$D$3:$D$388</definedName>
    <definedName name="CEFT" localSheetId="14">[14]Classificadores_Listas!$D$3:$D$388</definedName>
    <definedName name="CEFT" localSheetId="15">[15]Classificadores_Listas!$D$3:$D$388</definedName>
    <definedName name="CEFT">[18]Classificadores_Listas!$D$3:$D$388</definedName>
    <definedName name="CER" localSheetId="13">[8]Classificadores_Listas!$D$254:$D$384</definedName>
    <definedName name="CER" localSheetId="14">[8]Classificadores_Listas!$D$254:$D$384</definedName>
    <definedName name="CER" localSheetId="15">[8]Classificadores_Listas!$D$254:$D$384</definedName>
    <definedName name="CER" localSheetId="20">[6]Classificadores_Listas!$D$258:$D$390</definedName>
    <definedName name="CER" localSheetId="19">[6]Classificadores_Listas!$D$258:$D$390</definedName>
    <definedName name="CER" localSheetId="16">[6]Classificadores_Listas!$D$258:$D$390</definedName>
    <definedName name="CER" localSheetId="18">[6]Classificadores_Listas!$D$258:$D$390</definedName>
    <definedName name="CER" localSheetId="17">[6]Classificadores_Listas!$D$258:$D$390</definedName>
    <definedName name="CER" localSheetId="0">[6]Classificadores_Listas!$D$258:$D$390</definedName>
    <definedName name="CER" localSheetId="1">[6]Classificadores_Listas!$D$258:$D$390</definedName>
    <definedName name="CER">[9]Classificadores_Listas!$E$205:$E$329</definedName>
    <definedName name="CERec" localSheetId="20">[14]Classificadores_Listas!$D$254:$D$384</definedName>
    <definedName name="CERec" localSheetId="19">[14]Classificadores_Listas!$D$254:$D$384</definedName>
    <definedName name="CERec" localSheetId="16">[14]Classificadores_Listas!$D$254:$D$384</definedName>
    <definedName name="CERec" localSheetId="18">[14]Classificadores_Listas!$D$254:$D$384</definedName>
    <definedName name="CERec" localSheetId="17">[14]Classificadores_Listas!$D$254:$D$384</definedName>
    <definedName name="CERec" localSheetId="0">[14]Classificadores_Listas!$D$254:$D$384</definedName>
    <definedName name="CERec" localSheetId="1">[14]Classificadores_Listas!$D$254:$D$384</definedName>
    <definedName name="CERec">[16]Classificadores_Listas!$D$254:$D$384</definedName>
    <definedName name="CET" localSheetId="20">[14]Classificadores_Listas!$D$3:$D$384</definedName>
    <definedName name="CET" localSheetId="19">[14]Classificadores_Listas!$D$3:$D$384</definedName>
    <definedName name="CET" localSheetId="16">[14]Classificadores_Listas!$D$3:$D$384</definedName>
    <definedName name="CET" localSheetId="18">[14]Classificadores_Listas!$D$3:$D$384</definedName>
    <definedName name="CET" localSheetId="17">[14]Classificadores_Listas!$D$3:$D$384</definedName>
    <definedName name="CET" localSheetId="0">[14]Classificadores_Listas!$D$3:$D$384</definedName>
    <definedName name="CET" localSheetId="1">[14]Classificadores_Listas!$D$3:$D$384</definedName>
    <definedName name="CET">[16]Classificadores_Listas!$D$3:$D$384</definedName>
    <definedName name="CF" localSheetId="2">[6]Classificadores_Listas!$R$3:$R$71</definedName>
    <definedName name="CF" localSheetId="3">[6]Classificadores_Listas!$R$3:$R$71</definedName>
    <definedName name="CF" localSheetId="4">[6]Classificadores_Listas!$R$3:$R$71</definedName>
    <definedName name="CF" localSheetId="5">[6]Classificadores_Listas!$R$3:$R$71</definedName>
    <definedName name="CF" localSheetId="6">[6]Classificadores_Listas!$R$3:$R$71</definedName>
    <definedName name="CF" localSheetId="7">[6]Classificadores_Listas!$R$3:$R$71</definedName>
    <definedName name="CF" localSheetId="8">[7]Classificadores_Listas!$R$3:$R$71</definedName>
    <definedName name="CF" localSheetId="9">[6]Classificadores_Listas!$R$3:$R$71</definedName>
    <definedName name="CF" localSheetId="10">[7]Classificadores_Listas!$R$3:$R$71</definedName>
    <definedName name="CF" localSheetId="11">[7]Classificadores_Listas!$R$3:$R$71</definedName>
    <definedName name="CF" localSheetId="12">[7]Classificadores_Listas!$R$3:$R$71</definedName>
    <definedName name="CF" localSheetId="13">[8]Classificadores_Listas!$R$3:$R$71</definedName>
    <definedName name="CF" localSheetId="14">[8]Classificadores_Listas!$R$3:$R$71</definedName>
    <definedName name="CF" localSheetId="15">[8]Classificadores_Listas!$R$3:$R$71</definedName>
    <definedName name="CF" localSheetId="20">[6]Classificadores_Listas!$R$3:$R$71</definedName>
    <definedName name="CF" localSheetId="19">[6]Classificadores_Listas!$R$3:$R$71</definedName>
    <definedName name="CF" localSheetId="16">[6]Classificadores_Listas!$R$3:$R$71</definedName>
    <definedName name="CF" localSheetId="18">[6]Classificadores_Listas!$R$3:$R$71</definedName>
    <definedName name="CF" localSheetId="17">[6]Classificadores_Listas!$R$3:$R$71</definedName>
    <definedName name="CF" localSheetId="0">[6]Classificadores_Listas!$R$3:$R$71</definedName>
    <definedName name="CF" localSheetId="1">[6]Classificadores_Listas!$R$3:$R$71</definedName>
    <definedName name="CF">[9]Classificadores_Listas!$X$3:$X$71</definedName>
    <definedName name="CFu" localSheetId="13">[14]Classificadores_Listas!$R$3:$R$71</definedName>
    <definedName name="CFu" localSheetId="14">[14]Classificadores_Listas!$R$3:$R$71</definedName>
    <definedName name="CFu" localSheetId="15">[15]Classificadores_Listas!$R$3:$R$71</definedName>
    <definedName name="CFu" localSheetId="20">[14]Classificadores_Listas!$R$3:$R$71</definedName>
    <definedName name="CFu" localSheetId="19">[14]Classificadores_Listas!$R$3:$R$71</definedName>
    <definedName name="CFu" localSheetId="16">[14]Classificadores_Listas!$R$3:$R$71</definedName>
    <definedName name="CFu" localSheetId="18">[14]Classificadores_Listas!$R$3:$R$71</definedName>
    <definedName name="CFu" localSheetId="17">[14]Classificadores_Listas!$R$3:$R$71</definedName>
    <definedName name="CFu" localSheetId="0">[14]Classificadores_Listas!$R$3:$R$71</definedName>
    <definedName name="CFu" localSheetId="1">[14]Classificadores_Listas!$R$3:$R$71</definedName>
    <definedName name="CFu">[16]Classificadores_Listas!$R$3:$R$71</definedName>
    <definedName name="CODIGOS" localSheetId="13">#REF!</definedName>
    <definedName name="CODIGOS" localSheetId="14">#REF!</definedName>
    <definedName name="CODIGOS" localSheetId="15">#REF!</definedName>
    <definedName name="CODIGOS" localSheetId="20">#REF!</definedName>
    <definedName name="CODIGOS" localSheetId="19">#REF!</definedName>
    <definedName name="CODIGOS" localSheetId="16">#REF!</definedName>
    <definedName name="CODIGOS" localSheetId="18">#REF!</definedName>
    <definedName name="CODIGOS" localSheetId="0">#REF!</definedName>
    <definedName name="CODIGOS" localSheetId="23">#REF!</definedName>
    <definedName name="CODIGOS" localSheetId="22">#REF!</definedName>
    <definedName name="CODIGOS" localSheetId="1">#REF!</definedName>
    <definedName name="CODIGOS" localSheetId="21">#REF!</definedName>
    <definedName name="CODIGOS">#REF!</definedName>
    <definedName name="e" localSheetId="20">#REF!</definedName>
    <definedName name="e" localSheetId="19">#REF!</definedName>
    <definedName name="e" localSheetId="16">#REF!</definedName>
    <definedName name="e" localSheetId="18">#REF!</definedName>
    <definedName name="e" localSheetId="0">#REF!</definedName>
    <definedName name="e" localSheetId="1">#REF!</definedName>
    <definedName name="e" localSheetId="21">#REF!</definedName>
    <definedName name="e">#REF!</definedName>
    <definedName name="euro">200.482</definedName>
    <definedName name="_xlnm.Extract" localSheetId="20">#REF!</definedName>
    <definedName name="_xlnm.Extract" localSheetId="19">#REF!</definedName>
    <definedName name="_xlnm.Extract" localSheetId="16">#REF!</definedName>
    <definedName name="_xlnm.Extract" localSheetId="18">#REF!</definedName>
    <definedName name="_xlnm.Extract" localSheetId="0">#REF!</definedName>
    <definedName name="_xlnm.Extract" localSheetId="23">#REF!</definedName>
    <definedName name="_xlnm.Extract" localSheetId="22">#REF!</definedName>
    <definedName name="_xlnm.Extract" localSheetId="1">#REF!</definedName>
    <definedName name="_xlnm.Extract" localSheetId="21">#REF!</definedName>
    <definedName name="_xlnm.Extract">#REF!</definedName>
    <definedName name="GP" localSheetId="21">[12]ClassificadorEconomico!$P$3:$P$9</definedName>
    <definedName name="GP">[13]ClassificadorEconomico!$P$3:$P$9</definedName>
    <definedName name="MES" localSheetId="20">#REF!</definedName>
    <definedName name="MES" localSheetId="19">#REF!</definedName>
    <definedName name="MES" localSheetId="16">#REF!</definedName>
    <definedName name="MES" localSheetId="18">#REF!</definedName>
    <definedName name="MES" localSheetId="0">#REF!</definedName>
    <definedName name="MES" localSheetId="23">#REF!</definedName>
    <definedName name="MES" localSheetId="22">#REF!</definedName>
    <definedName name="MES" localSheetId="1">#REF!</definedName>
    <definedName name="MES" localSheetId="21">#REF!</definedName>
    <definedName name="MES">#REF!</definedName>
    <definedName name="MJ" localSheetId="20">#REF!</definedName>
    <definedName name="MJ" localSheetId="19">#REF!</definedName>
    <definedName name="MJ" localSheetId="16">#REF!</definedName>
    <definedName name="MJ" localSheetId="18">#REF!</definedName>
    <definedName name="MJ" localSheetId="0">#REF!</definedName>
    <definedName name="MJ" localSheetId="1">#REF!</definedName>
    <definedName name="MJ" localSheetId="21">#REF!</definedName>
    <definedName name="MJ">#REF!</definedName>
    <definedName name="MOV" localSheetId="2">[6]Classificadores_Listas!$M$3</definedName>
    <definedName name="MOV" localSheetId="3">[6]Classificadores_Listas!$M$3</definedName>
    <definedName name="MOV" localSheetId="4">[6]Classificadores_Listas!$M$3</definedName>
    <definedName name="MOV" localSheetId="5">[6]Classificadores_Listas!$M$3</definedName>
    <definedName name="MOV" localSheetId="6">[6]Classificadores_Listas!$M$3</definedName>
    <definedName name="MOV" localSheetId="7">[6]Classificadores_Listas!$M$3</definedName>
    <definedName name="MOV" localSheetId="8">[7]Classificadores_Listas!$M$3</definedName>
    <definedName name="MOV" localSheetId="9">[6]Classificadores_Listas!$M$3</definedName>
    <definedName name="MOV" localSheetId="10">[7]Classificadores_Listas!$M$3</definedName>
    <definedName name="MOV" localSheetId="11">[7]Classificadores_Listas!$M$3</definedName>
    <definedName name="MOV" localSheetId="12">[7]Classificadores_Listas!$M$3</definedName>
    <definedName name="MOV" localSheetId="13">[8]Classificadores_Listas!$M$3</definedName>
    <definedName name="MOV" localSheetId="14">[8]Classificadores_Listas!$M$3</definedName>
    <definedName name="MOV" localSheetId="15">[8]Classificadores_Listas!$M$3</definedName>
    <definedName name="MOV" localSheetId="20">#REF!</definedName>
    <definedName name="MOV" localSheetId="19">#REF!</definedName>
    <definedName name="MOV" localSheetId="16">#REF!</definedName>
    <definedName name="MOV" localSheetId="18">#REF!</definedName>
    <definedName name="MOV" localSheetId="17">#REF!</definedName>
    <definedName name="MOV" localSheetId="0">#REF!</definedName>
    <definedName name="MOV" localSheetId="1">#REF!</definedName>
    <definedName name="MOV" localSheetId="21">[12]ClassificadorEconomico!$R$3</definedName>
    <definedName name="MOV">[13]ClassificadorEconomico!$R$3</definedName>
    <definedName name="Movimento" localSheetId="2">[6]Classificadores_Listas!$I$3:$I$5</definedName>
    <definedName name="Movimento" localSheetId="3">[6]Classificadores_Listas!$I$3:$I$5</definedName>
    <definedName name="Movimento" localSheetId="4">[6]Classificadores_Listas!$I$3:$I$5</definedName>
    <definedName name="Movimento" localSheetId="5">[6]Classificadores_Listas!$I$3:$I$5</definedName>
    <definedName name="Movimento" localSheetId="6">[6]Classificadores_Listas!$I$3:$I$5</definedName>
    <definedName name="Movimento" localSheetId="7">[6]Classificadores_Listas!$I$3:$I$5</definedName>
    <definedName name="Movimento" localSheetId="8">[7]Classificadores_Listas!$I$3:$I$5</definedName>
    <definedName name="Movimento" localSheetId="9">[6]Classificadores_Listas!$I$3:$I$5</definedName>
    <definedName name="Movimento" localSheetId="10">[7]Classificadores_Listas!$I$3:$I$5</definedName>
    <definedName name="Movimento" localSheetId="11">[7]Classificadores_Listas!$I$3:$I$5</definedName>
    <definedName name="Movimento" localSheetId="12">[7]Classificadores_Listas!$I$3:$I$5</definedName>
    <definedName name="Movimento" localSheetId="13">[8]Classificadores_Listas!$I$3:$I$5</definedName>
    <definedName name="Movimento" localSheetId="14">[8]Classificadores_Listas!$I$3:$I$5</definedName>
    <definedName name="Movimento" localSheetId="15">[8]Classificadores_Listas!$I$3:$I$5</definedName>
    <definedName name="Movimento" localSheetId="20">[6]Classificadores_Listas!$I$3:$I$5</definedName>
    <definedName name="Movimento" localSheetId="19">[6]Classificadores_Listas!$I$3:$I$5</definedName>
    <definedName name="Movimento" localSheetId="16">[6]Classificadores_Listas!$I$3:$I$5</definedName>
    <definedName name="Movimento" localSheetId="18">[6]Classificadores_Listas!$I$3:$I$5</definedName>
    <definedName name="Movimento" localSheetId="17">[6]Classificadores_Listas!$I$3:$I$5</definedName>
    <definedName name="Movimento" localSheetId="0">[6]Classificadores_Listas!$I$3:$I$5</definedName>
    <definedName name="Movimento" localSheetId="1">[6]Classificadores_Listas!$I$3:$I$5</definedName>
    <definedName name="Movimento" localSheetId="21">[12]ClassificadorEconomico!$I$3:$I$5</definedName>
    <definedName name="Movimento">[13]ClassificadorEconomico!$I$3:$I$5</definedName>
    <definedName name="Movimento2" localSheetId="13">[14]Classificadores_Listas!$I$3:$I$5</definedName>
    <definedName name="Movimento2" localSheetId="14">[14]Classificadores_Listas!$I$3:$I$5</definedName>
    <definedName name="Movimento2" localSheetId="15">[15]Classificadores_Listas!$I$3:$I$5</definedName>
    <definedName name="Movimento2" localSheetId="20">[14]Classificadores_Listas!$I$3:$I$5</definedName>
    <definedName name="Movimento2" localSheetId="19">[14]Classificadores_Listas!$I$3:$I$5</definedName>
    <definedName name="Movimento2" localSheetId="16">[14]Classificadores_Listas!$I$3:$I$5</definedName>
    <definedName name="Movimento2" localSheetId="18">[14]Classificadores_Listas!$I$3:$I$5</definedName>
    <definedName name="Movimento2" localSheetId="17">[14]Classificadores_Listas!$I$3:$I$5</definedName>
    <definedName name="Movimento2" localSheetId="0">[14]Classificadores_Listas!$I$3:$I$5</definedName>
    <definedName name="Movimento2" localSheetId="1">[14]Classificadores_Listas!$I$3:$I$5</definedName>
    <definedName name="Movimento2">[16]Classificadores_Listas!$I$3:$I$5</definedName>
    <definedName name="OP">#REF!</definedName>
    <definedName name="PROGRA" localSheetId="2">[6]Classificadores_Listas!$T$3:$T$5</definedName>
    <definedName name="PROGRA" localSheetId="3">[6]Classificadores_Listas!$T$3:$T$5</definedName>
    <definedName name="PROGRA" localSheetId="4">[6]Classificadores_Listas!$T$3:$T$5</definedName>
    <definedName name="PROGRA" localSheetId="5">[6]Classificadores_Listas!$T$3:$T$5</definedName>
    <definedName name="PROGRA" localSheetId="6">[6]Classificadores_Listas!$T$3:$T$5</definedName>
    <definedName name="PROGRA" localSheetId="7">[6]Classificadores_Listas!$T$3:$T$5</definedName>
    <definedName name="PROGRA" localSheetId="8">[7]Classificadores_Listas!$T$3:$T$5</definedName>
    <definedName name="PROGRA" localSheetId="9">[6]Classificadores_Listas!$T$3:$T$5</definedName>
    <definedName name="PROGRA" localSheetId="10">[7]Classificadores_Listas!$T$3:$T$5</definedName>
    <definedName name="PROGRA" localSheetId="11">[7]Classificadores_Listas!$T$3:$T$5</definedName>
    <definedName name="PROGRA" localSheetId="12">[7]Classificadores_Listas!$T$3:$T$5</definedName>
    <definedName name="PROGRA" localSheetId="13">[8]Classificadores_Listas!$T$3:$T$5</definedName>
    <definedName name="PROGRA" localSheetId="14">[8]Classificadores_Listas!$T$3:$T$5</definedName>
    <definedName name="PROGRA" localSheetId="15">[8]Classificadores_Listas!$T$3:$T$5</definedName>
    <definedName name="PROGRA" localSheetId="20">[6]Classificadores_Listas!$T$3:$T$5</definedName>
    <definedName name="PROGRA" localSheetId="19">[6]Classificadores_Listas!$T$3:$T$5</definedName>
    <definedName name="PROGRA" localSheetId="16">[6]Classificadores_Listas!$T$3:$T$5</definedName>
    <definedName name="PROGRA" localSheetId="18">[6]Classificadores_Listas!$T$3:$T$5</definedName>
    <definedName name="PROGRA" localSheetId="17">[6]Classificadores_Listas!$T$3:$T$5</definedName>
    <definedName name="PROGRA" localSheetId="0">[6]Classificadores_Listas!$T$3:$T$5</definedName>
    <definedName name="PROGRA" localSheetId="1">[6]Classificadores_Listas!$T$3:$T$5</definedName>
    <definedName name="PROGRA">[9]Classificadores_Listas!$AA$3:$AA$6</definedName>
    <definedName name="PROGRAMA" localSheetId="13">[14]Classificadores_Listas!$T$3:$T$4</definedName>
    <definedName name="PROGRAMA" localSheetId="14">[14]Classificadores_Listas!$T$3:$T$4</definedName>
    <definedName name="PROGRAMA" localSheetId="15">[15]Classificadores_Listas!$T$3:$T$4</definedName>
    <definedName name="PROGRAMA" localSheetId="20">[14]Classificadores_Listas!$T$3:$T$4</definedName>
    <definedName name="PROGRAMA" localSheetId="19">[14]Classificadores_Listas!$T$3:$T$4</definedName>
    <definedName name="PROGRAMA" localSheetId="16">[14]Classificadores_Listas!$T$3:$T$4</definedName>
    <definedName name="PROGRAMA" localSheetId="18">[14]Classificadores_Listas!$T$3:$T$4</definedName>
    <definedName name="PROGRAMA" localSheetId="17">[14]Classificadores_Listas!$T$3:$T$4</definedName>
    <definedName name="PROGRAMA" localSheetId="0">[14]Classificadores_Listas!$T$3:$T$4</definedName>
    <definedName name="PROGRAMA" localSheetId="1">[14]Classificadores_Listas!$T$3:$T$4</definedName>
    <definedName name="PROGRAMA">[16]Classificadores_Listas!$T$3:$T$4</definedName>
    <definedName name="Prov.estim.Novembro" localSheetId="13">#REF!</definedName>
    <definedName name="Prov.estim.Novembro" localSheetId="14">#REF!</definedName>
    <definedName name="Prov.estim.Novembro" localSheetId="15">#REF!</definedName>
    <definedName name="Prov.estim.Novembro" localSheetId="20">#REF!</definedName>
    <definedName name="Prov.estim.Novembro" localSheetId="19">#REF!</definedName>
    <definedName name="Prov.estim.Novembro" localSheetId="16">#REF!</definedName>
    <definedName name="Prov.estim.Novembro" localSheetId="18">#REF!</definedName>
    <definedName name="Prov.estim.Novembro" localSheetId="0">#REF!</definedName>
    <definedName name="Prov.estim.Novembro" localSheetId="23">#REF!</definedName>
    <definedName name="Prov.estim.Novembro" localSheetId="22">#REF!</definedName>
    <definedName name="Prov.estim.Novembro" localSheetId="1">#REF!</definedName>
    <definedName name="Prov.estim.Novembro" localSheetId="21">#REF!</definedName>
    <definedName name="Prov.estim.Novembro">#REF!</definedName>
    <definedName name="prov_julho" localSheetId="20">#REF!</definedName>
    <definedName name="prov_julho" localSheetId="19">#REF!</definedName>
    <definedName name="prov_julho" localSheetId="16">#REF!</definedName>
    <definedName name="prov_julho" localSheetId="18">#REF!</definedName>
    <definedName name="prov_julho" localSheetId="0">#REF!</definedName>
    <definedName name="prov_julho" localSheetId="1">#REF!</definedName>
    <definedName name="prov_julho" localSheetId="21">#REF!</definedName>
    <definedName name="prov_julho">#REF!</definedName>
    <definedName name="publicações_julho" localSheetId="20">#REF!</definedName>
    <definedName name="publicações_julho" localSheetId="19">#REF!</definedName>
    <definedName name="publicações_julho" localSheetId="16">#REF!</definedName>
    <definedName name="publicações_julho" localSheetId="18">#REF!</definedName>
    <definedName name="publicações_julho" localSheetId="0">#REF!</definedName>
    <definedName name="publicações_julho" localSheetId="1">#REF!</definedName>
    <definedName name="publicações_julho" localSheetId="21">#REF!</definedName>
    <definedName name="publicações_julho">#REF!</definedName>
    <definedName name="r264." localSheetId="21">#REF!</definedName>
    <definedName name="r264.">#REF!</definedName>
    <definedName name="ra2211004" localSheetId="20">[19]Consolidado!#REF!</definedName>
    <definedName name="ra2211004" localSheetId="19">[19]Consolidado!#REF!</definedName>
    <definedName name="ra2211004" localSheetId="16">[19]Consolidado!#REF!</definedName>
    <definedName name="ra2211004" localSheetId="18">[19]Consolidado!#REF!</definedName>
    <definedName name="ra2211004" localSheetId="0">[19]Consolidado!#REF!</definedName>
    <definedName name="ra2211004" localSheetId="23">[19]Consolidado!#REF!</definedName>
    <definedName name="ra2211004" localSheetId="22">[19]Consolidado!#REF!</definedName>
    <definedName name="ra2211004" localSheetId="1">[19]Consolidado!#REF!</definedName>
    <definedName name="ra2211004" localSheetId="21">[19]Consolidado!#REF!</definedName>
    <definedName name="ra2211004">[19]Consolidado!#REF!</definedName>
    <definedName name="rato" localSheetId="13">#REF!</definedName>
    <definedName name="rato" localSheetId="14">#REF!</definedName>
    <definedName name="rato" localSheetId="15">#REF!</definedName>
    <definedName name="rato" localSheetId="20">#REF!</definedName>
    <definedName name="rato" localSheetId="19">#REF!</definedName>
    <definedName name="rato" localSheetId="16">#REF!</definedName>
    <definedName name="rato" localSheetId="18">#REF!</definedName>
    <definedName name="rato" localSheetId="0">#REF!</definedName>
    <definedName name="rato" localSheetId="23">#REF!</definedName>
    <definedName name="rato" localSheetId="22">#REF!</definedName>
    <definedName name="rato" localSheetId="1">#REF!</definedName>
    <definedName name="rato" localSheetId="21">#REF!</definedName>
    <definedName name="rato">#REF!</definedName>
    <definedName name="RD" localSheetId="2">[6]Classificadores_Listas!$K$3:$K$4</definedName>
    <definedName name="RD" localSheetId="3">[6]Classificadores_Listas!$K$3:$K$4</definedName>
    <definedName name="RD" localSheetId="4">[6]Classificadores_Listas!$K$3:$K$4</definedName>
    <definedName name="RD" localSheetId="5">[6]Classificadores_Listas!$K$3:$K$4</definedName>
    <definedName name="RD" localSheetId="6">[6]Classificadores_Listas!$K$3:$K$4</definedName>
    <definedName name="RD" localSheetId="7">[6]Classificadores_Listas!$K$3:$K$4</definedName>
    <definedName name="RD" localSheetId="8">[7]Classificadores_Listas!$K$3:$K$4</definedName>
    <definedName name="RD" localSheetId="9">[6]Classificadores_Listas!$K$3:$K$4</definedName>
    <definedName name="RD" localSheetId="10">[7]Classificadores_Listas!$K$3:$K$4</definedName>
    <definedName name="RD" localSheetId="11">[7]Classificadores_Listas!$K$3:$K$4</definedName>
    <definedName name="RD" localSheetId="12">[7]Classificadores_Listas!$K$3:$K$4</definedName>
    <definedName name="RD" localSheetId="13">[8]Classificadores_Listas!$K$3:$K$4</definedName>
    <definedName name="RD" localSheetId="14">[8]Classificadores_Listas!$K$3:$K$4</definedName>
    <definedName name="RD" localSheetId="15">[8]Classificadores_Listas!$K$3:$K$4</definedName>
    <definedName name="RD" localSheetId="20">[6]Classificadores_Listas!$K$3:$K$4</definedName>
    <definedName name="RD" localSheetId="19">[6]Classificadores_Listas!$K$3:$K$4</definedName>
    <definedName name="RD" localSheetId="16">[6]Classificadores_Listas!$K$3:$K$4</definedName>
    <definedName name="RD" localSheetId="18">[6]Classificadores_Listas!$K$3:$K$4</definedName>
    <definedName name="RD" localSheetId="17">[6]Classificadores_Listas!$K$3:$K$4</definedName>
    <definedName name="RD" localSheetId="0">[6]Classificadores_Listas!$K$3:$K$4</definedName>
    <definedName name="RD" localSheetId="1">[6]Classificadores_Listas!$K$3:$K$4</definedName>
    <definedName name="RD" localSheetId="21">[12]ClassificadorEconomico!$K$3:$K$4</definedName>
    <definedName name="RD">[13]ClassificadorEconomico!$K$3:$K$4</definedName>
    <definedName name="RecDes" localSheetId="13">[14]Classificadores_Listas!$K$3:$K$4</definedName>
    <definedName name="RecDes" localSheetId="14">[14]Classificadores_Listas!$K$3:$K$4</definedName>
    <definedName name="RecDes" localSheetId="15">[15]Classificadores_Listas!$K$3:$K$4</definedName>
    <definedName name="RecDes" localSheetId="20">[14]Classificadores_Listas!$K$3:$K$4</definedName>
    <definedName name="RecDes" localSheetId="19">[14]Classificadores_Listas!$K$3:$K$4</definedName>
    <definedName name="RecDes" localSheetId="16">[14]Classificadores_Listas!$K$3:$K$4</definedName>
    <definedName name="RecDes" localSheetId="18">[14]Classificadores_Listas!$K$3:$K$4</definedName>
    <definedName name="RecDes" localSheetId="17">[14]Classificadores_Listas!$K$3:$K$4</definedName>
    <definedName name="RecDes" localSheetId="0">[14]Classificadores_Listas!$K$3:$K$4</definedName>
    <definedName name="RecDes" localSheetId="1">[14]Classificadores_Listas!$K$3:$K$4</definedName>
    <definedName name="RecDes">[16]Classificadores_Listas!$K$3:$K$4</definedName>
    <definedName name="Regime_não_Contributivo" localSheetId="2">[6]Classificadores_Listas!#REF!</definedName>
    <definedName name="Regime_não_Contributivo" localSheetId="3">[6]Classificadores_Listas!#REF!</definedName>
    <definedName name="Regime_não_Contributivo" localSheetId="4">[6]Classificadores_Listas!#REF!</definedName>
    <definedName name="Regime_não_Contributivo" localSheetId="5">[6]Classificadores_Listas!#REF!</definedName>
    <definedName name="Regime_não_Contributivo" localSheetId="6">[6]Classificadores_Listas!#REF!</definedName>
    <definedName name="Regime_não_Contributivo" localSheetId="7">[6]Classificadores_Listas!#REF!</definedName>
    <definedName name="Regime_não_Contributivo" localSheetId="8">[7]Classificadores_Listas!#REF!</definedName>
    <definedName name="Regime_não_Contributivo" localSheetId="9">[6]Classificadores_Listas!#REF!</definedName>
    <definedName name="Regime_não_Contributivo" localSheetId="10">[7]Classificadores_Listas!#REF!</definedName>
    <definedName name="Regime_não_Contributivo" localSheetId="11">[7]Classificadores_Listas!#REF!</definedName>
    <definedName name="Regime_não_Contributivo" localSheetId="12">[7]Classificadores_Listas!#REF!</definedName>
    <definedName name="Regime_não_Contributivo" localSheetId="13">[8]Classificadores_Listas!#REF!</definedName>
    <definedName name="Regime_não_Contributivo" localSheetId="14">[8]Classificadores_Listas!#REF!</definedName>
    <definedName name="Regime_não_Contributivo" localSheetId="15">[8]Classificadores_Listas!#REF!</definedName>
    <definedName name="Regime_não_Contributivo" localSheetId="20">[6]Classificadores_Listas!#REF!</definedName>
    <definedName name="Regime_não_Contributivo" localSheetId="19">[6]Classificadores_Listas!#REF!</definedName>
    <definedName name="Regime_não_Contributivo" localSheetId="16">[6]Classificadores_Listas!#REF!</definedName>
    <definedName name="Regime_não_Contributivo" localSheetId="18">[6]Classificadores_Listas!#REF!</definedName>
    <definedName name="Regime_não_Contributivo" localSheetId="17">[6]Classificadores_Listas!#REF!</definedName>
    <definedName name="Regime_não_Contributivo" localSheetId="0">[6]Classificadores_Listas!#REF!</definedName>
    <definedName name="Regime_não_Contributivo" localSheetId="1">[6]Classificadores_Listas!#REF!</definedName>
    <definedName name="Regime_não_Contributivo">[20]Classificadores_Listas!#REF!</definedName>
    <definedName name="Regimes" localSheetId="13">[8]Classificadores_Listas!$G$3:$G$5</definedName>
    <definedName name="Regimes" localSheetId="14">[8]Classificadores_Listas!$G$3:$G$5</definedName>
    <definedName name="Regimes" localSheetId="15">[8]Classificadores_Listas!$G$3:$G$5</definedName>
    <definedName name="Regimes" localSheetId="20">[6]Classificadores_Listas!$G$3:$G$5</definedName>
    <definedName name="Regimes" localSheetId="19">[6]Classificadores_Listas!$G$3:$G$5</definedName>
    <definedName name="Regimes" localSheetId="16">[6]Classificadores_Listas!$G$3:$G$5</definedName>
    <definedName name="Regimes" localSheetId="18">[6]Classificadores_Listas!$G$3:$G$5</definedName>
    <definedName name="Regimes" localSheetId="17">[6]Classificadores_Listas!$G$3:$G$5</definedName>
    <definedName name="Regimes" localSheetId="0">[6]Classificadores_Listas!$G$3:$G$5</definedName>
    <definedName name="Regimes" localSheetId="1">[6]Classificadores_Listas!$G$3:$G$5</definedName>
    <definedName name="Regimes">[9]Classificadores_Listas!$G$3:$G$6</definedName>
    <definedName name="Regimes2" localSheetId="13">[14]Classificadores_Listas!$G$3:$G$4</definedName>
    <definedName name="Regimes2" localSheetId="14">[14]Classificadores_Listas!$G$3:$G$4</definedName>
    <definedName name="Regimes2" localSheetId="15">[15]Classificadores_Listas!$G$3:$G$4</definedName>
    <definedName name="Regimes2" localSheetId="20">[14]Classificadores_Listas!$G$3:$G$4</definedName>
    <definedName name="Regimes2" localSheetId="19">[14]Classificadores_Listas!$G$3:$G$4</definedName>
    <definedName name="Regimes2" localSheetId="16">[14]Classificadores_Listas!$G$3:$G$4</definedName>
    <definedName name="Regimes2" localSheetId="18">[14]Classificadores_Listas!$G$3:$G$4</definedName>
    <definedName name="Regimes2" localSheetId="17">[14]Classificadores_Listas!$G$3:$G$4</definedName>
    <definedName name="Regimes2" localSheetId="0">[14]Classificadores_Listas!$G$3:$G$4</definedName>
    <definedName name="Regimes2" localSheetId="1">[14]Classificadores_Listas!$G$3:$G$4</definedName>
    <definedName name="Regimes2">[16]Classificadores_Listas!$G$3:$G$4</definedName>
    <definedName name="RegimesR" localSheetId="2">[6]Classificadores_Listas!$G$3:$G$6</definedName>
    <definedName name="RegimesR" localSheetId="3">[6]Classificadores_Listas!$G$3:$G$6</definedName>
    <definedName name="RegimesR" localSheetId="4">[6]Classificadores_Listas!$G$3:$G$6</definedName>
    <definedName name="RegimesR" localSheetId="5">[6]Classificadores_Listas!$G$3:$G$6</definedName>
    <definedName name="RegimesR" localSheetId="6">[6]Classificadores_Listas!$G$3:$G$6</definedName>
    <definedName name="RegimesR" localSheetId="7">[6]Classificadores_Listas!$G$3:$G$6</definedName>
    <definedName name="RegimesR" localSheetId="8">[7]Classificadores_Listas!$G$3:$G$6</definedName>
    <definedName name="RegimesR" localSheetId="9">[6]Classificadores_Listas!$G$3:$G$6</definedName>
    <definedName name="RegimesR" localSheetId="10">[7]Classificadores_Listas!$G$3:$G$6</definedName>
    <definedName name="RegimesR" localSheetId="11">[7]Classificadores_Listas!$G$3:$G$6</definedName>
    <definedName name="RegimesR" localSheetId="12">[7]Classificadores_Listas!$G$3:$G$6</definedName>
    <definedName name="RegimesR">[17]Classificadores_Listas!$G$3:$G$6</definedName>
    <definedName name="Rubricas1" localSheetId="2">[10]Classificadores_Listas!#REF!</definedName>
    <definedName name="Rubricas1" localSheetId="3">[10]Classificadores_Listas!#REF!</definedName>
    <definedName name="Rubricas1" localSheetId="4">[10]Classificadores_Listas!#REF!</definedName>
    <definedName name="Rubricas1" localSheetId="5">[10]Classificadores_Listas!#REF!</definedName>
    <definedName name="Rubricas1" localSheetId="6">[10]Classificadores_Listas!#REF!</definedName>
    <definedName name="Rubricas1" localSheetId="7">[10]Classificadores_Listas!#REF!</definedName>
    <definedName name="Rubricas1" localSheetId="8">[10]Classificadores_Listas!#REF!</definedName>
    <definedName name="Rubricas1" localSheetId="9">[10]Classificadores_Listas!#REF!</definedName>
    <definedName name="Rubricas1" localSheetId="10">[10]Classificadores_Listas!#REF!</definedName>
    <definedName name="Rubricas1" localSheetId="11">[10]Classificadores_Listas!#REF!</definedName>
    <definedName name="Rubricas1" localSheetId="12">[10]Classificadores_Listas!#REF!</definedName>
    <definedName name="Rubricas1" localSheetId="13">[10]Classificadores_Listas!#REF!</definedName>
    <definedName name="Rubricas1" localSheetId="14">[10]Classificadores_Listas!#REF!</definedName>
    <definedName name="Rubricas1" localSheetId="15">[10]Classificadores_Listas!#REF!</definedName>
    <definedName name="Rubricas1" localSheetId="20">[10]Classificadores_Listas!#REF!</definedName>
    <definedName name="Rubricas1" localSheetId="19">[10]Classificadores_Listas!#REF!</definedName>
    <definedName name="Rubricas1" localSheetId="16">[10]Classificadores_Listas!#REF!</definedName>
    <definedName name="Rubricas1" localSheetId="18">[10]Classificadores_Listas!#REF!</definedName>
    <definedName name="Rubricas1" localSheetId="17">[10]Classificadores_Listas!#REF!</definedName>
    <definedName name="Rubricas1" localSheetId="0">[10]Classificadores_Listas!#REF!</definedName>
    <definedName name="Rubricas1" localSheetId="1">[10]Classificadores_Listas!#REF!</definedName>
    <definedName name="Rubricas1" localSheetId="21">[12]ClassificadorEconomico!$E$3:$E$98</definedName>
    <definedName name="Rubricas1">[13]ClassificadorEconomico!$E$3:$E$98</definedName>
    <definedName name="Rubricas2" localSheetId="2">[10]Classificadores_Listas!#REF!</definedName>
    <definedName name="Rubricas2" localSheetId="3">[10]Classificadores_Listas!#REF!</definedName>
    <definedName name="Rubricas2" localSheetId="4">[10]Classificadores_Listas!#REF!</definedName>
    <definedName name="Rubricas2" localSheetId="5">[10]Classificadores_Listas!#REF!</definedName>
    <definedName name="Rubricas2" localSheetId="6">[10]Classificadores_Listas!#REF!</definedName>
    <definedName name="Rubricas2" localSheetId="7">[10]Classificadores_Listas!#REF!</definedName>
    <definedName name="Rubricas2" localSheetId="8">[10]Classificadores_Listas!#REF!</definedName>
    <definedName name="Rubricas2" localSheetId="9">[10]Classificadores_Listas!#REF!</definedName>
    <definedName name="Rubricas2" localSheetId="10">[10]Classificadores_Listas!#REF!</definedName>
    <definedName name="Rubricas2" localSheetId="11">[10]Classificadores_Listas!#REF!</definedName>
    <definedName name="Rubricas2" localSheetId="12">[10]Classificadores_Listas!#REF!</definedName>
    <definedName name="Rubricas2" localSheetId="13">[10]Classificadores_Listas!#REF!</definedName>
    <definedName name="Rubricas2" localSheetId="14">[10]Classificadores_Listas!#REF!</definedName>
    <definedName name="Rubricas2" localSheetId="15">[10]Classificadores_Listas!#REF!</definedName>
    <definedName name="Rubricas2" localSheetId="20">[10]Classificadores_Listas!#REF!</definedName>
    <definedName name="Rubricas2" localSheetId="19">[10]Classificadores_Listas!#REF!</definedName>
    <definedName name="Rubricas2" localSheetId="16">[10]Classificadores_Listas!#REF!</definedName>
    <definedName name="Rubricas2" localSheetId="18">[10]Classificadores_Listas!#REF!</definedName>
    <definedName name="Rubricas2" localSheetId="17">[10]Classificadores_Listas!#REF!</definedName>
    <definedName name="Rubricas2" localSheetId="0">[10]Classificadores_Listas!#REF!</definedName>
    <definedName name="Rubricas2" localSheetId="23">[9]Classificadores_Listas!#REF!</definedName>
    <definedName name="Rubricas2" localSheetId="22">[9]Classificadores_Listas!#REF!</definedName>
    <definedName name="Rubricas2" localSheetId="1">[10]Classificadores_Listas!#REF!</definedName>
    <definedName name="Rubricas2">[9]Classificadores_Listas!#REF!</definedName>
    <definedName name="SEM" localSheetId="13">#REF!</definedName>
    <definedName name="SEM" localSheetId="14">#REF!</definedName>
    <definedName name="SEM" localSheetId="15">#REF!</definedName>
    <definedName name="SEM" localSheetId="20">#REF!</definedName>
    <definedName name="SEM" localSheetId="19">#REF!</definedName>
    <definedName name="SEM" localSheetId="16">#REF!</definedName>
    <definedName name="SEM" localSheetId="18">#REF!</definedName>
    <definedName name="SEM" localSheetId="0">#REF!</definedName>
    <definedName name="SEM" localSheetId="23">#REF!</definedName>
    <definedName name="SEM" localSheetId="22">#REF!</definedName>
    <definedName name="SEM" localSheetId="1">#REF!</definedName>
    <definedName name="SEM" localSheetId="21">#REF!</definedName>
    <definedName name="SEM">#REF!</definedName>
    <definedName name="Sim" localSheetId="13">[14]Classificadores_Listas!$M$3</definedName>
    <definedName name="Sim" localSheetId="14">[14]Classificadores_Listas!$M$3</definedName>
    <definedName name="Sim" localSheetId="15">[15]Classificadores_Listas!$M$3</definedName>
    <definedName name="Sim" localSheetId="20">[14]Classificadores_Listas!$M$3</definedName>
    <definedName name="Sim" localSheetId="19">[14]Classificadores_Listas!$M$3</definedName>
    <definedName name="Sim" localSheetId="16">[14]Classificadores_Listas!$M$3</definedName>
    <definedName name="Sim" localSheetId="18">[14]Classificadores_Listas!$M$3</definedName>
    <definedName name="Sim" localSheetId="17">[14]Classificadores_Listas!$M$3</definedName>
    <definedName name="Sim" localSheetId="0">[14]Classificadores_Listas!$M$3</definedName>
    <definedName name="Sim" localSheetId="1">[14]Classificadores_Listas!$M$3</definedName>
    <definedName name="Sim">[16]Classificadores_Listas!$M$3</definedName>
    <definedName name="soas" localSheetId="13">#REF!</definedName>
    <definedName name="soas" localSheetId="14">#REF!</definedName>
    <definedName name="soas" localSheetId="15">#REF!</definedName>
    <definedName name="soas" localSheetId="20">#REF!</definedName>
    <definedName name="soas" localSheetId="19">#REF!</definedName>
    <definedName name="soas" localSheetId="16">#REF!</definedName>
    <definedName name="soas" localSheetId="18">#REF!</definedName>
    <definedName name="soas" localSheetId="0">#REF!</definedName>
    <definedName name="soas" localSheetId="1">#REF!</definedName>
    <definedName name="soas" localSheetId="21">#REF!</definedName>
    <definedName name="soas">#REF!</definedName>
    <definedName name="SUBPROGRA" localSheetId="2">[6]Classificadores_Listas!$U$3:$U$7</definedName>
    <definedName name="SUBPROGRA" localSheetId="3">[6]Classificadores_Listas!$U$3:$U$7</definedName>
    <definedName name="SUBPROGRA" localSheetId="4">[6]Classificadores_Listas!$U$3:$U$7</definedName>
    <definedName name="SUBPROGRA" localSheetId="5">[6]Classificadores_Listas!$U$3:$U$7</definedName>
    <definedName name="SUBPROGRA" localSheetId="6">[6]Classificadores_Listas!$U$3:$U$7</definedName>
    <definedName name="SUBPROGRA" localSheetId="7">[6]Classificadores_Listas!$U$3:$U$7</definedName>
    <definedName name="SUBPROGRA" localSheetId="8">[7]Classificadores_Listas!$U$3:$U$7</definedName>
    <definedName name="SUBPROGRA" localSheetId="9">[6]Classificadores_Listas!$U$3:$U$7</definedName>
    <definedName name="SUBPROGRA" localSheetId="10">[7]Classificadores_Listas!$U$3:$U$7</definedName>
    <definedName name="SUBPROGRA" localSheetId="11">[7]Classificadores_Listas!$U$3:$U$7</definedName>
    <definedName name="SUBPROGRA" localSheetId="12">[7]Classificadores_Listas!$U$3:$U$7</definedName>
    <definedName name="SUBPROGRA" localSheetId="13">[8]Classificadores_Listas!$U$3:$U$7</definedName>
    <definedName name="SUBPROGRA" localSheetId="14">[8]Classificadores_Listas!$U$3:$U$7</definedName>
    <definedName name="SUBPROGRA" localSheetId="15">[8]Classificadores_Listas!$U$3:$U$7</definedName>
    <definedName name="SUBPROGRA" localSheetId="20">[6]Classificadores_Listas!$U$3:$U$7</definedName>
    <definedName name="SUBPROGRA" localSheetId="19">[6]Classificadores_Listas!$U$3:$U$7</definedName>
    <definedName name="SUBPROGRA" localSheetId="16">[6]Classificadores_Listas!$U$3:$U$7</definedName>
    <definedName name="SUBPROGRA" localSheetId="18">[6]Classificadores_Listas!$U$3:$U$7</definedName>
    <definedName name="SUBPROGRA" localSheetId="17">[6]Classificadores_Listas!$U$3:$U$7</definedName>
    <definedName name="SUBPROGRA" localSheetId="0">[6]Classificadores_Listas!$U$3:$U$7</definedName>
    <definedName name="SUBPROGRA" localSheetId="1">[6]Classificadores_Listas!$U$3:$U$7</definedName>
    <definedName name="SUBPROGRA">[9]Classificadores_Listas!$AB$3:$AB$9</definedName>
    <definedName name="SUBPROGRAMA" localSheetId="13">[14]Classificadores_Listas!$U$3:$U$5</definedName>
    <definedName name="SUBPROGRAMA" localSheetId="14">[14]Classificadores_Listas!$U$3:$U$5</definedName>
    <definedName name="SUBPROGRAMA" localSheetId="15">[15]Classificadores_Listas!$U$3:$U$5</definedName>
    <definedName name="SUBPROGRAMA" localSheetId="20">[14]Classificadores_Listas!$U$3:$U$5</definedName>
    <definedName name="SUBPROGRAMA" localSheetId="19">[14]Classificadores_Listas!$U$3:$U$5</definedName>
    <definedName name="SUBPROGRAMA" localSheetId="16">[14]Classificadores_Listas!$U$3:$U$5</definedName>
    <definedName name="SUBPROGRAMA" localSheetId="18">[14]Classificadores_Listas!$U$3:$U$5</definedName>
    <definedName name="SUBPROGRAMA" localSheetId="17">[14]Classificadores_Listas!$U$3:$U$5</definedName>
    <definedName name="SUBPROGRAMA" localSheetId="0">[14]Classificadores_Listas!$U$3:$U$5</definedName>
    <definedName name="SUBPROGRAMA" localSheetId="1">[14]Classificadores_Listas!$U$3:$U$5</definedName>
    <definedName name="SUBPROGRAMA">[16]Classificadores_Listas!$U$3:$U$5</definedName>
    <definedName name="SUBPROGRAR" localSheetId="13">#REF!</definedName>
    <definedName name="SUBPROGRAR" localSheetId="14">#REF!</definedName>
    <definedName name="SUBPROGRAR" localSheetId="15">#REF!</definedName>
    <definedName name="SUBPROGRAR" localSheetId="20">[6]Classificadores_Listas!$U$3:$U$8</definedName>
    <definedName name="SUBPROGRAR" localSheetId="19">[6]Classificadores_Listas!$U$3:$U$8</definedName>
    <definedName name="SUBPROGRAR" localSheetId="16">[6]Classificadores_Listas!$U$3:$U$8</definedName>
    <definedName name="SUBPROGRAR" localSheetId="18">[6]Classificadores_Listas!$U$3:$U$8</definedName>
    <definedName name="SUBPROGRAR" localSheetId="17">[6]Classificadores_Listas!$U$3:$U$8</definedName>
    <definedName name="SUBPROGRAR" localSheetId="0">[6]Classificadores_Listas!$U$3:$U$8</definedName>
    <definedName name="SUBPROGRAR" localSheetId="1">[6]Classificadores_Listas!$U$3:$U$8</definedName>
    <definedName name="SUBPROGRAR">[11]Classificadores_Listas!$U$3:$U$8</definedName>
    <definedName name="Tipo" localSheetId="2">[10]Classificadores_Listas!#REF!</definedName>
    <definedName name="Tipo" localSheetId="3">[10]Classificadores_Listas!#REF!</definedName>
    <definedName name="Tipo" localSheetId="4">[10]Classificadores_Listas!#REF!</definedName>
    <definedName name="Tipo" localSheetId="5">[10]Classificadores_Listas!#REF!</definedName>
    <definedName name="Tipo" localSheetId="6">[10]Classificadores_Listas!#REF!</definedName>
    <definedName name="Tipo" localSheetId="7">[10]Classificadores_Listas!#REF!</definedName>
    <definedName name="Tipo" localSheetId="8">[10]Classificadores_Listas!#REF!</definedName>
    <definedName name="Tipo" localSheetId="9">[10]Classificadores_Listas!#REF!</definedName>
    <definedName name="Tipo" localSheetId="10">[10]Classificadores_Listas!#REF!</definedName>
    <definedName name="Tipo" localSheetId="11">[10]Classificadores_Listas!#REF!</definedName>
    <definedName name="Tipo" localSheetId="12">[10]Classificadores_Listas!#REF!</definedName>
    <definedName name="Tipo" localSheetId="13">[10]Classificadores_Listas!#REF!</definedName>
    <definedName name="Tipo" localSheetId="14">[10]Classificadores_Listas!#REF!</definedName>
    <definedName name="Tipo" localSheetId="15">[10]Classificadores_Listas!#REF!</definedName>
    <definedName name="Tipo" localSheetId="20">[10]Classificadores_Listas!#REF!</definedName>
    <definedName name="Tipo" localSheetId="19">[10]Classificadores_Listas!#REF!</definedName>
    <definedName name="Tipo" localSheetId="16">[10]Classificadores_Listas!#REF!</definedName>
    <definedName name="Tipo" localSheetId="18">[10]Classificadores_Listas!#REF!</definedName>
    <definedName name="Tipo" localSheetId="17">[10]Classificadores_Listas!#REF!</definedName>
    <definedName name="Tipo" localSheetId="0">[10]Classificadores_Listas!#REF!</definedName>
    <definedName name="Tipo" localSheetId="23">[13]ClassificadorEconomico!#REF!</definedName>
    <definedName name="Tipo" localSheetId="22">[13]ClassificadorEconomico!#REF!</definedName>
    <definedName name="Tipo" localSheetId="1">[10]Classificadores_Listas!#REF!</definedName>
    <definedName name="Tipo" localSheetId="21">[12]ClassificadorEconomico!#REF!</definedName>
    <definedName name="Tipo">[13]ClassificadorEconomico!#REF!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3" l="1"/>
  <c r="B33" i="3"/>
  <c r="B32" i="3"/>
  <c r="B31" i="3"/>
  <c r="B30" i="3"/>
  <c r="B29" i="3"/>
  <c r="AD300" i="475"/>
  <c r="AC300" i="475"/>
  <c r="AB300" i="475"/>
  <c r="AH300" i="475" s="1"/>
  <c r="AA300" i="475"/>
  <c r="AD299" i="475"/>
  <c r="AC299" i="475"/>
  <c r="AB299" i="475"/>
  <c r="AA299" i="475"/>
  <c r="AD298" i="475"/>
  <c r="AC298" i="475"/>
  <c r="AB298" i="475"/>
  <c r="AA298" i="475"/>
  <c r="AD297" i="475"/>
  <c r="AC297" i="475"/>
  <c r="AB297" i="475"/>
  <c r="AA297" i="475"/>
  <c r="AD295" i="475"/>
  <c r="AC295" i="475"/>
  <c r="AB295" i="475"/>
  <c r="AA295" i="475"/>
  <c r="AD294" i="475"/>
  <c r="AC294" i="475"/>
  <c r="AB294" i="475"/>
  <c r="AA294" i="475"/>
  <c r="AD293" i="475"/>
  <c r="AC293" i="475"/>
  <c r="AB293" i="475"/>
  <c r="AA293" i="475"/>
  <c r="AD291" i="475"/>
  <c r="AC291" i="475"/>
  <c r="AB291" i="475"/>
  <c r="AA291" i="475"/>
  <c r="AD289" i="475"/>
  <c r="AC289" i="475"/>
  <c r="AB289" i="475"/>
  <c r="AA289" i="475"/>
  <c r="AD288" i="475"/>
  <c r="AC288" i="475"/>
  <c r="AB288" i="475"/>
  <c r="AA288" i="475"/>
  <c r="AD287" i="475"/>
  <c r="AC287" i="475"/>
  <c r="AB287" i="475"/>
  <c r="AA287" i="475"/>
  <c r="AD286" i="475"/>
  <c r="AC286" i="475"/>
  <c r="AB286" i="475"/>
  <c r="AA286" i="475"/>
  <c r="AD285" i="475"/>
  <c r="AC285" i="475"/>
  <c r="AB285" i="475"/>
  <c r="AA285" i="475"/>
  <c r="AD284" i="475"/>
  <c r="AC284" i="475"/>
  <c r="AB284" i="475"/>
  <c r="AA284" i="475"/>
  <c r="AD283" i="475"/>
  <c r="AC283" i="475"/>
  <c r="AB283" i="475"/>
  <c r="AA283" i="475"/>
  <c r="AD282" i="475"/>
  <c r="AC282" i="475"/>
  <c r="AB282" i="475"/>
  <c r="AA282" i="475"/>
  <c r="AD281" i="475"/>
  <c r="AC281" i="475"/>
  <c r="AB281" i="475"/>
  <c r="AA281" i="475"/>
  <c r="AD280" i="475"/>
  <c r="AC280" i="475"/>
  <c r="AB280" i="475"/>
  <c r="AA280" i="475"/>
  <c r="AD279" i="475"/>
  <c r="AC279" i="475"/>
  <c r="AB279" i="475"/>
  <c r="AA279" i="475"/>
  <c r="AD278" i="475"/>
  <c r="AC278" i="475"/>
  <c r="AB278" i="475"/>
  <c r="AA278" i="475"/>
  <c r="AD277" i="475"/>
  <c r="AC277" i="475"/>
  <c r="AB277" i="475"/>
  <c r="AA277" i="475"/>
  <c r="AD276" i="475"/>
  <c r="AC276" i="475"/>
  <c r="AB276" i="475"/>
  <c r="AA276" i="475"/>
  <c r="AD275" i="475"/>
  <c r="AC275" i="475"/>
  <c r="AB275" i="475"/>
  <c r="AA275" i="475"/>
  <c r="AD274" i="475"/>
  <c r="AC274" i="475"/>
  <c r="AB274" i="475"/>
  <c r="AA274" i="475"/>
  <c r="AD273" i="475"/>
  <c r="AC273" i="475"/>
  <c r="AB273" i="475"/>
  <c r="AA273" i="475"/>
  <c r="AD272" i="475"/>
  <c r="AC272" i="475"/>
  <c r="AB272" i="475"/>
  <c r="AA272" i="475"/>
  <c r="AD269" i="475"/>
  <c r="AC269" i="475"/>
  <c r="AB269" i="475"/>
  <c r="AA269" i="475"/>
  <c r="AD268" i="475"/>
  <c r="AC268" i="475"/>
  <c r="AB268" i="475"/>
  <c r="AA268" i="475"/>
  <c r="AD267" i="475"/>
  <c r="AC267" i="475"/>
  <c r="AB267" i="475"/>
  <c r="AA267" i="475"/>
  <c r="AD266" i="475"/>
  <c r="AC266" i="475"/>
  <c r="AB266" i="475"/>
  <c r="AA266" i="475"/>
  <c r="AD265" i="475"/>
  <c r="AC265" i="475"/>
  <c r="AB265" i="475"/>
  <c r="AA265" i="475"/>
  <c r="AD264" i="475"/>
  <c r="AC264" i="475"/>
  <c r="AB264" i="475"/>
  <c r="AA264" i="475"/>
  <c r="AD263" i="475"/>
  <c r="AC263" i="475"/>
  <c r="AB263" i="475"/>
  <c r="AA263" i="475"/>
  <c r="AD262" i="475"/>
  <c r="AC262" i="475"/>
  <c r="AB262" i="475"/>
  <c r="AA262" i="475"/>
  <c r="AD261" i="475"/>
  <c r="AC261" i="475"/>
  <c r="AB261" i="475"/>
  <c r="AA261" i="475"/>
  <c r="AD260" i="475"/>
  <c r="AC260" i="475"/>
  <c r="AB260" i="475"/>
  <c r="AA260" i="475"/>
  <c r="AD259" i="475"/>
  <c r="AC259" i="475"/>
  <c r="AB259" i="475"/>
  <c r="AA259" i="475"/>
  <c r="AD258" i="475"/>
  <c r="AC258" i="475"/>
  <c r="AB258" i="475"/>
  <c r="AA258" i="475"/>
  <c r="AD257" i="475"/>
  <c r="AC257" i="475"/>
  <c r="AB257" i="475"/>
  <c r="AA257" i="475"/>
  <c r="AD256" i="475"/>
  <c r="AC256" i="475"/>
  <c r="AB256" i="475"/>
  <c r="AA256" i="475"/>
  <c r="AD255" i="475"/>
  <c r="AC255" i="475"/>
  <c r="AB255" i="475"/>
  <c r="AA255" i="475"/>
  <c r="AD252" i="475"/>
  <c r="AC252" i="475"/>
  <c r="AB252" i="475"/>
  <c r="AA252" i="475"/>
  <c r="AD251" i="475"/>
  <c r="AC251" i="475"/>
  <c r="AB251" i="475"/>
  <c r="AA251" i="475"/>
  <c r="AD250" i="475"/>
  <c r="AC250" i="475"/>
  <c r="AB250" i="475"/>
  <c r="AA250" i="475"/>
  <c r="AD249" i="475"/>
  <c r="AC249" i="475"/>
  <c r="AB249" i="475"/>
  <c r="AA249" i="475"/>
  <c r="AD248" i="475"/>
  <c r="AC248" i="475"/>
  <c r="AB248" i="475"/>
  <c r="AA248" i="475"/>
  <c r="AD247" i="475"/>
  <c r="AC247" i="475"/>
  <c r="AB247" i="475"/>
  <c r="AA247" i="475"/>
  <c r="AD245" i="475"/>
  <c r="AC245" i="475"/>
  <c r="AB245" i="475"/>
  <c r="AA245" i="475"/>
  <c r="AD244" i="475"/>
  <c r="AC244" i="475"/>
  <c r="AB244" i="475"/>
  <c r="AA244" i="475"/>
  <c r="AD243" i="475"/>
  <c r="AC243" i="475"/>
  <c r="AB243" i="475"/>
  <c r="AA243" i="475"/>
  <c r="AD241" i="475"/>
  <c r="AC241" i="475"/>
  <c r="AB241" i="475"/>
  <c r="AH241" i="475" s="1"/>
  <c r="AA241" i="475"/>
  <c r="AG241" i="475" s="1"/>
  <c r="AD240" i="475"/>
  <c r="AC240" i="475"/>
  <c r="AB240" i="475"/>
  <c r="AA240" i="475"/>
  <c r="AD239" i="475"/>
  <c r="AC239" i="475"/>
  <c r="AB239" i="475"/>
  <c r="AA239" i="475"/>
  <c r="AD238" i="475"/>
  <c r="AC238" i="475"/>
  <c r="AB238" i="475"/>
  <c r="AA238" i="475"/>
  <c r="AD237" i="475"/>
  <c r="AC237" i="475"/>
  <c r="AB237" i="475"/>
  <c r="AA237" i="475"/>
  <c r="AG237" i="475" s="1"/>
  <c r="AD236" i="475"/>
  <c r="AC236" i="475"/>
  <c r="AB236" i="475"/>
  <c r="AH236" i="475" s="1"/>
  <c r="AA236" i="475"/>
  <c r="AG236" i="475" s="1"/>
  <c r="AD235" i="475"/>
  <c r="AC235" i="475"/>
  <c r="AB235" i="475"/>
  <c r="AH235" i="475" s="1"/>
  <c r="AA235" i="475"/>
  <c r="AG235" i="475" s="1"/>
  <c r="AD234" i="475"/>
  <c r="AC234" i="475"/>
  <c r="AB234" i="475"/>
  <c r="AH234" i="475" s="1"/>
  <c r="AA234" i="475"/>
  <c r="AG234" i="475" s="1"/>
  <c r="AD233" i="475"/>
  <c r="AD232" i="475" s="1"/>
  <c r="AC233" i="475"/>
  <c r="AC232" i="475" s="1"/>
  <c r="AB233" i="475"/>
  <c r="AA233" i="475"/>
  <c r="AD231" i="475"/>
  <c r="AC231" i="475"/>
  <c r="AB231" i="475"/>
  <c r="AA231" i="475"/>
  <c r="AD228" i="475"/>
  <c r="AC228" i="475"/>
  <c r="AB228" i="475"/>
  <c r="AH228" i="475" s="1"/>
  <c r="AA228" i="475"/>
  <c r="AG228" i="475" s="1"/>
  <c r="AD227" i="475"/>
  <c r="AC227" i="475"/>
  <c r="AB227" i="475"/>
  <c r="AH227" i="475" s="1"/>
  <c r="AA227" i="475"/>
  <c r="AG227" i="475" s="1"/>
  <c r="AD226" i="475"/>
  <c r="AC226" i="475"/>
  <c r="AB226" i="475"/>
  <c r="AH226" i="475" s="1"/>
  <c r="AA226" i="475"/>
  <c r="AG226" i="475" s="1"/>
  <c r="AD225" i="475"/>
  <c r="AC225" i="475"/>
  <c r="AB225" i="475"/>
  <c r="AH225" i="475" s="1"/>
  <c r="AA225" i="475"/>
  <c r="AG225" i="475" s="1"/>
  <c r="AD224" i="475"/>
  <c r="AC224" i="475"/>
  <c r="AB224" i="475"/>
  <c r="AH224" i="475" s="1"/>
  <c r="AA224" i="475"/>
  <c r="AG224" i="475" s="1"/>
  <c r="AD223" i="475"/>
  <c r="AC223" i="475"/>
  <c r="AB223" i="475"/>
  <c r="AH223" i="475" s="1"/>
  <c r="AA223" i="475"/>
  <c r="AG223" i="475" s="1"/>
  <c r="AD222" i="475"/>
  <c r="AC222" i="475"/>
  <c r="AB222" i="475"/>
  <c r="AH222" i="475" s="1"/>
  <c r="AA222" i="475"/>
  <c r="AG222" i="475" s="1"/>
  <c r="AD221" i="475"/>
  <c r="AC221" i="475"/>
  <c r="AB221" i="475"/>
  <c r="AH221" i="475" s="1"/>
  <c r="AA221" i="475"/>
  <c r="AG221" i="475" s="1"/>
  <c r="AD220" i="475"/>
  <c r="AC220" i="475"/>
  <c r="AB220" i="475"/>
  <c r="AH220" i="475" s="1"/>
  <c r="AA220" i="475"/>
  <c r="AG220" i="475" s="1"/>
  <c r="AD219" i="475"/>
  <c r="AC219" i="475"/>
  <c r="AB219" i="475"/>
  <c r="AA219" i="475"/>
  <c r="AD218" i="475"/>
  <c r="AC218" i="475"/>
  <c r="AB218" i="475"/>
  <c r="AH218" i="475" s="1"/>
  <c r="AA218" i="475"/>
  <c r="AG218" i="475" s="1"/>
  <c r="AD216" i="475"/>
  <c r="AC216" i="475"/>
  <c r="AB216" i="475"/>
  <c r="AH216" i="475" s="1"/>
  <c r="AA216" i="475"/>
  <c r="AG216" i="475" s="1"/>
  <c r="AD215" i="475"/>
  <c r="AC215" i="475"/>
  <c r="AB215" i="475"/>
  <c r="AH215" i="475" s="1"/>
  <c r="AA215" i="475"/>
  <c r="AG215" i="475" s="1"/>
  <c r="AD214" i="475"/>
  <c r="AD213" i="475" s="1"/>
  <c r="AC214" i="475"/>
  <c r="AC213" i="475" s="1"/>
  <c r="AB214" i="475"/>
  <c r="AA214" i="475"/>
  <c r="AD212" i="475"/>
  <c r="AC212" i="475"/>
  <c r="AB212" i="475"/>
  <c r="AH212" i="475" s="1"/>
  <c r="AA212" i="475"/>
  <c r="AG212" i="475" s="1"/>
  <c r="AD211" i="475"/>
  <c r="AC211" i="475"/>
  <c r="AB211" i="475"/>
  <c r="AH211" i="475" s="1"/>
  <c r="AA211" i="475"/>
  <c r="AG211" i="475" s="1"/>
  <c r="AD210" i="475"/>
  <c r="AD209" i="475" s="1"/>
  <c r="AC210" i="475"/>
  <c r="AC209" i="475" s="1"/>
  <c r="AB210" i="475"/>
  <c r="AA210" i="475"/>
  <c r="AD208" i="475"/>
  <c r="AC208" i="475"/>
  <c r="AB208" i="475"/>
  <c r="AH208" i="475" s="1"/>
  <c r="AA208" i="475"/>
  <c r="AG208" i="475" s="1"/>
  <c r="AD207" i="475"/>
  <c r="AC207" i="475"/>
  <c r="AB207" i="475"/>
  <c r="AH207" i="475" s="1"/>
  <c r="AA207" i="475"/>
  <c r="AG207" i="475" s="1"/>
  <c r="AD206" i="475"/>
  <c r="AC206" i="475"/>
  <c r="AB206" i="475"/>
  <c r="AH206" i="475" s="1"/>
  <c r="AA206" i="475"/>
  <c r="AG206" i="475" s="1"/>
  <c r="AD205" i="475"/>
  <c r="AC205" i="475"/>
  <c r="AB205" i="475"/>
  <c r="AH205" i="475" s="1"/>
  <c r="AA205" i="475"/>
  <c r="AG205" i="475" s="1"/>
  <c r="AD204" i="475"/>
  <c r="AC204" i="475"/>
  <c r="AB204" i="475"/>
  <c r="AH204" i="475" s="1"/>
  <c r="AA204" i="475"/>
  <c r="AG204" i="475" s="1"/>
  <c r="AD203" i="475"/>
  <c r="AC203" i="475"/>
  <c r="AB203" i="475"/>
  <c r="AH203" i="475" s="1"/>
  <c r="AA203" i="475"/>
  <c r="AG203" i="475" s="1"/>
  <c r="AD202" i="475"/>
  <c r="AC202" i="475"/>
  <c r="AB202" i="475"/>
  <c r="AH202" i="475" s="1"/>
  <c r="AA202" i="475"/>
  <c r="AG202" i="475" s="1"/>
  <c r="AD201" i="475"/>
  <c r="AC201" i="475"/>
  <c r="AB201" i="475"/>
  <c r="AH201" i="475" s="1"/>
  <c r="AA201" i="475"/>
  <c r="AG201" i="475" s="1"/>
  <c r="AD200" i="475"/>
  <c r="AC200" i="475"/>
  <c r="AB200" i="475"/>
  <c r="AH200" i="475" s="1"/>
  <c r="AA200" i="475"/>
  <c r="AG200" i="475" s="1"/>
  <c r="AD199" i="475"/>
  <c r="AC199" i="475"/>
  <c r="AB199" i="475"/>
  <c r="AH199" i="475" s="1"/>
  <c r="AA199" i="475"/>
  <c r="AG199" i="475" s="1"/>
  <c r="AD198" i="475"/>
  <c r="AC198" i="475"/>
  <c r="AB198" i="475"/>
  <c r="AH198" i="475" s="1"/>
  <c r="AA198" i="475"/>
  <c r="AG198" i="475" s="1"/>
  <c r="AD197" i="475"/>
  <c r="AC197" i="475"/>
  <c r="AB197" i="475"/>
  <c r="AH197" i="475" s="1"/>
  <c r="AA197" i="475"/>
  <c r="AG197" i="475" s="1"/>
  <c r="AD196" i="475"/>
  <c r="AC196" i="475"/>
  <c r="AB196" i="475"/>
  <c r="AH196" i="475" s="1"/>
  <c r="AA196" i="475"/>
  <c r="AG196" i="475" s="1"/>
  <c r="AD195" i="475"/>
  <c r="AC195" i="475"/>
  <c r="AB195" i="475"/>
  <c r="AH195" i="475" s="1"/>
  <c r="AA195" i="475"/>
  <c r="AG195" i="475" s="1"/>
  <c r="AD194" i="475"/>
  <c r="AC194" i="475"/>
  <c r="AB194" i="475"/>
  <c r="AH194" i="475" s="1"/>
  <c r="AA194" i="475"/>
  <c r="AG194" i="475" s="1"/>
  <c r="AD193" i="475"/>
  <c r="AJ193" i="475" s="1"/>
  <c r="AC193" i="475"/>
  <c r="AB193" i="475"/>
  <c r="AA193" i="475"/>
  <c r="AG193" i="475" s="1"/>
  <c r="AD192" i="475"/>
  <c r="AC192" i="475"/>
  <c r="AB192" i="475"/>
  <c r="AH192" i="475" s="1"/>
  <c r="AA192" i="475"/>
  <c r="AG192" i="475" s="1"/>
  <c r="AD191" i="475"/>
  <c r="AC191" i="475"/>
  <c r="AB191" i="475"/>
  <c r="AH191" i="475" s="1"/>
  <c r="AA191" i="475"/>
  <c r="AG191" i="475" s="1"/>
  <c r="AD190" i="475"/>
  <c r="AC190" i="475"/>
  <c r="AB190" i="475"/>
  <c r="AH190" i="475" s="1"/>
  <c r="AA190" i="475"/>
  <c r="AG190" i="475" s="1"/>
  <c r="AD189" i="475"/>
  <c r="AC189" i="475"/>
  <c r="AB189" i="475"/>
  <c r="AH189" i="475" s="1"/>
  <c r="AA189" i="475"/>
  <c r="AG189" i="475" s="1"/>
  <c r="AD188" i="475"/>
  <c r="AC188" i="475"/>
  <c r="AB188" i="475"/>
  <c r="AH188" i="475" s="1"/>
  <c r="AA188" i="475"/>
  <c r="AG188" i="475" s="1"/>
  <c r="AD187" i="475"/>
  <c r="AC187" i="475"/>
  <c r="AB187" i="475"/>
  <c r="AH187" i="475" s="1"/>
  <c r="AA187" i="475"/>
  <c r="AG187" i="475" s="1"/>
  <c r="AD186" i="475"/>
  <c r="AC186" i="475"/>
  <c r="AB186" i="475"/>
  <c r="AH186" i="475" s="1"/>
  <c r="AA186" i="475"/>
  <c r="AG186" i="475" s="1"/>
  <c r="AD185" i="475"/>
  <c r="AC185" i="475"/>
  <c r="AB185" i="475"/>
  <c r="AH185" i="475" s="1"/>
  <c r="AA185" i="475"/>
  <c r="AG185" i="475" s="1"/>
  <c r="AD184" i="475"/>
  <c r="AC184" i="475"/>
  <c r="AB184" i="475"/>
  <c r="AH184" i="475" s="1"/>
  <c r="AA184" i="475"/>
  <c r="AG184" i="475" s="1"/>
  <c r="AD183" i="475"/>
  <c r="AC183" i="475"/>
  <c r="AB183" i="475"/>
  <c r="AH183" i="475" s="1"/>
  <c r="AA183" i="475"/>
  <c r="AG183" i="475" s="1"/>
  <c r="AD182" i="475"/>
  <c r="AC182" i="475"/>
  <c r="AB182" i="475"/>
  <c r="AH182" i="475" s="1"/>
  <c r="AA182" i="475"/>
  <c r="AG182" i="475" s="1"/>
  <c r="AD181" i="475"/>
  <c r="AC181" i="475"/>
  <c r="AB181" i="475"/>
  <c r="AH181" i="475" s="1"/>
  <c r="AA181" i="475"/>
  <c r="AG181" i="475" s="1"/>
  <c r="AD180" i="475"/>
  <c r="AC180" i="475"/>
  <c r="AB180" i="475"/>
  <c r="AH180" i="475" s="1"/>
  <c r="AA180" i="475"/>
  <c r="AG180" i="475" s="1"/>
  <c r="AD179" i="475"/>
  <c r="AC179" i="475"/>
  <c r="AB179" i="475"/>
  <c r="AH179" i="475" s="1"/>
  <c r="AA179" i="475"/>
  <c r="AG179" i="475" s="1"/>
  <c r="AD178" i="475"/>
  <c r="AD177" i="475" s="1"/>
  <c r="AC178" i="475"/>
  <c r="AC177" i="475" s="1"/>
  <c r="AB178" i="475"/>
  <c r="AA178" i="475"/>
  <c r="AD176" i="475"/>
  <c r="AC176" i="475"/>
  <c r="AB176" i="475"/>
  <c r="AH176" i="475" s="1"/>
  <c r="AA176" i="475"/>
  <c r="AG176" i="475" s="1"/>
  <c r="AD175" i="475"/>
  <c r="AC175" i="475"/>
  <c r="AB175" i="475"/>
  <c r="AH175" i="475" s="1"/>
  <c r="AA175" i="475"/>
  <c r="AG175" i="475" s="1"/>
  <c r="AD174" i="475"/>
  <c r="AD173" i="475" s="1"/>
  <c r="AC174" i="475"/>
  <c r="AC173" i="475" s="1"/>
  <c r="AB174" i="475"/>
  <c r="AA174" i="475"/>
  <c r="AD172" i="475"/>
  <c r="AC172" i="475"/>
  <c r="AB172" i="475"/>
  <c r="AH172" i="475" s="1"/>
  <c r="AA172" i="475"/>
  <c r="AG172" i="475" s="1"/>
  <c r="AD171" i="475"/>
  <c r="AC171" i="475"/>
  <c r="AB171" i="475"/>
  <c r="AH171" i="475" s="1"/>
  <c r="AA171" i="475"/>
  <c r="AG171" i="475" s="1"/>
  <c r="AD170" i="475"/>
  <c r="AC170" i="475"/>
  <c r="AB170" i="475"/>
  <c r="AH170" i="475" s="1"/>
  <c r="AA170" i="475"/>
  <c r="AG170" i="475" s="1"/>
  <c r="AD169" i="475"/>
  <c r="AD168" i="475" s="1"/>
  <c r="AC169" i="475"/>
  <c r="AC168" i="475" s="1"/>
  <c r="AB169" i="475"/>
  <c r="AA169" i="475"/>
  <c r="AD167" i="475"/>
  <c r="AD166" i="475" s="1"/>
  <c r="AC167" i="475"/>
  <c r="AC166" i="475" s="1"/>
  <c r="AB167" i="475"/>
  <c r="AA167" i="475"/>
  <c r="AD164" i="475"/>
  <c r="AC164" i="475"/>
  <c r="AB164" i="475"/>
  <c r="AH164" i="475" s="1"/>
  <c r="AA164" i="475"/>
  <c r="AG164" i="475" s="1"/>
  <c r="AD163" i="475"/>
  <c r="AC163" i="475"/>
  <c r="AB163" i="475"/>
  <c r="AH163" i="475" s="1"/>
  <c r="AA163" i="475"/>
  <c r="AG163" i="475" s="1"/>
  <c r="AD162" i="475"/>
  <c r="AD161" i="475" s="1"/>
  <c r="AC162" i="475"/>
  <c r="AC161" i="475" s="1"/>
  <c r="AB162" i="475"/>
  <c r="AA162" i="475"/>
  <c r="AD160" i="475"/>
  <c r="AC160" i="475"/>
  <c r="AB160" i="475"/>
  <c r="AH160" i="475" s="1"/>
  <c r="AA160" i="475"/>
  <c r="AG160" i="475" s="1"/>
  <c r="AD159" i="475"/>
  <c r="AC159" i="475"/>
  <c r="AB159" i="475"/>
  <c r="AH159" i="475" s="1"/>
  <c r="AA159" i="475"/>
  <c r="AG159" i="475" s="1"/>
  <c r="AD158" i="475"/>
  <c r="AC158" i="475"/>
  <c r="AB158" i="475"/>
  <c r="AH158" i="475" s="1"/>
  <c r="AA158" i="475"/>
  <c r="AG158" i="475" s="1"/>
  <c r="AD157" i="475"/>
  <c r="AC157" i="475"/>
  <c r="AB157" i="475"/>
  <c r="AH157" i="475" s="1"/>
  <c r="AA157" i="475"/>
  <c r="AG157" i="475" s="1"/>
  <c r="AD156" i="475"/>
  <c r="AC156" i="475"/>
  <c r="AB156" i="475"/>
  <c r="AH156" i="475" s="1"/>
  <c r="AA156" i="475"/>
  <c r="AG156" i="475" s="1"/>
  <c r="AD155" i="475"/>
  <c r="AC155" i="475"/>
  <c r="AB155" i="475"/>
  <c r="AH155" i="475" s="1"/>
  <c r="AA155" i="475"/>
  <c r="AG155" i="475" s="1"/>
  <c r="AD154" i="475"/>
  <c r="AC154" i="475"/>
  <c r="AB154" i="475"/>
  <c r="AH154" i="475" s="1"/>
  <c r="AA154" i="475"/>
  <c r="AG154" i="475" s="1"/>
  <c r="AD153" i="475"/>
  <c r="AC153" i="475"/>
  <c r="AB153" i="475"/>
  <c r="AH153" i="475" s="1"/>
  <c r="AA153" i="475"/>
  <c r="AG153" i="475" s="1"/>
  <c r="AD152" i="475"/>
  <c r="AC152" i="475"/>
  <c r="AB152" i="475"/>
  <c r="AH152" i="475" s="1"/>
  <c r="AA152" i="475"/>
  <c r="AG152" i="475" s="1"/>
  <c r="AD151" i="475"/>
  <c r="AC151" i="475"/>
  <c r="AB151" i="475"/>
  <c r="AH151" i="475" s="1"/>
  <c r="AA151" i="475"/>
  <c r="AG151" i="475" s="1"/>
  <c r="AD150" i="475"/>
  <c r="AC150" i="475"/>
  <c r="AB150" i="475"/>
  <c r="AH150" i="475" s="1"/>
  <c r="AA150" i="475"/>
  <c r="AG150" i="475" s="1"/>
  <c r="AD149" i="475"/>
  <c r="AD148" i="475" s="1"/>
  <c r="AC149" i="475"/>
  <c r="AC148" i="475" s="1"/>
  <c r="AB149" i="475"/>
  <c r="AA149" i="475"/>
  <c r="AD147" i="475"/>
  <c r="AC147" i="475"/>
  <c r="AB147" i="475"/>
  <c r="AH147" i="475" s="1"/>
  <c r="AA147" i="475"/>
  <c r="AG147" i="475" s="1"/>
  <c r="AD146" i="475"/>
  <c r="AC146" i="475"/>
  <c r="AB146" i="475"/>
  <c r="AH146" i="475" s="1"/>
  <c r="AA146" i="475"/>
  <c r="AG146" i="475" s="1"/>
  <c r="AD145" i="475"/>
  <c r="AC145" i="475"/>
  <c r="AB145" i="475"/>
  <c r="AH145" i="475" s="1"/>
  <c r="AA145" i="475"/>
  <c r="AG145" i="475" s="1"/>
  <c r="AD144" i="475"/>
  <c r="AC144" i="475"/>
  <c r="AB144" i="475"/>
  <c r="AH144" i="475" s="1"/>
  <c r="AA144" i="475"/>
  <c r="AG144" i="475" s="1"/>
  <c r="AD143" i="475"/>
  <c r="AC143" i="475"/>
  <c r="AB143" i="475"/>
  <c r="AH143" i="475" s="1"/>
  <c r="AA143" i="475"/>
  <c r="AG143" i="475" s="1"/>
  <c r="AD142" i="475"/>
  <c r="AC142" i="475"/>
  <c r="AB142" i="475"/>
  <c r="AH142" i="475" s="1"/>
  <c r="AA142" i="475"/>
  <c r="AG142" i="475" s="1"/>
  <c r="AD141" i="475"/>
  <c r="AC141" i="475"/>
  <c r="AB141" i="475"/>
  <c r="AH141" i="475" s="1"/>
  <c r="AA141" i="475"/>
  <c r="AG141" i="475" s="1"/>
  <c r="AD140" i="475"/>
  <c r="AD139" i="475" s="1"/>
  <c r="AC140" i="475"/>
  <c r="AC139" i="475" s="1"/>
  <c r="AB140" i="475"/>
  <c r="AA140" i="475"/>
  <c r="AD138" i="475"/>
  <c r="AC138" i="475"/>
  <c r="AB138" i="475"/>
  <c r="AH138" i="475" s="1"/>
  <c r="AA138" i="475"/>
  <c r="AG138" i="475" s="1"/>
  <c r="AD137" i="475"/>
  <c r="AC137" i="475"/>
  <c r="AB137" i="475"/>
  <c r="AH137" i="475" s="1"/>
  <c r="AA137" i="475"/>
  <c r="AG137" i="475" s="1"/>
  <c r="AD136" i="475"/>
  <c r="AC136" i="475"/>
  <c r="AB136" i="475"/>
  <c r="AH136" i="475" s="1"/>
  <c r="AA136" i="475"/>
  <c r="AG136" i="475" s="1"/>
  <c r="AD135" i="475"/>
  <c r="AC135" i="475"/>
  <c r="AB135" i="475"/>
  <c r="AA135" i="475"/>
  <c r="AD134" i="475"/>
  <c r="AC134" i="475"/>
  <c r="AB134" i="475"/>
  <c r="AH134" i="475" s="1"/>
  <c r="AA134" i="475"/>
  <c r="AG134" i="475" s="1"/>
  <c r="AD133" i="475"/>
  <c r="AC133" i="475"/>
  <c r="AB133" i="475"/>
  <c r="AA133" i="475"/>
  <c r="AD132" i="475"/>
  <c r="AC132" i="475"/>
  <c r="AB132" i="475"/>
  <c r="AA132" i="475"/>
  <c r="AD131" i="475"/>
  <c r="AC131" i="475"/>
  <c r="AB131" i="475"/>
  <c r="AA131" i="475"/>
  <c r="AD130" i="475"/>
  <c r="AC130" i="475"/>
  <c r="AB130" i="475"/>
  <c r="AA130" i="475"/>
  <c r="AD128" i="475"/>
  <c r="AC128" i="475"/>
  <c r="AB128" i="475"/>
  <c r="AA128" i="475"/>
  <c r="AD127" i="475"/>
  <c r="AC127" i="475"/>
  <c r="AB127" i="475"/>
  <c r="AA127" i="475"/>
  <c r="AD126" i="475"/>
  <c r="AC126" i="475"/>
  <c r="AB126" i="475"/>
  <c r="AA126" i="475"/>
  <c r="AD124" i="475"/>
  <c r="AC124" i="475"/>
  <c r="AB124" i="475"/>
  <c r="AA124" i="475"/>
  <c r="AD123" i="475"/>
  <c r="AC123" i="475"/>
  <c r="AB123" i="475"/>
  <c r="AA123" i="475"/>
  <c r="AD121" i="475"/>
  <c r="AC121" i="475"/>
  <c r="AB121" i="475"/>
  <c r="AA121" i="475"/>
  <c r="AD120" i="475"/>
  <c r="AC120" i="475"/>
  <c r="AB120" i="475"/>
  <c r="AA120" i="475"/>
  <c r="AD118" i="475"/>
  <c r="AC118" i="475"/>
  <c r="AB118" i="475"/>
  <c r="AA118" i="475"/>
  <c r="AD117" i="475"/>
  <c r="AC117" i="475"/>
  <c r="AB117" i="475"/>
  <c r="AA117" i="475"/>
  <c r="AD116" i="475"/>
  <c r="AC116" i="475"/>
  <c r="AB116" i="475"/>
  <c r="AA116" i="475"/>
  <c r="AD114" i="475"/>
  <c r="AC114" i="475"/>
  <c r="AB114" i="475"/>
  <c r="AA114" i="475"/>
  <c r="AD113" i="475"/>
  <c r="AC113" i="475"/>
  <c r="AB113" i="475"/>
  <c r="AA113" i="475"/>
  <c r="AD112" i="475"/>
  <c r="AC112" i="475"/>
  <c r="AB112" i="475"/>
  <c r="AA112" i="475"/>
  <c r="AD111" i="475"/>
  <c r="AC111" i="475"/>
  <c r="AB111" i="475"/>
  <c r="AA111" i="475"/>
  <c r="AD110" i="475"/>
  <c r="AC110" i="475"/>
  <c r="AB110" i="475"/>
  <c r="AA110" i="475"/>
  <c r="AD109" i="475"/>
  <c r="AC109" i="475"/>
  <c r="AB109" i="475"/>
  <c r="AA109" i="475"/>
  <c r="AD107" i="475"/>
  <c r="AC107" i="475"/>
  <c r="AB107" i="475"/>
  <c r="AA107" i="475"/>
  <c r="AD106" i="475"/>
  <c r="AC106" i="475"/>
  <c r="AB106" i="475"/>
  <c r="AA106" i="475"/>
  <c r="AD105" i="475"/>
  <c r="AC105" i="475"/>
  <c r="AB105" i="475"/>
  <c r="AA105" i="475"/>
  <c r="AD104" i="475"/>
  <c r="AC104" i="475"/>
  <c r="AB104" i="475"/>
  <c r="AA104" i="475"/>
  <c r="AD102" i="475"/>
  <c r="AC102" i="475"/>
  <c r="AB102" i="475"/>
  <c r="AA102" i="475"/>
  <c r="AD101" i="475"/>
  <c r="AC101" i="475"/>
  <c r="AB101" i="475"/>
  <c r="AA101" i="475"/>
  <c r="AD100" i="475"/>
  <c r="AC100" i="475"/>
  <c r="AB100" i="475"/>
  <c r="AA100" i="475"/>
  <c r="AD99" i="475"/>
  <c r="AC99" i="475"/>
  <c r="AB99" i="475"/>
  <c r="AA99" i="475"/>
  <c r="AD98" i="475"/>
  <c r="AC98" i="475"/>
  <c r="AB98" i="475"/>
  <c r="AA98" i="475"/>
  <c r="AD97" i="475"/>
  <c r="AC97" i="475"/>
  <c r="AB97" i="475"/>
  <c r="AA97" i="475"/>
  <c r="AD96" i="475"/>
  <c r="AC96" i="475"/>
  <c r="AB96" i="475"/>
  <c r="AA96" i="475"/>
  <c r="AD95" i="475"/>
  <c r="AC95" i="475"/>
  <c r="AB95" i="475"/>
  <c r="AA95" i="475"/>
  <c r="AD94" i="475"/>
  <c r="AC94" i="475"/>
  <c r="AB94" i="475"/>
  <c r="AA94" i="475"/>
  <c r="AD93" i="475"/>
  <c r="AC93" i="475"/>
  <c r="AB93" i="475"/>
  <c r="AA93" i="475"/>
  <c r="AD92" i="475"/>
  <c r="AC92" i="475"/>
  <c r="AB92" i="475"/>
  <c r="AA92" i="475"/>
  <c r="AD91" i="475"/>
  <c r="AC91" i="475"/>
  <c r="AB91" i="475"/>
  <c r="AA91" i="475"/>
  <c r="AD90" i="475"/>
  <c r="AC90" i="475"/>
  <c r="AB90" i="475"/>
  <c r="AA90" i="475"/>
  <c r="AD89" i="475"/>
  <c r="AC89" i="475"/>
  <c r="AB89" i="475"/>
  <c r="AA89" i="475"/>
  <c r="AD88" i="475"/>
  <c r="AC88" i="475"/>
  <c r="AB88" i="475"/>
  <c r="AA88" i="475"/>
  <c r="AD87" i="475"/>
  <c r="AC87" i="475"/>
  <c r="AB87" i="475"/>
  <c r="AA87" i="475"/>
  <c r="AD86" i="475"/>
  <c r="AC86" i="475"/>
  <c r="AB86" i="475"/>
  <c r="AA86" i="475"/>
  <c r="AD85" i="475"/>
  <c r="AC85" i="475"/>
  <c r="AB85" i="475"/>
  <c r="AA85" i="475"/>
  <c r="AD84" i="475"/>
  <c r="AC84" i="475"/>
  <c r="AB84" i="475"/>
  <c r="AA84" i="475"/>
  <c r="AD83" i="475"/>
  <c r="AC83" i="475"/>
  <c r="AB83" i="475"/>
  <c r="AA83" i="475"/>
  <c r="AD82" i="475"/>
  <c r="AC82" i="475"/>
  <c r="AB82" i="475"/>
  <c r="AA82" i="475"/>
  <c r="AD81" i="475"/>
  <c r="AC81" i="475"/>
  <c r="AB81" i="475"/>
  <c r="AA81" i="475"/>
  <c r="AD80" i="475"/>
  <c r="AC80" i="475"/>
  <c r="AB80" i="475"/>
  <c r="AA80" i="475"/>
  <c r="AD79" i="475"/>
  <c r="AC79" i="475"/>
  <c r="AB79" i="475"/>
  <c r="AA79" i="475"/>
  <c r="AD78" i="475"/>
  <c r="AC78" i="475"/>
  <c r="AB78" i="475"/>
  <c r="AA78" i="475"/>
  <c r="AD77" i="475"/>
  <c r="AC77" i="475"/>
  <c r="AB77" i="475"/>
  <c r="AA77" i="475"/>
  <c r="AD75" i="475"/>
  <c r="AC75" i="475"/>
  <c r="AB75" i="475"/>
  <c r="AA75" i="475"/>
  <c r="AD74" i="475"/>
  <c r="AC74" i="475"/>
  <c r="AB74" i="475"/>
  <c r="AA74" i="475"/>
  <c r="AD72" i="475"/>
  <c r="AC72" i="475"/>
  <c r="AB72" i="475"/>
  <c r="AA72" i="475"/>
  <c r="AD71" i="475"/>
  <c r="AC71" i="475"/>
  <c r="AB71" i="475"/>
  <c r="AA71" i="475"/>
  <c r="AD70" i="475"/>
  <c r="AC70" i="475"/>
  <c r="AB70" i="475"/>
  <c r="AA70" i="475"/>
  <c r="AD69" i="475"/>
  <c r="AC69" i="475"/>
  <c r="AB69" i="475"/>
  <c r="AA69" i="475"/>
  <c r="AD68" i="475"/>
  <c r="AC68" i="475"/>
  <c r="AB68" i="475"/>
  <c r="AA68" i="475"/>
  <c r="AD66" i="475"/>
  <c r="AC66" i="475"/>
  <c r="AB66" i="475"/>
  <c r="AA66" i="475"/>
  <c r="AD65" i="475"/>
  <c r="AC65" i="475"/>
  <c r="AB65" i="475"/>
  <c r="AA65" i="475"/>
  <c r="AD64" i="475"/>
  <c r="AC64" i="475"/>
  <c r="AB64" i="475"/>
  <c r="AA64" i="475"/>
  <c r="AD63" i="475"/>
  <c r="AC63" i="475"/>
  <c r="AB63" i="475"/>
  <c r="AA63" i="475"/>
  <c r="AD62" i="475"/>
  <c r="AC62" i="475"/>
  <c r="AB62" i="475"/>
  <c r="AA62" i="475"/>
  <c r="AD61" i="475"/>
  <c r="AC61" i="475"/>
  <c r="AB61" i="475"/>
  <c r="AA61" i="475"/>
  <c r="AD59" i="475"/>
  <c r="AC59" i="475"/>
  <c r="AB59" i="475"/>
  <c r="AA59" i="475"/>
  <c r="AD58" i="475"/>
  <c r="AC58" i="475"/>
  <c r="AB58" i="475"/>
  <c r="AA58" i="475"/>
  <c r="AD57" i="475"/>
  <c r="AC57" i="475"/>
  <c r="AB57" i="475"/>
  <c r="AA57" i="475"/>
  <c r="AD56" i="475"/>
  <c r="AC56" i="475"/>
  <c r="AB56" i="475"/>
  <c r="AA56" i="475"/>
  <c r="AD55" i="475"/>
  <c r="AC55" i="475"/>
  <c r="AB55" i="475"/>
  <c r="AA55" i="475"/>
  <c r="AD53" i="475"/>
  <c r="AC53" i="475"/>
  <c r="AB53" i="475"/>
  <c r="AA53" i="475"/>
  <c r="AD52" i="475"/>
  <c r="AC52" i="475"/>
  <c r="AB52" i="475"/>
  <c r="AA52" i="475"/>
  <c r="AD51" i="475"/>
  <c r="AC51" i="475"/>
  <c r="AB51" i="475"/>
  <c r="AA51" i="475"/>
  <c r="AD50" i="475"/>
  <c r="AC50" i="475"/>
  <c r="AB50" i="475"/>
  <c r="AA50" i="475"/>
  <c r="AD49" i="475"/>
  <c r="AC49" i="475"/>
  <c r="AB49" i="475"/>
  <c r="AA49" i="475"/>
  <c r="AD48" i="475"/>
  <c r="AC48" i="475"/>
  <c r="AB48" i="475"/>
  <c r="AA48" i="475"/>
  <c r="AD47" i="475"/>
  <c r="AC47" i="475"/>
  <c r="AB47" i="475"/>
  <c r="AA47" i="475"/>
  <c r="AD46" i="475"/>
  <c r="AC46" i="475"/>
  <c r="AB46" i="475"/>
  <c r="AA46" i="475"/>
  <c r="AD44" i="475"/>
  <c r="AC44" i="475"/>
  <c r="AB44" i="475"/>
  <c r="AA44" i="475"/>
  <c r="AD43" i="475"/>
  <c r="AC43" i="475"/>
  <c r="AB43" i="475"/>
  <c r="AA43" i="475"/>
  <c r="AD42" i="475"/>
  <c r="AC42" i="475"/>
  <c r="AB42" i="475"/>
  <c r="AA42" i="475"/>
  <c r="AD41" i="475"/>
  <c r="AC41" i="475"/>
  <c r="AB41" i="475"/>
  <c r="AA41" i="475"/>
  <c r="AD39" i="475"/>
  <c r="AC39" i="475"/>
  <c r="AB39" i="475"/>
  <c r="AA39" i="475"/>
  <c r="AD38" i="475"/>
  <c r="AC38" i="475"/>
  <c r="AB38" i="475"/>
  <c r="AA38" i="475"/>
  <c r="AD36" i="475"/>
  <c r="AC36" i="475"/>
  <c r="AB36" i="475"/>
  <c r="AA36" i="475"/>
  <c r="AD35" i="475"/>
  <c r="AC35" i="475"/>
  <c r="AB35" i="475"/>
  <c r="AA35" i="475"/>
  <c r="AD33" i="475"/>
  <c r="AC33" i="475"/>
  <c r="AB33" i="475"/>
  <c r="AA33" i="475"/>
  <c r="AD32" i="475"/>
  <c r="AC32" i="475"/>
  <c r="AB32" i="475"/>
  <c r="AA32" i="475"/>
  <c r="AD31" i="475"/>
  <c r="AC31" i="475"/>
  <c r="AB31" i="475"/>
  <c r="AA31" i="475"/>
  <c r="AD30" i="475"/>
  <c r="AC30" i="475"/>
  <c r="AB30" i="475"/>
  <c r="AA30" i="475"/>
  <c r="AD29" i="475"/>
  <c r="AC29" i="475"/>
  <c r="AB29" i="475"/>
  <c r="AA29" i="475"/>
  <c r="AD28" i="475"/>
  <c r="AC28" i="475"/>
  <c r="AB28" i="475"/>
  <c r="AA28" i="475"/>
  <c r="AD27" i="475"/>
  <c r="AC27" i="475"/>
  <c r="AB27" i="475"/>
  <c r="AA27" i="475"/>
  <c r="AD26" i="475"/>
  <c r="AC26" i="475"/>
  <c r="AB26" i="475"/>
  <c r="AA26" i="475"/>
  <c r="AD25" i="475"/>
  <c r="AC25" i="475"/>
  <c r="AB25" i="475"/>
  <c r="AA25" i="475"/>
  <c r="AD24" i="475"/>
  <c r="AC24" i="475"/>
  <c r="AB24" i="475"/>
  <c r="AA24" i="475"/>
  <c r="AD23" i="475"/>
  <c r="AC23" i="475"/>
  <c r="AB23" i="475"/>
  <c r="AA23" i="475"/>
  <c r="AD21" i="475"/>
  <c r="AC21" i="475"/>
  <c r="AB21" i="475"/>
  <c r="AA21" i="475"/>
  <c r="AD20" i="475"/>
  <c r="AC20" i="475"/>
  <c r="AB20" i="475"/>
  <c r="AA20" i="475"/>
  <c r="AD19" i="475"/>
  <c r="AC19" i="475"/>
  <c r="AB19" i="475"/>
  <c r="AA19" i="475"/>
  <c r="AD18" i="475"/>
  <c r="AC18" i="475"/>
  <c r="AB18" i="475"/>
  <c r="AA18" i="475"/>
  <c r="AD17" i="475"/>
  <c r="AC17" i="475"/>
  <c r="AB17" i="475"/>
  <c r="AA17" i="475"/>
  <c r="AD16" i="475"/>
  <c r="AC16" i="475"/>
  <c r="AB16" i="475"/>
  <c r="AA16" i="475"/>
  <c r="AD15" i="475"/>
  <c r="AC15" i="475"/>
  <c r="AB15" i="475"/>
  <c r="AA15" i="475"/>
  <c r="AD14" i="475"/>
  <c r="AC14" i="475"/>
  <c r="AB14" i="475"/>
  <c r="AA14" i="475"/>
  <c r="AD13" i="475"/>
  <c r="AC13" i="475"/>
  <c r="AB13" i="475"/>
  <c r="AA13" i="475"/>
  <c r="AD12" i="475"/>
  <c r="AC12" i="475"/>
  <c r="AB12" i="475"/>
  <c r="AA12" i="475"/>
  <c r="AD11" i="475"/>
  <c r="AC11" i="475"/>
  <c r="AB11" i="475"/>
  <c r="AA11" i="475"/>
  <c r="AD10" i="475"/>
  <c r="AC10" i="475"/>
  <c r="AB10" i="475"/>
  <c r="AA10" i="475"/>
  <c r="U167" i="474"/>
  <c r="T167" i="474"/>
  <c r="S167" i="474"/>
  <c r="U166" i="474"/>
  <c r="T166" i="474"/>
  <c r="S166" i="474"/>
  <c r="U165" i="474"/>
  <c r="T165" i="474"/>
  <c r="S165" i="474"/>
  <c r="U164" i="474"/>
  <c r="T164" i="474"/>
  <c r="S164" i="474"/>
  <c r="U162" i="474"/>
  <c r="T162" i="474"/>
  <c r="S162" i="474"/>
  <c r="U161" i="474"/>
  <c r="T161" i="474"/>
  <c r="S161" i="474"/>
  <c r="U159" i="474"/>
  <c r="T159" i="474"/>
  <c r="S159" i="474"/>
  <c r="U158" i="474"/>
  <c r="T158" i="474"/>
  <c r="S158" i="474"/>
  <c r="U157" i="474"/>
  <c r="T157" i="474"/>
  <c r="S157" i="474"/>
  <c r="U156" i="474"/>
  <c r="T156" i="474"/>
  <c r="S156" i="474"/>
  <c r="U155" i="474"/>
  <c r="T155" i="474"/>
  <c r="T154" i="474" s="1"/>
  <c r="S155" i="474"/>
  <c r="U153" i="474"/>
  <c r="T153" i="474"/>
  <c r="S153" i="474"/>
  <c r="U152" i="474"/>
  <c r="T152" i="474"/>
  <c r="S152" i="474"/>
  <c r="U151" i="474"/>
  <c r="T151" i="474"/>
  <c r="S151" i="474"/>
  <c r="U150" i="474"/>
  <c r="T150" i="474"/>
  <c r="S150" i="474"/>
  <c r="U149" i="474"/>
  <c r="T149" i="474"/>
  <c r="S149" i="474"/>
  <c r="U148" i="474"/>
  <c r="T148" i="474"/>
  <c r="T147" i="474" s="1"/>
  <c r="S148" i="474"/>
  <c r="U145" i="474"/>
  <c r="T145" i="474"/>
  <c r="S145" i="474"/>
  <c r="U144" i="474"/>
  <c r="T144" i="474"/>
  <c r="S144" i="474"/>
  <c r="U143" i="474"/>
  <c r="T143" i="474"/>
  <c r="S143" i="474"/>
  <c r="U142" i="474"/>
  <c r="T142" i="474"/>
  <c r="S142" i="474"/>
  <c r="U141" i="474"/>
  <c r="T141" i="474"/>
  <c r="S141" i="474"/>
  <c r="U140" i="474"/>
  <c r="T140" i="474"/>
  <c r="S140" i="474"/>
  <c r="U139" i="474"/>
  <c r="T139" i="474"/>
  <c r="S139" i="474"/>
  <c r="U138" i="474"/>
  <c r="T138" i="474"/>
  <c r="S138" i="474"/>
  <c r="U137" i="474"/>
  <c r="T137" i="474"/>
  <c r="S137" i="474"/>
  <c r="U136" i="474"/>
  <c r="T136" i="474"/>
  <c r="S136" i="474"/>
  <c r="U135" i="474"/>
  <c r="T135" i="474"/>
  <c r="T134" i="474" s="1"/>
  <c r="S135" i="474"/>
  <c r="S134" i="474" s="1"/>
  <c r="U133" i="474"/>
  <c r="T133" i="474"/>
  <c r="S133" i="474"/>
  <c r="U132" i="474"/>
  <c r="T132" i="474"/>
  <c r="S132" i="474"/>
  <c r="U131" i="474"/>
  <c r="T131" i="474"/>
  <c r="S131" i="474"/>
  <c r="U130" i="474"/>
  <c r="T130" i="474"/>
  <c r="S130" i="474"/>
  <c r="U129" i="474"/>
  <c r="T129" i="474"/>
  <c r="S129" i="474"/>
  <c r="U128" i="474"/>
  <c r="T128" i="474"/>
  <c r="S128" i="474"/>
  <c r="U127" i="474"/>
  <c r="T127" i="474"/>
  <c r="S127" i="474"/>
  <c r="U126" i="474"/>
  <c r="T126" i="474"/>
  <c r="S126" i="474"/>
  <c r="U125" i="474"/>
  <c r="T125" i="474"/>
  <c r="S125" i="474"/>
  <c r="U124" i="474"/>
  <c r="T124" i="474"/>
  <c r="S124" i="474"/>
  <c r="U123" i="474"/>
  <c r="T123" i="474"/>
  <c r="S123" i="474"/>
  <c r="U122" i="474"/>
  <c r="T122" i="474"/>
  <c r="S122" i="474"/>
  <c r="U121" i="474"/>
  <c r="T121" i="474"/>
  <c r="S121" i="474"/>
  <c r="U120" i="474"/>
  <c r="T120" i="474"/>
  <c r="S120" i="474"/>
  <c r="U119" i="474"/>
  <c r="T119" i="474"/>
  <c r="S119" i="474"/>
  <c r="U118" i="474"/>
  <c r="T118" i="474"/>
  <c r="S118" i="474"/>
  <c r="U117" i="474"/>
  <c r="T117" i="474"/>
  <c r="T116" i="474" s="1"/>
  <c r="S117" i="474"/>
  <c r="S116" i="474" s="1"/>
  <c r="U115" i="474"/>
  <c r="T115" i="474"/>
  <c r="S115" i="474"/>
  <c r="U114" i="474"/>
  <c r="V114" i="474" s="1"/>
  <c r="T114" i="474"/>
  <c r="S114" i="474"/>
  <c r="U113" i="474"/>
  <c r="T113" i="474"/>
  <c r="S113" i="474"/>
  <c r="U112" i="474"/>
  <c r="T112" i="474"/>
  <c r="S112" i="474"/>
  <c r="U111" i="474"/>
  <c r="T111" i="474"/>
  <c r="S111" i="474"/>
  <c r="U110" i="474"/>
  <c r="V110" i="474" s="1"/>
  <c r="T110" i="474"/>
  <c r="S110" i="474"/>
  <c r="U109" i="474"/>
  <c r="T109" i="474"/>
  <c r="S109" i="474"/>
  <c r="U108" i="474"/>
  <c r="V108" i="474" s="1"/>
  <c r="T108" i="474"/>
  <c r="S108" i="474"/>
  <c r="U107" i="474"/>
  <c r="T107" i="474"/>
  <c r="S107" i="474"/>
  <c r="U106" i="474"/>
  <c r="T106" i="474"/>
  <c r="T105" i="474" s="1"/>
  <c r="S106" i="474"/>
  <c r="S105" i="474" s="1"/>
  <c r="U103" i="474"/>
  <c r="T103" i="474"/>
  <c r="S103" i="474"/>
  <c r="U102" i="474"/>
  <c r="T102" i="474"/>
  <c r="S102" i="474"/>
  <c r="U101" i="474"/>
  <c r="T101" i="474"/>
  <c r="X101" i="474" s="1"/>
  <c r="S101" i="474"/>
  <c r="W101" i="474" s="1"/>
  <c r="U100" i="474"/>
  <c r="T100" i="474"/>
  <c r="X100" i="474" s="1"/>
  <c r="S100" i="474"/>
  <c r="W100" i="474" s="1"/>
  <c r="U99" i="474"/>
  <c r="U98" i="474" s="1"/>
  <c r="T99" i="474"/>
  <c r="S99" i="474"/>
  <c r="U97" i="474"/>
  <c r="T97" i="474"/>
  <c r="S97" i="474"/>
  <c r="U95" i="474"/>
  <c r="T95" i="474"/>
  <c r="S95" i="474"/>
  <c r="U94" i="474"/>
  <c r="T94" i="474"/>
  <c r="S94" i="474"/>
  <c r="U93" i="474"/>
  <c r="T93" i="474"/>
  <c r="S93" i="474"/>
  <c r="U92" i="474"/>
  <c r="T92" i="474"/>
  <c r="S92" i="474"/>
  <c r="U91" i="474"/>
  <c r="T91" i="474"/>
  <c r="T90" i="474" s="1"/>
  <c r="S91" i="474"/>
  <c r="S90" i="474" s="1"/>
  <c r="U89" i="474"/>
  <c r="T89" i="474"/>
  <c r="S89" i="474"/>
  <c r="U88" i="474"/>
  <c r="T88" i="474"/>
  <c r="S88" i="474"/>
  <c r="U87" i="474"/>
  <c r="T87" i="474"/>
  <c r="T86" i="474" s="1"/>
  <c r="S87" i="474"/>
  <c r="S86" i="474" s="1"/>
  <c r="U85" i="474"/>
  <c r="T85" i="474"/>
  <c r="S85" i="474"/>
  <c r="U84" i="474"/>
  <c r="T84" i="474"/>
  <c r="S84" i="474"/>
  <c r="U83" i="474"/>
  <c r="V83" i="474" s="1"/>
  <c r="T83" i="474"/>
  <c r="S83" i="474"/>
  <c r="U82" i="474"/>
  <c r="V82" i="474" s="1"/>
  <c r="T82" i="474"/>
  <c r="S82" i="474"/>
  <c r="U81" i="474"/>
  <c r="T81" i="474"/>
  <c r="X81" i="474" s="1"/>
  <c r="S81" i="474"/>
  <c r="W81" i="474" s="1"/>
  <c r="U80" i="474"/>
  <c r="U79" i="474" s="1"/>
  <c r="T80" i="474"/>
  <c r="T79" i="474" s="1"/>
  <c r="S80" i="474"/>
  <c r="U78" i="474"/>
  <c r="T78" i="474"/>
  <c r="S78" i="474"/>
  <c r="U77" i="474"/>
  <c r="T77" i="474"/>
  <c r="S77" i="474"/>
  <c r="U76" i="474"/>
  <c r="T76" i="474"/>
  <c r="S76" i="474"/>
  <c r="U75" i="474"/>
  <c r="T75" i="474"/>
  <c r="S75" i="474"/>
  <c r="U74" i="474"/>
  <c r="T74" i="474"/>
  <c r="T73" i="474" s="1"/>
  <c r="T72" i="474" s="1"/>
  <c r="T71" i="474" s="1"/>
  <c r="S74" i="474"/>
  <c r="S73" i="474" s="1"/>
  <c r="S72" i="474" s="1"/>
  <c r="U70" i="474"/>
  <c r="T70" i="474"/>
  <c r="S70" i="474"/>
  <c r="U68" i="474"/>
  <c r="T68" i="474"/>
  <c r="S68" i="474"/>
  <c r="U67" i="474"/>
  <c r="T67" i="474"/>
  <c r="S67" i="474"/>
  <c r="U66" i="474"/>
  <c r="T66" i="474"/>
  <c r="S66" i="474"/>
  <c r="U65" i="474"/>
  <c r="T65" i="474"/>
  <c r="T64" i="474" s="1"/>
  <c r="S65" i="474"/>
  <c r="S64" i="474" s="1"/>
  <c r="U63" i="474"/>
  <c r="T63" i="474"/>
  <c r="S63" i="474"/>
  <c r="U62" i="474"/>
  <c r="V62" i="474" s="1"/>
  <c r="T62" i="474"/>
  <c r="S62" i="474"/>
  <c r="U61" i="474"/>
  <c r="T61" i="474"/>
  <c r="S61" i="474"/>
  <c r="U60" i="474"/>
  <c r="T60" i="474"/>
  <c r="S60" i="474"/>
  <c r="U59" i="474"/>
  <c r="V59" i="474" s="1"/>
  <c r="T59" i="474"/>
  <c r="S59" i="474"/>
  <c r="U58" i="474"/>
  <c r="T58" i="474"/>
  <c r="S58" i="474"/>
  <c r="U57" i="474"/>
  <c r="T57" i="474"/>
  <c r="T56" i="474" s="1"/>
  <c r="T55" i="474" s="1"/>
  <c r="S57" i="474"/>
  <c r="S56" i="474" s="1"/>
  <c r="S55" i="474" s="1"/>
  <c r="U54" i="474"/>
  <c r="T54" i="474"/>
  <c r="S54" i="474"/>
  <c r="U53" i="474"/>
  <c r="T53" i="474"/>
  <c r="S53" i="474"/>
  <c r="U52" i="474"/>
  <c r="T52" i="474"/>
  <c r="S52" i="474"/>
  <c r="U51" i="474"/>
  <c r="T51" i="474"/>
  <c r="S51" i="474"/>
  <c r="U50" i="474"/>
  <c r="T50" i="474"/>
  <c r="S50" i="474"/>
  <c r="U49" i="474"/>
  <c r="T49" i="474"/>
  <c r="S49" i="474"/>
  <c r="U48" i="474"/>
  <c r="V48" i="474" s="1"/>
  <c r="T48" i="474"/>
  <c r="T47" i="474" s="1"/>
  <c r="S48" i="474"/>
  <c r="S47" i="474" s="1"/>
  <c r="U46" i="474"/>
  <c r="T46" i="474"/>
  <c r="S46" i="474"/>
  <c r="U45" i="474"/>
  <c r="T45" i="474"/>
  <c r="S45" i="474"/>
  <c r="U44" i="474"/>
  <c r="V44" i="474" s="1"/>
  <c r="T44" i="474"/>
  <c r="S44" i="474"/>
  <c r="U43" i="474"/>
  <c r="T43" i="474"/>
  <c r="S43" i="474"/>
  <c r="U42" i="474"/>
  <c r="T42" i="474"/>
  <c r="S42" i="474"/>
  <c r="U41" i="474"/>
  <c r="T41" i="474"/>
  <c r="S41" i="474"/>
  <c r="U40" i="474"/>
  <c r="T40" i="474"/>
  <c r="S40" i="474"/>
  <c r="U39" i="474"/>
  <c r="T39" i="474"/>
  <c r="S39" i="474"/>
  <c r="U38" i="474"/>
  <c r="T38" i="474"/>
  <c r="S38" i="474"/>
  <c r="U37" i="474"/>
  <c r="T37" i="474"/>
  <c r="S37" i="474"/>
  <c r="U36" i="474"/>
  <c r="T36" i="474"/>
  <c r="S36" i="474"/>
  <c r="U35" i="474"/>
  <c r="T35" i="474"/>
  <c r="S35" i="474"/>
  <c r="U34" i="474"/>
  <c r="T34" i="474"/>
  <c r="S34" i="474"/>
  <c r="U33" i="474"/>
  <c r="T33" i="474"/>
  <c r="S33" i="474"/>
  <c r="U32" i="474"/>
  <c r="V32" i="474" s="1"/>
  <c r="T32" i="474"/>
  <c r="S32" i="474"/>
  <c r="U31" i="474"/>
  <c r="V31" i="474" s="1"/>
  <c r="T31" i="474"/>
  <c r="S31" i="474"/>
  <c r="U30" i="474"/>
  <c r="T30" i="474"/>
  <c r="S30" i="474"/>
  <c r="U29" i="474"/>
  <c r="T29" i="474"/>
  <c r="T28" i="474" s="1"/>
  <c r="S29" i="474"/>
  <c r="S28" i="474" s="1"/>
  <c r="S27" i="474" s="1"/>
  <c r="U26" i="474"/>
  <c r="T26" i="474"/>
  <c r="S26" i="474"/>
  <c r="U25" i="474"/>
  <c r="T25" i="474"/>
  <c r="S25" i="474"/>
  <c r="U24" i="474"/>
  <c r="V24" i="474" s="1"/>
  <c r="T24" i="474"/>
  <c r="S24" i="474"/>
  <c r="U23" i="474"/>
  <c r="T23" i="474"/>
  <c r="T22" i="474" s="1"/>
  <c r="S23" i="474"/>
  <c r="S22" i="474" s="1"/>
  <c r="U21" i="474"/>
  <c r="T21" i="474"/>
  <c r="S21" i="474"/>
  <c r="U20" i="474"/>
  <c r="T20" i="474"/>
  <c r="S20" i="474"/>
  <c r="U19" i="474"/>
  <c r="T19" i="474"/>
  <c r="S19" i="474"/>
  <c r="U18" i="474"/>
  <c r="T18" i="474"/>
  <c r="S18" i="474"/>
  <c r="U17" i="474"/>
  <c r="T17" i="474"/>
  <c r="S17" i="474"/>
  <c r="U16" i="474"/>
  <c r="V16" i="474" s="1"/>
  <c r="T16" i="474"/>
  <c r="S16" i="474"/>
  <c r="U15" i="474"/>
  <c r="T15" i="474"/>
  <c r="S15" i="474"/>
  <c r="U14" i="474"/>
  <c r="T14" i="474"/>
  <c r="S14" i="474"/>
  <c r="U13" i="474"/>
  <c r="T13" i="474"/>
  <c r="S13" i="474"/>
  <c r="U12" i="474"/>
  <c r="T12" i="474"/>
  <c r="S12" i="474"/>
  <c r="U11" i="474"/>
  <c r="T11" i="474"/>
  <c r="S11" i="474"/>
  <c r="U10" i="474"/>
  <c r="T10" i="474"/>
  <c r="T9" i="474" s="1"/>
  <c r="T8" i="474" s="1"/>
  <c r="S10" i="474"/>
  <c r="S9" i="474" s="1"/>
  <c r="S8" i="474" s="1"/>
  <c r="M153" i="474"/>
  <c r="D24" i="3"/>
  <c r="C24" i="3"/>
  <c r="D25" i="3"/>
  <c r="C25" i="3"/>
  <c r="B25" i="3"/>
  <c r="B22" i="671"/>
  <c r="C17" i="671"/>
  <c r="C26" i="671" s="1"/>
  <c r="B17" i="671"/>
  <c r="C16" i="671"/>
  <c r="B16" i="671"/>
  <c r="C15" i="671"/>
  <c r="B15" i="671"/>
  <c r="C14" i="671"/>
  <c r="B14" i="671"/>
  <c r="C13" i="671"/>
  <c r="B13" i="671"/>
  <c r="C11" i="671"/>
  <c r="B11" i="671"/>
  <c r="C10" i="671"/>
  <c r="B10" i="671"/>
  <c r="C9" i="671"/>
  <c r="B9" i="671"/>
  <c r="C8" i="671"/>
  <c r="B8" i="671"/>
  <c r="C7" i="671"/>
  <c r="B7" i="671"/>
  <c r="AG300" i="475"/>
  <c r="AH299" i="475"/>
  <c r="AG299" i="475"/>
  <c r="AH298" i="475"/>
  <c r="AG298" i="475"/>
  <c r="AD296" i="475"/>
  <c r="AC296" i="475"/>
  <c r="AH295" i="475"/>
  <c r="AG295" i="475"/>
  <c r="AH294" i="475"/>
  <c r="AG294" i="475"/>
  <c r="AD292" i="475"/>
  <c r="AC292" i="475"/>
  <c r="AC290" i="475"/>
  <c r="AH291" i="475"/>
  <c r="AG291" i="475"/>
  <c r="AH289" i="475"/>
  <c r="AG289" i="475"/>
  <c r="AH288" i="475"/>
  <c r="AG288" i="475"/>
  <c r="AH287" i="475"/>
  <c r="AG287" i="475"/>
  <c r="AH286" i="475"/>
  <c r="AG286" i="475"/>
  <c r="AH285" i="475"/>
  <c r="AG285" i="475"/>
  <c r="AH284" i="475"/>
  <c r="AG284" i="475"/>
  <c r="AH283" i="475"/>
  <c r="AG283" i="475"/>
  <c r="AH282" i="475"/>
  <c r="AG282" i="475"/>
  <c r="AH281" i="475"/>
  <c r="AG281" i="475"/>
  <c r="AH280" i="475"/>
  <c r="AG280" i="475"/>
  <c r="AH279" i="475"/>
  <c r="AG279" i="475"/>
  <c r="AH278" i="475"/>
  <c r="AG278" i="475"/>
  <c r="AH277" i="475"/>
  <c r="AG277" i="475"/>
  <c r="AH276" i="475"/>
  <c r="AG276" i="475"/>
  <c r="AH275" i="475"/>
  <c r="AG275" i="475"/>
  <c r="AH274" i="475"/>
  <c r="AG274" i="475"/>
  <c r="AH273" i="475"/>
  <c r="AG273" i="475"/>
  <c r="AD271" i="475"/>
  <c r="AD270" i="475" s="1"/>
  <c r="AC271" i="475"/>
  <c r="AC270" i="475" s="1"/>
  <c r="AH269" i="475"/>
  <c r="AG269" i="475"/>
  <c r="AH268" i="475"/>
  <c r="AG268" i="475"/>
  <c r="AH267" i="475"/>
  <c r="AG267" i="475"/>
  <c r="AH266" i="475"/>
  <c r="AG266" i="475"/>
  <c r="AH265" i="475"/>
  <c r="AG265" i="475"/>
  <c r="AH264" i="475"/>
  <c r="AG264" i="475"/>
  <c r="AH263" i="475"/>
  <c r="AG263" i="475"/>
  <c r="AH261" i="475"/>
  <c r="AG261" i="475"/>
  <c r="AH260" i="475"/>
  <c r="AG260" i="475"/>
  <c r="AH259" i="475"/>
  <c r="AG259" i="475"/>
  <c r="AH258" i="475"/>
  <c r="AG258" i="475"/>
  <c r="AH257" i="475"/>
  <c r="AG257" i="475"/>
  <c r="AH256" i="475"/>
  <c r="AG256" i="475"/>
  <c r="AH255" i="475"/>
  <c r="AG255" i="475"/>
  <c r="AH252" i="475"/>
  <c r="AG252" i="475"/>
  <c r="AH251" i="475"/>
  <c r="AG251" i="475"/>
  <c r="AH250" i="475"/>
  <c r="AG250" i="475"/>
  <c r="AH249" i="475"/>
  <c r="AG249" i="475"/>
  <c r="AH248" i="475"/>
  <c r="AG248" i="475"/>
  <c r="AD246" i="475"/>
  <c r="AC246" i="475"/>
  <c r="AH245" i="475"/>
  <c r="AG245" i="475"/>
  <c r="AH244" i="475"/>
  <c r="AG244" i="475"/>
  <c r="AD242" i="475"/>
  <c r="AC242" i="475"/>
  <c r="AH240" i="475"/>
  <c r="AG240" i="475"/>
  <c r="AH239" i="475"/>
  <c r="AG239" i="475"/>
  <c r="AH238" i="475"/>
  <c r="AG238" i="475"/>
  <c r="AH237" i="475"/>
  <c r="AH133" i="475"/>
  <c r="AG133" i="475"/>
  <c r="AH132" i="475"/>
  <c r="AG132" i="475"/>
  <c r="AH131" i="475"/>
  <c r="AG131" i="475"/>
  <c r="AH130" i="475"/>
  <c r="AG130" i="475"/>
  <c r="AH128" i="475"/>
  <c r="AG128" i="475"/>
  <c r="AH127" i="475"/>
  <c r="AG127" i="475"/>
  <c r="AD125" i="475"/>
  <c r="AC125" i="475"/>
  <c r="AH124" i="475"/>
  <c r="AG124" i="475"/>
  <c r="AD122" i="475"/>
  <c r="AC122" i="475"/>
  <c r="AH121" i="475"/>
  <c r="AG121" i="475"/>
  <c r="AD119" i="475"/>
  <c r="AC119" i="475"/>
  <c r="AH118" i="475"/>
  <c r="AG118" i="475"/>
  <c r="AH117" i="475"/>
  <c r="AG117" i="475"/>
  <c r="AD115" i="475"/>
  <c r="AC115" i="475"/>
  <c r="AH114" i="475"/>
  <c r="AG114" i="475"/>
  <c r="AH113" i="475"/>
  <c r="AG113" i="475"/>
  <c r="AH112" i="475"/>
  <c r="AG112" i="475"/>
  <c r="AH111" i="475"/>
  <c r="AG111" i="475"/>
  <c r="AH110" i="475"/>
  <c r="AG110" i="475"/>
  <c r="AD108" i="475"/>
  <c r="AC108" i="475"/>
  <c r="AH107" i="475"/>
  <c r="AG107" i="475"/>
  <c r="AH106" i="475"/>
  <c r="AG106" i="475"/>
  <c r="AH105" i="475"/>
  <c r="AG105" i="475"/>
  <c r="AD103" i="475"/>
  <c r="AC103" i="475"/>
  <c r="AH102" i="475"/>
  <c r="AG102" i="475"/>
  <c r="AH101" i="475"/>
  <c r="AG101" i="475"/>
  <c r="AH100" i="475"/>
  <c r="AG100" i="475"/>
  <c r="AH99" i="475"/>
  <c r="AG99" i="475"/>
  <c r="AH98" i="475"/>
  <c r="AG98" i="475"/>
  <c r="AH97" i="475"/>
  <c r="AG97" i="475"/>
  <c r="AH96" i="475"/>
  <c r="AG96" i="475"/>
  <c r="AH95" i="475"/>
  <c r="AG95" i="475"/>
  <c r="AH94" i="475"/>
  <c r="AG94" i="475"/>
  <c r="AH93" i="475"/>
  <c r="AG93" i="475"/>
  <c r="AH91" i="475"/>
  <c r="AG91" i="475"/>
  <c r="AH90" i="475"/>
  <c r="AG90" i="475"/>
  <c r="AH89" i="475"/>
  <c r="AG89" i="475"/>
  <c r="AH88" i="475"/>
  <c r="AG88" i="475"/>
  <c r="AH87" i="475"/>
  <c r="AG87" i="475"/>
  <c r="AH86" i="475"/>
  <c r="AG86" i="475"/>
  <c r="AH85" i="475"/>
  <c r="AG85" i="475"/>
  <c r="AH84" i="475"/>
  <c r="AG84" i="475"/>
  <c r="AH83" i="475"/>
  <c r="AG83" i="475"/>
  <c r="AH82" i="475"/>
  <c r="AG82" i="475"/>
  <c r="AH81" i="475"/>
  <c r="AG81" i="475"/>
  <c r="AH80" i="475"/>
  <c r="AG80" i="475"/>
  <c r="AH79" i="475"/>
  <c r="AG79" i="475"/>
  <c r="AH78" i="475"/>
  <c r="AG78" i="475"/>
  <c r="AH77" i="475"/>
  <c r="AG77" i="475"/>
  <c r="AH75" i="475"/>
  <c r="AG75" i="475"/>
  <c r="AD73" i="475"/>
  <c r="AC73" i="475"/>
  <c r="AH72" i="475"/>
  <c r="AG72" i="475"/>
  <c r="AH71" i="475"/>
  <c r="AG71" i="475"/>
  <c r="AH70" i="475"/>
  <c r="AG70" i="475"/>
  <c r="AH69" i="475"/>
  <c r="AG69" i="475"/>
  <c r="AD67" i="475"/>
  <c r="AC67" i="475"/>
  <c r="AH66" i="475"/>
  <c r="AG66" i="475"/>
  <c r="AH65" i="475"/>
  <c r="AG65" i="475"/>
  <c r="AH64" i="475"/>
  <c r="AG64" i="475"/>
  <c r="AH63" i="475"/>
  <c r="AG63" i="475"/>
  <c r="AH62" i="475"/>
  <c r="AG62" i="475"/>
  <c r="AD60" i="475"/>
  <c r="AC60" i="475"/>
  <c r="AH59" i="475"/>
  <c r="AG59" i="475"/>
  <c r="AH58" i="475"/>
  <c r="AG58" i="475"/>
  <c r="AH57" i="475"/>
  <c r="AG57" i="475"/>
  <c r="AH56" i="475"/>
  <c r="AG56" i="475"/>
  <c r="AD54" i="475"/>
  <c r="AC54" i="475"/>
  <c r="AH53" i="475"/>
  <c r="AG53" i="475"/>
  <c r="AH52" i="475"/>
  <c r="AG52" i="475"/>
  <c r="AH51" i="475"/>
  <c r="AG51" i="475"/>
  <c r="AH49" i="475"/>
  <c r="AG49" i="475"/>
  <c r="AH48" i="475"/>
  <c r="AG48" i="475"/>
  <c r="AH47" i="475"/>
  <c r="AG47" i="475"/>
  <c r="AD45" i="475"/>
  <c r="AC45" i="475"/>
  <c r="AH44" i="475"/>
  <c r="AG44" i="475"/>
  <c r="AH43" i="475"/>
  <c r="AG43" i="475"/>
  <c r="AH42" i="475"/>
  <c r="AG42" i="475"/>
  <c r="AD40" i="475"/>
  <c r="AC40" i="475"/>
  <c r="AH39" i="475"/>
  <c r="AG39" i="475"/>
  <c r="AD37" i="475"/>
  <c r="AC37" i="475"/>
  <c r="AH36" i="475"/>
  <c r="AG36" i="475"/>
  <c r="AH35" i="475"/>
  <c r="AG35" i="475"/>
  <c r="AH33" i="475"/>
  <c r="AG33" i="475"/>
  <c r="AH32" i="475"/>
  <c r="AG32" i="475"/>
  <c r="AH31" i="475"/>
  <c r="AG31" i="475"/>
  <c r="AH30" i="475"/>
  <c r="AG30" i="475"/>
  <c r="AH29" i="475"/>
  <c r="AG29" i="475"/>
  <c r="AH28" i="475"/>
  <c r="AG28" i="475"/>
  <c r="AH27" i="475"/>
  <c r="AG27" i="475"/>
  <c r="AH26" i="475"/>
  <c r="AG26" i="475"/>
  <c r="AH25" i="475"/>
  <c r="AG25" i="475"/>
  <c r="AH24" i="475"/>
  <c r="AG24" i="475"/>
  <c r="AD22" i="475"/>
  <c r="AC22" i="475"/>
  <c r="AH21" i="475"/>
  <c r="AG21" i="475"/>
  <c r="AH20" i="475"/>
  <c r="AG20" i="475"/>
  <c r="AH19" i="475"/>
  <c r="AG19" i="475"/>
  <c r="AH18" i="475"/>
  <c r="AG18" i="475"/>
  <c r="AH17" i="475"/>
  <c r="AG17" i="475"/>
  <c r="AH16" i="475"/>
  <c r="AG16" i="475"/>
  <c r="AH15" i="475"/>
  <c r="AG15" i="475"/>
  <c r="AH14" i="475"/>
  <c r="AG14" i="475"/>
  <c r="AH13" i="475"/>
  <c r="AG13" i="475"/>
  <c r="AH12" i="475"/>
  <c r="AG12" i="475"/>
  <c r="AH11" i="475"/>
  <c r="AG11" i="475"/>
  <c r="AD9" i="475"/>
  <c r="AC9" i="475"/>
  <c r="R300" i="475"/>
  <c r="Q300" i="475"/>
  <c r="P300" i="475"/>
  <c r="O300" i="475"/>
  <c r="R299" i="475"/>
  <c r="Q299" i="475"/>
  <c r="P299" i="475"/>
  <c r="O299" i="475"/>
  <c r="R298" i="475"/>
  <c r="Q298" i="475"/>
  <c r="P298" i="475"/>
  <c r="O298" i="475"/>
  <c r="R297" i="475"/>
  <c r="Q297" i="475"/>
  <c r="P297" i="475"/>
  <c r="O297" i="475"/>
  <c r="R295" i="475"/>
  <c r="Q295" i="475"/>
  <c r="P295" i="475"/>
  <c r="O295" i="475"/>
  <c r="R294" i="475"/>
  <c r="Q294" i="475"/>
  <c r="P294" i="475"/>
  <c r="O294" i="475"/>
  <c r="R293" i="475"/>
  <c r="Q293" i="475"/>
  <c r="P293" i="475"/>
  <c r="O293" i="475"/>
  <c r="R291" i="475"/>
  <c r="Q291" i="475"/>
  <c r="P291" i="475"/>
  <c r="O291" i="475"/>
  <c r="R289" i="475"/>
  <c r="Q289" i="475"/>
  <c r="P289" i="475"/>
  <c r="O289" i="475"/>
  <c r="R288" i="475"/>
  <c r="Q288" i="475"/>
  <c r="P288" i="475"/>
  <c r="O288" i="475"/>
  <c r="R287" i="475"/>
  <c r="Q287" i="475"/>
  <c r="P287" i="475"/>
  <c r="O287" i="475"/>
  <c r="R286" i="475"/>
  <c r="Q286" i="475"/>
  <c r="P286" i="475"/>
  <c r="O286" i="475"/>
  <c r="R285" i="475"/>
  <c r="Q285" i="475"/>
  <c r="P285" i="475"/>
  <c r="O285" i="475"/>
  <c r="R284" i="475"/>
  <c r="Q284" i="475"/>
  <c r="P284" i="475"/>
  <c r="O284" i="475"/>
  <c r="R283" i="475"/>
  <c r="Q283" i="475"/>
  <c r="P283" i="475"/>
  <c r="O283" i="475"/>
  <c r="R282" i="475"/>
  <c r="Q282" i="475"/>
  <c r="P282" i="475"/>
  <c r="O282" i="475"/>
  <c r="R281" i="475"/>
  <c r="Q281" i="475"/>
  <c r="P281" i="475"/>
  <c r="O281" i="475"/>
  <c r="R280" i="475"/>
  <c r="Q280" i="475"/>
  <c r="P280" i="475"/>
  <c r="O280" i="475"/>
  <c r="R279" i="475"/>
  <c r="Q279" i="475"/>
  <c r="P279" i="475"/>
  <c r="O279" i="475"/>
  <c r="R278" i="475"/>
  <c r="Q278" i="475"/>
  <c r="P278" i="475"/>
  <c r="O278" i="475"/>
  <c r="R277" i="475"/>
  <c r="Q277" i="475"/>
  <c r="P277" i="475"/>
  <c r="O277" i="475"/>
  <c r="R276" i="475"/>
  <c r="Q276" i="475"/>
  <c r="P276" i="475"/>
  <c r="O276" i="475"/>
  <c r="R275" i="475"/>
  <c r="Q275" i="475"/>
  <c r="P275" i="475"/>
  <c r="O275" i="475"/>
  <c r="R274" i="475"/>
  <c r="Q274" i="475"/>
  <c r="P274" i="475"/>
  <c r="O274" i="475"/>
  <c r="R273" i="475"/>
  <c r="Q273" i="475"/>
  <c r="P273" i="475"/>
  <c r="O273" i="475"/>
  <c r="R272" i="475"/>
  <c r="Q272" i="475"/>
  <c r="P272" i="475"/>
  <c r="O272" i="475"/>
  <c r="R269" i="475"/>
  <c r="Q269" i="475"/>
  <c r="P269" i="475"/>
  <c r="O269" i="475"/>
  <c r="R268" i="475"/>
  <c r="Q268" i="475"/>
  <c r="P268" i="475"/>
  <c r="O268" i="475"/>
  <c r="R267" i="475"/>
  <c r="Q267" i="475"/>
  <c r="P267" i="475"/>
  <c r="O267" i="475"/>
  <c r="R266" i="475"/>
  <c r="Q266" i="475"/>
  <c r="P266" i="475"/>
  <c r="O266" i="475"/>
  <c r="R265" i="475"/>
  <c r="Q265" i="475"/>
  <c r="P265" i="475"/>
  <c r="O265" i="475"/>
  <c r="R264" i="475"/>
  <c r="Q264" i="475"/>
  <c r="P264" i="475"/>
  <c r="O264" i="475"/>
  <c r="R263" i="475"/>
  <c r="Q263" i="475"/>
  <c r="P263" i="475"/>
  <c r="O263" i="475"/>
  <c r="R262" i="475"/>
  <c r="Q262" i="475"/>
  <c r="P262" i="475"/>
  <c r="O262" i="475"/>
  <c r="R261" i="475"/>
  <c r="Q261" i="475"/>
  <c r="P261" i="475"/>
  <c r="O261" i="475"/>
  <c r="R260" i="475"/>
  <c r="Q260" i="475"/>
  <c r="P260" i="475"/>
  <c r="O260" i="475"/>
  <c r="R259" i="475"/>
  <c r="Q259" i="475"/>
  <c r="P259" i="475"/>
  <c r="O259" i="475"/>
  <c r="R258" i="475"/>
  <c r="Q258" i="475"/>
  <c r="P258" i="475"/>
  <c r="O258" i="475"/>
  <c r="R257" i="475"/>
  <c r="Q257" i="475"/>
  <c r="P257" i="475"/>
  <c r="O257" i="475"/>
  <c r="R256" i="475"/>
  <c r="Q256" i="475"/>
  <c r="P256" i="475"/>
  <c r="O256" i="475"/>
  <c r="R255" i="475"/>
  <c r="Q255" i="475"/>
  <c r="P255" i="475"/>
  <c r="O255" i="475"/>
  <c r="R252" i="475"/>
  <c r="Q252" i="475"/>
  <c r="P252" i="475"/>
  <c r="O252" i="475"/>
  <c r="R251" i="475"/>
  <c r="Q251" i="475"/>
  <c r="P251" i="475"/>
  <c r="O251" i="475"/>
  <c r="R250" i="475"/>
  <c r="Q250" i="475"/>
  <c r="P250" i="475"/>
  <c r="O250" i="475"/>
  <c r="R249" i="475"/>
  <c r="Q249" i="475"/>
  <c r="P249" i="475"/>
  <c r="O249" i="475"/>
  <c r="R248" i="475"/>
  <c r="Q248" i="475"/>
  <c r="P248" i="475"/>
  <c r="O248" i="475"/>
  <c r="R247" i="475"/>
  <c r="Q247" i="475"/>
  <c r="P247" i="475"/>
  <c r="O247" i="475"/>
  <c r="R245" i="475"/>
  <c r="Q245" i="475"/>
  <c r="P245" i="475"/>
  <c r="O245" i="475"/>
  <c r="R244" i="475"/>
  <c r="Q244" i="475"/>
  <c r="P244" i="475"/>
  <c r="O244" i="475"/>
  <c r="R243" i="475"/>
  <c r="Q243" i="475"/>
  <c r="P243" i="475"/>
  <c r="O243" i="475"/>
  <c r="R241" i="475"/>
  <c r="Q241" i="475"/>
  <c r="P241" i="475"/>
  <c r="O241" i="475"/>
  <c r="R240" i="475"/>
  <c r="Q240" i="475"/>
  <c r="P240" i="475"/>
  <c r="O240" i="475"/>
  <c r="R239" i="475"/>
  <c r="Q239" i="475"/>
  <c r="P239" i="475"/>
  <c r="O239" i="475"/>
  <c r="R238" i="475"/>
  <c r="Q238" i="475"/>
  <c r="P238" i="475"/>
  <c r="O238" i="475"/>
  <c r="R237" i="475"/>
  <c r="Q237" i="475"/>
  <c r="P237" i="475"/>
  <c r="O237" i="475"/>
  <c r="R236" i="475"/>
  <c r="Q236" i="475"/>
  <c r="P236" i="475"/>
  <c r="O236" i="475"/>
  <c r="R235" i="475"/>
  <c r="Q235" i="475"/>
  <c r="P235" i="475"/>
  <c r="O235" i="475"/>
  <c r="R234" i="475"/>
  <c r="Q234" i="475"/>
  <c r="P234" i="475"/>
  <c r="O234" i="475"/>
  <c r="R233" i="475"/>
  <c r="Q233" i="475"/>
  <c r="P233" i="475"/>
  <c r="P232" i="475" s="1"/>
  <c r="O233" i="475"/>
  <c r="R231" i="475"/>
  <c r="Q231" i="475"/>
  <c r="P231" i="475"/>
  <c r="O231" i="475"/>
  <c r="R228" i="475"/>
  <c r="Q228" i="475"/>
  <c r="P228" i="475"/>
  <c r="O228" i="475"/>
  <c r="R227" i="475"/>
  <c r="Q227" i="475"/>
  <c r="P227" i="475"/>
  <c r="O227" i="475"/>
  <c r="R226" i="475"/>
  <c r="Q226" i="475"/>
  <c r="P226" i="475"/>
  <c r="O226" i="475"/>
  <c r="R225" i="475"/>
  <c r="Q225" i="475"/>
  <c r="P225" i="475"/>
  <c r="O225" i="475"/>
  <c r="R224" i="475"/>
  <c r="Q224" i="475"/>
  <c r="P224" i="475"/>
  <c r="O224" i="475"/>
  <c r="R223" i="475"/>
  <c r="Q223" i="475"/>
  <c r="P223" i="475"/>
  <c r="O223" i="475"/>
  <c r="R222" i="475"/>
  <c r="Q222" i="475"/>
  <c r="P222" i="475"/>
  <c r="O222" i="475"/>
  <c r="R221" i="475"/>
  <c r="Q221" i="475"/>
  <c r="P221" i="475"/>
  <c r="O221" i="475"/>
  <c r="R220" i="475"/>
  <c r="Q220" i="475"/>
  <c r="P220" i="475"/>
  <c r="O220" i="475"/>
  <c r="R219" i="475"/>
  <c r="Q219" i="475"/>
  <c r="P219" i="475"/>
  <c r="O219" i="475"/>
  <c r="R218" i="475"/>
  <c r="Q218" i="475"/>
  <c r="P218" i="475"/>
  <c r="P217" i="475" s="1"/>
  <c r="O218" i="475"/>
  <c r="O217" i="475" s="1"/>
  <c r="R216" i="475"/>
  <c r="Q216" i="475"/>
  <c r="P216" i="475"/>
  <c r="O216" i="475"/>
  <c r="R215" i="475"/>
  <c r="Q215" i="475"/>
  <c r="P215" i="475"/>
  <c r="O215" i="475"/>
  <c r="R214" i="475"/>
  <c r="Q214" i="475"/>
  <c r="P214" i="475"/>
  <c r="P213" i="475" s="1"/>
  <c r="O214" i="475"/>
  <c r="O213" i="475" s="1"/>
  <c r="R212" i="475"/>
  <c r="Q212" i="475"/>
  <c r="P212" i="475"/>
  <c r="O212" i="475"/>
  <c r="R211" i="475"/>
  <c r="Q211" i="475"/>
  <c r="P211" i="475"/>
  <c r="O211" i="475"/>
  <c r="R210" i="475"/>
  <c r="Q210" i="475"/>
  <c r="P210" i="475"/>
  <c r="O210" i="475"/>
  <c r="P209" i="475"/>
  <c r="O209" i="475"/>
  <c r="R208" i="475"/>
  <c r="Q208" i="475"/>
  <c r="P208" i="475"/>
  <c r="O208" i="475"/>
  <c r="R207" i="475"/>
  <c r="Q207" i="475"/>
  <c r="P207" i="475"/>
  <c r="O207" i="475"/>
  <c r="R206" i="475"/>
  <c r="Q206" i="475"/>
  <c r="P206" i="475"/>
  <c r="O206" i="475"/>
  <c r="R205" i="475"/>
  <c r="Q205" i="475"/>
  <c r="P205" i="475"/>
  <c r="O205" i="475"/>
  <c r="R204" i="475"/>
  <c r="Q204" i="475"/>
  <c r="P204" i="475"/>
  <c r="O204" i="475"/>
  <c r="R203" i="475"/>
  <c r="Q203" i="475"/>
  <c r="P203" i="475"/>
  <c r="O203" i="475"/>
  <c r="R202" i="475"/>
  <c r="Q202" i="475"/>
  <c r="P202" i="475"/>
  <c r="O202" i="475"/>
  <c r="R201" i="475"/>
  <c r="Q201" i="475"/>
  <c r="P201" i="475"/>
  <c r="O201" i="475"/>
  <c r="R200" i="475"/>
  <c r="Q200" i="475"/>
  <c r="P200" i="475"/>
  <c r="O200" i="475"/>
  <c r="R199" i="475"/>
  <c r="Q199" i="475"/>
  <c r="P199" i="475"/>
  <c r="O199" i="475"/>
  <c r="R198" i="475"/>
  <c r="Q198" i="475"/>
  <c r="P198" i="475"/>
  <c r="O198" i="475"/>
  <c r="R197" i="475"/>
  <c r="Q197" i="475"/>
  <c r="P197" i="475"/>
  <c r="O197" i="475"/>
  <c r="R196" i="475"/>
  <c r="Q196" i="475"/>
  <c r="P196" i="475"/>
  <c r="O196" i="475"/>
  <c r="R195" i="475"/>
  <c r="Q195" i="475"/>
  <c r="P195" i="475"/>
  <c r="O195" i="475"/>
  <c r="R194" i="475"/>
  <c r="Q194" i="475"/>
  <c r="P194" i="475"/>
  <c r="O194" i="475"/>
  <c r="R193" i="475"/>
  <c r="Q193" i="475"/>
  <c r="P193" i="475"/>
  <c r="O193" i="475"/>
  <c r="R192" i="475"/>
  <c r="Q192" i="475"/>
  <c r="P192" i="475"/>
  <c r="O192" i="475"/>
  <c r="R191" i="475"/>
  <c r="Q191" i="475"/>
  <c r="P191" i="475"/>
  <c r="O191" i="475"/>
  <c r="R190" i="475"/>
  <c r="Q190" i="475"/>
  <c r="P190" i="475"/>
  <c r="O190" i="475"/>
  <c r="R189" i="475"/>
  <c r="Q189" i="475"/>
  <c r="P189" i="475"/>
  <c r="O189" i="475"/>
  <c r="R188" i="475"/>
  <c r="Q188" i="475"/>
  <c r="P188" i="475"/>
  <c r="O188" i="475"/>
  <c r="R187" i="475"/>
  <c r="Q187" i="475"/>
  <c r="P187" i="475"/>
  <c r="O187" i="475"/>
  <c r="R186" i="475"/>
  <c r="Q186" i="475"/>
  <c r="P186" i="475"/>
  <c r="O186" i="475"/>
  <c r="R185" i="475"/>
  <c r="Q185" i="475"/>
  <c r="P185" i="475"/>
  <c r="O185" i="475"/>
  <c r="R184" i="475"/>
  <c r="Q184" i="475"/>
  <c r="P184" i="475"/>
  <c r="O184" i="475"/>
  <c r="R183" i="475"/>
  <c r="Q183" i="475"/>
  <c r="P183" i="475"/>
  <c r="O183" i="475"/>
  <c r="R182" i="475"/>
  <c r="Q182" i="475"/>
  <c r="P182" i="475"/>
  <c r="O182" i="475"/>
  <c r="R181" i="475"/>
  <c r="Q181" i="475"/>
  <c r="P181" i="475"/>
  <c r="O181" i="475"/>
  <c r="R180" i="475"/>
  <c r="Q180" i="475"/>
  <c r="P180" i="475"/>
  <c r="O180" i="475"/>
  <c r="R179" i="475"/>
  <c r="Q179" i="475"/>
  <c r="P179" i="475"/>
  <c r="O179" i="475"/>
  <c r="R178" i="475"/>
  <c r="Q178" i="475"/>
  <c r="P178" i="475"/>
  <c r="P177" i="475" s="1"/>
  <c r="O178" i="475"/>
  <c r="O177" i="475" s="1"/>
  <c r="R176" i="475"/>
  <c r="Q176" i="475"/>
  <c r="P176" i="475"/>
  <c r="O176" i="475"/>
  <c r="R175" i="475"/>
  <c r="Q175" i="475"/>
  <c r="P175" i="475"/>
  <c r="O175" i="475"/>
  <c r="R174" i="475"/>
  <c r="Q174" i="475"/>
  <c r="P174" i="475"/>
  <c r="P173" i="475" s="1"/>
  <c r="O174" i="475"/>
  <c r="O173" i="475" s="1"/>
  <c r="R172" i="475"/>
  <c r="Q172" i="475"/>
  <c r="P172" i="475"/>
  <c r="O172" i="475"/>
  <c r="R171" i="475"/>
  <c r="Q171" i="475"/>
  <c r="P171" i="475"/>
  <c r="O171" i="475"/>
  <c r="R170" i="475"/>
  <c r="Q170" i="475"/>
  <c r="P170" i="475"/>
  <c r="O170" i="475"/>
  <c r="R169" i="475"/>
  <c r="Q169" i="475"/>
  <c r="P169" i="475"/>
  <c r="P168" i="475" s="1"/>
  <c r="O169" i="475"/>
  <c r="O168" i="475" s="1"/>
  <c r="R167" i="475"/>
  <c r="Q167" i="475"/>
  <c r="P167" i="475"/>
  <c r="O167" i="475"/>
  <c r="R164" i="475"/>
  <c r="Q164" i="475"/>
  <c r="P164" i="475"/>
  <c r="O164" i="475"/>
  <c r="R163" i="475"/>
  <c r="Q163" i="475"/>
  <c r="P163" i="475"/>
  <c r="O163" i="475"/>
  <c r="R162" i="475"/>
  <c r="Q162" i="475"/>
  <c r="P162" i="475"/>
  <c r="P161" i="475" s="1"/>
  <c r="O162" i="475"/>
  <c r="O161" i="475" s="1"/>
  <c r="R160" i="475"/>
  <c r="Q160" i="475"/>
  <c r="P160" i="475"/>
  <c r="O160" i="475"/>
  <c r="R159" i="475"/>
  <c r="Q159" i="475"/>
  <c r="P159" i="475"/>
  <c r="O159" i="475"/>
  <c r="R158" i="475"/>
  <c r="Q158" i="475"/>
  <c r="P158" i="475"/>
  <c r="O158" i="475"/>
  <c r="R157" i="475"/>
  <c r="Q157" i="475"/>
  <c r="P157" i="475"/>
  <c r="O157" i="475"/>
  <c r="R156" i="475"/>
  <c r="Q156" i="475"/>
  <c r="P156" i="475"/>
  <c r="O156" i="475"/>
  <c r="R155" i="475"/>
  <c r="Q155" i="475"/>
  <c r="P155" i="475"/>
  <c r="O155" i="475"/>
  <c r="R154" i="475"/>
  <c r="Q154" i="475"/>
  <c r="P154" i="475"/>
  <c r="O154" i="475"/>
  <c r="R153" i="475"/>
  <c r="Q153" i="475"/>
  <c r="P153" i="475"/>
  <c r="O153" i="475"/>
  <c r="R152" i="475"/>
  <c r="Q152" i="475"/>
  <c r="P152" i="475"/>
  <c r="O152" i="475"/>
  <c r="R151" i="475"/>
  <c r="Q151" i="475"/>
  <c r="P151" i="475"/>
  <c r="O151" i="475"/>
  <c r="R150" i="475"/>
  <c r="Q150" i="475"/>
  <c r="P150" i="475"/>
  <c r="O150" i="475"/>
  <c r="R149" i="475"/>
  <c r="Q149" i="475"/>
  <c r="P149" i="475"/>
  <c r="P148" i="475" s="1"/>
  <c r="O149" i="475"/>
  <c r="O148" i="475" s="1"/>
  <c r="R147" i="475"/>
  <c r="Q147" i="475"/>
  <c r="P147" i="475"/>
  <c r="O147" i="475"/>
  <c r="R146" i="475"/>
  <c r="Q146" i="475"/>
  <c r="P146" i="475"/>
  <c r="O146" i="475"/>
  <c r="R145" i="475"/>
  <c r="Q145" i="475"/>
  <c r="P145" i="475"/>
  <c r="O145" i="475"/>
  <c r="R144" i="475"/>
  <c r="Q144" i="475"/>
  <c r="P144" i="475"/>
  <c r="O144" i="475"/>
  <c r="R143" i="475"/>
  <c r="Q143" i="475"/>
  <c r="P143" i="475"/>
  <c r="O143" i="475"/>
  <c r="R142" i="475"/>
  <c r="Q142" i="475"/>
  <c r="P142" i="475"/>
  <c r="O142" i="475"/>
  <c r="R141" i="475"/>
  <c r="Q141" i="475"/>
  <c r="P141" i="475"/>
  <c r="O141" i="475"/>
  <c r="R140" i="475"/>
  <c r="Q140" i="475"/>
  <c r="P140" i="475"/>
  <c r="P139" i="475" s="1"/>
  <c r="O140" i="475"/>
  <c r="O139" i="475" s="1"/>
  <c r="R138" i="475"/>
  <c r="Q138" i="475"/>
  <c r="P138" i="475"/>
  <c r="O138" i="475"/>
  <c r="R137" i="475"/>
  <c r="Q137" i="475"/>
  <c r="P137" i="475"/>
  <c r="O137" i="475"/>
  <c r="R136" i="475"/>
  <c r="Q136" i="475"/>
  <c r="P136" i="475"/>
  <c r="O136" i="475"/>
  <c r="R135" i="475"/>
  <c r="Q135" i="475"/>
  <c r="P135" i="475"/>
  <c r="O135" i="475"/>
  <c r="R134" i="475"/>
  <c r="Q134" i="475"/>
  <c r="P134" i="475"/>
  <c r="O134" i="475"/>
  <c r="R133" i="475"/>
  <c r="Q133" i="475"/>
  <c r="P133" i="475"/>
  <c r="O133" i="475"/>
  <c r="R132" i="475"/>
  <c r="Q132" i="475"/>
  <c r="P132" i="475"/>
  <c r="O132" i="475"/>
  <c r="R131" i="475"/>
  <c r="Q131" i="475"/>
  <c r="P131" i="475"/>
  <c r="O131" i="475"/>
  <c r="R130" i="475"/>
  <c r="Q130" i="475"/>
  <c r="P130" i="475"/>
  <c r="P129" i="475" s="1"/>
  <c r="O130" i="475"/>
  <c r="O129" i="475" s="1"/>
  <c r="R128" i="475"/>
  <c r="Q128" i="475"/>
  <c r="P128" i="475"/>
  <c r="O128" i="475"/>
  <c r="R127" i="475"/>
  <c r="Q127" i="475"/>
  <c r="P127" i="475"/>
  <c r="O127" i="475"/>
  <c r="R126" i="475"/>
  <c r="Q126" i="475"/>
  <c r="P126" i="475"/>
  <c r="P125" i="475" s="1"/>
  <c r="O126" i="475"/>
  <c r="O125" i="475" s="1"/>
  <c r="R124" i="475"/>
  <c r="Q124" i="475"/>
  <c r="P124" i="475"/>
  <c r="O124" i="475"/>
  <c r="R123" i="475"/>
  <c r="Q123" i="475"/>
  <c r="P123" i="475"/>
  <c r="P122" i="475" s="1"/>
  <c r="O123" i="475"/>
  <c r="O122" i="475" s="1"/>
  <c r="R121" i="475"/>
  <c r="Q121" i="475"/>
  <c r="P121" i="475"/>
  <c r="O121" i="475"/>
  <c r="R120" i="475"/>
  <c r="Q120" i="475"/>
  <c r="P120" i="475"/>
  <c r="P119" i="475" s="1"/>
  <c r="O120" i="475"/>
  <c r="O119" i="475" s="1"/>
  <c r="R118" i="475"/>
  <c r="Q118" i="475"/>
  <c r="P118" i="475"/>
  <c r="O118" i="475"/>
  <c r="R117" i="475"/>
  <c r="Q117" i="475"/>
  <c r="P117" i="475"/>
  <c r="O117" i="475"/>
  <c r="R116" i="475"/>
  <c r="Q116" i="475"/>
  <c r="P116" i="475"/>
  <c r="P115" i="475" s="1"/>
  <c r="O116" i="475"/>
  <c r="O115" i="475" s="1"/>
  <c r="R114" i="475"/>
  <c r="Q114" i="475"/>
  <c r="P114" i="475"/>
  <c r="O114" i="475"/>
  <c r="R113" i="475"/>
  <c r="Q113" i="475"/>
  <c r="P113" i="475"/>
  <c r="O113" i="475"/>
  <c r="R112" i="475"/>
  <c r="Q112" i="475"/>
  <c r="P112" i="475"/>
  <c r="O112" i="475"/>
  <c r="R111" i="475"/>
  <c r="Q111" i="475"/>
  <c r="P111" i="475"/>
  <c r="O111" i="475"/>
  <c r="R110" i="475"/>
  <c r="Q110" i="475"/>
  <c r="P110" i="475"/>
  <c r="O110" i="475"/>
  <c r="R109" i="475"/>
  <c r="Q109" i="475"/>
  <c r="P109" i="475"/>
  <c r="P108" i="475" s="1"/>
  <c r="O109" i="475"/>
  <c r="O108" i="475" s="1"/>
  <c r="R107" i="475"/>
  <c r="Q107" i="475"/>
  <c r="P107" i="475"/>
  <c r="O107" i="475"/>
  <c r="R106" i="475"/>
  <c r="Q106" i="475"/>
  <c r="P106" i="475"/>
  <c r="O106" i="475"/>
  <c r="R105" i="475"/>
  <c r="Q105" i="475"/>
  <c r="P105" i="475"/>
  <c r="O105" i="475"/>
  <c r="R104" i="475"/>
  <c r="Q104" i="475"/>
  <c r="P104" i="475"/>
  <c r="P103" i="475" s="1"/>
  <c r="O104" i="475"/>
  <c r="O103" i="475" s="1"/>
  <c r="R102" i="475"/>
  <c r="Q102" i="475"/>
  <c r="P102" i="475"/>
  <c r="O102" i="475"/>
  <c r="R101" i="475"/>
  <c r="Q101" i="475"/>
  <c r="P101" i="475"/>
  <c r="O101" i="475"/>
  <c r="R100" i="475"/>
  <c r="Q100" i="475"/>
  <c r="P100" i="475"/>
  <c r="O100" i="475"/>
  <c r="R99" i="475"/>
  <c r="Q99" i="475"/>
  <c r="P99" i="475"/>
  <c r="O99" i="475"/>
  <c r="R98" i="475"/>
  <c r="Q98" i="475"/>
  <c r="P98" i="475"/>
  <c r="O98" i="475"/>
  <c r="R97" i="475"/>
  <c r="Q97" i="475"/>
  <c r="P97" i="475"/>
  <c r="O97" i="475"/>
  <c r="R96" i="475"/>
  <c r="Q96" i="475"/>
  <c r="P96" i="475"/>
  <c r="O96" i="475"/>
  <c r="R95" i="475"/>
  <c r="Q95" i="475"/>
  <c r="P95" i="475"/>
  <c r="O95" i="475"/>
  <c r="R94" i="475"/>
  <c r="Q94" i="475"/>
  <c r="P94" i="475"/>
  <c r="O94" i="475"/>
  <c r="R93" i="475"/>
  <c r="Q93" i="475"/>
  <c r="P93" i="475"/>
  <c r="O93" i="475"/>
  <c r="R92" i="475"/>
  <c r="Q92" i="475"/>
  <c r="P92" i="475"/>
  <c r="O92" i="475"/>
  <c r="R91" i="475"/>
  <c r="Q91" i="475"/>
  <c r="P91" i="475"/>
  <c r="O91" i="475"/>
  <c r="R90" i="475"/>
  <c r="Q90" i="475"/>
  <c r="P90" i="475"/>
  <c r="O90" i="475"/>
  <c r="R89" i="475"/>
  <c r="Q89" i="475"/>
  <c r="P89" i="475"/>
  <c r="O89" i="475"/>
  <c r="R88" i="475"/>
  <c r="Q88" i="475"/>
  <c r="P88" i="475"/>
  <c r="O88" i="475"/>
  <c r="R87" i="475"/>
  <c r="Q87" i="475"/>
  <c r="P87" i="475"/>
  <c r="O87" i="475"/>
  <c r="R86" i="475"/>
  <c r="Q86" i="475"/>
  <c r="P86" i="475"/>
  <c r="O86" i="475"/>
  <c r="R85" i="475"/>
  <c r="Q85" i="475"/>
  <c r="P85" i="475"/>
  <c r="O85" i="475"/>
  <c r="R84" i="475"/>
  <c r="Q84" i="475"/>
  <c r="P84" i="475"/>
  <c r="O84" i="475"/>
  <c r="R83" i="475"/>
  <c r="Q83" i="475"/>
  <c r="P83" i="475"/>
  <c r="O83" i="475"/>
  <c r="R82" i="475"/>
  <c r="Q82" i="475"/>
  <c r="P82" i="475"/>
  <c r="O82" i="475"/>
  <c r="R81" i="475"/>
  <c r="Q81" i="475"/>
  <c r="P81" i="475"/>
  <c r="O81" i="475"/>
  <c r="R80" i="475"/>
  <c r="Q80" i="475"/>
  <c r="P80" i="475"/>
  <c r="O80" i="475"/>
  <c r="R79" i="475"/>
  <c r="Q79" i="475"/>
  <c r="P79" i="475"/>
  <c r="O79" i="475"/>
  <c r="R78" i="475"/>
  <c r="Q78" i="475"/>
  <c r="P78" i="475"/>
  <c r="O78" i="475"/>
  <c r="R77" i="475"/>
  <c r="Q77" i="475"/>
  <c r="P77" i="475"/>
  <c r="P76" i="475" s="1"/>
  <c r="O77" i="475"/>
  <c r="O76" i="475" s="1"/>
  <c r="R75" i="475"/>
  <c r="Q75" i="475"/>
  <c r="P75" i="475"/>
  <c r="O75" i="475"/>
  <c r="R74" i="475"/>
  <c r="Q74" i="475"/>
  <c r="P74" i="475"/>
  <c r="P73" i="475" s="1"/>
  <c r="O74" i="475"/>
  <c r="O73" i="475" s="1"/>
  <c r="R72" i="475"/>
  <c r="Q72" i="475"/>
  <c r="P72" i="475"/>
  <c r="O72" i="475"/>
  <c r="R71" i="475"/>
  <c r="Q71" i="475"/>
  <c r="P71" i="475"/>
  <c r="O71" i="475"/>
  <c r="R70" i="475"/>
  <c r="Q70" i="475"/>
  <c r="P70" i="475"/>
  <c r="O70" i="475"/>
  <c r="R69" i="475"/>
  <c r="Q69" i="475"/>
  <c r="P69" i="475"/>
  <c r="O69" i="475"/>
  <c r="R68" i="475"/>
  <c r="Q68" i="475"/>
  <c r="P68" i="475"/>
  <c r="P67" i="475" s="1"/>
  <c r="O68" i="475"/>
  <c r="O67" i="475" s="1"/>
  <c r="R66" i="475"/>
  <c r="Q66" i="475"/>
  <c r="P66" i="475"/>
  <c r="O66" i="475"/>
  <c r="R65" i="475"/>
  <c r="Q65" i="475"/>
  <c r="P65" i="475"/>
  <c r="O65" i="475"/>
  <c r="R64" i="475"/>
  <c r="Q64" i="475"/>
  <c r="P64" i="475"/>
  <c r="O64" i="475"/>
  <c r="R63" i="475"/>
  <c r="Q63" i="475"/>
  <c r="P63" i="475"/>
  <c r="O63" i="475"/>
  <c r="R62" i="475"/>
  <c r="Q62" i="475"/>
  <c r="P62" i="475"/>
  <c r="O62" i="475"/>
  <c r="R61" i="475"/>
  <c r="Q61" i="475"/>
  <c r="P61" i="475"/>
  <c r="P60" i="475" s="1"/>
  <c r="O61" i="475"/>
  <c r="O60" i="475" s="1"/>
  <c r="R59" i="475"/>
  <c r="Q59" i="475"/>
  <c r="P59" i="475"/>
  <c r="O59" i="475"/>
  <c r="R58" i="475"/>
  <c r="Q58" i="475"/>
  <c r="P58" i="475"/>
  <c r="O58" i="475"/>
  <c r="R57" i="475"/>
  <c r="Q57" i="475"/>
  <c r="P57" i="475"/>
  <c r="O57" i="475"/>
  <c r="R56" i="475"/>
  <c r="Q56" i="475"/>
  <c r="P56" i="475"/>
  <c r="O56" i="475"/>
  <c r="R55" i="475"/>
  <c r="Q55" i="475"/>
  <c r="P55" i="475"/>
  <c r="P54" i="475" s="1"/>
  <c r="O55" i="475"/>
  <c r="O54" i="475" s="1"/>
  <c r="R53" i="475"/>
  <c r="Q53" i="475"/>
  <c r="P53" i="475"/>
  <c r="O53" i="475"/>
  <c r="R52" i="475"/>
  <c r="Q52" i="475"/>
  <c r="P52" i="475"/>
  <c r="O52" i="475"/>
  <c r="R51" i="475"/>
  <c r="Q51" i="475"/>
  <c r="P51" i="475"/>
  <c r="O51" i="475"/>
  <c r="R50" i="475"/>
  <c r="Q50" i="475"/>
  <c r="P50" i="475"/>
  <c r="O50" i="475"/>
  <c r="R49" i="475"/>
  <c r="Q49" i="475"/>
  <c r="P49" i="475"/>
  <c r="O49" i="475"/>
  <c r="R48" i="475"/>
  <c r="Q48" i="475"/>
  <c r="P48" i="475"/>
  <c r="O48" i="475"/>
  <c r="R47" i="475"/>
  <c r="Q47" i="475"/>
  <c r="P47" i="475"/>
  <c r="O47" i="475"/>
  <c r="R46" i="475"/>
  <c r="Q46" i="475"/>
  <c r="P46" i="475"/>
  <c r="P45" i="475" s="1"/>
  <c r="O46" i="475"/>
  <c r="O45" i="475" s="1"/>
  <c r="R44" i="475"/>
  <c r="Q44" i="475"/>
  <c r="P44" i="475"/>
  <c r="O44" i="475"/>
  <c r="R43" i="475"/>
  <c r="Q43" i="475"/>
  <c r="P43" i="475"/>
  <c r="O43" i="475"/>
  <c r="R42" i="475"/>
  <c r="Q42" i="475"/>
  <c r="P42" i="475"/>
  <c r="O42" i="475"/>
  <c r="R41" i="475"/>
  <c r="Q41" i="475"/>
  <c r="P41" i="475"/>
  <c r="P40" i="475" s="1"/>
  <c r="O41" i="475"/>
  <c r="O40" i="475" s="1"/>
  <c r="R39" i="475"/>
  <c r="Q39" i="475"/>
  <c r="P39" i="475"/>
  <c r="O39" i="475"/>
  <c r="R38" i="475"/>
  <c r="Q38" i="475"/>
  <c r="P38" i="475"/>
  <c r="P37" i="475" s="1"/>
  <c r="O38" i="475"/>
  <c r="O37" i="475" s="1"/>
  <c r="R36" i="475"/>
  <c r="Q36" i="475"/>
  <c r="P36" i="475"/>
  <c r="O36" i="475"/>
  <c r="R35" i="475"/>
  <c r="Q35" i="475"/>
  <c r="P35" i="475"/>
  <c r="O35" i="475"/>
  <c r="R33" i="475"/>
  <c r="Q33" i="475"/>
  <c r="P33" i="475"/>
  <c r="O33" i="475"/>
  <c r="R32" i="475"/>
  <c r="Q32" i="475"/>
  <c r="P32" i="475"/>
  <c r="O32" i="475"/>
  <c r="R31" i="475"/>
  <c r="Q31" i="475"/>
  <c r="P31" i="475"/>
  <c r="O31" i="475"/>
  <c r="R30" i="475"/>
  <c r="Q30" i="475"/>
  <c r="P30" i="475"/>
  <c r="O30" i="475"/>
  <c r="R29" i="475"/>
  <c r="Q29" i="475"/>
  <c r="P29" i="475"/>
  <c r="O29" i="475"/>
  <c r="R28" i="475"/>
  <c r="Q28" i="475"/>
  <c r="P28" i="475"/>
  <c r="O28" i="475"/>
  <c r="R27" i="475"/>
  <c r="Q27" i="475"/>
  <c r="P27" i="475"/>
  <c r="O27" i="475"/>
  <c r="R26" i="475"/>
  <c r="Q26" i="475"/>
  <c r="P26" i="475"/>
  <c r="O26" i="475"/>
  <c r="R25" i="475"/>
  <c r="Q25" i="475"/>
  <c r="P25" i="475"/>
  <c r="O25" i="475"/>
  <c r="R24" i="475"/>
  <c r="Q24" i="475"/>
  <c r="P24" i="475"/>
  <c r="O24" i="475"/>
  <c r="R23" i="475"/>
  <c r="Q23" i="475"/>
  <c r="P23" i="475"/>
  <c r="P22" i="475" s="1"/>
  <c r="O23" i="475"/>
  <c r="O22" i="475" s="1"/>
  <c r="R21" i="475"/>
  <c r="Q21" i="475"/>
  <c r="P21" i="475"/>
  <c r="O21" i="475"/>
  <c r="R20" i="475"/>
  <c r="Q20" i="475"/>
  <c r="P20" i="475"/>
  <c r="O20" i="475"/>
  <c r="R19" i="475"/>
  <c r="Q19" i="475"/>
  <c r="P19" i="475"/>
  <c r="O19" i="475"/>
  <c r="R18" i="475"/>
  <c r="Q18" i="475"/>
  <c r="P18" i="475"/>
  <c r="O18" i="475"/>
  <c r="R17" i="475"/>
  <c r="Q17" i="475"/>
  <c r="P17" i="475"/>
  <c r="O17" i="475"/>
  <c r="R16" i="475"/>
  <c r="Q16" i="475"/>
  <c r="P16" i="475"/>
  <c r="O16" i="475"/>
  <c r="R15" i="475"/>
  <c r="Q15" i="475"/>
  <c r="P15" i="475"/>
  <c r="O15" i="475"/>
  <c r="R14" i="475"/>
  <c r="Q14" i="475"/>
  <c r="P14" i="475"/>
  <c r="O14" i="475"/>
  <c r="R13" i="475"/>
  <c r="Q13" i="475"/>
  <c r="P13" i="475"/>
  <c r="O13" i="475"/>
  <c r="R12" i="475"/>
  <c r="Q12" i="475"/>
  <c r="P12" i="475"/>
  <c r="O12" i="475"/>
  <c r="R11" i="475"/>
  <c r="Q11" i="475"/>
  <c r="P11" i="475"/>
  <c r="O11" i="475"/>
  <c r="R10" i="475"/>
  <c r="Q10" i="475"/>
  <c r="P10" i="475"/>
  <c r="P9" i="475" s="1"/>
  <c r="O10" i="475"/>
  <c r="O9" i="475" s="1"/>
  <c r="L300" i="475"/>
  <c r="K300" i="475"/>
  <c r="J300" i="475"/>
  <c r="I300" i="475"/>
  <c r="L299" i="475"/>
  <c r="K299" i="475"/>
  <c r="J299" i="475"/>
  <c r="I299" i="475"/>
  <c r="L298" i="475"/>
  <c r="K298" i="475"/>
  <c r="J298" i="475"/>
  <c r="I298" i="475"/>
  <c r="L297" i="475"/>
  <c r="K297" i="475"/>
  <c r="J297" i="475"/>
  <c r="I297" i="475"/>
  <c r="L295" i="475"/>
  <c r="K295" i="475"/>
  <c r="J295" i="475"/>
  <c r="I295" i="475"/>
  <c r="L294" i="475"/>
  <c r="K294" i="475"/>
  <c r="J294" i="475"/>
  <c r="I294" i="475"/>
  <c r="L293" i="475"/>
  <c r="K293" i="475"/>
  <c r="J293" i="475"/>
  <c r="I293" i="475"/>
  <c r="L291" i="475"/>
  <c r="K291" i="475"/>
  <c r="J291" i="475"/>
  <c r="I291" i="475"/>
  <c r="L289" i="475"/>
  <c r="K289" i="475"/>
  <c r="J289" i="475"/>
  <c r="I289" i="475"/>
  <c r="L288" i="475"/>
  <c r="K288" i="475"/>
  <c r="J288" i="475"/>
  <c r="I288" i="475"/>
  <c r="L287" i="475"/>
  <c r="K287" i="475"/>
  <c r="J287" i="475"/>
  <c r="I287" i="475"/>
  <c r="L286" i="475"/>
  <c r="K286" i="475"/>
  <c r="J286" i="475"/>
  <c r="I286" i="475"/>
  <c r="L285" i="475"/>
  <c r="K285" i="475"/>
  <c r="J285" i="475"/>
  <c r="I285" i="475"/>
  <c r="L284" i="475"/>
  <c r="K284" i="475"/>
  <c r="J284" i="475"/>
  <c r="I284" i="475"/>
  <c r="L283" i="475"/>
  <c r="K283" i="475"/>
  <c r="J283" i="475"/>
  <c r="I283" i="475"/>
  <c r="L282" i="475"/>
  <c r="K282" i="475"/>
  <c r="J282" i="475"/>
  <c r="I282" i="475"/>
  <c r="L281" i="475"/>
  <c r="K281" i="475"/>
  <c r="J281" i="475"/>
  <c r="I281" i="475"/>
  <c r="L280" i="475"/>
  <c r="K280" i="475"/>
  <c r="J280" i="475"/>
  <c r="I280" i="475"/>
  <c r="L279" i="475"/>
  <c r="K279" i="475"/>
  <c r="J279" i="475"/>
  <c r="I279" i="475"/>
  <c r="L278" i="475"/>
  <c r="K278" i="475"/>
  <c r="J278" i="475"/>
  <c r="I278" i="475"/>
  <c r="L277" i="475"/>
  <c r="K277" i="475"/>
  <c r="J277" i="475"/>
  <c r="I277" i="475"/>
  <c r="L276" i="475"/>
  <c r="K276" i="475"/>
  <c r="J276" i="475"/>
  <c r="I276" i="475"/>
  <c r="L275" i="475"/>
  <c r="K275" i="475"/>
  <c r="J275" i="475"/>
  <c r="I275" i="475"/>
  <c r="L274" i="475"/>
  <c r="K274" i="475"/>
  <c r="J274" i="475"/>
  <c r="I274" i="475"/>
  <c r="L273" i="475"/>
  <c r="K273" i="475"/>
  <c r="J273" i="475"/>
  <c r="I273" i="475"/>
  <c r="L272" i="475"/>
  <c r="K272" i="475"/>
  <c r="J272" i="475"/>
  <c r="I272" i="475"/>
  <c r="L269" i="475"/>
  <c r="K269" i="475"/>
  <c r="J269" i="475"/>
  <c r="I269" i="475"/>
  <c r="L268" i="475"/>
  <c r="K268" i="475"/>
  <c r="J268" i="475"/>
  <c r="I268" i="475"/>
  <c r="L267" i="475"/>
  <c r="K267" i="475"/>
  <c r="J267" i="475"/>
  <c r="I267" i="475"/>
  <c r="L266" i="475"/>
  <c r="K266" i="475"/>
  <c r="J266" i="475"/>
  <c r="I266" i="475"/>
  <c r="L265" i="475"/>
  <c r="K265" i="475"/>
  <c r="J265" i="475"/>
  <c r="I265" i="475"/>
  <c r="L264" i="475"/>
  <c r="K264" i="475"/>
  <c r="J264" i="475"/>
  <c r="I264" i="475"/>
  <c r="L263" i="475"/>
  <c r="K263" i="475"/>
  <c r="J263" i="475"/>
  <c r="I263" i="475"/>
  <c r="L262" i="475"/>
  <c r="K262" i="475"/>
  <c r="J262" i="475"/>
  <c r="I262" i="475"/>
  <c r="L261" i="475"/>
  <c r="K261" i="475"/>
  <c r="J261" i="475"/>
  <c r="I261" i="475"/>
  <c r="L260" i="475"/>
  <c r="K260" i="475"/>
  <c r="J260" i="475"/>
  <c r="I260" i="475"/>
  <c r="L259" i="475"/>
  <c r="K259" i="475"/>
  <c r="J259" i="475"/>
  <c r="I259" i="475"/>
  <c r="L258" i="475"/>
  <c r="K258" i="475"/>
  <c r="J258" i="475"/>
  <c r="I258" i="475"/>
  <c r="L257" i="475"/>
  <c r="K257" i="475"/>
  <c r="J257" i="475"/>
  <c r="I257" i="475"/>
  <c r="L256" i="475"/>
  <c r="K256" i="475"/>
  <c r="J256" i="475"/>
  <c r="I256" i="475"/>
  <c r="L255" i="475"/>
  <c r="K255" i="475"/>
  <c r="J255" i="475"/>
  <c r="I255" i="475"/>
  <c r="L252" i="475"/>
  <c r="K252" i="475"/>
  <c r="J252" i="475"/>
  <c r="I252" i="475"/>
  <c r="L251" i="475"/>
  <c r="K251" i="475"/>
  <c r="J251" i="475"/>
  <c r="I251" i="475"/>
  <c r="L250" i="475"/>
  <c r="K250" i="475"/>
  <c r="J250" i="475"/>
  <c r="I250" i="475"/>
  <c r="L249" i="475"/>
  <c r="K249" i="475"/>
  <c r="J249" i="475"/>
  <c r="I249" i="475"/>
  <c r="L248" i="475"/>
  <c r="K248" i="475"/>
  <c r="J248" i="475"/>
  <c r="I248" i="475"/>
  <c r="L247" i="475"/>
  <c r="K247" i="475"/>
  <c r="J247" i="475"/>
  <c r="I247" i="475"/>
  <c r="L245" i="475"/>
  <c r="K245" i="475"/>
  <c r="J245" i="475"/>
  <c r="I245" i="475"/>
  <c r="L244" i="475"/>
  <c r="K244" i="475"/>
  <c r="J244" i="475"/>
  <c r="I244" i="475"/>
  <c r="L243" i="475"/>
  <c r="K243" i="475"/>
  <c r="J243" i="475"/>
  <c r="I243" i="475"/>
  <c r="L241" i="475"/>
  <c r="K241" i="475"/>
  <c r="J241" i="475"/>
  <c r="I241" i="475"/>
  <c r="L240" i="475"/>
  <c r="K240" i="475"/>
  <c r="J240" i="475"/>
  <c r="I240" i="475"/>
  <c r="L239" i="475"/>
  <c r="K239" i="475"/>
  <c r="J239" i="475"/>
  <c r="I239" i="475"/>
  <c r="L238" i="475"/>
  <c r="K238" i="475"/>
  <c r="J238" i="475"/>
  <c r="I238" i="475"/>
  <c r="L237" i="475"/>
  <c r="K237" i="475"/>
  <c r="J237" i="475"/>
  <c r="I237" i="475"/>
  <c r="L236" i="475"/>
  <c r="K236" i="475"/>
  <c r="J236" i="475"/>
  <c r="I236" i="475"/>
  <c r="L235" i="475"/>
  <c r="K235" i="475"/>
  <c r="J235" i="475"/>
  <c r="I235" i="475"/>
  <c r="L234" i="475"/>
  <c r="K234" i="475"/>
  <c r="J234" i="475"/>
  <c r="I234" i="475"/>
  <c r="L233" i="475"/>
  <c r="K233" i="475"/>
  <c r="J233" i="475"/>
  <c r="I233" i="475"/>
  <c r="L231" i="475"/>
  <c r="K231" i="475"/>
  <c r="J231" i="475"/>
  <c r="I231" i="475"/>
  <c r="L228" i="475"/>
  <c r="K228" i="475"/>
  <c r="J228" i="475"/>
  <c r="I228" i="475"/>
  <c r="L227" i="475"/>
  <c r="K227" i="475"/>
  <c r="J227" i="475"/>
  <c r="I227" i="475"/>
  <c r="L226" i="475"/>
  <c r="K226" i="475"/>
  <c r="J226" i="475"/>
  <c r="I226" i="475"/>
  <c r="L225" i="475"/>
  <c r="K225" i="475"/>
  <c r="J225" i="475"/>
  <c r="I225" i="475"/>
  <c r="L224" i="475"/>
  <c r="K224" i="475"/>
  <c r="J224" i="475"/>
  <c r="I224" i="475"/>
  <c r="L223" i="475"/>
  <c r="K223" i="475"/>
  <c r="J223" i="475"/>
  <c r="I223" i="475"/>
  <c r="L222" i="475"/>
  <c r="K222" i="475"/>
  <c r="J222" i="475"/>
  <c r="I222" i="475"/>
  <c r="L221" i="475"/>
  <c r="K221" i="475"/>
  <c r="J221" i="475"/>
  <c r="I221" i="475"/>
  <c r="L220" i="475"/>
  <c r="K220" i="475"/>
  <c r="J220" i="475"/>
  <c r="I220" i="475"/>
  <c r="L219" i="475"/>
  <c r="K219" i="475"/>
  <c r="J219" i="475"/>
  <c r="I219" i="475"/>
  <c r="L218" i="475"/>
  <c r="K218" i="475"/>
  <c r="J218" i="475"/>
  <c r="I218" i="475"/>
  <c r="L216" i="475"/>
  <c r="K216" i="475"/>
  <c r="J216" i="475"/>
  <c r="I216" i="475"/>
  <c r="L215" i="475"/>
  <c r="K215" i="475"/>
  <c r="J215" i="475"/>
  <c r="I215" i="475"/>
  <c r="L214" i="475"/>
  <c r="K214" i="475"/>
  <c r="J214" i="475"/>
  <c r="I214" i="475"/>
  <c r="L212" i="475"/>
  <c r="K212" i="475"/>
  <c r="J212" i="475"/>
  <c r="I212" i="475"/>
  <c r="L211" i="475"/>
  <c r="K211" i="475"/>
  <c r="J211" i="475"/>
  <c r="I211" i="475"/>
  <c r="L210" i="475"/>
  <c r="K210" i="475"/>
  <c r="J210" i="475"/>
  <c r="I210" i="475"/>
  <c r="L208" i="475"/>
  <c r="K208" i="475"/>
  <c r="J208" i="475"/>
  <c r="I208" i="475"/>
  <c r="L207" i="475"/>
  <c r="K207" i="475"/>
  <c r="J207" i="475"/>
  <c r="I207" i="475"/>
  <c r="L206" i="475"/>
  <c r="K206" i="475"/>
  <c r="J206" i="475"/>
  <c r="I206" i="475"/>
  <c r="L205" i="475"/>
  <c r="K205" i="475"/>
  <c r="J205" i="475"/>
  <c r="I205" i="475"/>
  <c r="L204" i="475"/>
  <c r="K204" i="475"/>
  <c r="J204" i="475"/>
  <c r="I204" i="475"/>
  <c r="L203" i="475"/>
  <c r="K203" i="475"/>
  <c r="J203" i="475"/>
  <c r="I203" i="475"/>
  <c r="L202" i="475"/>
  <c r="K202" i="475"/>
  <c r="J202" i="475"/>
  <c r="I202" i="475"/>
  <c r="L201" i="475"/>
  <c r="K201" i="475"/>
  <c r="J201" i="475"/>
  <c r="I201" i="475"/>
  <c r="L200" i="475"/>
  <c r="K200" i="475"/>
  <c r="J200" i="475"/>
  <c r="I200" i="475"/>
  <c r="L199" i="475"/>
  <c r="K199" i="475"/>
  <c r="J199" i="475"/>
  <c r="I199" i="475"/>
  <c r="L198" i="475"/>
  <c r="K198" i="475"/>
  <c r="J198" i="475"/>
  <c r="I198" i="475"/>
  <c r="L197" i="475"/>
  <c r="K197" i="475"/>
  <c r="J197" i="475"/>
  <c r="I197" i="475"/>
  <c r="L196" i="475"/>
  <c r="K196" i="475"/>
  <c r="J196" i="475"/>
  <c r="I196" i="475"/>
  <c r="L195" i="475"/>
  <c r="K195" i="475"/>
  <c r="J195" i="475"/>
  <c r="I195" i="475"/>
  <c r="L194" i="475"/>
  <c r="K194" i="475"/>
  <c r="J194" i="475"/>
  <c r="I194" i="475"/>
  <c r="L193" i="475"/>
  <c r="K193" i="475"/>
  <c r="J193" i="475"/>
  <c r="I193" i="475"/>
  <c r="L192" i="475"/>
  <c r="K192" i="475"/>
  <c r="J192" i="475"/>
  <c r="I192" i="475"/>
  <c r="L191" i="475"/>
  <c r="K191" i="475"/>
  <c r="J191" i="475"/>
  <c r="I191" i="475"/>
  <c r="L190" i="475"/>
  <c r="K190" i="475"/>
  <c r="J190" i="475"/>
  <c r="I190" i="475"/>
  <c r="L189" i="475"/>
  <c r="K189" i="475"/>
  <c r="J189" i="475"/>
  <c r="I189" i="475"/>
  <c r="L188" i="475"/>
  <c r="K188" i="475"/>
  <c r="J188" i="475"/>
  <c r="I188" i="475"/>
  <c r="L187" i="475"/>
  <c r="K187" i="475"/>
  <c r="J187" i="475"/>
  <c r="I187" i="475"/>
  <c r="L186" i="475"/>
  <c r="K186" i="475"/>
  <c r="J186" i="475"/>
  <c r="I186" i="475"/>
  <c r="L185" i="475"/>
  <c r="K185" i="475"/>
  <c r="J185" i="475"/>
  <c r="I185" i="475"/>
  <c r="L184" i="475"/>
  <c r="K184" i="475"/>
  <c r="J184" i="475"/>
  <c r="I184" i="475"/>
  <c r="L183" i="475"/>
  <c r="K183" i="475"/>
  <c r="J183" i="475"/>
  <c r="I183" i="475"/>
  <c r="L182" i="475"/>
  <c r="K182" i="475"/>
  <c r="J182" i="475"/>
  <c r="I182" i="475"/>
  <c r="L181" i="475"/>
  <c r="K181" i="475"/>
  <c r="J181" i="475"/>
  <c r="I181" i="475"/>
  <c r="L180" i="475"/>
  <c r="K180" i="475"/>
  <c r="J180" i="475"/>
  <c r="I180" i="475"/>
  <c r="L179" i="475"/>
  <c r="K179" i="475"/>
  <c r="J179" i="475"/>
  <c r="I179" i="475"/>
  <c r="L178" i="475"/>
  <c r="K178" i="475"/>
  <c r="J178" i="475"/>
  <c r="I178" i="475"/>
  <c r="L176" i="475"/>
  <c r="K176" i="475"/>
  <c r="J176" i="475"/>
  <c r="I176" i="475"/>
  <c r="L175" i="475"/>
  <c r="K175" i="475"/>
  <c r="J175" i="475"/>
  <c r="I175" i="475"/>
  <c r="L174" i="475"/>
  <c r="K174" i="475"/>
  <c r="J174" i="475"/>
  <c r="I174" i="475"/>
  <c r="L172" i="475"/>
  <c r="K172" i="475"/>
  <c r="J172" i="475"/>
  <c r="I172" i="475"/>
  <c r="L171" i="475"/>
  <c r="K171" i="475"/>
  <c r="J171" i="475"/>
  <c r="I171" i="475"/>
  <c r="L170" i="475"/>
  <c r="K170" i="475"/>
  <c r="J170" i="475"/>
  <c r="I170" i="475"/>
  <c r="L169" i="475"/>
  <c r="K169" i="475"/>
  <c r="J169" i="475"/>
  <c r="I169" i="475"/>
  <c r="L167" i="475"/>
  <c r="K167" i="475"/>
  <c r="J167" i="475"/>
  <c r="I167" i="475"/>
  <c r="L164" i="475"/>
  <c r="K164" i="475"/>
  <c r="J164" i="475"/>
  <c r="I164" i="475"/>
  <c r="L163" i="475"/>
  <c r="K163" i="475"/>
  <c r="J163" i="475"/>
  <c r="I163" i="475"/>
  <c r="L162" i="475"/>
  <c r="K162" i="475"/>
  <c r="J162" i="475"/>
  <c r="I162" i="475"/>
  <c r="L160" i="475"/>
  <c r="K160" i="475"/>
  <c r="J160" i="475"/>
  <c r="I160" i="475"/>
  <c r="L159" i="475"/>
  <c r="K159" i="475"/>
  <c r="J159" i="475"/>
  <c r="I159" i="475"/>
  <c r="L158" i="475"/>
  <c r="K158" i="475"/>
  <c r="J158" i="475"/>
  <c r="I158" i="475"/>
  <c r="L157" i="475"/>
  <c r="K157" i="475"/>
  <c r="J157" i="475"/>
  <c r="I157" i="475"/>
  <c r="L156" i="475"/>
  <c r="K156" i="475"/>
  <c r="J156" i="475"/>
  <c r="I156" i="475"/>
  <c r="L155" i="475"/>
  <c r="K155" i="475"/>
  <c r="J155" i="475"/>
  <c r="I155" i="475"/>
  <c r="L154" i="475"/>
  <c r="K154" i="475"/>
  <c r="J154" i="475"/>
  <c r="I154" i="475"/>
  <c r="L153" i="475"/>
  <c r="K153" i="475"/>
  <c r="J153" i="475"/>
  <c r="I153" i="475"/>
  <c r="L152" i="475"/>
  <c r="K152" i="475"/>
  <c r="J152" i="475"/>
  <c r="I152" i="475"/>
  <c r="L151" i="475"/>
  <c r="K151" i="475"/>
  <c r="J151" i="475"/>
  <c r="I151" i="475"/>
  <c r="L150" i="475"/>
  <c r="K150" i="475"/>
  <c r="J150" i="475"/>
  <c r="I150" i="475"/>
  <c r="L149" i="475"/>
  <c r="K149" i="475"/>
  <c r="J149" i="475"/>
  <c r="I149" i="475"/>
  <c r="L147" i="475"/>
  <c r="K147" i="475"/>
  <c r="J147" i="475"/>
  <c r="I147" i="475"/>
  <c r="L146" i="475"/>
  <c r="K146" i="475"/>
  <c r="J146" i="475"/>
  <c r="I146" i="475"/>
  <c r="L145" i="475"/>
  <c r="K145" i="475"/>
  <c r="J145" i="475"/>
  <c r="I145" i="475"/>
  <c r="L144" i="475"/>
  <c r="K144" i="475"/>
  <c r="J144" i="475"/>
  <c r="I144" i="475"/>
  <c r="L143" i="475"/>
  <c r="K143" i="475"/>
  <c r="J143" i="475"/>
  <c r="I143" i="475"/>
  <c r="L142" i="475"/>
  <c r="K142" i="475"/>
  <c r="J142" i="475"/>
  <c r="I142" i="475"/>
  <c r="L141" i="475"/>
  <c r="K141" i="475"/>
  <c r="J141" i="475"/>
  <c r="I141" i="475"/>
  <c r="L140" i="475"/>
  <c r="K140" i="475"/>
  <c r="J140" i="475"/>
  <c r="I140" i="475"/>
  <c r="L138" i="475"/>
  <c r="K138" i="475"/>
  <c r="J138" i="475"/>
  <c r="I138" i="475"/>
  <c r="L137" i="475"/>
  <c r="K137" i="475"/>
  <c r="J137" i="475"/>
  <c r="I137" i="475"/>
  <c r="L136" i="475"/>
  <c r="K136" i="475"/>
  <c r="J136" i="475"/>
  <c r="I136" i="475"/>
  <c r="L135" i="475"/>
  <c r="K135" i="475"/>
  <c r="J135" i="475"/>
  <c r="I135" i="475"/>
  <c r="L134" i="475"/>
  <c r="K134" i="475"/>
  <c r="J134" i="475"/>
  <c r="I134" i="475"/>
  <c r="L133" i="475"/>
  <c r="K133" i="475"/>
  <c r="J133" i="475"/>
  <c r="I133" i="475"/>
  <c r="L132" i="475"/>
  <c r="K132" i="475"/>
  <c r="J132" i="475"/>
  <c r="I132" i="475"/>
  <c r="L131" i="475"/>
  <c r="K131" i="475"/>
  <c r="J131" i="475"/>
  <c r="I131" i="475"/>
  <c r="L130" i="475"/>
  <c r="K130" i="475"/>
  <c r="J130" i="475"/>
  <c r="I130" i="475"/>
  <c r="L128" i="475"/>
  <c r="K128" i="475"/>
  <c r="J128" i="475"/>
  <c r="I128" i="475"/>
  <c r="L127" i="475"/>
  <c r="K127" i="475"/>
  <c r="J127" i="475"/>
  <c r="I127" i="475"/>
  <c r="L126" i="475"/>
  <c r="K126" i="475"/>
  <c r="J126" i="475"/>
  <c r="I126" i="475"/>
  <c r="L124" i="475"/>
  <c r="K124" i="475"/>
  <c r="J124" i="475"/>
  <c r="I124" i="475"/>
  <c r="L123" i="475"/>
  <c r="K123" i="475"/>
  <c r="J123" i="475"/>
  <c r="I123" i="475"/>
  <c r="L121" i="475"/>
  <c r="K121" i="475"/>
  <c r="J121" i="475"/>
  <c r="I121" i="475"/>
  <c r="L120" i="475"/>
  <c r="K120" i="475"/>
  <c r="J120" i="475"/>
  <c r="I120" i="475"/>
  <c r="L118" i="475"/>
  <c r="K118" i="475"/>
  <c r="J118" i="475"/>
  <c r="I118" i="475"/>
  <c r="L117" i="475"/>
  <c r="K117" i="475"/>
  <c r="J117" i="475"/>
  <c r="I117" i="475"/>
  <c r="L116" i="475"/>
  <c r="K116" i="475"/>
  <c r="J116" i="475"/>
  <c r="I116" i="475"/>
  <c r="L114" i="475"/>
  <c r="K114" i="475"/>
  <c r="J114" i="475"/>
  <c r="I114" i="475"/>
  <c r="L113" i="475"/>
  <c r="K113" i="475"/>
  <c r="J113" i="475"/>
  <c r="I113" i="475"/>
  <c r="L112" i="475"/>
  <c r="K112" i="475"/>
  <c r="J112" i="475"/>
  <c r="I112" i="475"/>
  <c r="L111" i="475"/>
  <c r="K111" i="475"/>
  <c r="J111" i="475"/>
  <c r="I111" i="475"/>
  <c r="L110" i="475"/>
  <c r="K110" i="475"/>
  <c r="J110" i="475"/>
  <c r="I110" i="475"/>
  <c r="L109" i="475"/>
  <c r="K109" i="475"/>
  <c r="J109" i="475"/>
  <c r="I109" i="475"/>
  <c r="L107" i="475"/>
  <c r="K107" i="475"/>
  <c r="J107" i="475"/>
  <c r="I107" i="475"/>
  <c r="L106" i="475"/>
  <c r="K106" i="475"/>
  <c r="J106" i="475"/>
  <c r="I106" i="475"/>
  <c r="L105" i="475"/>
  <c r="K105" i="475"/>
  <c r="J105" i="475"/>
  <c r="I105" i="475"/>
  <c r="L104" i="475"/>
  <c r="K104" i="475"/>
  <c r="J104" i="475"/>
  <c r="I104" i="475"/>
  <c r="L102" i="475"/>
  <c r="K102" i="475"/>
  <c r="J102" i="475"/>
  <c r="I102" i="475"/>
  <c r="L101" i="475"/>
  <c r="K101" i="475"/>
  <c r="J101" i="475"/>
  <c r="I101" i="475"/>
  <c r="L100" i="475"/>
  <c r="K100" i="475"/>
  <c r="J100" i="475"/>
  <c r="I100" i="475"/>
  <c r="L99" i="475"/>
  <c r="K99" i="475"/>
  <c r="J99" i="475"/>
  <c r="I99" i="475"/>
  <c r="L98" i="475"/>
  <c r="K98" i="475"/>
  <c r="J98" i="475"/>
  <c r="I98" i="475"/>
  <c r="L97" i="475"/>
  <c r="K97" i="475"/>
  <c r="J97" i="475"/>
  <c r="I97" i="475"/>
  <c r="L96" i="475"/>
  <c r="K96" i="475"/>
  <c r="J96" i="475"/>
  <c r="I96" i="475"/>
  <c r="L95" i="475"/>
  <c r="K95" i="475"/>
  <c r="J95" i="475"/>
  <c r="I95" i="475"/>
  <c r="L94" i="475"/>
  <c r="K94" i="475"/>
  <c r="J94" i="475"/>
  <c r="I94" i="475"/>
  <c r="L93" i="475"/>
  <c r="K93" i="475"/>
  <c r="J93" i="475"/>
  <c r="I93" i="475"/>
  <c r="L92" i="475"/>
  <c r="K92" i="475"/>
  <c r="J92" i="475"/>
  <c r="I92" i="475"/>
  <c r="L91" i="475"/>
  <c r="K91" i="475"/>
  <c r="J91" i="475"/>
  <c r="I91" i="475"/>
  <c r="L90" i="475"/>
  <c r="K90" i="475"/>
  <c r="J90" i="475"/>
  <c r="I90" i="475"/>
  <c r="L89" i="475"/>
  <c r="K89" i="475"/>
  <c r="J89" i="475"/>
  <c r="I89" i="475"/>
  <c r="L88" i="475"/>
  <c r="K88" i="475"/>
  <c r="J88" i="475"/>
  <c r="I88" i="475"/>
  <c r="L87" i="475"/>
  <c r="K87" i="475"/>
  <c r="J87" i="475"/>
  <c r="I87" i="475"/>
  <c r="L86" i="475"/>
  <c r="K86" i="475"/>
  <c r="J86" i="475"/>
  <c r="I86" i="475"/>
  <c r="L85" i="475"/>
  <c r="K85" i="475"/>
  <c r="J85" i="475"/>
  <c r="I85" i="475"/>
  <c r="L84" i="475"/>
  <c r="K84" i="475"/>
  <c r="J84" i="475"/>
  <c r="I84" i="475"/>
  <c r="L83" i="475"/>
  <c r="K83" i="475"/>
  <c r="J83" i="475"/>
  <c r="I83" i="475"/>
  <c r="L82" i="475"/>
  <c r="K82" i="475"/>
  <c r="J82" i="475"/>
  <c r="I82" i="475"/>
  <c r="L81" i="475"/>
  <c r="K81" i="475"/>
  <c r="J81" i="475"/>
  <c r="I81" i="475"/>
  <c r="L80" i="475"/>
  <c r="K80" i="475"/>
  <c r="J80" i="475"/>
  <c r="I80" i="475"/>
  <c r="L79" i="475"/>
  <c r="K79" i="475"/>
  <c r="J79" i="475"/>
  <c r="I79" i="475"/>
  <c r="L78" i="475"/>
  <c r="K78" i="475"/>
  <c r="J78" i="475"/>
  <c r="I78" i="475"/>
  <c r="L77" i="475"/>
  <c r="K77" i="475"/>
  <c r="J77" i="475"/>
  <c r="I77" i="475"/>
  <c r="L75" i="475"/>
  <c r="K75" i="475"/>
  <c r="J75" i="475"/>
  <c r="I75" i="475"/>
  <c r="L74" i="475"/>
  <c r="K74" i="475"/>
  <c r="J74" i="475"/>
  <c r="I74" i="475"/>
  <c r="L72" i="475"/>
  <c r="K72" i="475"/>
  <c r="J72" i="475"/>
  <c r="I72" i="475"/>
  <c r="L71" i="475"/>
  <c r="K71" i="475"/>
  <c r="J71" i="475"/>
  <c r="I71" i="475"/>
  <c r="L70" i="475"/>
  <c r="K70" i="475"/>
  <c r="J70" i="475"/>
  <c r="I70" i="475"/>
  <c r="L69" i="475"/>
  <c r="K69" i="475"/>
  <c r="J69" i="475"/>
  <c r="I69" i="475"/>
  <c r="L68" i="475"/>
  <c r="K68" i="475"/>
  <c r="J68" i="475"/>
  <c r="I68" i="475"/>
  <c r="L66" i="475"/>
  <c r="K66" i="475"/>
  <c r="J66" i="475"/>
  <c r="I66" i="475"/>
  <c r="L65" i="475"/>
  <c r="K65" i="475"/>
  <c r="J65" i="475"/>
  <c r="I65" i="475"/>
  <c r="L64" i="475"/>
  <c r="K64" i="475"/>
  <c r="J64" i="475"/>
  <c r="I64" i="475"/>
  <c r="L63" i="475"/>
  <c r="K63" i="475"/>
  <c r="J63" i="475"/>
  <c r="I63" i="475"/>
  <c r="L62" i="475"/>
  <c r="K62" i="475"/>
  <c r="J62" i="475"/>
  <c r="I62" i="475"/>
  <c r="L61" i="475"/>
  <c r="K61" i="475"/>
  <c r="J61" i="475"/>
  <c r="I61" i="475"/>
  <c r="L59" i="475"/>
  <c r="K59" i="475"/>
  <c r="J59" i="475"/>
  <c r="I59" i="475"/>
  <c r="L58" i="475"/>
  <c r="K58" i="475"/>
  <c r="J58" i="475"/>
  <c r="I58" i="475"/>
  <c r="L57" i="475"/>
  <c r="K57" i="475"/>
  <c r="J57" i="475"/>
  <c r="I57" i="475"/>
  <c r="L56" i="475"/>
  <c r="K56" i="475"/>
  <c r="J56" i="475"/>
  <c r="I56" i="475"/>
  <c r="L55" i="475"/>
  <c r="K55" i="475"/>
  <c r="J55" i="475"/>
  <c r="I55" i="475"/>
  <c r="L53" i="475"/>
  <c r="K53" i="475"/>
  <c r="J53" i="475"/>
  <c r="I53" i="475"/>
  <c r="L52" i="475"/>
  <c r="K52" i="475"/>
  <c r="J52" i="475"/>
  <c r="I52" i="475"/>
  <c r="L51" i="475"/>
  <c r="K51" i="475"/>
  <c r="J51" i="475"/>
  <c r="I51" i="475"/>
  <c r="L50" i="475"/>
  <c r="K50" i="475"/>
  <c r="J50" i="475"/>
  <c r="I50" i="475"/>
  <c r="L49" i="475"/>
  <c r="K49" i="475"/>
  <c r="J49" i="475"/>
  <c r="I49" i="475"/>
  <c r="L48" i="475"/>
  <c r="K48" i="475"/>
  <c r="J48" i="475"/>
  <c r="I48" i="475"/>
  <c r="L47" i="475"/>
  <c r="K47" i="475"/>
  <c r="J47" i="475"/>
  <c r="I47" i="475"/>
  <c r="L46" i="475"/>
  <c r="K46" i="475"/>
  <c r="J46" i="475"/>
  <c r="I46" i="475"/>
  <c r="L44" i="475"/>
  <c r="K44" i="475"/>
  <c r="J44" i="475"/>
  <c r="I44" i="475"/>
  <c r="L43" i="475"/>
  <c r="K43" i="475"/>
  <c r="J43" i="475"/>
  <c r="I43" i="475"/>
  <c r="L42" i="475"/>
  <c r="K42" i="475"/>
  <c r="J42" i="475"/>
  <c r="I42" i="475"/>
  <c r="L41" i="475"/>
  <c r="K41" i="475"/>
  <c r="J41" i="475"/>
  <c r="I41" i="475"/>
  <c r="L39" i="475"/>
  <c r="K39" i="475"/>
  <c r="J39" i="475"/>
  <c r="I39" i="475"/>
  <c r="L38" i="475"/>
  <c r="K38" i="475"/>
  <c r="J38" i="475"/>
  <c r="I38" i="475"/>
  <c r="L36" i="475"/>
  <c r="K36" i="475"/>
  <c r="J36" i="475"/>
  <c r="I36" i="475"/>
  <c r="L35" i="475"/>
  <c r="K35" i="475"/>
  <c r="J35" i="475"/>
  <c r="I35" i="475"/>
  <c r="L33" i="475"/>
  <c r="K33" i="475"/>
  <c r="J33" i="475"/>
  <c r="I33" i="475"/>
  <c r="L32" i="475"/>
  <c r="K32" i="475"/>
  <c r="J32" i="475"/>
  <c r="I32" i="475"/>
  <c r="L31" i="475"/>
  <c r="K31" i="475"/>
  <c r="J31" i="475"/>
  <c r="I31" i="475"/>
  <c r="L30" i="475"/>
  <c r="K30" i="475"/>
  <c r="J30" i="475"/>
  <c r="I30" i="475"/>
  <c r="L29" i="475"/>
  <c r="K29" i="475"/>
  <c r="J29" i="475"/>
  <c r="I29" i="475"/>
  <c r="L28" i="475"/>
  <c r="K28" i="475"/>
  <c r="J28" i="475"/>
  <c r="I28" i="475"/>
  <c r="L27" i="475"/>
  <c r="K27" i="475"/>
  <c r="J27" i="475"/>
  <c r="I27" i="475"/>
  <c r="L26" i="475"/>
  <c r="K26" i="475"/>
  <c r="J26" i="475"/>
  <c r="I26" i="475"/>
  <c r="L25" i="475"/>
  <c r="K25" i="475"/>
  <c r="J25" i="475"/>
  <c r="I25" i="475"/>
  <c r="L24" i="475"/>
  <c r="K24" i="475"/>
  <c r="J24" i="475"/>
  <c r="I24" i="475"/>
  <c r="L23" i="475"/>
  <c r="K23" i="475"/>
  <c r="J23" i="475"/>
  <c r="I23" i="475"/>
  <c r="L21" i="475"/>
  <c r="K21" i="475"/>
  <c r="J21" i="475"/>
  <c r="I21" i="475"/>
  <c r="L20" i="475"/>
  <c r="K20" i="475"/>
  <c r="J20" i="475"/>
  <c r="I20" i="475"/>
  <c r="L19" i="475"/>
  <c r="K19" i="475"/>
  <c r="J19" i="475"/>
  <c r="I19" i="475"/>
  <c r="L18" i="475"/>
  <c r="K18" i="475"/>
  <c r="J18" i="475"/>
  <c r="I18" i="475"/>
  <c r="L17" i="475"/>
  <c r="K17" i="475"/>
  <c r="J17" i="475"/>
  <c r="I17" i="475"/>
  <c r="L16" i="475"/>
  <c r="K16" i="475"/>
  <c r="J16" i="475"/>
  <c r="I16" i="475"/>
  <c r="L15" i="475"/>
  <c r="K15" i="475"/>
  <c r="J15" i="475"/>
  <c r="I15" i="475"/>
  <c r="L14" i="475"/>
  <c r="K14" i="475"/>
  <c r="J14" i="475"/>
  <c r="I14" i="475"/>
  <c r="L13" i="475"/>
  <c r="K13" i="475"/>
  <c r="J13" i="475"/>
  <c r="I13" i="475"/>
  <c r="L12" i="475"/>
  <c r="K12" i="475"/>
  <c r="J12" i="475"/>
  <c r="I12" i="475"/>
  <c r="L11" i="475"/>
  <c r="K11" i="475"/>
  <c r="J11" i="475"/>
  <c r="I11" i="475"/>
  <c r="L10" i="475"/>
  <c r="K10" i="475"/>
  <c r="J10" i="475"/>
  <c r="I10" i="475"/>
  <c r="F300" i="475"/>
  <c r="E300" i="475"/>
  <c r="D300" i="475"/>
  <c r="C300" i="475"/>
  <c r="F299" i="475"/>
  <c r="E299" i="475"/>
  <c r="D299" i="475"/>
  <c r="C299" i="475"/>
  <c r="F298" i="475"/>
  <c r="E298" i="475"/>
  <c r="D298" i="475"/>
  <c r="C298" i="475"/>
  <c r="F297" i="475"/>
  <c r="F296" i="475" s="1"/>
  <c r="E297" i="475"/>
  <c r="E296" i="475" s="1"/>
  <c r="D297" i="475"/>
  <c r="D296" i="475" s="1"/>
  <c r="C297" i="475"/>
  <c r="C296" i="475" s="1"/>
  <c r="F295" i="475"/>
  <c r="E295" i="475"/>
  <c r="D295" i="475"/>
  <c r="C295" i="475"/>
  <c r="F294" i="475"/>
  <c r="E294" i="475"/>
  <c r="D294" i="475"/>
  <c r="C294" i="475"/>
  <c r="F293" i="475"/>
  <c r="F292" i="475" s="1"/>
  <c r="E293" i="475"/>
  <c r="E292" i="475" s="1"/>
  <c r="D293" i="475"/>
  <c r="D292" i="475" s="1"/>
  <c r="C293" i="475"/>
  <c r="C292" i="475" s="1"/>
  <c r="F291" i="475"/>
  <c r="E291" i="475"/>
  <c r="D291" i="475"/>
  <c r="D290" i="475" s="1"/>
  <c r="C291" i="475"/>
  <c r="F289" i="475"/>
  <c r="E289" i="475"/>
  <c r="D289" i="475"/>
  <c r="C289" i="475"/>
  <c r="F288" i="475"/>
  <c r="E288" i="475"/>
  <c r="D288" i="475"/>
  <c r="C288" i="475"/>
  <c r="F287" i="475"/>
  <c r="E287" i="475"/>
  <c r="D287" i="475"/>
  <c r="C287" i="475"/>
  <c r="F286" i="475"/>
  <c r="E286" i="475"/>
  <c r="D286" i="475"/>
  <c r="C286" i="475"/>
  <c r="F285" i="475"/>
  <c r="E285" i="475"/>
  <c r="D285" i="475"/>
  <c r="C285" i="475"/>
  <c r="F284" i="475"/>
  <c r="E284" i="475"/>
  <c r="D284" i="475"/>
  <c r="C284" i="475"/>
  <c r="F283" i="475"/>
  <c r="E283" i="475"/>
  <c r="D283" i="475"/>
  <c r="C283" i="475"/>
  <c r="F282" i="475"/>
  <c r="E282" i="475"/>
  <c r="D282" i="475"/>
  <c r="C282" i="475"/>
  <c r="F281" i="475"/>
  <c r="E281" i="475"/>
  <c r="D281" i="475"/>
  <c r="C281" i="475"/>
  <c r="F280" i="475"/>
  <c r="E280" i="475"/>
  <c r="D280" i="475"/>
  <c r="C280" i="475"/>
  <c r="F279" i="475"/>
  <c r="E279" i="475"/>
  <c r="D279" i="475"/>
  <c r="C279" i="475"/>
  <c r="F278" i="475"/>
  <c r="E278" i="475"/>
  <c r="D278" i="475"/>
  <c r="C278" i="475"/>
  <c r="F277" i="475"/>
  <c r="E277" i="475"/>
  <c r="D277" i="475"/>
  <c r="C277" i="475"/>
  <c r="F276" i="475"/>
  <c r="E276" i="475"/>
  <c r="D276" i="475"/>
  <c r="C276" i="475"/>
  <c r="F275" i="475"/>
  <c r="E275" i="475"/>
  <c r="D275" i="475"/>
  <c r="C275" i="475"/>
  <c r="F274" i="475"/>
  <c r="E274" i="475"/>
  <c r="D274" i="475"/>
  <c r="C274" i="475"/>
  <c r="F273" i="475"/>
  <c r="E273" i="475"/>
  <c r="D273" i="475"/>
  <c r="C273" i="475"/>
  <c r="F272" i="475"/>
  <c r="F271" i="475" s="1"/>
  <c r="F270" i="475" s="1"/>
  <c r="E272" i="475"/>
  <c r="E271" i="475" s="1"/>
  <c r="E270" i="475" s="1"/>
  <c r="D272" i="475"/>
  <c r="D271" i="475" s="1"/>
  <c r="D270" i="475" s="1"/>
  <c r="C272" i="475"/>
  <c r="C271" i="475" s="1"/>
  <c r="C270" i="475" s="1"/>
  <c r="F269" i="475"/>
  <c r="E269" i="475"/>
  <c r="D269" i="475"/>
  <c r="C269" i="475"/>
  <c r="F268" i="475"/>
  <c r="E268" i="475"/>
  <c r="D268" i="475"/>
  <c r="C268" i="475"/>
  <c r="F267" i="475"/>
  <c r="E267" i="475"/>
  <c r="D267" i="475"/>
  <c r="C267" i="475"/>
  <c r="F266" i="475"/>
  <c r="E266" i="475"/>
  <c r="D266" i="475"/>
  <c r="C266" i="475"/>
  <c r="F265" i="475"/>
  <c r="E265" i="475"/>
  <c r="D265" i="475"/>
  <c r="C265" i="475"/>
  <c r="F264" i="475"/>
  <c r="E264" i="475"/>
  <c r="D264" i="475"/>
  <c r="C264" i="475"/>
  <c r="F263" i="475"/>
  <c r="E263" i="475"/>
  <c r="D263" i="475"/>
  <c r="C263" i="475"/>
  <c r="F262" i="475"/>
  <c r="E262" i="475"/>
  <c r="D262" i="475"/>
  <c r="C262" i="475"/>
  <c r="F261" i="475"/>
  <c r="E261" i="475"/>
  <c r="D261" i="475"/>
  <c r="C261" i="475"/>
  <c r="F260" i="475"/>
  <c r="E260" i="475"/>
  <c r="D260" i="475"/>
  <c r="C260" i="475"/>
  <c r="F259" i="475"/>
  <c r="E259" i="475"/>
  <c r="D259" i="475"/>
  <c r="C259" i="475"/>
  <c r="F258" i="475"/>
  <c r="E258" i="475"/>
  <c r="D258" i="475"/>
  <c r="C258" i="475"/>
  <c r="F257" i="475"/>
  <c r="E257" i="475"/>
  <c r="D257" i="475"/>
  <c r="C257" i="475"/>
  <c r="F256" i="475"/>
  <c r="E256" i="475"/>
  <c r="D256" i="475"/>
  <c r="C256" i="475"/>
  <c r="F255" i="475"/>
  <c r="E255" i="475"/>
  <c r="D255" i="475"/>
  <c r="C255" i="475"/>
  <c r="F252" i="475"/>
  <c r="E252" i="475"/>
  <c r="D252" i="475"/>
  <c r="C252" i="475"/>
  <c r="F251" i="475"/>
  <c r="E251" i="475"/>
  <c r="D251" i="475"/>
  <c r="C251" i="475"/>
  <c r="F250" i="475"/>
  <c r="E250" i="475"/>
  <c r="D250" i="475"/>
  <c r="C250" i="475"/>
  <c r="F249" i="475"/>
  <c r="E249" i="475"/>
  <c r="D249" i="475"/>
  <c r="C249" i="475"/>
  <c r="F248" i="475"/>
  <c r="E248" i="475"/>
  <c r="D248" i="475"/>
  <c r="C248" i="475"/>
  <c r="F247" i="475"/>
  <c r="F246" i="475" s="1"/>
  <c r="E247" i="475"/>
  <c r="E246" i="475" s="1"/>
  <c r="D247" i="475"/>
  <c r="D246" i="475" s="1"/>
  <c r="C247" i="475"/>
  <c r="C246" i="475" s="1"/>
  <c r="F245" i="475"/>
  <c r="E245" i="475"/>
  <c r="D245" i="475"/>
  <c r="C245" i="475"/>
  <c r="F244" i="475"/>
  <c r="E244" i="475"/>
  <c r="D244" i="475"/>
  <c r="C244" i="475"/>
  <c r="F243" i="475"/>
  <c r="F242" i="475" s="1"/>
  <c r="E243" i="475"/>
  <c r="E242" i="475" s="1"/>
  <c r="D243" i="475"/>
  <c r="D242" i="475" s="1"/>
  <c r="C243" i="475"/>
  <c r="C242" i="475" s="1"/>
  <c r="F241" i="475"/>
  <c r="E241" i="475"/>
  <c r="D241" i="475"/>
  <c r="C241" i="475"/>
  <c r="F240" i="475"/>
  <c r="E240" i="475"/>
  <c r="D240" i="475"/>
  <c r="C240" i="475"/>
  <c r="F239" i="475"/>
  <c r="E239" i="475"/>
  <c r="D239" i="475"/>
  <c r="C239" i="475"/>
  <c r="F238" i="475"/>
  <c r="E238" i="475"/>
  <c r="D238" i="475"/>
  <c r="C238" i="475"/>
  <c r="F237" i="475"/>
  <c r="E237" i="475"/>
  <c r="D237" i="475"/>
  <c r="C237" i="475"/>
  <c r="F236" i="475"/>
  <c r="E236" i="475"/>
  <c r="D236" i="475"/>
  <c r="C236" i="475"/>
  <c r="F235" i="475"/>
  <c r="E235" i="475"/>
  <c r="D235" i="475"/>
  <c r="C235" i="475"/>
  <c r="F234" i="475"/>
  <c r="E234" i="475"/>
  <c r="D234" i="475"/>
  <c r="C234" i="475"/>
  <c r="F233" i="475"/>
  <c r="F232" i="475" s="1"/>
  <c r="E233" i="475"/>
  <c r="E232" i="475" s="1"/>
  <c r="D233" i="475"/>
  <c r="D232" i="475" s="1"/>
  <c r="C233" i="475"/>
  <c r="C232" i="475" s="1"/>
  <c r="F231" i="475"/>
  <c r="E231" i="475"/>
  <c r="E230" i="475" s="1"/>
  <c r="D231" i="475"/>
  <c r="D230" i="475" s="1"/>
  <c r="C231" i="475"/>
  <c r="F228" i="475"/>
  <c r="E228" i="475"/>
  <c r="D228" i="475"/>
  <c r="C228" i="475"/>
  <c r="F227" i="475"/>
  <c r="E227" i="475"/>
  <c r="D227" i="475"/>
  <c r="C227" i="475"/>
  <c r="F226" i="475"/>
  <c r="E226" i="475"/>
  <c r="D226" i="475"/>
  <c r="C226" i="475"/>
  <c r="F225" i="475"/>
  <c r="E225" i="475"/>
  <c r="D225" i="475"/>
  <c r="C225" i="475"/>
  <c r="F224" i="475"/>
  <c r="E224" i="475"/>
  <c r="D224" i="475"/>
  <c r="C224" i="475"/>
  <c r="F223" i="475"/>
  <c r="E223" i="475"/>
  <c r="D223" i="475"/>
  <c r="C223" i="475"/>
  <c r="F222" i="475"/>
  <c r="E222" i="475"/>
  <c r="D222" i="475"/>
  <c r="C222" i="475"/>
  <c r="F221" i="475"/>
  <c r="E221" i="475"/>
  <c r="D221" i="475"/>
  <c r="C221" i="475"/>
  <c r="F220" i="475"/>
  <c r="E220" i="475"/>
  <c r="D220" i="475"/>
  <c r="C220" i="475"/>
  <c r="F219" i="475"/>
  <c r="E219" i="475"/>
  <c r="D219" i="475"/>
  <c r="C219" i="475"/>
  <c r="F218" i="475"/>
  <c r="E218" i="475"/>
  <c r="D218" i="475"/>
  <c r="C218" i="475"/>
  <c r="F216" i="475"/>
  <c r="E216" i="475"/>
  <c r="D216" i="475"/>
  <c r="C216" i="475"/>
  <c r="F215" i="475"/>
  <c r="E215" i="475"/>
  <c r="D215" i="475"/>
  <c r="C215" i="475"/>
  <c r="F214" i="475"/>
  <c r="F213" i="475" s="1"/>
  <c r="E214" i="475"/>
  <c r="E213" i="475" s="1"/>
  <c r="D214" i="475"/>
  <c r="C214" i="475"/>
  <c r="F212" i="475"/>
  <c r="E212" i="475"/>
  <c r="D212" i="475"/>
  <c r="C212" i="475"/>
  <c r="F211" i="475"/>
  <c r="E211" i="475"/>
  <c r="D211" i="475"/>
  <c r="C211" i="475"/>
  <c r="F210" i="475"/>
  <c r="F209" i="475" s="1"/>
  <c r="E210" i="475"/>
  <c r="E209" i="475" s="1"/>
  <c r="D210" i="475"/>
  <c r="C210" i="475"/>
  <c r="F208" i="475"/>
  <c r="E208" i="475"/>
  <c r="D208" i="475"/>
  <c r="C208" i="475"/>
  <c r="F207" i="475"/>
  <c r="E207" i="475"/>
  <c r="D207" i="475"/>
  <c r="C207" i="475"/>
  <c r="F206" i="475"/>
  <c r="E206" i="475"/>
  <c r="D206" i="475"/>
  <c r="C206" i="475"/>
  <c r="F205" i="475"/>
  <c r="E205" i="475"/>
  <c r="D205" i="475"/>
  <c r="C205" i="475"/>
  <c r="F204" i="475"/>
  <c r="E204" i="475"/>
  <c r="D204" i="475"/>
  <c r="C204" i="475"/>
  <c r="F203" i="475"/>
  <c r="E203" i="475"/>
  <c r="D203" i="475"/>
  <c r="C203" i="475"/>
  <c r="F202" i="475"/>
  <c r="E202" i="475"/>
  <c r="D202" i="475"/>
  <c r="C202" i="475"/>
  <c r="F201" i="475"/>
  <c r="E201" i="475"/>
  <c r="D201" i="475"/>
  <c r="C201" i="475"/>
  <c r="F200" i="475"/>
  <c r="E200" i="475"/>
  <c r="D200" i="475"/>
  <c r="C200" i="475"/>
  <c r="F199" i="475"/>
  <c r="E199" i="475"/>
  <c r="D199" i="475"/>
  <c r="C199" i="475"/>
  <c r="F198" i="475"/>
  <c r="E198" i="475"/>
  <c r="D198" i="475"/>
  <c r="C198" i="475"/>
  <c r="F197" i="475"/>
  <c r="E197" i="475"/>
  <c r="D197" i="475"/>
  <c r="C197" i="475"/>
  <c r="F196" i="475"/>
  <c r="E196" i="475"/>
  <c r="D196" i="475"/>
  <c r="C196" i="475"/>
  <c r="F195" i="475"/>
  <c r="E195" i="475"/>
  <c r="D195" i="475"/>
  <c r="C195" i="475"/>
  <c r="F194" i="475"/>
  <c r="E194" i="475"/>
  <c r="D194" i="475"/>
  <c r="C194" i="475"/>
  <c r="F193" i="475"/>
  <c r="E193" i="475"/>
  <c r="D193" i="475"/>
  <c r="C193" i="475"/>
  <c r="F192" i="475"/>
  <c r="E192" i="475"/>
  <c r="D192" i="475"/>
  <c r="C192" i="475"/>
  <c r="F191" i="475"/>
  <c r="E191" i="475"/>
  <c r="D191" i="475"/>
  <c r="C191" i="475"/>
  <c r="F190" i="475"/>
  <c r="E190" i="475"/>
  <c r="D190" i="475"/>
  <c r="C190" i="475"/>
  <c r="F189" i="475"/>
  <c r="E189" i="475"/>
  <c r="D189" i="475"/>
  <c r="C189" i="475"/>
  <c r="F188" i="475"/>
  <c r="E188" i="475"/>
  <c r="D188" i="475"/>
  <c r="C188" i="475"/>
  <c r="F187" i="475"/>
  <c r="E187" i="475"/>
  <c r="D187" i="475"/>
  <c r="C187" i="475"/>
  <c r="F186" i="475"/>
  <c r="E186" i="475"/>
  <c r="D186" i="475"/>
  <c r="C186" i="475"/>
  <c r="F185" i="475"/>
  <c r="E185" i="475"/>
  <c r="D185" i="475"/>
  <c r="C185" i="475"/>
  <c r="F184" i="475"/>
  <c r="E184" i="475"/>
  <c r="D184" i="475"/>
  <c r="C184" i="475"/>
  <c r="F183" i="475"/>
  <c r="E183" i="475"/>
  <c r="D183" i="475"/>
  <c r="C183" i="475"/>
  <c r="F182" i="475"/>
  <c r="E182" i="475"/>
  <c r="D182" i="475"/>
  <c r="C182" i="475"/>
  <c r="F181" i="475"/>
  <c r="E181" i="475"/>
  <c r="D181" i="475"/>
  <c r="C181" i="475"/>
  <c r="F180" i="475"/>
  <c r="E180" i="475"/>
  <c r="D180" i="475"/>
  <c r="C180" i="475"/>
  <c r="F179" i="475"/>
  <c r="E179" i="475"/>
  <c r="D179" i="475"/>
  <c r="C179" i="475"/>
  <c r="F178" i="475"/>
  <c r="F177" i="475" s="1"/>
  <c r="E178" i="475"/>
  <c r="E177" i="475" s="1"/>
  <c r="D178" i="475"/>
  <c r="C178" i="475"/>
  <c r="F176" i="475"/>
  <c r="E176" i="475"/>
  <c r="D176" i="475"/>
  <c r="C176" i="475"/>
  <c r="F175" i="475"/>
  <c r="E175" i="475"/>
  <c r="D175" i="475"/>
  <c r="C175" i="475"/>
  <c r="F174" i="475"/>
  <c r="F173" i="475" s="1"/>
  <c r="E174" i="475"/>
  <c r="E173" i="475" s="1"/>
  <c r="D174" i="475"/>
  <c r="C174" i="475"/>
  <c r="F172" i="475"/>
  <c r="E172" i="475"/>
  <c r="D172" i="475"/>
  <c r="C172" i="475"/>
  <c r="F171" i="475"/>
  <c r="E171" i="475"/>
  <c r="D171" i="475"/>
  <c r="C171" i="475"/>
  <c r="F170" i="475"/>
  <c r="E170" i="475"/>
  <c r="D170" i="475"/>
  <c r="C170" i="475"/>
  <c r="F169" i="475"/>
  <c r="F168" i="475" s="1"/>
  <c r="E169" i="475"/>
  <c r="D169" i="475"/>
  <c r="C169" i="475"/>
  <c r="F167" i="475"/>
  <c r="E167" i="475"/>
  <c r="D167" i="475"/>
  <c r="C167" i="475"/>
  <c r="F164" i="475"/>
  <c r="E164" i="475"/>
  <c r="D164" i="475"/>
  <c r="C164" i="475"/>
  <c r="F163" i="475"/>
  <c r="E163" i="475"/>
  <c r="D163" i="475"/>
  <c r="C163" i="475"/>
  <c r="F162" i="475"/>
  <c r="F161" i="475" s="1"/>
  <c r="E162" i="475"/>
  <c r="E161" i="475" s="1"/>
  <c r="D162" i="475"/>
  <c r="C162" i="475"/>
  <c r="F160" i="475"/>
  <c r="E160" i="475"/>
  <c r="D160" i="475"/>
  <c r="C160" i="475"/>
  <c r="F159" i="475"/>
  <c r="E159" i="475"/>
  <c r="D159" i="475"/>
  <c r="C159" i="475"/>
  <c r="F158" i="475"/>
  <c r="E158" i="475"/>
  <c r="D158" i="475"/>
  <c r="C158" i="475"/>
  <c r="F157" i="475"/>
  <c r="E157" i="475"/>
  <c r="D157" i="475"/>
  <c r="C157" i="475"/>
  <c r="F156" i="475"/>
  <c r="E156" i="475"/>
  <c r="D156" i="475"/>
  <c r="C156" i="475"/>
  <c r="F155" i="475"/>
  <c r="E155" i="475"/>
  <c r="D155" i="475"/>
  <c r="C155" i="475"/>
  <c r="F154" i="475"/>
  <c r="E154" i="475"/>
  <c r="D154" i="475"/>
  <c r="C154" i="475"/>
  <c r="F153" i="475"/>
  <c r="E153" i="475"/>
  <c r="D153" i="475"/>
  <c r="C153" i="475"/>
  <c r="F152" i="475"/>
  <c r="E152" i="475"/>
  <c r="D152" i="475"/>
  <c r="C152" i="475"/>
  <c r="F151" i="475"/>
  <c r="E151" i="475"/>
  <c r="D151" i="475"/>
  <c r="C151" i="475"/>
  <c r="F150" i="475"/>
  <c r="E150" i="475"/>
  <c r="D150" i="475"/>
  <c r="C150" i="475"/>
  <c r="F149" i="475"/>
  <c r="F148" i="475" s="1"/>
  <c r="E149" i="475"/>
  <c r="E148" i="475" s="1"/>
  <c r="D149" i="475"/>
  <c r="C149" i="475"/>
  <c r="F147" i="475"/>
  <c r="E147" i="475"/>
  <c r="D147" i="475"/>
  <c r="C147" i="475"/>
  <c r="F146" i="475"/>
  <c r="E146" i="475"/>
  <c r="D146" i="475"/>
  <c r="C146" i="475"/>
  <c r="F145" i="475"/>
  <c r="E145" i="475"/>
  <c r="D145" i="475"/>
  <c r="C145" i="475"/>
  <c r="F144" i="475"/>
  <c r="E144" i="475"/>
  <c r="D144" i="475"/>
  <c r="C144" i="475"/>
  <c r="F143" i="475"/>
  <c r="E143" i="475"/>
  <c r="D143" i="475"/>
  <c r="C143" i="475"/>
  <c r="F142" i="475"/>
  <c r="E142" i="475"/>
  <c r="D142" i="475"/>
  <c r="C142" i="475"/>
  <c r="F141" i="475"/>
  <c r="E141" i="475"/>
  <c r="D141" i="475"/>
  <c r="C141" i="475"/>
  <c r="F140" i="475"/>
  <c r="E140" i="475"/>
  <c r="E139" i="475" s="1"/>
  <c r="D140" i="475"/>
  <c r="D139" i="475" s="1"/>
  <c r="C140" i="475"/>
  <c r="F138" i="475"/>
  <c r="E138" i="475"/>
  <c r="D138" i="475"/>
  <c r="C138" i="475"/>
  <c r="F137" i="475"/>
  <c r="E137" i="475"/>
  <c r="D137" i="475"/>
  <c r="C137" i="475"/>
  <c r="F136" i="475"/>
  <c r="E136" i="475"/>
  <c r="D136" i="475"/>
  <c r="C136" i="475"/>
  <c r="F135" i="475"/>
  <c r="E135" i="475"/>
  <c r="D135" i="475"/>
  <c r="C135" i="475"/>
  <c r="F134" i="475"/>
  <c r="E134" i="475"/>
  <c r="D134" i="475"/>
  <c r="C134" i="475"/>
  <c r="F133" i="475"/>
  <c r="E133" i="475"/>
  <c r="D133" i="475"/>
  <c r="C133" i="475"/>
  <c r="F132" i="475"/>
  <c r="E132" i="475"/>
  <c r="D132" i="475"/>
  <c r="C132" i="475"/>
  <c r="F131" i="475"/>
  <c r="E131" i="475"/>
  <c r="D131" i="475"/>
  <c r="C131" i="475"/>
  <c r="F130" i="475"/>
  <c r="E130" i="475"/>
  <c r="D130" i="475"/>
  <c r="C130" i="475"/>
  <c r="F128" i="475"/>
  <c r="E128" i="475"/>
  <c r="D128" i="475"/>
  <c r="C128" i="475"/>
  <c r="F127" i="475"/>
  <c r="E127" i="475"/>
  <c r="D127" i="475"/>
  <c r="C127" i="475"/>
  <c r="F126" i="475"/>
  <c r="F125" i="475" s="1"/>
  <c r="E126" i="475"/>
  <c r="E125" i="475" s="1"/>
  <c r="D126" i="475"/>
  <c r="C126" i="475"/>
  <c r="F124" i="475"/>
  <c r="E124" i="475"/>
  <c r="D124" i="475"/>
  <c r="C124" i="475"/>
  <c r="F123" i="475"/>
  <c r="F122" i="475" s="1"/>
  <c r="E123" i="475"/>
  <c r="E122" i="475" s="1"/>
  <c r="D123" i="475"/>
  <c r="C123" i="475"/>
  <c r="F121" i="475"/>
  <c r="E121" i="475"/>
  <c r="D121" i="475"/>
  <c r="C121" i="475"/>
  <c r="F120" i="475"/>
  <c r="F119" i="475" s="1"/>
  <c r="E120" i="475"/>
  <c r="E119" i="475" s="1"/>
  <c r="D120" i="475"/>
  <c r="C120" i="475"/>
  <c r="F118" i="475"/>
  <c r="E118" i="475"/>
  <c r="D118" i="475"/>
  <c r="C118" i="475"/>
  <c r="F117" i="475"/>
  <c r="E117" i="475"/>
  <c r="D117" i="475"/>
  <c r="C117" i="475"/>
  <c r="F116" i="475"/>
  <c r="F115" i="475" s="1"/>
  <c r="E116" i="475"/>
  <c r="E115" i="475" s="1"/>
  <c r="D116" i="475"/>
  <c r="C116" i="475"/>
  <c r="F114" i="475"/>
  <c r="E114" i="475"/>
  <c r="D114" i="475"/>
  <c r="C114" i="475"/>
  <c r="F113" i="475"/>
  <c r="E113" i="475"/>
  <c r="D113" i="475"/>
  <c r="C113" i="475"/>
  <c r="F112" i="475"/>
  <c r="E112" i="475"/>
  <c r="D112" i="475"/>
  <c r="C112" i="475"/>
  <c r="F111" i="475"/>
  <c r="E111" i="475"/>
  <c r="D111" i="475"/>
  <c r="C111" i="475"/>
  <c r="F110" i="475"/>
  <c r="E110" i="475"/>
  <c r="D110" i="475"/>
  <c r="C110" i="475"/>
  <c r="F109" i="475"/>
  <c r="F108" i="475" s="1"/>
  <c r="E109" i="475"/>
  <c r="E108" i="475" s="1"/>
  <c r="D109" i="475"/>
  <c r="C109" i="475"/>
  <c r="F107" i="475"/>
  <c r="E107" i="475"/>
  <c r="D107" i="475"/>
  <c r="C107" i="475"/>
  <c r="F106" i="475"/>
  <c r="E106" i="475"/>
  <c r="D106" i="475"/>
  <c r="C106" i="475"/>
  <c r="F105" i="475"/>
  <c r="E105" i="475"/>
  <c r="D105" i="475"/>
  <c r="C105" i="475"/>
  <c r="F104" i="475"/>
  <c r="F103" i="475" s="1"/>
  <c r="E104" i="475"/>
  <c r="E103" i="475" s="1"/>
  <c r="D104" i="475"/>
  <c r="C104" i="475"/>
  <c r="F102" i="475"/>
  <c r="E102" i="475"/>
  <c r="D102" i="475"/>
  <c r="C102" i="475"/>
  <c r="F101" i="475"/>
  <c r="E101" i="475"/>
  <c r="D101" i="475"/>
  <c r="C101" i="475"/>
  <c r="F100" i="475"/>
  <c r="E100" i="475"/>
  <c r="D100" i="475"/>
  <c r="C100" i="475"/>
  <c r="F99" i="475"/>
  <c r="E99" i="475"/>
  <c r="D99" i="475"/>
  <c r="C99" i="475"/>
  <c r="F98" i="475"/>
  <c r="E98" i="475"/>
  <c r="D98" i="475"/>
  <c r="C98" i="475"/>
  <c r="F97" i="475"/>
  <c r="E97" i="475"/>
  <c r="D97" i="475"/>
  <c r="C97" i="475"/>
  <c r="F96" i="475"/>
  <c r="E96" i="475"/>
  <c r="D96" i="475"/>
  <c r="C96" i="475"/>
  <c r="F95" i="475"/>
  <c r="E95" i="475"/>
  <c r="D95" i="475"/>
  <c r="C95" i="475"/>
  <c r="F94" i="475"/>
  <c r="E94" i="475"/>
  <c r="D94" i="475"/>
  <c r="C94" i="475"/>
  <c r="F93" i="475"/>
  <c r="E93" i="475"/>
  <c r="D93" i="475"/>
  <c r="C93" i="475"/>
  <c r="F92" i="475"/>
  <c r="E92" i="475"/>
  <c r="D92" i="475"/>
  <c r="C92" i="475"/>
  <c r="F91" i="475"/>
  <c r="E91" i="475"/>
  <c r="D91" i="475"/>
  <c r="C91" i="475"/>
  <c r="F90" i="475"/>
  <c r="E90" i="475"/>
  <c r="D90" i="475"/>
  <c r="C90" i="475"/>
  <c r="F89" i="475"/>
  <c r="E89" i="475"/>
  <c r="D89" i="475"/>
  <c r="C89" i="475"/>
  <c r="F88" i="475"/>
  <c r="E88" i="475"/>
  <c r="D88" i="475"/>
  <c r="C88" i="475"/>
  <c r="F87" i="475"/>
  <c r="E87" i="475"/>
  <c r="D87" i="475"/>
  <c r="C87" i="475"/>
  <c r="F86" i="475"/>
  <c r="E86" i="475"/>
  <c r="D86" i="475"/>
  <c r="C86" i="475"/>
  <c r="F85" i="475"/>
  <c r="E85" i="475"/>
  <c r="D85" i="475"/>
  <c r="C85" i="475"/>
  <c r="F84" i="475"/>
  <c r="E84" i="475"/>
  <c r="D84" i="475"/>
  <c r="C84" i="475"/>
  <c r="F83" i="475"/>
  <c r="E83" i="475"/>
  <c r="D83" i="475"/>
  <c r="C83" i="475"/>
  <c r="F82" i="475"/>
  <c r="E82" i="475"/>
  <c r="D82" i="475"/>
  <c r="C82" i="475"/>
  <c r="F81" i="475"/>
  <c r="E81" i="475"/>
  <c r="D81" i="475"/>
  <c r="C81" i="475"/>
  <c r="F80" i="475"/>
  <c r="E80" i="475"/>
  <c r="D80" i="475"/>
  <c r="C80" i="475"/>
  <c r="F79" i="475"/>
  <c r="E79" i="475"/>
  <c r="D79" i="475"/>
  <c r="C79" i="475"/>
  <c r="F78" i="475"/>
  <c r="E78" i="475"/>
  <c r="D78" i="475"/>
  <c r="C78" i="475"/>
  <c r="F77" i="475"/>
  <c r="E77" i="475"/>
  <c r="D77" i="475"/>
  <c r="C77" i="475"/>
  <c r="F75" i="475"/>
  <c r="E75" i="475"/>
  <c r="D75" i="475"/>
  <c r="C75" i="475"/>
  <c r="F74" i="475"/>
  <c r="F73" i="475" s="1"/>
  <c r="E74" i="475"/>
  <c r="E73" i="475" s="1"/>
  <c r="D74" i="475"/>
  <c r="C74" i="475"/>
  <c r="F72" i="475"/>
  <c r="E72" i="475"/>
  <c r="D72" i="475"/>
  <c r="C72" i="475"/>
  <c r="F71" i="475"/>
  <c r="E71" i="475"/>
  <c r="D71" i="475"/>
  <c r="C71" i="475"/>
  <c r="F70" i="475"/>
  <c r="E70" i="475"/>
  <c r="D70" i="475"/>
  <c r="C70" i="475"/>
  <c r="F69" i="475"/>
  <c r="E69" i="475"/>
  <c r="D69" i="475"/>
  <c r="C69" i="475"/>
  <c r="F68" i="475"/>
  <c r="F67" i="475" s="1"/>
  <c r="E68" i="475"/>
  <c r="E67" i="475" s="1"/>
  <c r="D68" i="475"/>
  <c r="C68" i="475"/>
  <c r="F66" i="475"/>
  <c r="E66" i="475"/>
  <c r="D66" i="475"/>
  <c r="C66" i="475"/>
  <c r="F65" i="475"/>
  <c r="E65" i="475"/>
  <c r="D65" i="475"/>
  <c r="C65" i="475"/>
  <c r="F64" i="475"/>
  <c r="E64" i="475"/>
  <c r="D64" i="475"/>
  <c r="C64" i="475"/>
  <c r="F63" i="475"/>
  <c r="E63" i="475"/>
  <c r="D63" i="475"/>
  <c r="C63" i="475"/>
  <c r="F62" i="475"/>
  <c r="E62" i="475"/>
  <c r="D62" i="475"/>
  <c r="C62" i="475"/>
  <c r="F61" i="475"/>
  <c r="F60" i="475" s="1"/>
  <c r="E61" i="475"/>
  <c r="E60" i="475" s="1"/>
  <c r="D61" i="475"/>
  <c r="C61" i="475"/>
  <c r="F59" i="475"/>
  <c r="E59" i="475"/>
  <c r="D59" i="475"/>
  <c r="C59" i="475"/>
  <c r="F58" i="475"/>
  <c r="E58" i="475"/>
  <c r="D58" i="475"/>
  <c r="C58" i="475"/>
  <c r="F57" i="475"/>
  <c r="E57" i="475"/>
  <c r="D57" i="475"/>
  <c r="C57" i="475"/>
  <c r="F56" i="475"/>
  <c r="E56" i="475"/>
  <c r="D56" i="475"/>
  <c r="C56" i="475"/>
  <c r="F55" i="475"/>
  <c r="F54" i="475" s="1"/>
  <c r="E55" i="475"/>
  <c r="E54" i="475" s="1"/>
  <c r="D55" i="475"/>
  <c r="C55" i="475"/>
  <c r="F53" i="475"/>
  <c r="E53" i="475"/>
  <c r="D53" i="475"/>
  <c r="C53" i="475"/>
  <c r="F52" i="475"/>
  <c r="E52" i="475"/>
  <c r="D52" i="475"/>
  <c r="C52" i="475"/>
  <c r="F51" i="475"/>
  <c r="E51" i="475"/>
  <c r="D51" i="475"/>
  <c r="C51" i="475"/>
  <c r="F50" i="475"/>
  <c r="E50" i="475"/>
  <c r="D50" i="475"/>
  <c r="C50" i="475"/>
  <c r="F49" i="475"/>
  <c r="E49" i="475"/>
  <c r="D49" i="475"/>
  <c r="C49" i="475"/>
  <c r="F48" i="475"/>
  <c r="E48" i="475"/>
  <c r="D48" i="475"/>
  <c r="C48" i="475"/>
  <c r="F47" i="475"/>
  <c r="E47" i="475"/>
  <c r="D47" i="475"/>
  <c r="C47" i="475"/>
  <c r="F46" i="475"/>
  <c r="F45" i="475" s="1"/>
  <c r="E46" i="475"/>
  <c r="E45" i="475" s="1"/>
  <c r="D46" i="475"/>
  <c r="C46" i="475"/>
  <c r="F44" i="475"/>
  <c r="E44" i="475"/>
  <c r="D44" i="475"/>
  <c r="C44" i="475"/>
  <c r="F43" i="475"/>
  <c r="E43" i="475"/>
  <c r="D43" i="475"/>
  <c r="C43" i="475"/>
  <c r="F42" i="475"/>
  <c r="E42" i="475"/>
  <c r="D42" i="475"/>
  <c r="C42" i="475"/>
  <c r="F41" i="475"/>
  <c r="F40" i="475" s="1"/>
  <c r="E41" i="475"/>
  <c r="E40" i="475" s="1"/>
  <c r="D41" i="475"/>
  <c r="C41" i="475"/>
  <c r="F39" i="475"/>
  <c r="E39" i="475"/>
  <c r="D39" i="475"/>
  <c r="C39" i="475"/>
  <c r="F38" i="475"/>
  <c r="F37" i="475" s="1"/>
  <c r="E38" i="475"/>
  <c r="E37" i="475" s="1"/>
  <c r="D38" i="475"/>
  <c r="C38" i="475"/>
  <c r="F36" i="475"/>
  <c r="E36" i="475"/>
  <c r="D36" i="475"/>
  <c r="C36" i="475"/>
  <c r="F35" i="475"/>
  <c r="E35" i="475"/>
  <c r="D35" i="475"/>
  <c r="C35" i="475"/>
  <c r="F33" i="475"/>
  <c r="E33" i="475"/>
  <c r="D33" i="475"/>
  <c r="C33" i="475"/>
  <c r="F32" i="475"/>
  <c r="E32" i="475"/>
  <c r="D32" i="475"/>
  <c r="C32" i="475"/>
  <c r="F31" i="475"/>
  <c r="E31" i="475"/>
  <c r="D31" i="475"/>
  <c r="C31" i="475"/>
  <c r="F30" i="475"/>
  <c r="E30" i="475"/>
  <c r="D30" i="475"/>
  <c r="C30" i="475"/>
  <c r="F29" i="475"/>
  <c r="E29" i="475"/>
  <c r="D29" i="475"/>
  <c r="C29" i="475"/>
  <c r="F28" i="475"/>
  <c r="E28" i="475"/>
  <c r="D28" i="475"/>
  <c r="C28" i="475"/>
  <c r="F27" i="475"/>
  <c r="E27" i="475"/>
  <c r="D27" i="475"/>
  <c r="C27" i="475"/>
  <c r="F26" i="475"/>
  <c r="E26" i="475"/>
  <c r="D26" i="475"/>
  <c r="C26" i="475"/>
  <c r="F25" i="475"/>
  <c r="E25" i="475"/>
  <c r="D25" i="475"/>
  <c r="C25" i="475"/>
  <c r="F24" i="475"/>
  <c r="E24" i="475"/>
  <c r="D24" i="475"/>
  <c r="C24" i="475"/>
  <c r="F23" i="475"/>
  <c r="F22" i="475" s="1"/>
  <c r="E23" i="475"/>
  <c r="E22" i="475" s="1"/>
  <c r="D23" i="475"/>
  <c r="C23" i="475"/>
  <c r="F21" i="475"/>
  <c r="E21" i="475"/>
  <c r="D21" i="475"/>
  <c r="C21" i="475"/>
  <c r="F20" i="475"/>
  <c r="E20" i="475"/>
  <c r="D20" i="475"/>
  <c r="C20" i="475"/>
  <c r="F19" i="475"/>
  <c r="E19" i="475"/>
  <c r="D19" i="475"/>
  <c r="C19" i="475"/>
  <c r="F18" i="475"/>
  <c r="E18" i="475"/>
  <c r="D18" i="475"/>
  <c r="C18" i="475"/>
  <c r="F17" i="475"/>
  <c r="E17" i="475"/>
  <c r="D17" i="475"/>
  <c r="C17" i="475"/>
  <c r="F16" i="475"/>
  <c r="E16" i="475"/>
  <c r="D16" i="475"/>
  <c r="C16" i="475"/>
  <c r="F15" i="475"/>
  <c r="E15" i="475"/>
  <c r="D15" i="475"/>
  <c r="C15" i="475"/>
  <c r="F14" i="475"/>
  <c r="E14" i="475"/>
  <c r="D14" i="475"/>
  <c r="C14" i="475"/>
  <c r="F13" i="475"/>
  <c r="E13" i="475"/>
  <c r="D13" i="475"/>
  <c r="C13" i="475"/>
  <c r="F12" i="475"/>
  <c r="E12" i="475"/>
  <c r="D12" i="475"/>
  <c r="C12" i="475"/>
  <c r="F11" i="475"/>
  <c r="E11" i="475"/>
  <c r="D11" i="475"/>
  <c r="C11" i="475"/>
  <c r="F10" i="475"/>
  <c r="F9" i="475" s="1"/>
  <c r="E10" i="475"/>
  <c r="E9" i="475" s="1"/>
  <c r="D10" i="475"/>
  <c r="C10" i="475"/>
  <c r="T163" i="474"/>
  <c r="S163" i="474"/>
  <c r="S154" i="474"/>
  <c r="S147" i="474"/>
  <c r="M167" i="474"/>
  <c r="L167" i="474"/>
  <c r="K167" i="474"/>
  <c r="M166" i="474"/>
  <c r="L166" i="474"/>
  <c r="K166" i="474"/>
  <c r="M165" i="474"/>
  <c r="L165" i="474"/>
  <c r="K165" i="474"/>
  <c r="M164" i="474"/>
  <c r="L164" i="474"/>
  <c r="L163" i="474" s="1"/>
  <c r="K164" i="474"/>
  <c r="K163" i="474" s="1"/>
  <c r="K160" i="474" s="1"/>
  <c r="M162" i="474"/>
  <c r="L162" i="474"/>
  <c r="K162" i="474"/>
  <c r="M161" i="474"/>
  <c r="L161" i="474"/>
  <c r="K161" i="474"/>
  <c r="M159" i="474"/>
  <c r="L159" i="474"/>
  <c r="K159" i="474"/>
  <c r="M158" i="474"/>
  <c r="L158" i="474"/>
  <c r="K158" i="474"/>
  <c r="M157" i="474"/>
  <c r="L157" i="474"/>
  <c r="K157" i="474"/>
  <c r="M156" i="474"/>
  <c r="L156" i="474"/>
  <c r="K156" i="474"/>
  <c r="M155" i="474"/>
  <c r="L155" i="474"/>
  <c r="L154" i="474" s="1"/>
  <c r="K155" i="474"/>
  <c r="K154" i="474" s="1"/>
  <c r="L153" i="474"/>
  <c r="K153" i="474"/>
  <c r="M152" i="474"/>
  <c r="L152" i="474"/>
  <c r="K152" i="474"/>
  <c r="M151" i="474"/>
  <c r="L151" i="474"/>
  <c r="K151" i="474"/>
  <c r="M150" i="474"/>
  <c r="L150" i="474"/>
  <c r="K150" i="474"/>
  <c r="M149" i="474"/>
  <c r="L149" i="474"/>
  <c r="K149" i="474"/>
  <c r="M148" i="474"/>
  <c r="L148" i="474"/>
  <c r="L147" i="474" s="1"/>
  <c r="K148" i="474"/>
  <c r="K147" i="474" s="1"/>
  <c r="M145" i="474"/>
  <c r="L145" i="474"/>
  <c r="K145" i="474"/>
  <c r="M144" i="474"/>
  <c r="L144" i="474"/>
  <c r="K144" i="474"/>
  <c r="M143" i="474"/>
  <c r="L143" i="474"/>
  <c r="K143" i="474"/>
  <c r="M142" i="474"/>
  <c r="L142" i="474"/>
  <c r="K142" i="474"/>
  <c r="M141" i="474"/>
  <c r="L141" i="474"/>
  <c r="K141" i="474"/>
  <c r="M140" i="474"/>
  <c r="L140" i="474"/>
  <c r="K140" i="474"/>
  <c r="M139" i="474"/>
  <c r="L139" i="474"/>
  <c r="K139" i="474"/>
  <c r="M138" i="474"/>
  <c r="L138" i="474"/>
  <c r="K138" i="474"/>
  <c r="M137" i="474"/>
  <c r="L137" i="474"/>
  <c r="K137" i="474"/>
  <c r="M136" i="474"/>
  <c r="L136" i="474"/>
  <c r="K136" i="474"/>
  <c r="M135" i="474"/>
  <c r="L135" i="474"/>
  <c r="L134" i="474" s="1"/>
  <c r="K135" i="474"/>
  <c r="K134" i="474" s="1"/>
  <c r="M133" i="474"/>
  <c r="L133" i="474"/>
  <c r="K133" i="474"/>
  <c r="M132" i="474"/>
  <c r="L132" i="474"/>
  <c r="K132" i="474"/>
  <c r="M131" i="474"/>
  <c r="L131" i="474"/>
  <c r="K131" i="474"/>
  <c r="M130" i="474"/>
  <c r="L130" i="474"/>
  <c r="K130" i="474"/>
  <c r="M129" i="474"/>
  <c r="L129" i="474"/>
  <c r="K129" i="474"/>
  <c r="M128" i="474"/>
  <c r="L128" i="474"/>
  <c r="K128" i="474"/>
  <c r="M127" i="474"/>
  <c r="L127" i="474"/>
  <c r="K127" i="474"/>
  <c r="M126" i="474"/>
  <c r="L126" i="474"/>
  <c r="K126" i="474"/>
  <c r="M125" i="474"/>
  <c r="L125" i="474"/>
  <c r="K125" i="474"/>
  <c r="M124" i="474"/>
  <c r="L124" i="474"/>
  <c r="K124" i="474"/>
  <c r="M123" i="474"/>
  <c r="L123" i="474"/>
  <c r="K123" i="474"/>
  <c r="M122" i="474"/>
  <c r="L122" i="474"/>
  <c r="K122" i="474"/>
  <c r="M121" i="474"/>
  <c r="L121" i="474"/>
  <c r="K121" i="474"/>
  <c r="M120" i="474"/>
  <c r="L120" i="474"/>
  <c r="K120" i="474"/>
  <c r="M119" i="474"/>
  <c r="L119" i="474"/>
  <c r="K119" i="474"/>
  <c r="M118" i="474"/>
  <c r="L118" i="474"/>
  <c r="K118" i="474"/>
  <c r="M117" i="474"/>
  <c r="L117" i="474"/>
  <c r="L116" i="474" s="1"/>
  <c r="K117" i="474"/>
  <c r="K116" i="474" s="1"/>
  <c r="M115" i="474"/>
  <c r="L115" i="474"/>
  <c r="K115" i="474"/>
  <c r="M114" i="474"/>
  <c r="L114" i="474"/>
  <c r="K114" i="474"/>
  <c r="M113" i="474"/>
  <c r="L113" i="474"/>
  <c r="K113" i="474"/>
  <c r="M112" i="474"/>
  <c r="L112" i="474"/>
  <c r="K112" i="474"/>
  <c r="M111" i="474"/>
  <c r="L111" i="474"/>
  <c r="K111" i="474"/>
  <c r="M110" i="474"/>
  <c r="L110" i="474"/>
  <c r="K110" i="474"/>
  <c r="M109" i="474"/>
  <c r="L109" i="474"/>
  <c r="K109" i="474"/>
  <c r="M108" i="474"/>
  <c r="L108" i="474"/>
  <c r="K108" i="474"/>
  <c r="M107" i="474"/>
  <c r="L107" i="474"/>
  <c r="K107" i="474"/>
  <c r="M106" i="474"/>
  <c r="L106" i="474"/>
  <c r="L105" i="474" s="1"/>
  <c r="K106" i="474"/>
  <c r="K105" i="474" s="1"/>
  <c r="M103" i="474"/>
  <c r="L103" i="474"/>
  <c r="K103" i="474"/>
  <c r="M102" i="474"/>
  <c r="L102" i="474"/>
  <c r="K102" i="474"/>
  <c r="M101" i="474"/>
  <c r="L101" i="474"/>
  <c r="K101" i="474"/>
  <c r="M100" i="474"/>
  <c r="L100" i="474"/>
  <c r="K100" i="474"/>
  <c r="M99" i="474"/>
  <c r="L99" i="474"/>
  <c r="L98" i="474" s="1"/>
  <c r="K99" i="474"/>
  <c r="K98" i="474" s="1"/>
  <c r="M97" i="474"/>
  <c r="L97" i="474"/>
  <c r="K97" i="474"/>
  <c r="M95" i="474"/>
  <c r="L95" i="474"/>
  <c r="K95" i="474"/>
  <c r="M94" i="474"/>
  <c r="L94" i="474"/>
  <c r="K94" i="474"/>
  <c r="M93" i="474"/>
  <c r="L93" i="474"/>
  <c r="K93" i="474"/>
  <c r="M92" i="474"/>
  <c r="L92" i="474"/>
  <c r="K92" i="474"/>
  <c r="M91" i="474"/>
  <c r="L91" i="474"/>
  <c r="L90" i="474" s="1"/>
  <c r="K91" i="474"/>
  <c r="K90" i="474" s="1"/>
  <c r="M89" i="474"/>
  <c r="L89" i="474"/>
  <c r="K89" i="474"/>
  <c r="M88" i="474"/>
  <c r="L88" i="474"/>
  <c r="K88" i="474"/>
  <c r="M87" i="474"/>
  <c r="L87" i="474"/>
  <c r="L86" i="474" s="1"/>
  <c r="K87" i="474"/>
  <c r="K86" i="474" s="1"/>
  <c r="M85" i="474"/>
  <c r="L85" i="474"/>
  <c r="K85" i="474"/>
  <c r="M84" i="474"/>
  <c r="L84" i="474"/>
  <c r="K84" i="474"/>
  <c r="M83" i="474"/>
  <c r="L83" i="474"/>
  <c r="K83" i="474"/>
  <c r="M82" i="474"/>
  <c r="L82" i="474"/>
  <c r="K82" i="474"/>
  <c r="M81" i="474"/>
  <c r="L81" i="474"/>
  <c r="K81" i="474"/>
  <c r="M80" i="474"/>
  <c r="L80" i="474"/>
  <c r="L79" i="474" s="1"/>
  <c r="K80" i="474"/>
  <c r="K79" i="474" s="1"/>
  <c r="M78" i="474"/>
  <c r="L78" i="474"/>
  <c r="K78" i="474"/>
  <c r="M77" i="474"/>
  <c r="L77" i="474"/>
  <c r="K77" i="474"/>
  <c r="M76" i="474"/>
  <c r="L76" i="474"/>
  <c r="K76" i="474"/>
  <c r="M75" i="474"/>
  <c r="L75" i="474"/>
  <c r="K75" i="474"/>
  <c r="M74" i="474"/>
  <c r="L74" i="474"/>
  <c r="L73" i="474" s="1"/>
  <c r="L72" i="474" s="1"/>
  <c r="L71" i="474" s="1"/>
  <c r="K74" i="474"/>
  <c r="K73" i="474" s="1"/>
  <c r="K72" i="474" s="1"/>
  <c r="M70" i="474"/>
  <c r="L70" i="474"/>
  <c r="K70" i="474"/>
  <c r="M68" i="474"/>
  <c r="L68" i="474"/>
  <c r="K68" i="474"/>
  <c r="M67" i="474"/>
  <c r="L67" i="474"/>
  <c r="K67" i="474"/>
  <c r="M66" i="474"/>
  <c r="L66" i="474"/>
  <c r="K66" i="474"/>
  <c r="M65" i="474"/>
  <c r="L65" i="474"/>
  <c r="L64" i="474" s="1"/>
  <c r="K65" i="474"/>
  <c r="K64" i="474" s="1"/>
  <c r="M63" i="474"/>
  <c r="L63" i="474"/>
  <c r="K63" i="474"/>
  <c r="M62" i="474"/>
  <c r="L62" i="474"/>
  <c r="K62" i="474"/>
  <c r="M61" i="474"/>
  <c r="L61" i="474"/>
  <c r="K61" i="474"/>
  <c r="M60" i="474"/>
  <c r="L60" i="474"/>
  <c r="K60" i="474"/>
  <c r="M59" i="474"/>
  <c r="L59" i="474"/>
  <c r="K59" i="474"/>
  <c r="M58" i="474"/>
  <c r="L58" i="474"/>
  <c r="K58" i="474"/>
  <c r="M57" i="474"/>
  <c r="L57" i="474"/>
  <c r="L56" i="474" s="1"/>
  <c r="L55" i="474" s="1"/>
  <c r="K57" i="474"/>
  <c r="K56" i="474" s="1"/>
  <c r="K55" i="474" s="1"/>
  <c r="M54" i="474"/>
  <c r="L54" i="474"/>
  <c r="K54" i="474"/>
  <c r="M53" i="474"/>
  <c r="L53" i="474"/>
  <c r="K53" i="474"/>
  <c r="M52" i="474"/>
  <c r="L52" i="474"/>
  <c r="K52" i="474"/>
  <c r="M51" i="474"/>
  <c r="L51" i="474"/>
  <c r="K51" i="474"/>
  <c r="M50" i="474"/>
  <c r="L50" i="474"/>
  <c r="K50" i="474"/>
  <c r="M49" i="474"/>
  <c r="L49" i="474"/>
  <c r="K49" i="474"/>
  <c r="M48" i="474"/>
  <c r="L48" i="474"/>
  <c r="L47" i="474" s="1"/>
  <c r="K48" i="474"/>
  <c r="K47" i="474" s="1"/>
  <c r="M46" i="474"/>
  <c r="L46" i="474"/>
  <c r="K46" i="474"/>
  <c r="M45" i="474"/>
  <c r="L45" i="474"/>
  <c r="K45" i="474"/>
  <c r="M44" i="474"/>
  <c r="L44" i="474"/>
  <c r="K44" i="474"/>
  <c r="M43" i="474"/>
  <c r="L43" i="474"/>
  <c r="K43" i="474"/>
  <c r="M42" i="474"/>
  <c r="L42" i="474"/>
  <c r="K42" i="474"/>
  <c r="M41" i="474"/>
  <c r="L41" i="474"/>
  <c r="K41" i="474"/>
  <c r="M40" i="474"/>
  <c r="L40" i="474"/>
  <c r="K40" i="474"/>
  <c r="M39" i="474"/>
  <c r="L39" i="474"/>
  <c r="K39" i="474"/>
  <c r="M38" i="474"/>
  <c r="L38" i="474"/>
  <c r="K38" i="474"/>
  <c r="M37" i="474"/>
  <c r="L37" i="474"/>
  <c r="K37" i="474"/>
  <c r="M36" i="474"/>
  <c r="L36" i="474"/>
  <c r="K36" i="474"/>
  <c r="M35" i="474"/>
  <c r="L35" i="474"/>
  <c r="K35" i="474"/>
  <c r="M34" i="474"/>
  <c r="L34" i="474"/>
  <c r="K34" i="474"/>
  <c r="M33" i="474"/>
  <c r="L33" i="474"/>
  <c r="K33" i="474"/>
  <c r="M32" i="474"/>
  <c r="L32" i="474"/>
  <c r="K32" i="474"/>
  <c r="M31" i="474"/>
  <c r="L31" i="474"/>
  <c r="K31" i="474"/>
  <c r="M30" i="474"/>
  <c r="L30" i="474"/>
  <c r="K30" i="474"/>
  <c r="M29" i="474"/>
  <c r="L29" i="474"/>
  <c r="L28" i="474" s="1"/>
  <c r="L27" i="474" s="1"/>
  <c r="K29" i="474"/>
  <c r="K28" i="474" s="1"/>
  <c r="K27" i="474" s="1"/>
  <c r="M26" i="474"/>
  <c r="L26" i="474"/>
  <c r="K26" i="474"/>
  <c r="M25" i="474"/>
  <c r="L25" i="474"/>
  <c r="K25" i="474"/>
  <c r="M24" i="474"/>
  <c r="L24" i="474"/>
  <c r="K24" i="474"/>
  <c r="M23" i="474"/>
  <c r="L23" i="474"/>
  <c r="L22" i="474" s="1"/>
  <c r="K23" i="474"/>
  <c r="K22" i="474" s="1"/>
  <c r="M21" i="474"/>
  <c r="L21" i="474"/>
  <c r="K21" i="474"/>
  <c r="M20" i="474"/>
  <c r="L20" i="474"/>
  <c r="K20" i="474"/>
  <c r="M19" i="474"/>
  <c r="L19" i="474"/>
  <c r="K19" i="474"/>
  <c r="M18" i="474"/>
  <c r="L18" i="474"/>
  <c r="K18" i="474"/>
  <c r="M17" i="474"/>
  <c r="L17" i="474"/>
  <c r="K17" i="474"/>
  <c r="M16" i="474"/>
  <c r="L16" i="474"/>
  <c r="K16" i="474"/>
  <c r="M15" i="474"/>
  <c r="L15" i="474"/>
  <c r="K15" i="474"/>
  <c r="M14" i="474"/>
  <c r="L14" i="474"/>
  <c r="K14" i="474"/>
  <c r="M13" i="474"/>
  <c r="L13" i="474"/>
  <c r="K13" i="474"/>
  <c r="M12" i="474"/>
  <c r="L12" i="474"/>
  <c r="K12" i="474"/>
  <c r="M11" i="474"/>
  <c r="L11" i="474"/>
  <c r="K11" i="474"/>
  <c r="M10" i="474"/>
  <c r="L10" i="474"/>
  <c r="L9" i="474" s="1"/>
  <c r="L8" i="474" s="1"/>
  <c r="K10" i="474"/>
  <c r="K9" i="474" s="1"/>
  <c r="K8" i="474" s="1"/>
  <c r="I167" i="474"/>
  <c r="H167" i="474"/>
  <c r="G167" i="474"/>
  <c r="I166" i="474"/>
  <c r="H166" i="474"/>
  <c r="G166" i="474"/>
  <c r="I165" i="474"/>
  <c r="H165" i="474"/>
  <c r="G165" i="474"/>
  <c r="I164" i="474"/>
  <c r="H164" i="474"/>
  <c r="G164" i="474"/>
  <c r="I162" i="474"/>
  <c r="H162" i="474"/>
  <c r="G162" i="474"/>
  <c r="I161" i="474"/>
  <c r="H161" i="474"/>
  <c r="G161" i="474"/>
  <c r="I159" i="474"/>
  <c r="H159" i="474"/>
  <c r="G159" i="474"/>
  <c r="I158" i="474"/>
  <c r="H158" i="474"/>
  <c r="G158" i="474"/>
  <c r="I157" i="474"/>
  <c r="H157" i="474"/>
  <c r="G157" i="474"/>
  <c r="I156" i="474"/>
  <c r="H156" i="474"/>
  <c r="G156" i="474"/>
  <c r="I155" i="474"/>
  <c r="H155" i="474"/>
  <c r="G155" i="474"/>
  <c r="I153" i="474"/>
  <c r="H153" i="474"/>
  <c r="G153" i="474"/>
  <c r="I152" i="474"/>
  <c r="H152" i="474"/>
  <c r="G152" i="474"/>
  <c r="I151" i="474"/>
  <c r="H151" i="474"/>
  <c r="G151" i="474"/>
  <c r="I150" i="474"/>
  <c r="H150" i="474"/>
  <c r="G150" i="474"/>
  <c r="I149" i="474"/>
  <c r="H149" i="474"/>
  <c r="G149" i="474"/>
  <c r="I148" i="474"/>
  <c r="H148" i="474"/>
  <c r="G148" i="474"/>
  <c r="I145" i="474"/>
  <c r="H145" i="474"/>
  <c r="G145" i="474"/>
  <c r="I144" i="474"/>
  <c r="H144" i="474"/>
  <c r="G144" i="474"/>
  <c r="I143" i="474"/>
  <c r="H143" i="474"/>
  <c r="G143" i="474"/>
  <c r="I142" i="474"/>
  <c r="H142" i="474"/>
  <c r="G142" i="474"/>
  <c r="I141" i="474"/>
  <c r="H141" i="474"/>
  <c r="G141" i="474"/>
  <c r="I140" i="474"/>
  <c r="H140" i="474"/>
  <c r="G140" i="474"/>
  <c r="I139" i="474"/>
  <c r="H139" i="474"/>
  <c r="G139" i="474"/>
  <c r="I138" i="474"/>
  <c r="H138" i="474"/>
  <c r="G138" i="474"/>
  <c r="I137" i="474"/>
  <c r="H137" i="474"/>
  <c r="G137" i="474"/>
  <c r="I136" i="474"/>
  <c r="H136" i="474"/>
  <c r="G136" i="474"/>
  <c r="I135" i="474"/>
  <c r="H135" i="474"/>
  <c r="G135" i="474"/>
  <c r="I133" i="474"/>
  <c r="H133" i="474"/>
  <c r="G133" i="474"/>
  <c r="I132" i="474"/>
  <c r="H132" i="474"/>
  <c r="G132" i="474"/>
  <c r="I131" i="474"/>
  <c r="H131" i="474"/>
  <c r="G131" i="474"/>
  <c r="I130" i="474"/>
  <c r="H130" i="474"/>
  <c r="G130" i="474"/>
  <c r="I129" i="474"/>
  <c r="H129" i="474"/>
  <c r="G129" i="474"/>
  <c r="I128" i="474"/>
  <c r="H128" i="474"/>
  <c r="G128" i="474"/>
  <c r="I127" i="474"/>
  <c r="H127" i="474"/>
  <c r="G127" i="474"/>
  <c r="I126" i="474"/>
  <c r="H126" i="474"/>
  <c r="G126" i="474"/>
  <c r="I125" i="474"/>
  <c r="H125" i="474"/>
  <c r="G125" i="474"/>
  <c r="I124" i="474"/>
  <c r="H124" i="474"/>
  <c r="G124" i="474"/>
  <c r="I123" i="474"/>
  <c r="H123" i="474"/>
  <c r="G123" i="474"/>
  <c r="I122" i="474"/>
  <c r="H122" i="474"/>
  <c r="G122" i="474"/>
  <c r="I121" i="474"/>
  <c r="H121" i="474"/>
  <c r="G121" i="474"/>
  <c r="I120" i="474"/>
  <c r="H120" i="474"/>
  <c r="G120" i="474"/>
  <c r="I119" i="474"/>
  <c r="H119" i="474"/>
  <c r="G119" i="474"/>
  <c r="I118" i="474"/>
  <c r="H118" i="474"/>
  <c r="G118" i="474"/>
  <c r="I117" i="474"/>
  <c r="H117" i="474"/>
  <c r="G117" i="474"/>
  <c r="I115" i="474"/>
  <c r="H115" i="474"/>
  <c r="G115" i="474"/>
  <c r="I114" i="474"/>
  <c r="H114" i="474"/>
  <c r="G114" i="474"/>
  <c r="I113" i="474"/>
  <c r="H113" i="474"/>
  <c r="G113" i="474"/>
  <c r="I112" i="474"/>
  <c r="H112" i="474"/>
  <c r="G112" i="474"/>
  <c r="I111" i="474"/>
  <c r="H111" i="474"/>
  <c r="G111" i="474"/>
  <c r="I110" i="474"/>
  <c r="H110" i="474"/>
  <c r="G110" i="474"/>
  <c r="I109" i="474"/>
  <c r="H109" i="474"/>
  <c r="G109" i="474"/>
  <c r="I108" i="474"/>
  <c r="H108" i="474"/>
  <c r="G108" i="474"/>
  <c r="I107" i="474"/>
  <c r="H107" i="474"/>
  <c r="G107" i="474"/>
  <c r="I106" i="474"/>
  <c r="H106" i="474"/>
  <c r="G106" i="474"/>
  <c r="I103" i="474"/>
  <c r="H103" i="474"/>
  <c r="G103" i="474"/>
  <c r="I102" i="474"/>
  <c r="H102" i="474"/>
  <c r="G102" i="474"/>
  <c r="I101" i="474"/>
  <c r="H101" i="474"/>
  <c r="G101" i="474"/>
  <c r="I100" i="474"/>
  <c r="H100" i="474"/>
  <c r="G100" i="474"/>
  <c r="I99" i="474"/>
  <c r="H99" i="474"/>
  <c r="G99" i="474"/>
  <c r="I97" i="474"/>
  <c r="H97" i="474"/>
  <c r="G97" i="474"/>
  <c r="I95" i="474"/>
  <c r="H95" i="474"/>
  <c r="G95" i="474"/>
  <c r="I94" i="474"/>
  <c r="H94" i="474"/>
  <c r="G94" i="474"/>
  <c r="I93" i="474"/>
  <c r="H93" i="474"/>
  <c r="G93" i="474"/>
  <c r="I92" i="474"/>
  <c r="H92" i="474"/>
  <c r="G92" i="474"/>
  <c r="I91" i="474"/>
  <c r="H91" i="474"/>
  <c r="G91" i="474"/>
  <c r="I89" i="474"/>
  <c r="H89" i="474"/>
  <c r="G89" i="474"/>
  <c r="I88" i="474"/>
  <c r="H88" i="474"/>
  <c r="G88" i="474"/>
  <c r="I87" i="474"/>
  <c r="H87" i="474"/>
  <c r="G87" i="474"/>
  <c r="I85" i="474"/>
  <c r="H85" i="474"/>
  <c r="G85" i="474"/>
  <c r="I84" i="474"/>
  <c r="H84" i="474"/>
  <c r="G84" i="474"/>
  <c r="I83" i="474"/>
  <c r="H83" i="474"/>
  <c r="G83" i="474"/>
  <c r="I82" i="474"/>
  <c r="H82" i="474"/>
  <c r="G82" i="474"/>
  <c r="I81" i="474"/>
  <c r="H81" i="474"/>
  <c r="G81" i="474"/>
  <c r="I80" i="474"/>
  <c r="H80" i="474"/>
  <c r="G80" i="474"/>
  <c r="I78" i="474"/>
  <c r="H78" i="474"/>
  <c r="G78" i="474"/>
  <c r="I77" i="474"/>
  <c r="H77" i="474"/>
  <c r="G77" i="474"/>
  <c r="I76" i="474"/>
  <c r="H76" i="474"/>
  <c r="G76" i="474"/>
  <c r="I75" i="474"/>
  <c r="H75" i="474"/>
  <c r="G75" i="474"/>
  <c r="I74" i="474"/>
  <c r="H74" i="474"/>
  <c r="H73" i="474" s="1"/>
  <c r="G74" i="474"/>
  <c r="G73" i="474" s="1"/>
  <c r="I70" i="474"/>
  <c r="H70" i="474"/>
  <c r="G70" i="474"/>
  <c r="I68" i="474"/>
  <c r="H68" i="474"/>
  <c r="G68" i="474"/>
  <c r="I67" i="474"/>
  <c r="H67" i="474"/>
  <c r="G67" i="474"/>
  <c r="I66" i="474"/>
  <c r="H66" i="474"/>
  <c r="G66" i="474"/>
  <c r="I65" i="474"/>
  <c r="H65" i="474"/>
  <c r="H64" i="474" s="1"/>
  <c r="G65" i="474"/>
  <c r="G64" i="474" s="1"/>
  <c r="I63" i="474"/>
  <c r="H63" i="474"/>
  <c r="G63" i="474"/>
  <c r="I62" i="474"/>
  <c r="H62" i="474"/>
  <c r="G62" i="474"/>
  <c r="I61" i="474"/>
  <c r="H61" i="474"/>
  <c r="G61" i="474"/>
  <c r="I60" i="474"/>
  <c r="H60" i="474"/>
  <c r="G60" i="474"/>
  <c r="I59" i="474"/>
  <c r="H59" i="474"/>
  <c r="G59" i="474"/>
  <c r="I58" i="474"/>
  <c r="H58" i="474"/>
  <c r="G58" i="474"/>
  <c r="I57" i="474"/>
  <c r="H57" i="474"/>
  <c r="H56" i="474" s="1"/>
  <c r="H55" i="474" s="1"/>
  <c r="G57" i="474"/>
  <c r="G56" i="474" s="1"/>
  <c r="I54" i="474"/>
  <c r="H54" i="474"/>
  <c r="G54" i="474"/>
  <c r="I53" i="474"/>
  <c r="H53" i="474"/>
  <c r="G53" i="474"/>
  <c r="I52" i="474"/>
  <c r="H52" i="474"/>
  <c r="G52" i="474"/>
  <c r="I51" i="474"/>
  <c r="H51" i="474"/>
  <c r="G51" i="474"/>
  <c r="I50" i="474"/>
  <c r="H50" i="474"/>
  <c r="G50" i="474"/>
  <c r="I49" i="474"/>
  <c r="H49" i="474"/>
  <c r="G49" i="474"/>
  <c r="I48" i="474"/>
  <c r="H48" i="474"/>
  <c r="H47" i="474" s="1"/>
  <c r="G48" i="474"/>
  <c r="G47" i="474" s="1"/>
  <c r="I46" i="474"/>
  <c r="H46" i="474"/>
  <c r="G46" i="474"/>
  <c r="I45" i="474"/>
  <c r="H45" i="474"/>
  <c r="G45" i="474"/>
  <c r="I44" i="474"/>
  <c r="H44" i="474"/>
  <c r="G44" i="474"/>
  <c r="I43" i="474"/>
  <c r="H43" i="474"/>
  <c r="G43" i="474"/>
  <c r="I42" i="474"/>
  <c r="H42" i="474"/>
  <c r="G42" i="474"/>
  <c r="I41" i="474"/>
  <c r="H41" i="474"/>
  <c r="G41" i="474"/>
  <c r="I40" i="474"/>
  <c r="H40" i="474"/>
  <c r="G40" i="474"/>
  <c r="I39" i="474"/>
  <c r="H39" i="474"/>
  <c r="G39" i="474"/>
  <c r="I38" i="474"/>
  <c r="H38" i="474"/>
  <c r="G38" i="474"/>
  <c r="I37" i="474"/>
  <c r="H37" i="474"/>
  <c r="G37" i="474"/>
  <c r="I36" i="474"/>
  <c r="H36" i="474"/>
  <c r="G36" i="474"/>
  <c r="I35" i="474"/>
  <c r="H35" i="474"/>
  <c r="G35" i="474"/>
  <c r="I34" i="474"/>
  <c r="H34" i="474"/>
  <c r="G34" i="474"/>
  <c r="I33" i="474"/>
  <c r="H33" i="474"/>
  <c r="G33" i="474"/>
  <c r="I32" i="474"/>
  <c r="H32" i="474"/>
  <c r="G32" i="474"/>
  <c r="I31" i="474"/>
  <c r="H31" i="474"/>
  <c r="G31" i="474"/>
  <c r="I30" i="474"/>
  <c r="H30" i="474"/>
  <c r="G30" i="474"/>
  <c r="I29" i="474"/>
  <c r="H29" i="474"/>
  <c r="H28" i="474" s="1"/>
  <c r="G29" i="474"/>
  <c r="G28" i="474" s="1"/>
  <c r="G27" i="474" s="1"/>
  <c r="I26" i="474"/>
  <c r="H26" i="474"/>
  <c r="G26" i="474"/>
  <c r="I25" i="474"/>
  <c r="H25" i="474"/>
  <c r="G25" i="474"/>
  <c r="I24" i="474"/>
  <c r="H24" i="474"/>
  <c r="G24" i="474"/>
  <c r="I23" i="474"/>
  <c r="H23" i="474"/>
  <c r="H22" i="474" s="1"/>
  <c r="G23" i="474"/>
  <c r="G22" i="474" s="1"/>
  <c r="I21" i="474"/>
  <c r="H21" i="474"/>
  <c r="G21" i="474"/>
  <c r="I20" i="474"/>
  <c r="H20" i="474"/>
  <c r="G20" i="474"/>
  <c r="I19" i="474"/>
  <c r="H19" i="474"/>
  <c r="G19" i="474"/>
  <c r="I18" i="474"/>
  <c r="H18" i="474"/>
  <c r="G18" i="474"/>
  <c r="I17" i="474"/>
  <c r="H17" i="474"/>
  <c r="G17" i="474"/>
  <c r="I16" i="474"/>
  <c r="H16" i="474"/>
  <c r="G16" i="474"/>
  <c r="I15" i="474"/>
  <c r="H15" i="474"/>
  <c r="G15" i="474"/>
  <c r="I14" i="474"/>
  <c r="H14" i="474"/>
  <c r="G14" i="474"/>
  <c r="I13" i="474"/>
  <c r="H13" i="474"/>
  <c r="G13" i="474"/>
  <c r="I12" i="474"/>
  <c r="H12" i="474"/>
  <c r="G12" i="474"/>
  <c r="I11" i="474"/>
  <c r="H11" i="474"/>
  <c r="G11" i="474"/>
  <c r="I10" i="474"/>
  <c r="H10" i="474"/>
  <c r="H9" i="474" s="1"/>
  <c r="G10" i="474"/>
  <c r="G9" i="474" s="1"/>
  <c r="G8" i="474" s="1"/>
  <c r="E167" i="474"/>
  <c r="D167" i="474"/>
  <c r="C167" i="474"/>
  <c r="E166" i="474"/>
  <c r="D166" i="474"/>
  <c r="C166" i="474"/>
  <c r="E165" i="474"/>
  <c r="D165" i="474"/>
  <c r="C165" i="474"/>
  <c r="E164" i="474"/>
  <c r="D164" i="474"/>
  <c r="C164" i="474"/>
  <c r="E162" i="474"/>
  <c r="D162" i="474"/>
  <c r="C162" i="474"/>
  <c r="E161" i="474"/>
  <c r="D161" i="474"/>
  <c r="C161" i="474"/>
  <c r="E159" i="474"/>
  <c r="D159" i="474"/>
  <c r="C159" i="474"/>
  <c r="E158" i="474"/>
  <c r="D158" i="474"/>
  <c r="C158" i="474"/>
  <c r="E157" i="474"/>
  <c r="D157" i="474"/>
  <c r="C157" i="474"/>
  <c r="E156" i="474"/>
  <c r="D156" i="474"/>
  <c r="C156" i="474"/>
  <c r="E155" i="474"/>
  <c r="D155" i="474"/>
  <c r="C155" i="474"/>
  <c r="E153" i="474"/>
  <c r="D153" i="474"/>
  <c r="C153" i="474"/>
  <c r="E152" i="474"/>
  <c r="D152" i="474"/>
  <c r="C152" i="474"/>
  <c r="E151" i="474"/>
  <c r="D151" i="474"/>
  <c r="C151" i="474"/>
  <c r="E150" i="474"/>
  <c r="D150" i="474"/>
  <c r="C150" i="474"/>
  <c r="E149" i="474"/>
  <c r="D149" i="474"/>
  <c r="C149" i="474"/>
  <c r="E148" i="474"/>
  <c r="D148" i="474"/>
  <c r="C148" i="474"/>
  <c r="E145" i="474"/>
  <c r="D145" i="474"/>
  <c r="C145" i="474"/>
  <c r="E144" i="474"/>
  <c r="D144" i="474"/>
  <c r="C144" i="474"/>
  <c r="E143" i="474"/>
  <c r="D143" i="474"/>
  <c r="C143" i="474"/>
  <c r="E142" i="474"/>
  <c r="D142" i="474"/>
  <c r="C142" i="474"/>
  <c r="E141" i="474"/>
  <c r="D141" i="474"/>
  <c r="C141" i="474"/>
  <c r="E140" i="474"/>
  <c r="D140" i="474"/>
  <c r="C140" i="474"/>
  <c r="E139" i="474"/>
  <c r="D139" i="474"/>
  <c r="C139" i="474"/>
  <c r="E138" i="474"/>
  <c r="D138" i="474"/>
  <c r="C138" i="474"/>
  <c r="E137" i="474"/>
  <c r="D137" i="474"/>
  <c r="C137" i="474"/>
  <c r="E136" i="474"/>
  <c r="D136" i="474"/>
  <c r="C136" i="474"/>
  <c r="E135" i="474"/>
  <c r="D135" i="474"/>
  <c r="C135" i="474"/>
  <c r="E133" i="474"/>
  <c r="D133" i="474"/>
  <c r="C133" i="474"/>
  <c r="E132" i="474"/>
  <c r="D132" i="474"/>
  <c r="C132" i="474"/>
  <c r="E131" i="474"/>
  <c r="D131" i="474"/>
  <c r="C131" i="474"/>
  <c r="E130" i="474"/>
  <c r="D130" i="474"/>
  <c r="C130" i="474"/>
  <c r="E129" i="474"/>
  <c r="D129" i="474"/>
  <c r="C129" i="474"/>
  <c r="E128" i="474"/>
  <c r="D128" i="474"/>
  <c r="C128" i="474"/>
  <c r="E127" i="474"/>
  <c r="D127" i="474"/>
  <c r="C127" i="474"/>
  <c r="E126" i="474"/>
  <c r="D126" i="474"/>
  <c r="C126" i="474"/>
  <c r="E125" i="474"/>
  <c r="D125" i="474"/>
  <c r="C125" i="474"/>
  <c r="E124" i="474"/>
  <c r="D124" i="474"/>
  <c r="C124" i="474"/>
  <c r="E123" i="474"/>
  <c r="D123" i="474"/>
  <c r="C123" i="474"/>
  <c r="E122" i="474"/>
  <c r="D122" i="474"/>
  <c r="C122" i="474"/>
  <c r="E121" i="474"/>
  <c r="D121" i="474"/>
  <c r="C121" i="474"/>
  <c r="E120" i="474"/>
  <c r="D120" i="474"/>
  <c r="C120" i="474"/>
  <c r="E119" i="474"/>
  <c r="D119" i="474"/>
  <c r="C119" i="474"/>
  <c r="E118" i="474"/>
  <c r="D118" i="474"/>
  <c r="C118" i="474"/>
  <c r="E117" i="474"/>
  <c r="D117" i="474"/>
  <c r="C117" i="474"/>
  <c r="E115" i="474"/>
  <c r="D115" i="474"/>
  <c r="C115" i="474"/>
  <c r="E114" i="474"/>
  <c r="D114" i="474"/>
  <c r="C114" i="474"/>
  <c r="E113" i="474"/>
  <c r="D113" i="474"/>
  <c r="C113" i="474"/>
  <c r="E112" i="474"/>
  <c r="D112" i="474"/>
  <c r="C112" i="474"/>
  <c r="E111" i="474"/>
  <c r="D111" i="474"/>
  <c r="C111" i="474"/>
  <c r="E110" i="474"/>
  <c r="D110" i="474"/>
  <c r="C110" i="474"/>
  <c r="E109" i="474"/>
  <c r="D109" i="474"/>
  <c r="C109" i="474"/>
  <c r="E108" i="474"/>
  <c r="D108" i="474"/>
  <c r="C108" i="474"/>
  <c r="E107" i="474"/>
  <c r="D107" i="474"/>
  <c r="C107" i="474"/>
  <c r="E106" i="474"/>
  <c r="D106" i="474"/>
  <c r="C106" i="474"/>
  <c r="E103" i="474"/>
  <c r="D103" i="474"/>
  <c r="C103" i="474"/>
  <c r="E102" i="474"/>
  <c r="D102" i="474"/>
  <c r="C102" i="474"/>
  <c r="E101" i="474"/>
  <c r="D101" i="474"/>
  <c r="C101" i="474"/>
  <c r="E100" i="474"/>
  <c r="D100" i="474"/>
  <c r="C100" i="474"/>
  <c r="E99" i="474"/>
  <c r="D99" i="474"/>
  <c r="C99" i="474"/>
  <c r="E97" i="474"/>
  <c r="D97" i="474"/>
  <c r="C97" i="474"/>
  <c r="E95" i="474"/>
  <c r="D95" i="474"/>
  <c r="C95" i="474"/>
  <c r="E94" i="474"/>
  <c r="D94" i="474"/>
  <c r="C94" i="474"/>
  <c r="E93" i="474"/>
  <c r="D93" i="474"/>
  <c r="C93" i="474"/>
  <c r="E92" i="474"/>
  <c r="D92" i="474"/>
  <c r="C92" i="474"/>
  <c r="E91" i="474"/>
  <c r="D91" i="474"/>
  <c r="C91" i="474"/>
  <c r="E89" i="474"/>
  <c r="D89" i="474"/>
  <c r="C89" i="474"/>
  <c r="E88" i="474"/>
  <c r="D88" i="474"/>
  <c r="C88" i="474"/>
  <c r="E87" i="474"/>
  <c r="D87" i="474"/>
  <c r="C87" i="474"/>
  <c r="E85" i="474"/>
  <c r="D85" i="474"/>
  <c r="C85" i="474"/>
  <c r="E84" i="474"/>
  <c r="D84" i="474"/>
  <c r="C84" i="474"/>
  <c r="E83" i="474"/>
  <c r="D83" i="474"/>
  <c r="C83" i="474"/>
  <c r="E82" i="474"/>
  <c r="D82" i="474"/>
  <c r="C82" i="474"/>
  <c r="E81" i="474"/>
  <c r="D81" i="474"/>
  <c r="C81" i="474"/>
  <c r="E80" i="474"/>
  <c r="D80" i="474"/>
  <c r="C80" i="474"/>
  <c r="E78" i="474"/>
  <c r="D78" i="474"/>
  <c r="C78" i="474"/>
  <c r="E77" i="474"/>
  <c r="D77" i="474"/>
  <c r="C77" i="474"/>
  <c r="E76" i="474"/>
  <c r="D76" i="474"/>
  <c r="C76" i="474"/>
  <c r="E75" i="474"/>
  <c r="D75" i="474"/>
  <c r="C75" i="474"/>
  <c r="E74" i="474"/>
  <c r="D74" i="474"/>
  <c r="C74" i="474"/>
  <c r="E70" i="474"/>
  <c r="D70" i="474"/>
  <c r="C70" i="474"/>
  <c r="E68" i="474"/>
  <c r="D68" i="474"/>
  <c r="C68" i="474"/>
  <c r="E67" i="474"/>
  <c r="D67" i="474"/>
  <c r="C67" i="474"/>
  <c r="E66" i="474"/>
  <c r="D66" i="474"/>
  <c r="C66" i="474"/>
  <c r="E65" i="474"/>
  <c r="D65" i="474"/>
  <c r="C65" i="474"/>
  <c r="E63" i="474"/>
  <c r="D63" i="474"/>
  <c r="C63" i="474"/>
  <c r="E62" i="474"/>
  <c r="D62" i="474"/>
  <c r="C62" i="474"/>
  <c r="E61" i="474"/>
  <c r="D61" i="474"/>
  <c r="C61" i="474"/>
  <c r="E60" i="474"/>
  <c r="D60" i="474"/>
  <c r="C60" i="474"/>
  <c r="E59" i="474"/>
  <c r="D59" i="474"/>
  <c r="C59" i="474"/>
  <c r="E58" i="474"/>
  <c r="D58" i="474"/>
  <c r="C58" i="474"/>
  <c r="E57" i="474"/>
  <c r="D57" i="474"/>
  <c r="D56" i="474" s="1"/>
  <c r="D55" i="474" s="1"/>
  <c r="C57" i="474"/>
  <c r="C56" i="474" s="1"/>
  <c r="E54" i="474"/>
  <c r="D54" i="474"/>
  <c r="C54" i="474"/>
  <c r="E53" i="474"/>
  <c r="D53" i="474"/>
  <c r="C53" i="474"/>
  <c r="E52" i="474"/>
  <c r="D52" i="474"/>
  <c r="C52" i="474"/>
  <c r="E51" i="474"/>
  <c r="D51" i="474"/>
  <c r="C51" i="474"/>
  <c r="E50" i="474"/>
  <c r="D50" i="474"/>
  <c r="C50" i="474"/>
  <c r="E49" i="474"/>
  <c r="D49" i="474"/>
  <c r="C49" i="474"/>
  <c r="E48" i="474"/>
  <c r="D48" i="474"/>
  <c r="D47" i="474" s="1"/>
  <c r="C48" i="474"/>
  <c r="C47" i="474" s="1"/>
  <c r="E46" i="474"/>
  <c r="D46" i="474"/>
  <c r="C46" i="474"/>
  <c r="E45" i="474"/>
  <c r="D45" i="474"/>
  <c r="C45" i="474"/>
  <c r="E44" i="474"/>
  <c r="D44" i="474"/>
  <c r="C44" i="474"/>
  <c r="E43" i="474"/>
  <c r="D43" i="474"/>
  <c r="C43" i="474"/>
  <c r="E42" i="474"/>
  <c r="D42" i="474"/>
  <c r="C42" i="474"/>
  <c r="E41" i="474"/>
  <c r="D41" i="474"/>
  <c r="C41" i="474"/>
  <c r="E40" i="474"/>
  <c r="D40" i="474"/>
  <c r="C40" i="474"/>
  <c r="E39" i="474"/>
  <c r="D39" i="474"/>
  <c r="C39" i="474"/>
  <c r="E38" i="474"/>
  <c r="D38" i="474"/>
  <c r="C38" i="474"/>
  <c r="E37" i="474"/>
  <c r="D37" i="474"/>
  <c r="C37" i="474"/>
  <c r="E36" i="474"/>
  <c r="D36" i="474"/>
  <c r="C36" i="474"/>
  <c r="E35" i="474"/>
  <c r="D35" i="474"/>
  <c r="C35" i="474"/>
  <c r="E34" i="474"/>
  <c r="D34" i="474"/>
  <c r="C34" i="474"/>
  <c r="E33" i="474"/>
  <c r="D33" i="474"/>
  <c r="C33" i="474"/>
  <c r="E32" i="474"/>
  <c r="D32" i="474"/>
  <c r="C32" i="474"/>
  <c r="E31" i="474"/>
  <c r="D31" i="474"/>
  <c r="C31" i="474"/>
  <c r="E30" i="474"/>
  <c r="D30" i="474"/>
  <c r="C30" i="474"/>
  <c r="E29" i="474"/>
  <c r="D29" i="474"/>
  <c r="D28" i="474" s="1"/>
  <c r="C29" i="474"/>
  <c r="C28" i="474" s="1"/>
  <c r="E26" i="474"/>
  <c r="D26" i="474"/>
  <c r="C26" i="474"/>
  <c r="E25" i="474"/>
  <c r="D25" i="474"/>
  <c r="C25" i="474"/>
  <c r="E24" i="474"/>
  <c r="D24" i="474"/>
  <c r="C24" i="474"/>
  <c r="E23" i="474"/>
  <c r="D23" i="474"/>
  <c r="D22" i="474" s="1"/>
  <c r="C23" i="474"/>
  <c r="C22" i="474" s="1"/>
  <c r="E21" i="474"/>
  <c r="D21" i="474"/>
  <c r="C21" i="474"/>
  <c r="E20" i="474"/>
  <c r="D20" i="474"/>
  <c r="C20" i="474"/>
  <c r="E19" i="474"/>
  <c r="D19" i="474"/>
  <c r="C19" i="474"/>
  <c r="E18" i="474"/>
  <c r="D18" i="474"/>
  <c r="C18" i="474"/>
  <c r="E17" i="474"/>
  <c r="D17" i="474"/>
  <c r="C17" i="474"/>
  <c r="E16" i="474"/>
  <c r="D16" i="474"/>
  <c r="C16" i="474"/>
  <c r="E15" i="474"/>
  <c r="D15" i="474"/>
  <c r="C15" i="474"/>
  <c r="E14" i="474"/>
  <c r="D14" i="474"/>
  <c r="C14" i="474"/>
  <c r="E13" i="474"/>
  <c r="D13" i="474"/>
  <c r="C13" i="474"/>
  <c r="E12" i="474"/>
  <c r="D12" i="474"/>
  <c r="C12" i="474"/>
  <c r="E11" i="474"/>
  <c r="D11" i="474"/>
  <c r="C11" i="474"/>
  <c r="E10" i="474"/>
  <c r="D10" i="474"/>
  <c r="D9" i="474" s="1"/>
  <c r="D8" i="474" s="1"/>
  <c r="C10" i="474"/>
  <c r="C17" i="3"/>
  <c r="D17" i="3"/>
  <c r="E17" i="3"/>
  <c r="B17" i="3"/>
  <c r="C24" i="671"/>
  <c r="C23" i="671"/>
  <c r="C22" i="671"/>
  <c r="B26" i="671"/>
  <c r="B25" i="671"/>
  <c r="B24" i="671"/>
  <c r="B23" i="671"/>
  <c r="C12" i="671"/>
  <c r="B12" i="671"/>
  <c r="C6" i="671"/>
  <c r="B6" i="671"/>
  <c r="D8" i="671"/>
  <c r="D9" i="671"/>
  <c r="D10" i="671"/>
  <c r="D11" i="671"/>
  <c r="D13" i="671"/>
  <c r="D14" i="671"/>
  <c r="D15" i="671"/>
  <c r="D17" i="671"/>
  <c r="J217" i="475"/>
  <c r="I217" i="475"/>
  <c r="J213" i="475"/>
  <c r="I213" i="475"/>
  <c r="J209" i="475"/>
  <c r="I209" i="475"/>
  <c r="J177" i="475"/>
  <c r="I177" i="475"/>
  <c r="J173" i="475"/>
  <c r="I173" i="475"/>
  <c r="J168" i="475"/>
  <c r="I168" i="475"/>
  <c r="J161" i="475"/>
  <c r="I161" i="475"/>
  <c r="J148" i="475"/>
  <c r="I148" i="475"/>
  <c r="J139" i="475"/>
  <c r="I139" i="475"/>
  <c r="J129" i="475"/>
  <c r="I129" i="475"/>
  <c r="J125" i="475"/>
  <c r="I125" i="475"/>
  <c r="J122" i="475"/>
  <c r="I122" i="475"/>
  <c r="J119" i="475"/>
  <c r="I119" i="475"/>
  <c r="J115" i="475"/>
  <c r="I115" i="475"/>
  <c r="J108" i="475"/>
  <c r="I108" i="475"/>
  <c r="J103" i="475"/>
  <c r="I103" i="475"/>
  <c r="J76" i="475"/>
  <c r="I76" i="475"/>
  <c r="J73" i="475"/>
  <c r="I73" i="475"/>
  <c r="J60" i="475"/>
  <c r="I60" i="475"/>
  <c r="J54" i="475"/>
  <c r="I54" i="475"/>
  <c r="J45" i="475"/>
  <c r="I45" i="475"/>
  <c r="J40" i="475"/>
  <c r="I40" i="475"/>
  <c r="J37" i="475"/>
  <c r="I37" i="475"/>
  <c r="J22" i="475"/>
  <c r="I22" i="475"/>
  <c r="J9" i="475"/>
  <c r="I9" i="475"/>
  <c r="H163" i="474"/>
  <c r="G163" i="474"/>
  <c r="H154" i="474"/>
  <c r="G154" i="474"/>
  <c r="H147" i="474"/>
  <c r="G147" i="474"/>
  <c r="H116" i="474"/>
  <c r="G116" i="474"/>
  <c r="H105" i="474"/>
  <c r="G105" i="474"/>
  <c r="H98" i="474"/>
  <c r="G98" i="474"/>
  <c r="H96" i="474"/>
  <c r="I90" i="474"/>
  <c r="H90" i="474"/>
  <c r="G90" i="474"/>
  <c r="H86" i="474"/>
  <c r="G86" i="474"/>
  <c r="H79" i="474"/>
  <c r="G79" i="474"/>
  <c r="D134" i="474"/>
  <c r="C134" i="474"/>
  <c r="D116" i="474"/>
  <c r="C116" i="474"/>
  <c r="D105" i="474"/>
  <c r="D104" i="474" s="1"/>
  <c r="C105" i="474"/>
  <c r="C104" i="474" s="1"/>
  <c r="D98" i="474"/>
  <c r="C98" i="474"/>
  <c r="D96" i="474"/>
  <c r="D86" i="474"/>
  <c r="C86" i="474"/>
  <c r="D79" i="474"/>
  <c r="C79" i="474"/>
  <c r="D73" i="474"/>
  <c r="C73" i="474"/>
  <c r="D64" i="474"/>
  <c r="C64" i="474"/>
  <c r="P296" i="475"/>
  <c r="O296" i="475"/>
  <c r="P292" i="475"/>
  <c r="P290" i="475" s="1"/>
  <c r="O292" i="475"/>
  <c r="O290" i="475" s="1"/>
  <c r="P271" i="475"/>
  <c r="P270" i="475" s="1"/>
  <c r="O271" i="475"/>
  <c r="O270" i="475" s="1"/>
  <c r="P254" i="475"/>
  <c r="P253" i="475" s="1"/>
  <c r="O254" i="475"/>
  <c r="O253" i="475" s="1"/>
  <c r="P246" i="475"/>
  <c r="O246" i="475"/>
  <c r="P242" i="475"/>
  <c r="O242" i="475"/>
  <c r="O232" i="475"/>
  <c r="H134" i="474"/>
  <c r="G134" i="474"/>
  <c r="D163" i="474"/>
  <c r="C163" i="474"/>
  <c r="D154" i="474"/>
  <c r="C154" i="474"/>
  <c r="D147" i="474"/>
  <c r="C147" i="474"/>
  <c r="C146" i="474" s="1"/>
  <c r="A234" i="475"/>
  <c r="A233" i="475"/>
  <c r="A170" i="475"/>
  <c r="A169" i="475"/>
  <c r="A100" i="474"/>
  <c r="A99" i="474"/>
  <c r="A81" i="474"/>
  <c r="A80" i="474"/>
  <c r="AD230" i="475" l="1"/>
  <c r="AD229" i="475" s="1"/>
  <c r="V78" i="474"/>
  <c r="V68" i="474"/>
  <c r="V95" i="474"/>
  <c r="V61" i="474"/>
  <c r="V43" i="474"/>
  <c r="V42" i="474"/>
  <c r="T27" i="474"/>
  <c r="AC230" i="475"/>
  <c r="AC229" i="475" s="1"/>
  <c r="O166" i="475"/>
  <c r="V46" i="474"/>
  <c r="V167" i="474"/>
  <c r="V128" i="474"/>
  <c r="V127" i="474"/>
  <c r="V126" i="474"/>
  <c r="V94" i="474"/>
  <c r="V51" i="474"/>
  <c r="V45" i="474"/>
  <c r="L96" i="474"/>
  <c r="P166" i="475"/>
  <c r="P230" i="475"/>
  <c r="P229" i="475" s="1"/>
  <c r="L160" i="474"/>
  <c r="L146" i="474"/>
  <c r="N93" i="474"/>
  <c r="N92" i="474"/>
  <c r="N83" i="474"/>
  <c r="H146" i="474"/>
  <c r="G160" i="474"/>
  <c r="F40" i="474"/>
  <c r="J67" i="474"/>
  <c r="G146" i="474"/>
  <c r="D16" i="671"/>
  <c r="C18" i="671"/>
  <c r="D6" i="671"/>
  <c r="C25" i="671"/>
  <c r="D12" i="671"/>
  <c r="B18" i="671"/>
  <c r="D7" i="671"/>
  <c r="C27" i="671"/>
  <c r="D25" i="671"/>
  <c r="D26" i="671"/>
  <c r="D24" i="671"/>
  <c r="D23" i="671"/>
  <c r="D18" i="671"/>
  <c r="K146" i="474"/>
  <c r="V37" i="474"/>
  <c r="V38" i="474"/>
  <c r="V20" i="474"/>
  <c r="V18" i="474"/>
  <c r="N81" i="474"/>
  <c r="N60" i="474"/>
  <c r="N30" i="474"/>
  <c r="F36" i="474"/>
  <c r="V84" i="474"/>
  <c r="V70" i="474"/>
  <c r="V36" i="474"/>
  <c r="V30" i="474"/>
  <c r="N63" i="474"/>
  <c r="N46" i="474"/>
  <c r="N21" i="474"/>
  <c r="J53" i="474"/>
  <c r="F34" i="474"/>
  <c r="V132" i="474"/>
  <c r="V115" i="474"/>
  <c r="V50" i="474"/>
  <c r="J49" i="474"/>
  <c r="V123" i="474"/>
  <c r="V21" i="474"/>
  <c r="N50" i="474"/>
  <c r="V54" i="474"/>
  <c r="V19" i="474"/>
  <c r="V103" i="474"/>
  <c r="V89" i="474"/>
  <c r="V60" i="474"/>
  <c r="N77" i="474"/>
  <c r="N54" i="474"/>
  <c r="N35" i="474"/>
  <c r="V125" i="474"/>
  <c r="V121" i="474"/>
  <c r="V113" i="474"/>
  <c r="V77" i="474"/>
  <c r="V41" i="474"/>
  <c r="V35" i="474"/>
  <c r="V17" i="474"/>
  <c r="N59" i="474"/>
  <c r="N58" i="474"/>
  <c r="F20" i="474"/>
  <c r="V111" i="474"/>
  <c r="V53" i="474"/>
  <c r="V130" i="474"/>
  <c r="V109" i="474"/>
  <c r="V93" i="474"/>
  <c r="V92" i="474"/>
  <c r="V88" i="474"/>
  <c r="V81" i="474"/>
  <c r="V76" i="474"/>
  <c r="V75" i="474"/>
  <c r="V67" i="474"/>
  <c r="V66" i="474"/>
  <c r="V58" i="474"/>
  <c r="V40" i="474"/>
  <c r="V12" i="474"/>
  <c r="N84" i="474"/>
  <c r="N45" i="474"/>
  <c r="N38" i="474"/>
  <c r="N25" i="474"/>
  <c r="J52" i="474"/>
  <c r="F42" i="474"/>
  <c r="F33" i="474"/>
  <c r="F18" i="474"/>
  <c r="V25" i="474"/>
  <c r="V13" i="474"/>
  <c r="N88" i="474"/>
  <c r="F25" i="474"/>
  <c r="V129" i="474"/>
  <c r="V118" i="474"/>
  <c r="V63" i="474"/>
  <c r="V14" i="474"/>
  <c r="V11" i="474"/>
  <c r="N15" i="474"/>
  <c r="V26" i="474"/>
  <c r="V131" i="474"/>
  <c r="V124" i="474"/>
  <c r="V119" i="474"/>
  <c r="V107" i="474"/>
  <c r="V33" i="474"/>
  <c r="N76" i="474"/>
  <c r="N68" i="474"/>
  <c r="J61" i="474"/>
  <c r="F19" i="474"/>
  <c r="F16" i="474"/>
  <c r="V133" i="474"/>
  <c r="V120" i="474"/>
  <c r="V112" i="474"/>
  <c r="V102" i="474"/>
  <c r="V52" i="474"/>
  <c r="V34" i="474"/>
  <c r="N82" i="474"/>
  <c r="N41" i="474"/>
  <c r="F44" i="474"/>
  <c r="F30" i="474"/>
  <c r="F21" i="474"/>
  <c r="V122" i="474"/>
  <c r="V85" i="474"/>
  <c r="V39" i="474"/>
  <c r="V15" i="474"/>
  <c r="N53" i="474"/>
  <c r="J54" i="474"/>
  <c r="J62" i="474"/>
  <c r="N89" i="474"/>
  <c r="N70" i="474"/>
  <c r="N42" i="474"/>
  <c r="N34" i="474"/>
  <c r="N13" i="474"/>
  <c r="J68" i="474"/>
  <c r="J60" i="474"/>
  <c r="J58" i="474"/>
  <c r="J50" i="474"/>
  <c r="F13" i="474"/>
  <c r="N85" i="474"/>
  <c r="N44" i="474"/>
  <c r="N40" i="474"/>
  <c r="F43" i="474"/>
  <c r="F31" i="474"/>
  <c r="F26" i="474"/>
  <c r="F15" i="474"/>
  <c r="J66" i="474"/>
  <c r="F24" i="474"/>
  <c r="F38" i="474"/>
  <c r="F14" i="474"/>
  <c r="F41" i="474"/>
  <c r="F37" i="474"/>
  <c r="F32" i="474"/>
  <c r="F17" i="474"/>
  <c r="F12" i="474"/>
  <c r="F11" i="474"/>
  <c r="J63" i="474"/>
  <c r="J51" i="474"/>
  <c r="F39" i="474"/>
  <c r="F35" i="474"/>
  <c r="J166" i="475"/>
  <c r="J59" i="474"/>
  <c r="I166" i="475"/>
  <c r="C230" i="475"/>
  <c r="C229" i="475" s="1"/>
  <c r="K96" i="474"/>
  <c r="K71" i="474"/>
  <c r="K69" i="474" s="1"/>
  <c r="G96" i="474"/>
  <c r="AH120" i="475"/>
  <c r="AB119" i="475"/>
  <c r="AA119" i="475"/>
  <c r="AG119" i="475" s="1"/>
  <c r="AG120" i="475"/>
  <c r="AB115" i="475"/>
  <c r="AH116" i="475"/>
  <c r="AA115" i="475"/>
  <c r="AG115" i="475" s="1"/>
  <c r="AG116" i="475"/>
  <c r="AB108" i="475"/>
  <c r="AH109" i="475"/>
  <c r="AA108" i="475"/>
  <c r="AG108" i="475" s="1"/>
  <c r="AG109" i="475"/>
  <c r="AH104" i="475"/>
  <c r="AB103" i="475"/>
  <c r="AA103" i="475"/>
  <c r="AG103" i="475" s="1"/>
  <c r="AG104" i="475"/>
  <c r="AH74" i="475"/>
  <c r="AB73" i="475"/>
  <c r="AA73" i="475"/>
  <c r="AG73" i="475" s="1"/>
  <c r="AG74" i="475"/>
  <c r="AH68" i="475"/>
  <c r="AB67" i="475"/>
  <c r="AG68" i="475"/>
  <c r="AA67" i="475"/>
  <c r="AG67" i="475" s="1"/>
  <c r="AG61" i="475"/>
  <c r="AA60" i="475"/>
  <c r="AG60" i="475" s="1"/>
  <c r="AB9" i="475"/>
  <c r="AH10" i="475"/>
  <c r="AG10" i="475"/>
  <c r="AA9" i="475"/>
  <c r="AG9" i="475" s="1"/>
  <c r="AD8" i="475"/>
  <c r="AJ8" i="475" s="1"/>
  <c r="AC8" i="475"/>
  <c r="AI8" i="475" s="1"/>
  <c r="V135" i="474"/>
  <c r="U134" i="474"/>
  <c r="V134" i="474" s="1"/>
  <c r="V117" i="474"/>
  <c r="U116" i="474"/>
  <c r="V116" i="474" s="1"/>
  <c r="V106" i="474"/>
  <c r="U105" i="474"/>
  <c r="X99" i="474"/>
  <c r="T98" i="474"/>
  <c r="W99" i="474"/>
  <c r="S98" i="474"/>
  <c r="S96" i="474" s="1"/>
  <c r="V97" i="474"/>
  <c r="U96" i="474"/>
  <c r="V91" i="474"/>
  <c r="U90" i="474"/>
  <c r="V90" i="474" s="1"/>
  <c r="W80" i="474"/>
  <c r="S79" i="474"/>
  <c r="S71" i="474" s="1"/>
  <c r="S69" i="474" s="1"/>
  <c r="V74" i="474"/>
  <c r="U73" i="474"/>
  <c r="V65" i="474"/>
  <c r="U64" i="474"/>
  <c r="V64" i="474" s="1"/>
  <c r="V57" i="474"/>
  <c r="U56" i="474"/>
  <c r="V23" i="474"/>
  <c r="U22" i="474"/>
  <c r="V22" i="474" s="1"/>
  <c r="V10" i="474"/>
  <c r="U9" i="474"/>
  <c r="I64" i="474"/>
  <c r="J64" i="474" s="1"/>
  <c r="J65" i="474"/>
  <c r="J57" i="474"/>
  <c r="I56" i="474"/>
  <c r="I47" i="474"/>
  <c r="J47" i="474" s="1"/>
  <c r="J48" i="474"/>
  <c r="G55" i="474"/>
  <c r="F29" i="474"/>
  <c r="E28" i="474"/>
  <c r="F28" i="474" s="1"/>
  <c r="F23" i="474"/>
  <c r="E22" i="474"/>
  <c r="F22" i="474" s="1"/>
  <c r="F10" i="474"/>
  <c r="E9" i="474"/>
  <c r="C55" i="474"/>
  <c r="AD290" i="475"/>
  <c r="AJ290" i="475" s="1"/>
  <c r="N52" i="474"/>
  <c r="H295" i="475"/>
  <c r="F230" i="475"/>
  <c r="E229" i="475"/>
  <c r="D229" i="475"/>
  <c r="T160" i="474"/>
  <c r="V158" i="474"/>
  <c r="V157" i="474"/>
  <c r="V156" i="474"/>
  <c r="V153" i="474"/>
  <c r="V151" i="474"/>
  <c r="V150" i="474"/>
  <c r="N127" i="474"/>
  <c r="N126" i="474"/>
  <c r="N125" i="474"/>
  <c r="N124" i="474"/>
  <c r="N123" i="474"/>
  <c r="N122" i="474"/>
  <c r="N121" i="474"/>
  <c r="N120" i="474"/>
  <c r="N119" i="474"/>
  <c r="N118" i="474"/>
  <c r="N115" i="474"/>
  <c r="N114" i="474"/>
  <c r="N113" i="474"/>
  <c r="N112" i="474"/>
  <c r="N111" i="474"/>
  <c r="N110" i="474"/>
  <c r="N109" i="474"/>
  <c r="N108" i="474"/>
  <c r="N107" i="474"/>
  <c r="N103" i="474"/>
  <c r="N102" i="474"/>
  <c r="N101" i="474"/>
  <c r="N100" i="474"/>
  <c r="N95" i="474"/>
  <c r="N94" i="474"/>
  <c r="N62" i="474"/>
  <c r="N51" i="474"/>
  <c r="N43" i="474"/>
  <c r="N36" i="474"/>
  <c r="N33" i="474"/>
  <c r="H104" i="474"/>
  <c r="G104" i="474"/>
  <c r="J88" i="474"/>
  <c r="J82" i="474"/>
  <c r="J81" i="474"/>
  <c r="J77" i="474"/>
  <c r="N78" i="474"/>
  <c r="N67" i="474"/>
  <c r="N32" i="474"/>
  <c r="N29" i="474"/>
  <c r="N26" i="474"/>
  <c r="N24" i="474"/>
  <c r="N18" i="474"/>
  <c r="N17" i="474"/>
  <c r="N12" i="474"/>
  <c r="D72" i="474"/>
  <c r="C72" i="474"/>
  <c r="N75" i="474"/>
  <c r="N66" i="474"/>
  <c r="N61" i="474"/>
  <c r="N49" i="474"/>
  <c r="N39" i="474"/>
  <c r="N31" i="474"/>
  <c r="N20" i="474"/>
  <c r="N19" i="474"/>
  <c r="N16" i="474"/>
  <c r="N14" i="474"/>
  <c r="N11" i="474"/>
  <c r="AB148" i="475"/>
  <c r="AH149" i="475"/>
  <c r="AA148" i="475"/>
  <c r="AG148" i="475" s="1"/>
  <c r="AG149" i="475"/>
  <c r="AH140" i="475"/>
  <c r="AB139" i="475"/>
  <c r="AA139" i="475"/>
  <c r="AG139" i="475" s="1"/>
  <c r="AG140" i="475"/>
  <c r="AJ134" i="475"/>
  <c r="AK134" i="475" s="1"/>
  <c r="AE134" i="475"/>
  <c r="AF134" i="475"/>
  <c r="AI134" i="475"/>
  <c r="AL134" i="475" s="1"/>
  <c r="AH126" i="475"/>
  <c r="AB125" i="475"/>
  <c r="AG126" i="475"/>
  <c r="AA125" i="475"/>
  <c r="AG125" i="475" s="1"/>
  <c r="AH123" i="475"/>
  <c r="AB122" i="475"/>
  <c r="AA122" i="475"/>
  <c r="AG122" i="475" s="1"/>
  <c r="AG123" i="475"/>
  <c r="AB60" i="475"/>
  <c r="AH61" i="475"/>
  <c r="AB54" i="475"/>
  <c r="AH55" i="475"/>
  <c r="AA54" i="475"/>
  <c r="AG54" i="475" s="1"/>
  <c r="AG55" i="475"/>
  <c r="AB45" i="475"/>
  <c r="AH46" i="475"/>
  <c r="AG46" i="475"/>
  <c r="AA45" i="475"/>
  <c r="AG45" i="475" s="1"/>
  <c r="AH41" i="475"/>
  <c r="AB40" i="475"/>
  <c r="AA40" i="475"/>
  <c r="AG40" i="475" s="1"/>
  <c r="AG41" i="475"/>
  <c r="AH38" i="475"/>
  <c r="AB37" i="475"/>
  <c r="AA37" i="475"/>
  <c r="AG37" i="475" s="1"/>
  <c r="AG38" i="475"/>
  <c r="AB22" i="475"/>
  <c r="AH23" i="475"/>
  <c r="AG23" i="475"/>
  <c r="AA22" i="475"/>
  <c r="T268" i="475"/>
  <c r="T258" i="475"/>
  <c r="T240" i="475"/>
  <c r="V166" i="474"/>
  <c r="S160" i="474"/>
  <c r="V159" i="474"/>
  <c r="V152" i="474"/>
  <c r="F8" i="475"/>
  <c r="E8" i="475"/>
  <c r="V165" i="474"/>
  <c r="V162" i="474"/>
  <c r="J85" i="474"/>
  <c r="J78" i="474"/>
  <c r="V149" i="474"/>
  <c r="S146" i="474"/>
  <c r="T104" i="474"/>
  <c r="V144" i="474"/>
  <c r="V143" i="474"/>
  <c r="V142" i="474"/>
  <c r="V141" i="474"/>
  <c r="V140" i="474"/>
  <c r="V139" i="474"/>
  <c r="V138" i="474"/>
  <c r="V137" i="474"/>
  <c r="V136" i="474"/>
  <c r="N167" i="474"/>
  <c r="N166" i="474"/>
  <c r="N165" i="474"/>
  <c r="N162" i="474"/>
  <c r="N159" i="474"/>
  <c r="N158" i="474"/>
  <c r="N157" i="474"/>
  <c r="N156" i="474"/>
  <c r="N153" i="474"/>
  <c r="N152" i="474"/>
  <c r="N151" i="474"/>
  <c r="N150" i="474"/>
  <c r="N149" i="474"/>
  <c r="N145" i="474"/>
  <c r="N144" i="474"/>
  <c r="N143" i="474"/>
  <c r="N142" i="474"/>
  <c r="N141" i="474"/>
  <c r="N140" i="474"/>
  <c r="N139" i="474"/>
  <c r="N138" i="474"/>
  <c r="N136" i="474"/>
  <c r="N135" i="474"/>
  <c r="L104" i="474"/>
  <c r="K104" i="474"/>
  <c r="N133" i="474"/>
  <c r="N132" i="474"/>
  <c r="N131" i="474"/>
  <c r="N130" i="474"/>
  <c r="N129" i="474"/>
  <c r="N128" i="474"/>
  <c r="J89" i="474"/>
  <c r="J84" i="474"/>
  <c r="J83" i="474"/>
  <c r="J76" i="474"/>
  <c r="J75" i="474"/>
  <c r="H72" i="474"/>
  <c r="H71" i="474" s="1"/>
  <c r="H69" i="474" s="1"/>
  <c r="G72" i="474"/>
  <c r="G71" i="474" s="1"/>
  <c r="G69" i="474" s="1"/>
  <c r="G168" i="474" s="1"/>
  <c r="G169" i="474" s="1"/>
  <c r="G170" i="474" s="1"/>
  <c r="J70" i="474"/>
  <c r="F166" i="474"/>
  <c r="F165" i="474"/>
  <c r="F159" i="474"/>
  <c r="F143" i="474"/>
  <c r="F139" i="474"/>
  <c r="F137" i="474"/>
  <c r="F128" i="474"/>
  <c r="F125" i="474"/>
  <c r="F123" i="474"/>
  <c r="F112" i="474"/>
  <c r="F109" i="474"/>
  <c r="F92" i="474"/>
  <c r="D71" i="474"/>
  <c r="C71" i="474"/>
  <c r="AH297" i="475"/>
  <c r="AB296" i="475"/>
  <c r="AG297" i="475"/>
  <c r="AA296" i="475"/>
  <c r="AG296" i="475" s="1"/>
  <c r="AB292" i="475"/>
  <c r="AE292" i="475" s="1"/>
  <c r="AH293" i="475"/>
  <c r="AA292" i="475"/>
  <c r="AG293" i="475"/>
  <c r="AI280" i="475"/>
  <c r="AL280" i="475" s="1"/>
  <c r="AF280" i="475"/>
  <c r="AJ278" i="475"/>
  <c r="AK278" i="475" s="1"/>
  <c r="AE278" i="475"/>
  <c r="AH272" i="475"/>
  <c r="AB271" i="475"/>
  <c r="AG272" i="475"/>
  <c r="AA271" i="475"/>
  <c r="AJ261" i="475"/>
  <c r="AK261" i="475" s="1"/>
  <c r="AE261" i="475"/>
  <c r="AI261" i="475"/>
  <c r="AL261" i="475" s="1"/>
  <c r="AF261" i="475"/>
  <c r="AB246" i="475"/>
  <c r="AH247" i="475"/>
  <c r="AA246" i="475"/>
  <c r="AG246" i="475" s="1"/>
  <c r="AG247" i="475"/>
  <c r="AH243" i="475"/>
  <c r="AB242" i="475"/>
  <c r="AG243" i="475"/>
  <c r="AA242" i="475"/>
  <c r="AG242" i="475" s="1"/>
  <c r="AH167" i="475"/>
  <c r="AG167" i="475"/>
  <c r="AH162" i="475"/>
  <c r="AB161" i="475"/>
  <c r="AG162" i="475"/>
  <c r="AA161" i="475"/>
  <c r="AG161" i="475" s="1"/>
  <c r="AE160" i="475"/>
  <c r="AJ160" i="475"/>
  <c r="AK160" i="475" s="1"/>
  <c r="N117" i="474"/>
  <c r="M116" i="474"/>
  <c r="N116" i="474" s="1"/>
  <c r="N106" i="474"/>
  <c r="M105" i="474"/>
  <c r="N105" i="474" s="1"/>
  <c r="N99" i="474"/>
  <c r="M98" i="474"/>
  <c r="N97" i="474"/>
  <c r="N91" i="474"/>
  <c r="M90" i="474"/>
  <c r="N90" i="474" s="1"/>
  <c r="N87" i="474"/>
  <c r="M86" i="474"/>
  <c r="N86" i="474" s="1"/>
  <c r="N80" i="474"/>
  <c r="M79" i="474"/>
  <c r="N79" i="474" s="1"/>
  <c r="N74" i="474"/>
  <c r="M73" i="474"/>
  <c r="N65" i="474"/>
  <c r="M64" i="474"/>
  <c r="N64" i="474" s="1"/>
  <c r="N57" i="474"/>
  <c r="M56" i="474"/>
  <c r="N48" i="474"/>
  <c r="M47" i="474"/>
  <c r="N47" i="474" s="1"/>
  <c r="N23" i="474"/>
  <c r="M22" i="474"/>
  <c r="N22" i="474" s="1"/>
  <c r="N10" i="474"/>
  <c r="M9" i="474"/>
  <c r="C290" i="475"/>
  <c r="S280" i="475"/>
  <c r="T278" i="475"/>
  <c r="T275" i="475"/>
  <c r="T227" i="475"/>
  <c r="T226" i="475"/>
  <c r="S224" i="475"/>
  <c r="T224" i="475"/>
  <c r="S223" i="475"/>
  <c r="T223" i="475"/>
  <c r="T221" i="475"/>
  <c r="T219" i="475"/>
  <c r="S216" i="475"/>
  <c r="T216" i="475"/>
  <c r="T211" i="475"/>
  <c r="S208" i="475"/>
  <c r="T208" i="475"/>
  <c r="S207" i="475"/>
  <c r="T207" i="475"/>
  <c r="T206" i="475"/>
  <c r="T205" i="475"/>
  <c r="S204" i="475"/>
  <c r="T204" i="475"/>
  <c r="S203" i="475"/>
  <c r="T203" i="475"/>
  <c r="S202" i="475"/>
  <c r="T202" i="475"/>
  <c r="S201" i="475"/>
  <c r="T201" i="475"/>
  <c r="S200" i="475"/>
  <c r="T200" i="475"/>
  <c r="T198" i="475"/>
  <c r="T197" i="475"/>
  <c r="S196" i="475"/>
  <c r="T196" i="475"/>
  <c r="T195" i="475"/>
  <c r="S194" i="475"/>
  <c r="T194" i="475"/>
  <c r="T193" i="475"/>
  <c r="T192" i="475"/>
  <c r="T191" i="475"/>
  <c r="S189" i="475"/>
  <c r="T189" i="475"/>
  <c r="T188" i="475"/>
  <c r="S187" i="475"/>
  <c r="T187" i="475"/>
  <c r="T186" i="475"/>
  <c r="T185" i="475"/>
  <c r="T182" i="475"/>
  <c r="S181" i="475"/>
  <c r="T181" i="475"/>
  <c r="S180" i="475"/>
  <c r="T180" i="475"/>
  <c r="S179" i="475"/>
  <c r="T179" i="475"/>
  <c r="S176" i="475"/>
  <c r="T176" i="475"/>
  <c r="S175" i="475"/>
  <c r="S172" i="475"/>
  <c r="T172" i="475"/>
  <c r="S171" i="475"/>
  <c r="T171" i="475"/>
  <c r="T170" i="475"/>
  <c r="T163" i="475"/>
  <c r="T160" i="475"/>
  <c r="T158" i="475"/>
  <c r="T157" i="475"/>
  <c r="T156" i="475"/>
  <c r="S155" i="475"/>
  <c r="T155" i="475"/>
  <c r="T154" i="475"/>
  <c r="T152" i="475"/>
  <c r="S150" i="475"/>
  <c r="T150" i="475"/>
  <c r="T145" i="475"/>
  <c r="S144" i="475"/>
  <c r="T144" i="475"/>
  <c r="S143" i="475"/>
  <c r="T143" i="475"/>
  <c r="S142" i="475"/>
  <c r="T142" i="475"/>
  <c r="T141" i="475"/>
  <c r="S138" i="475"/>
  <c r="T138" i="475"/>
  <c r="T136" i="475"/>
  <c r="S134" i="475"/>
  <c r="T134" i="475"/>
  <c r="T131" i="475"/>
  <c r="S130" i="475"/>
  <c r="T130" i="475"/>
  <c r="T128" i="475"/>
  <c r="S127" i="475"/>
  <c r="T127" i="475"/>
  <c r="T124" i="475"/>
  <c r="S121" i="475"/>
  <c r="T121" i="475"/>
  <c r="T118" i="475"/>
  <c r="S117" i="475"/>
  <c r="T117" i="475"/>
  <c r="T114" i="475"/>
  <c r="S113" i="475"/>
  <c r="T113" i="475"/>
  <c r="T112" i="475"/>
  <c r="T111" i="475"/>
  <c r="S107" i="475"/>
  <c r="T107" i="475"/>
  <c r="T106" i="475"/>
  <c r="S105" i="475"/>
  <c r="T105" i="475"/>
  <c r="S102" i="475"/>
  <c r="T102" i="475"/>
  <c r="T101" i="475"/>
  <c r="T99" i="475"/>
  <c r="S98" i="475"/>
  <c r="J8" i="475"/>
  <c r="I8" i="475"/>
  <c r="F290" i="475"/>
  <c r="G290" i="475" s="1"/>
  <c r="S104" i="474"/>
  <c r="V79" i="474"/>
  <c r="J167" i="474"/>
  <c r="J166" i="474"/>
  <c r="J165" i="474"/>
  <c r="H160" i="474"/>
  <c r="J162" i="474"/>
  <c r="J159" i="474"/>
  <c r="J158" i="474"/>
  <c r="J157" i="474"/>
  <c r="J156" i="474"/>
  <c r="J153" i="474"/>
  <c r="J152" i="474"/>
  <c r="J151" i="474"/>
  <c r="J150" i="474"/>
  <c r="J149" i="474"/>
  <c r="J145" i="474"/>
  <c r="J144" i="474"/>
  <c r="J143" i="474"/>
  <c r="J142" i="474"/>
  <c r="J141" i="474"/>
  <c r="J140" i="474"/>
  <c r="J139" i="474"/>
  <c r="J138" i="474"/>
  <c r="J137" i="474"/>
  <c r="J136" i="474"/>
  <c r="J133" i="474"/>
  <c r="J132" i="474"/>
  <c r="J131" i="474"/>
  <c r="J130" i="474"/>
  <c r="J129" i="474"/>
  <c r="J128" i="474"/>
  <c r="J127" i="474"/>
  <c r="J126" i="474"/>
  <c r="J125" i="474"/>
  <c r="J124" i="474"/>
  <c r="J123" i="474"/>
  <c r="J122" i="474"/>
  <c r="J121" i="474"/>
  <c r="J120" i="474"/>
  <c r="J119" i="474"/>
  <c r="J118" i="474"/>
  <c r="J115" i="474"/>
  <c r="J114" i="474"/>
  <c r="J113" i="474"/>
  <c r="J112" i="474"/>
  <c r="J111" i="474"/>
  <c r="J110" i="474"/>
  <c r="J109" i="474"/>
  <c r="J108" i="474"/>
  <c r="J107" i="474"/>
  <c r="J103" i="474"/>
  <c r="J102" i="474"/>
  <c r="J101" i="474"/>
  <c r="J100" i="474"/>
  <c r="J95" i="474"/>
  <c r="J94" i="474"/>
  <c r="J93" i="474"/>
  <c r="J92" i="474"/>
  <c r="J91" i="474"/>
  <c r="F157" i="474"/>
  <c r="F107" i="474"/>
  <c r="F141" i="474"/>
  <c r="F117" i="474"/>
  <c r="F101" i="474"/>
  <c r="F94" i="474"/>
  <c r="AH233" i="475"/>
  <c r="AB232" i="475"/>
  <c r="AB230" i="475" s="1"/>
  <c r="AG233" i="475"/>
  <c r="AA232" i="475"/>
  <c r="AG232" i="475" s="1"/>
  <c r="AH231" i="475"/>
  <c r="AG231" i="475"/>
  <c r="AA230" i="475"/>
  <c r="AH214" i="475"/>
  <c r="AB213" i="475"/>
  <c r="AG214" i="475"/>
  <c r="AA213" i="475"/>
  <c r="AG213" i="475" s="1"/>
  <c r="AH210" i="475"/>
  <c r="AB209" i="475"/>
  <c r="AG210" i="475"/>
  <c r="AA209" i="475"/>
  <c r="AG209" i="475" s="1"/>
  <c r="AI206" i="475"/>
  <c r="AL206" i="475" s="1"/>
  <c r="AF206" i="475"/>
  <c r="AH178" i="475"/>
  <c r="AB177" i="475"/>
  <c r="AG178" i="475"/>
  <c r="AA177" i="475"/>
  <c r="AG177" i="475" s="1"/>
  <c r="AH174" i="475"/>
  <c r="AB173" i="475"/>
  <c r="AG174" i="475"/>
  <c r="AA173" i="475"/>
  <c r="AG173" i="475" s="1"/>
  <c r="AF170" i="475"/>
  <c r="AI170" i="475"/>
  <c r="AL170" i="475" s="1"/>
  <c r="AH169" i="475"/>
  <c r="AB168" i="475"/>
  <c r="AB166" i="475" s="1"/>
  <c r="AG169" i="475"/>
  <c r="AA168" i="475"/>
  <c r="V164" i="474"/>
  <c r="U163" i="474"/>
  <c r="V161" i="474"/>
  <c r="V155" i="474"/>
  <c r="U154" i="474"/>
  <c r="V154" i="474" s="1"/>
  <c r="V148" i="474"/>
  <c r="U147" i="474"/>
  <c r="V145" i="474"/>
  <c r="N164" i="474"/>
  <c r="M163" i="474"/>
  <c r="N161" i="474"/>
  <c r="N155" i="474"/>
  <c r="M154" i="474"/>
  <c r="N154" i="474" s="1"/>
  <c r="N148" i="474"/>
  <c r="M147" i="474"/>
  <c r="J87" i="474"/>
  <c r="I86" i="474"/>
  <c r="J86" i="474" s="1"/>
  <c r="J80" i="474"/>
  <c r="I79" i="474"/>
  <c r="J79" i="474" s="1"/>
  <c r="J74" i="474"/>
  <c r="I73" i="474"/>
  <c r="T146" i="474"/>
  <c r="S276" i="475"/>
  <c r="T274" i="475"/>
  <c r="T273" i="475"/>
  <c r="T267" i="475"/>
  <c r="T266" i="475"/>
  <c r="T265" i="475"/>
  <c r="T264" i="475"/>
  <c r="S263" i="475"/>
  <c r="T261" i="475"/>
  <c r="T260" i="475"/>
  <c r="T259" i="475"/>
  <c r="S258" i="475"/>
  <c r="S257" i="475"/>
  <c r="S256" i="475"/>
  <c r="S255" i="475"/>
  <c r="T255" i="475"/>
  <c r="S252" i="475"/>
  <c r="S251" i="475"/>
  <c r="T250" i="475"/>
  <c r="S249" i="475"/>
  <c r="T248" i="475"/>
  <c r="S245" i="475"/>
  <c r="T244" i="475"/>
  <c r="S241" i="475"/>
  <c r="T239" i="475"/>
  <c r="T238" i="475"/>
  <c r="T237" i="475"/>
  <c r="T236" i="475"/>
  <c r="S235" i="475"/>
  <c r="T234" i="475"/>
  <c r="S225" i="475"/>
  <c r="S222" i="475"/>
  <c r="S198" i="475"/>
  <c r="S197" i="475"/>
  <c r="S195" i="475"/>
  <c r="S192" i="475"/>
  <c r="S188" i="475"/>
  <c r="S183" i="475"/>
  <c r="S158" i="475"/>
  <c r="T153" i="475"/>
  <c r="S151" i="475"/>
  <c r="S146" i="475"/>
  <c r="S145" i="475"/>
  <c r="S118" i="475"/>
  <c r="S112" i="475"/>
  <c r="O230" i="475"/>
  <c r="O229" i="475" s="1"/>
  <c r="O165" i="475" s="1"/>
  <c r="T218" i="475"/>
  <c r="T215" i="475"/>
  <c r="S133" i="475"/>
  <c r="S110" i="475"/>
  <c r="T222" i="475"/>
  <c r="S193" i="475"/>
  <c r="T98" i="475"/>
  <c r="S97" i="475"/>
  <c r="T97" i="475"/>
  <c r="S96" i="475"/>
  <c r="T96" i="475"/>
  <c r="S95" i="475"/>
  <c r="T95" i="475"/>
  <c r="S94" i="475"/>
  <c r="T94" i="475"/>
  <c r="S92" i="475"/>
  <c r="T92" i="475"/>
  <c r="S91" i="475"/>
  <c r="T91" i="475"/>
  <c r="S90" i="475"/>
  <c r="T90" i="475"/>
  <c r="S89" i="475"/>
  <c r="T89" i="475"/>
  <c r="S88" i="475"/>
  <c r="T88" i="475"/>
  <c r="S87" i="475"/>
  <c r="T87" i="475"/>
  <c r="S86" i="475"/>
  <c r="T86" i="475"/>
  <c r="S85" i="475"/>
  <c r="T85" i="475"/>
  <c r="S84" i="475"/>
  <c r="T84" i="475"/>
  <c r="S83" i="475"/>
  <c r="T83" i="475"/>
  <c r="S82" i="475"/>
  <c r="T82" i="475"/>
  <c r="S81" i="475"/>
  <c r="T81" i="475"/>
  <c r="S80" i="475"/>
  <c r="T80" i="475"/>
  <c r="S79" i="475"/>
  <c r="T79" i="475"/>
  <c r="S78" i="475"/>
  <c r="T78" i="475"/>
  <c r="S77" i="475"/>
  <c r="T77" i="475"/>
  <c r="S75" i="475"/>
  <c r="T75" i="475"/>
  <c r="S72" i="475"/>
  <c r="T72" i="475"/>
  <c r="S71" i="475"/>
  <c r="T71" i="475"/>
  <c r="S70" i="475"/>
  <c r="T70" i="475"/>
  <c r="S69" i="475"/>
  <c r="T69" i="475"/>
  <c r="S66" i="475"/>
  <c r="T66" i="475"/>
  <c r="S65" i="475"/>
  <c r="T65" i="475"/>
  <c r="S64" i="475"/>
  <c r="T64" i="475"/>
  <c r="S63" i="475"/>
  <c r="T63" i="475"/>
  <c r="S62" i="475"/>
  <c r="T62" i="475"/>
  <c r="S59" i="475"/>
  <c r="T59" i="475"/>
  <c r="S58" i="475"/>
  <c r="T58" i="475"/>
  <c r="S57" i="475"/>
  <c r="T57" i="475"/>
  <c r="S56" i="475"/>
  <c r="T56" i="475"/>
  <c r="S53" i="475"/>
  <c r="T53" i="475"/>
  <c r="S52" i="475"/>
  <c r="T52" i="475"/>
  <c r="S51" i="475"/>
  <c r="T51" i="475"/>
  <c r="S49" i="475"/>
  <c r="T49" i="475"/>
  <c r="S48" i="475"/>
  <c r="T48" i="475"/>
  <c r="S47" i="475"/>
  <c r="T47" i="475"/>
  <c r="S44" i="475"/>
  <c r="T44" i="475"/>
  <c r="S43" i="475"/>
  <c r="T43" i="475"/>
  <c r="S42" i="475"/>
  <c r="T42" i="475"/>
  <c r="S39" i="475"/>
  <c r="T39" i="475"/>
  <c r="S36" i="475"/>
  <c r="T36" i="475"/>
  <c r="S35" i="475"/>
  <c r="T35" i="475"/>
  <c r="S33" i="475"/>
  <c r="T33" i="475"/>
  <c r="S32" i="475"/>
  <c r="T32" i="475"/>
  <c r="S31" i="475"/>
  <c r="T31" i="475"/>
  <c r="S30" i="475"/>
  <c r="T30" i="475"/>
  <c r="S29" i="475"/>
  <c r="T29" i="475"/>
  <c r="S28" i="475"/>
  <c r="T28" i="475"/>
  <c r="S27" i="475"/>
  <c r="T27" i="475"/>
  <c r="S26" i="475"/>
  <c r="T26" i="475"/>
  <c r="S25" i="475"/>
  <c r="T25" i="475"/>
  <c r="S24" i="475"/>
  <c r="T24" i="475"/>
  <c r="S21" i="475"/>
  <c r="T21" i="475"/>
  <c r="S20" i="475"/>
  <c r="T20" i="475"/>
  <c r="S19" i="475"/>
  <c r="T19" i="475"/>
  <c r="S18" i="475"/>
  <c r="T18" i="475"/>
  <c r="S17" i="475"/>
  <c r="T17" i="475"/>
  <c r="S16" i="475"/>
  <c r="T16" i="475"/>
  <c r="S15" i="475"/>
  <c r="T15" i="475"/>
  <c r="S14" i="475"/>
  <c r="T14" i="475"/>
  <c r="S13" i="475"/>
  <c r="T13" i="475"/>
  <c r="S12" i="475"/>
  <c r="T12" i="475"/>
  <c r="S11" i="475"/>
  <c r="T11" i="475"/>
  <c r="M206" i="475"/>
  <c r="N206" i="475"/>
  <c r="N205" i="475"/>
  <c r="N203" i="475"/>
  <c r="M202" i="475"/>
  <c r="N202" i="475"/>
  <c r="N201" i="475"/>
  <c r="M200" i="475"/>
  <c r="N200" i="475"/>
  <c r="N198" i="475"/>
  <c r="M197" i="475"/>
  <c r="N197" i="475"/>
  <c r="N188" i="475"/>
  <c r="M186" i="475"/>
  <c r="N185" i="475"/>
  <c r="M179" i="475"/>
  <c r="N179" i="475"/>
  <c r="N175" i="475"/>
  <c r="M172" i="475"/>
  <c r="N172" i="475"/>
  <c r="N164" i="475"/>
  <c r="N159" i="475"/>
  <c r="N158" i="475"/>
  <c r="N152" i="475"/>
  <c r="N151" i="475"/>
  <c r="M144" i="475"/>
  <c r="N144" i="475"/>
  <c r="N142" i="475"/>
  <c r="M141" i="475"/>
  <c r="M137" i="475"/>
  <c r="N137" i="475"/>
  <c r="M136" i="475"/>
  <c r="N136" i="475"/>
  <c r="N134" i="475"/>
  <c r="N131" i="475"/>
  <c r="N128" i="475"/>
  <c r="N118" i="475"/>
  <c r="N112" i="475"/>
  <c r="N111" i="475"/>
  <c r="N110" i="475"/>
  <c r="N97" i="475"/>
  <c r="N92" i="475"/>
  <c r="N90" i="475"/>
  <c r="S100" i="475"/>
  <c r="S190" i="475"/>
  <c r="S184" i="475"/>
  <c r="S182" i="475"/>
  <c r="T132" i="475"/>
  <c r="J43" i="474"/>
  <c r="J37" i="474"/>
  <c r="J32" i="474"/>
  <c r="J31" i="474"/>
  <c r="J29" i="474"/>
  <c r="J21" i="474"/>
  <c r="J20" i="474"/>
  <c r="F167" i="474"/>
  <c r="D160" i="474"/>
  <c r="F162" i="474"/>
  <c r="F158" i="474"/>
  <c r="F156" i="474"/>
  <c r="F149" i="474"/>
  <c r="F140" i="474"/>
  <c r="F138" i="474"/>
  <c r="F131" i="474"/>
  <c r="F129" i="474"/>
  <c r="F124" i="474"/>
  <c r="F115" i="474"/>
  <c r="F111" i="474"/>
  <c r="F108" i="474"/>
  <c r="F103" i="474"/>
  <c r="F102" i="474"/>
  <c r="F100" i="474"/>
  <c r="S212" i="475"/>
  <c r="S205" i="475"/>
  <c r="S170" i="475"/>
  <c r="T164" i="475"/>
  <c r="T151" i="475"/>
  <c r="T147" i="475"/>
  <c r="T146" i="475"/>
  <c r="S137" i="475"/>
  <c r="S136" i="475"/>
  <c r="T133" i="475"/>
  <c r="S111" i="475"/>
  <c r="S106" i="475"/>
  <c r="S101" i="475"/>
  <c r="J18" i="474"/>
  <c r="J17" i="474"/>
  <c r="J16" i="474"/>
  <c r="J15" i="474"/>
  <c r="L69" i="474"/>
  <c r="C160" i="474"/>
  <c r="F153" i="474"/>
  <c r="F152" i="474"/>
  <c r="F151" i="474"/>
  <c r="F150" i="474"/>
  <c r="F145" i="474"/>
  <c r="F144" i="474"/>
  <c r="F142" i="474"/>
  <c r="F136" i="474"/>
  <c r="F133" i="474"/>
  <c r="F132" i="474"/>
  <c r="F130" i="474"/>
  <c r="F127" i="474"/>
  <c r="F126" i="474"/>
  <c r="F122" i="474"/>
  <c r="F121" i="474"/>
  <c r="F120" i="474"/>
  <c r="F119" i="474"/>
  <c r="F114" i="474"/>
  <c r="F113" i="474"/>
  <c r="F110" i="474"/>
  <c r="C96" i="474"/>
  <c r="F95" i="474"/>
  <c r="F93" i="474"/>
  <c r="S211" i="475"/>
  <c r="S206" i="475"/>
  <c r="T199" i="475"/>
  <c r="S191" i="475"/>
  <c r="S185" i="475"/>
  <c r="T184" i="475"/>
  <c r="T175" i="475"/>
  <c r="S164" i="475"/>
  <c r="S160" i="475"/>
  <c r="S159" i="475"/>
  <c r="S156" i="475"/>
  <c r="S154" i="475"/>
  <c r="S153" i="475"/>
  <c r="S152" i="475"/>
  <c r="S147" i="475"/>
  <c r="T137" i="475"/>
  <c r="S131" i="475"/>
  <c r="S99" i="475"/>
  <c r="D90" i="474"/>
  <c r="C90" i="474"/>
  <c r="F89" i="474"/>
  <c r="F88" i="474"/>
  <c r="F85" i="474"/>
  <c r="F84" i="474"/>
  <c r="F83" i="474"/>
  <c r="F82" i="474"/>
  <c r="F81" i="474"/>
  <c r="F78" i="474"/>
  <c r="F77" i="474"/>
  <c r="F76" i="474"/>
  <c r="F75" i="474"/>
  <c r="F70" i="474"/>
  <c r="F68" i="474"/>
  <c r="F67" i="474"/>
  <c r="F66" i="474"/>
  <c r="F63" i="474"/>
  <c r="F62" i="474"/>
  <c r="F61" i="474"/>
  <c r="F60" i="474"/>
  <c r="F59" i="474"/>
  <c r="F58" i="474"/>
  <c r="F54" i="474"/>
  <c r="F53" i="474"/>
  <c r="F52" i="474"/>
  <c r="F51" i="474"/>
  <c r="F50" i="474"/>
  <c r="F49" i="474"/>
  <c r="D27" i="474"/>
  <c r="C27" i="474"/>
  <c r="F46" i="474"/>
  <c r="F45" i="474"/>
  <c r="S300" i="475"/>
  <c r="T300" i="475"/>
  <c r="S299" i="475"/>
  <c r="T299" i="475"/>
  <c r="S298" i="475"/>
  <c r="T298" i="475"/>
  <c r="S295" i="475"/>
  <c r="T295" i="475"/>
  <c r="S294" i="475"/>
  <c r="T294" i="475"/>
  <c r="S289" i="475"/>
  <c r="T289" i="475"/>
  <c r="S288" i="475"/>
  <c r="T288" i="475"/>
  <c r="S287" i="475"/>
  <c r="T287" i="475"/>
  <c r="S286" i="475"/>
  <c r="T286" i="475"/>
  <c r="S285" i="475"/>
  <c r="T285" i="475"/>
  <c r="S284" i="475"/>
  <c r="T284" i="475"/>
  <c r="S283" i="475"/>
  <c r="T283" i="475"/>
  <c r="S282" i="475"/>
  <c r="T282" i="475"/>
  <c r="S281" i="475"/>
  <c r="T281" i="475"/>
  <c r="T280" i="475"/>
  <c r="S279" i="475"/>
  <c r="T279" i="475"/>
  <c r="S278" i="475"/>
  <c r="S277" i="475"/>
  <c r="T277" i="475"/>
  <c r="T276" i="475"/>
  <c r="S275" i="475"/>
  <c r="S274" i="475"/>
  <c r="S273" i="475"/>
  <c r="S269" i="475"/>
  <c r="T269" i="475"/>
  <c r="S268" i="475"/>
  <c r="S267" i="475"/>
  <c r="S266" i="475"/>
  <c r="S265" i="475"/>
  <c r="S264" i="475"/>
  <c r="T263" i="475"/>
  <c r="S261" i="475"/>
  <c r="S260" i="475"/>
  <c r="S259" i="475"/>
  <c r="T257" i="475"/>
  <c r="T256" i="475"/>
  <c r="T252" i="475"/>
  <c r="T251" i="475"/>
  <c r="S250" i="475"/>
  <c r="T249" i="475"/>
  <c r="S248" i="475"/>
  <c r="T245" i="475"/>
  <c r="S244" i="475"/>
  <c r="T241" i="475"/>
  <c r="S240" i="475"/>
  <c r="S239" i="475"/>
  <c r="S238" i="475"/>
  <c r="S237" i="475"/>
  <c r="S236" i="475"/>
  <c r="T235" i="475"/>
  <c r="S234" i="475"/>
  <c r="S228" i="475"/>
  <c r="T228" i="475"/>
  <c r="S227" i="475"/>
  <c r="S226" i="475"/>
  <c r="T225" i="475"/>
  <c r="S221" i="475"/>
  <c r="S220" i="475"/>
  <c r="S218" i="475"/>
  <c r="S215" i="475"/>
  <c r="T212" i="475"/>
  <c r="S199" i="475"/>
  <c r="T190" i="475"/>
  <c r="S186" i="475"/>
  <c r="T183" i="475"/>
  <c r="S163" i="475"/>
  <c r="T159" i="475"/>
  <c r="S157" i="475"/>
  <c r="S141" i="475"/>
  <c r="S132" i="475"/>
  <c r="S128" i="475"/>
  <c r="S124" i="475"/>
  <c r="S114" i="475"/>
  <c r="T110" i="475"/>
  <c r="T100" i="475"/>
  <c r="J164" i="474"/>
  <c r="I163" i="474"/>
  <c r="J161" i="474"/>
  <c r="J155" i="474"/>
  <c r="I154" i="474"/>
  <c r="J154" i="474" s="1"/>
  <c r="J148" i="474"/>
  <c r="I147" i="474"/>
  <c r="J135" i="474"/>
  <c r="I134" i="474"/>
  <c r="J134" i="474" s="1"/>
  <c r="J117" i="474"/>
  <c r="I116" i="474"/>
  <c r="J116" i="474" s="1"/>
  <c r="J106" i="474"/>
  <c r="I105" i="474"/>
  <c r="J99" i="474"/>
  <c r="I98" i="474"/>
  <c r="J97" i="474"/>
  <c r="N199" i="475"/>
  <c r="N192" i="475"/>
  <c r="M163" i="475"/>
  <c r="N117" i="475"/>
  <c r="M110" i="475"/>
  <c r="N196" i="475"/>
  <c r="N163" i="475"/>
  <c r="M199" i="475"/>
  <c r="M128" i="475"/>
  <c r="M196" i="475"/>
  <c r="N121" i="475"/>
  <c r="N105" i="475"/>
  <c r="M192" i="475"/>
  <c r="E168" i="475"/>
  <c r="E166" i="475" s="1"/>
  <c r="F166" i="475"/>
  <c r="J45" i="474"/>
  <c r="J33" i="474"/>
  <c r="J35" i="474"/>
  <c r="N106" i="475"/>
  <c r="F164" i="474"/>
  <c r="E163" i="474"/>
  <c r="F161" i="474"/>
  <c r="F155" i="474"/>
  <c r="E154" i="474"/>
  <c r="F154" i="474" s="1"/>
  <c r="F148" i="474"/>
  <c r="E147" i="474"/>
  <c r="F135" i="474"/>
  <c r="E134" i="474"/>
  <c r="F134" i="474" s="1"/>
  <c r="F106" i="474"/>
  <c r="E105" i="474"/>
  <c r="F105" i="474" s="1"/>
  <c r="F99" i="474"/>
  <c r="E98" i="474"/>
  <c r="F91" i="474"/>
  <c r="E90" i="474"/>
  <c r="F87" i="474"/>
  <c r="E86" i="474"/>
  <c r="F86" i="474" s="1"/>
  <c r="F80" i="474"/>
  <c r="E79" i="474"/>
  <c r="F74" i="474"/>
  <c r="E73" i="474"/>
  <c r="F65" i="474"/>
  <c r="E64" i="474"/>
  <c r="F64" i="474" s="1"/>
  <c r="F57" i="474"/>
  <c r="E56" i="474"/>
  <c r="F48" i="474"/>
  <c r="E47" i="474"/>
  <c r="N274" i="475"/>
  <c r="M266" i="475"/>
  <c r="N261" i="475"/>
  <c r="N260" i="475"/>
  <c r="N259" i="475"/>
  <c r="M256" i="475"/>
  <c r="N256" i="475"/>
  <c r="M251" i="475"/>
  <c r="N251" i="475"/>
  <c r="M250" i="475"/>
  <c r="N250" i="475"/>
  <c r="M245" i="475"/>
  <c r="N245" i="475"/>
  <c r="M194" i="475"/>
  <c r="N189" i="475"/>
  <c r="N186" i="475"/>
  <c r="M181" i="475"/>
  <c r="N180" i="475"/>
  <c r="N153" i="475"/>
  <c r="N150" i="475"/>
  <c r="N147" i="475"/>
  <c r="N146" i="475"/>
  <c r="M142" i="475"/>
  <c r="N141" i="475"/>
  <c r="M134" i="475"/>
  <c r="N113" i="475"/>
  <c r="M112" i="475"/>
  <c r="N107" i="475"/>
  <c r="M105" i="475"/>
  <c r="N100" i="475"/>
  <c r="N96" i="475"/>
  <c r="M92" i="475"/>
  <c r="M91" i="475"/>
  <c r="N194" i="475"/>
  <c r="M190" i="475"/>
  <c r="M102" i="475"/>
  <c r="N204" i="475"/>
  <c r="M150" i="475"/>
  <c r="N195" i="475"/>
  <c r="N190" i="475"/>
  <c r="M180" i="475"/>
  <c r="N91" i="475"/>
  <c r="M204" i="475"/>
  <c r="M189" i="475"/>
  <c r="N181" i="475"/>
  <c r="M117" i="475"/>
  <c r="M107" i="475"/>
  <c r="J67" i="475"/>
  <c r="J34" i="475" s="1"/>
  <c r="I67" i="475"/>
  <c r="I34" i="475" s="1"/>
  <c r="H50" i="475"/>
  <c r="J41" i="474"/>
  <c r="J42" i="474"/>
  <c r="F79" i="474"/>
  <c r="J39" i="474"/>
  <c r="V300" i="475"/>
  <c r="AN300" i="475" s="1"/>
  <c r="U300" i="475"/>
  <c r="AM300" i="475" s="1"/>
  <c r="V299" i="475"/>
  <c r="AN299" i="475" s="1"/>
  <c r="U299" i="475"/>
  <c r="AM299" i="475" s="1"/>
  <c r="N298" i="475"/>
  <c r="V298" i="475"/>
  <c r="AN298" i="475" s="1"/>
  <c r="U298" i="475"/>
  <c r="AM298" i="475" s="1"/>
  <c r="M295" i="475"/>
  <c r="V295" i="475"/>
  <c r="AN295" i="475" s="1"/>
  <c r="U295" i="475"/>
  <c r="AM295" i="475" s="1"/>
  <c r="M294" i="475"/>
  <c r="N294" i="475"/>
  <c r="V294" i="475"/>
  <c r="AN294" i="475" s="1"/>
  <c r="U294" i="475"/>
  <c r="AM294" i="475" s="1"/>
  <c r="M289" i="475"/>
  <c r="N289" i="475"/>
  <c r="V289" i="475"/>
  <c r="AN289" i="475" s="1"/>
  <c r="U289" i="475"/>
  <c r="AM289" i="475" s="1"/>
  <c r="M288" i="475"/>
  <c r="N288" i="475"/>
  <c r="V288" i="475"/>
  <c r="AN288" i="475" s="1"/>
  <c r="U288" i="475"/>
  <c r="AM288" i="475" s="1"/>
  <c r="V287" i="475"/>
  <c r="AN287" i="475" s="1"/>
  <c r="U287" i="475"/>
  <c r="AM287" i="475" s="1"/>
  <c r="N286" i="475"/>
  <c r="V286" i="475"/>
  <c r="AN286" i="475" s="1"/>
  <c r="U286" i="475"/>
  <c r="AM286" i="475" s="1"/>
  <c r="N285" i="475"/>
  <c r="V285" i="475"/>
  <c r="AN285" i="475" s="1"/>
  <c r="U285" i="475"/>
  <c r="AM285" i="475" s="1"/>
  <c r="V284" i="475"/>
  <c r="AN284" i="475" s="1"/>
  <c r="U284" i="475"/>
  <c r="AM284" i="475" s="1"/>
  <c r="N283" i="475"/>
  <c r="V283" i="475"/>
  <c r="AN283" i="475" s="1"/>
  <c r="U283" i="475"/>
  <c r="AM283" i="475" s="1"/>
  <c r="M282" i="475"/>
  <c r="N282" i="475"/>
  <c r="V282" i="475"/>
  <c r="AN282" i="475" s="1"/>
  <c r="U282" i="475"/>
  <c r="AM282" i="475" s="1"/>
  <c r="M281" i="475"/>
  <c r="U281" i="475"/>
  <c r="AM281" i="475" s="1"/>
  <c r="N280" i="475"/>
  <c r="V280" i="475"/>
  <c r="AN280" i="475" s="1"/>
  <c r="U280" i="475"/>
  <c r="AM280" i="475" s="1"/>
  <c r="V279" i="475"/>
  <c r="AN279" i="475" s="1"/>
  <c r="U279" i="475"/>
  <c r="AM279" i="475" s="1"/>
  <c r="N278" i="475"/>
  <c r="V278" i="475"/>
  <c r="AN278" i="475" s="1"/>
  <c r="U278" i="475"/>
  <c r="AM278" i="475" s="1"/>
  <c r="N277" i="475"/>
  <c r="V277" i="475"/>
  <c r="AN277" i="475" s="1"/>
  <c r="U277" i="475"/>
  <c r="AM277" i="475" s="1"/>
  <c r="V276" i="475"/>
  <c r="AN276" i="475" s="1"/>
  <c r="U276" i="475"/>
  <c r="AM276" i="475" s="1"/>
  <c r="V275" i="475"/>
  <c r="AN275" i="475" s="1"/>
  <c r="V274" i="475"/>
  <c r="AN274" i="475" s="1"/>
  <c r="U274" i="475"/>
  <c r="AM274" i="475" s="1"/>
  <c r="V273" i="475"/>
  <c r="AN273" i="475" s="1"/>
  <c r="U273" i="475"/>
  <c r="AM273" i="475" s="1"/>
  <c r="M269" i="475"/>
  <c r="V269" i="475"/>
  <c r="AN269" i="475" s="1"/>
  <c r="M268" i="475"/>
  <c r="V268" i="475"/>
  <c r="AN268" i="475" s="1"/>
  <c r="M267" i="475"/>
  <c r="M265" i="475"/>
  <c r="N263" i="475"/>
  <c r="M261" i="475"/>
  <c r="M259" i="475"/>
  <c r="M258" i="475"/>
  <c r="N257" i="475"/>
  <c r="N248" i="475"/>
  <c r="N241" i="475"/>
  <c r="M203" i="475"/>
  <c r="M195" i="475"/>
  <c r="M191" i="475"/>
  <c r="M187" i="475"/>
  <c r="M185" i="475"/>
  <c r="N183" i="475"/>
  <c r="M171" i="475"/>
  <c r="N170" i="475"/>
  <c r="M156" i="475"/>
  <c r="M154" i="475"/>
  <c r="M152" i="475"/>
  <c r="M151" i="475"/>
  <c r="M146" i="475"/>
  <c r="M132" i="475"/>
  <c r="M131" i="475"/>
  <c r="M121" i="475"/>
  <c r="M113" i="475"/>
  <c r="M106" i="475"/>
  <c r="N101" i="475"/>
  <c r="N99" i="475"/>
  <c r="V281" i="475"/>
  <c r="AN281" i="475" s="1"/>
  <c r="U275" i="475"/>
  <c r="AM275" i="475" s="1"/>
  <c r="N269" i="475"/>
  <c r="U269" i="475"/>
  <c r="AM269" i="475" s="1"/>
  <c r="N268" i="475"/>
  <c r="U268" i="475"/>
  <c r="AM268" i="475" s="1"/>
  <c r="N267" i="475"/>
  <c r="N265" i="475"/>
  <c r="M263" i="475"/>
  <c r="N258" i="475"/>
  <c r="M252" i="475"/>
  <c r="N176" i="475"/>
  <c r="M147" i="475"/>
  <c r="M248" i="475"/>
  <c r="N171" i="475"/>
  <c r="M164" i="475"/>
  <c r="N252" i="475"/>
  <c r="M241" i="475"/>
  <c r="N191" i="475"/>
  <c r="M176" i="475"/>
  <c r="M170" i="475"/>
  <c r="M157" i="475"/>
  <c r="M101" i="475"/>
  <c r="N240" i="475"/>
  <c r="M239" i="475"/>
  <c r="N239" i="475"/>
  <c r="M238" i="475"/>
  <c r="N238" i="475"/>
  <c r="M237" i="475"/>
  <c r="N237" i="475"/>
  <c r="M236" i="475"/>
  <c r="N236" i="475"/>
  <c r="M234" i="475"/>
  <c r="N234" i="475"/>
  <c r="M198" i="475"/>
  <c r="N187" i="475"/>
  <c r="M183" i="475"/>
  <c r="N182" i="475"/>
  <c r="N157" i="475"/>
  <c r="N156" i="475"/>
  <c r="N154" i="475"/>
  <c r="N132" i="475"/>
  <c r="M97" i="475"/>
  <c r="G219" i="475"/>
  <c r="J46" i="474"/>
  <c r="J19" i="474"/>
  <c r="J36" i="474"/>
  <c r="J26" i="474"/>
  <c r="J13" i="474"/>
  <c r="J12" i="474"/>
  <c r="J11" i="474"/>
  <c r="H8" i="474"/>
  <c r="J90" i="474"/>
  <c r="M298" i="475"/>
  <c r="M287" i="475"/>
  <c r="M284" i="475"/>
  <c r="M279" i="475"/>
  <c r="M275" i="475"/>
  <c r="M249" i="475"/>
  <c r="N244" i="475"/>
  <c r="N207" i="475"/>
  <c r="M205" i="475"/>
  <c r="M201" i="475"/>
  <c r="M184" i="475"/>
  <c r="M158" i="475"/>
  <c r="M143" i="475"/>
  <c r="M138" i="475"/>
  <c r="N133" i="475"/>
  <c r="N127" i="475"/>
  <c r="M124" i="475"/>
  <c r="M118" i="475"/>
  <c r="M114" i="475"/>
  <c r="M111" i="475"/>
  <c r="N95" i="475"/>
  <c r="M300" i="475"/>
  <c r="M299" i="475"/>
  <c r="N299" i="475"/>
  <c r="M285" i="475"/>
  <c r="N284" i="475"/>
  <c r="M283" i="475"/>
  <c r="N281" i="475"/>
  <c r="N279" i="475"/>
  <c r="M278" i="475"/>
  <c r="M277" i="475"/>
  <c r="M276" i="475"/>
  <c r="M274" i="475"/>
  <c r="N266" i="475"/>
  <c r="N255" i="475"/>
  <c r="M244" i="475"/>
  <c r="N235" i="475"/>
  <c r="M193" i="475"/>
  <c r="N184" i="475"/>
  <c r="M160" i="475"/>
  <c r="M155" i="475"/>
  <c r="N143" i="475"/>
  <c r="N102" i="475"/>
  <c r="M99" i="475"/>
  <c r="M98" i="475"/>
  <c r="M95" i="475"/>
  <c r="N300" i="475"/>
  <c r="N287" i="475"/>
  <c r="M286" i="475"/>
  <c r="M280" i="475"/>
  <c r="N276" i="475"/>
  <c r="M273" i="475"/>
  <c r="N273" i="475"/>
  <c r="M264" i="475"/>
  <c r="M260" i="475"/>
  <c r="N249" i="475"/>
  <c r="N145" i="475"/>
  <c r="N138" i="475"/>
  <c r="N130" i="475"/>
  <c r="N124" i="475"/>
  <c r="M96" i="475"/>
  <c r="M94" i="475"/>
  <c r="N275" i="475"/>
  <c r="N264" i="475"/>
  <c r="M257" i="475"/>
  <c r="M255" i="475"/>
  <c r="M240" i="475"/>
  <c r="M235" i="475"/>
  <c r="M182" i="475"/>
  <c r="M175" i="475"/>
  <c r="M159" i="475"/>
  <c r="N155" i="475"/>
  <c r="M153" i="475"/>
  <c r="M228" i="475"/>
  <c r="N228" i="475"/>
  <c r="M227" i="475"/>
  <c r="N227" i="475"/>
  <c r="M226" i="475"/>
  <c r="N226" i="475"/>
  <c r="M225" i="475"/>
  <c r="N225" i="475"/>
  <c r="M224" i="475"/>
  <c r="N224" i="475"/>
  <c r="M223" i="475"/>
  <c r="N223" i="475"/>
  <c r="M222" i="475"/>
  <c r="N222" i="475"/>
  <c r="M221" i="475"/>
  <c r="N221" i="475"/>
  <c r="M219" i="475"/>
  <c r="N219" i="475"/>
  <c r="M218" i="475"/>
  <c r="N218" i="475"/>
  <c r="M216" i="475"/>
  <c r="N216" i="475"/>
  <c r="M215" i="475"/>
  <c r="N215" i="475"/>
  <c r="M212" i="475"/>
  <c r="N212" i="475"/>
  <c r="M211" i="475"/>
  <c r="N211" i="475"/>
  <c r="M208" i="475"/>
  <c r="N208" i="475"/>
  <c r="M207" i="475"/>
  <c r="N193" i="475"/>
  <c r="M188" i="475"/>
  <c r="N160" i="475"/>
  <c r="M145" i="475"/>
  <c r="M133" i="475"/>
  <c r="M130" i="475"/>
  <c r="M127" i="475"/>
  <c r="N114" i="475"/>
  <c r="N94" i="475"/>
  <c r="M89" i="475"/>
  <c r="N89" i="475"/>
  <c r="M88" i="475"/>
  <c r="N88" i="475"/>
  <c r="M87" i="475"/>
  <c r="N87" i="475"/>
  <c r="M86" i="475"/>
  <c r="N86" i="475"/>
  <c r="M85" i="475"/>
  <c r="N85" i="475"/>
  <c r="M84" i="475"/>
  <c r="N84" i="475"/>
  <c r="M83" i="475"/>
  <c r="N83" i="475"/>
  <c r="M82" i="475"/>
  <c r="N82" i="475"/>
  <c r="M81" i="475"/>
  <c r="N81" i="475"/>
  <c r="M80" i="475"/>
  <c r="N80" i="475"/>
  <c r="M79" i="475"/>
  <c r="N79" i="475"/>
  <c r="M78" i="475"/>
  <c r="N78" i="475"/>
  <c r="M77" i="475"/>
  <c r="N77" i="475"/>
  <c r="M75" i="475"/>
  <c r="N75" i="475"/>
  <c r="M72" i="475"/>
  <c r="N72" i="475"/>
  <c r="M71" i="475"/>
  <c r="N71" i="475"/>
  <c r="M70" i="475"/>
  <c r="N70" i="475"/>
  <c r="M69" i="475"/>
  <c r="N69" i="475"/>
  <c r="M66" i="475"/>
  <c r="N66" i="475"/>
  <c r="M65" i="475"/>
  <c r="N65" i="475"/>
  <c r="M64" i="475"/>
  <c r="N64" i="475"/>
  <c r="M63" i="475"/>
  <c r="N63" i="475"/>
  <c r="M62" i="475"/>
  <c r="N62" i="475"/>
  <c r="M59" i="475"/>
  <c r="N59" i="475"/>
  <c r="M58" i="475"/>
  <c r="N58" i="475"/>
  <c r="M57" i="475"/>
  <c r="N57" i="475"/>
  <c r="M56" i="475"/>
  <c r="N56" i="475"/>
  <c r="M53" i="475"/>
  <c r="N53" i="475"/>
  <c r="M52" i="475"/>
  <c r="N52" i="475"/>
  <c r="M51" i="475"/>
  <c r="N51" i="475"/>
  <c r="M49" i="475"/>
  <c r="N49" i="475"/>
  <c r="M48" i="475"/>
  <c r="N48" i="475"/>
  <c r="M47" i="475"/>
  <c r="N47" i="475"/>
  <c r="M44" i="475"/>
  <c r="N44" i="475"/>
  <c r="M43" i="475"/>
  <c r="N43" i="475"/>
  <c r="M42" i="475"/>
  <c r="N42" i="475"/>
  <c r="M39" i="475"/>
  <c r="N39" i="475"/>
  <c r="M36" i="475"/>
  <c r="N36" i="475"/>
  <c r="M35" i="475"/>
  <c r="N35" i="475"/>
  <c r="M33" i="475"/>
  <c r="N33" i="475"/>
  <c r="M32" i="475"/>
  <c r="N32" i="475"/>
  <c r="M31" i="475"/>
  <c r="N31" i="475"/>
  <c r="M30" i="475"/>
  <c r="N30" i="475"/>
  <c r="M29" i="475"/>
  <c r="N29" i="475"/>
  <c r="M28" i="475"/>
  <c r="N28" i="475"/>
  <c r="M27" i="475"/>
  <c r="N27" i="475"/>
  <c r="M26" i="475"/>
  <c r="N26" i="475"/>
  <c r="M25" i="475"/>
  <c r="N25" i="475"/>
  <c r="M24" i="475"/>
  <c r="N24" i="475"/>
  <c r="M21" i="475"/>
  <c r="N21" i="475"/>
  <c r="M20" i="475"/>
  <c r="N20" i="475"/>
  <c r="M19" i="475"/>
  <c r="N19" i="475"/>
  <c r="M18" i="475"/>
  <c r="N18" i="475"/>
  <c r="M17" i="475"/>
  <c r="N17" i="475"/>
  <c r="M16" i="475"/>
  <c r="N16" i="475"/>
  <c r="M15" i="475"/>
  <c r="N15" i="475"/>
  <c r="M14" i="475"/>
  <c r="N14" i="475"/>
  <c r="M13" i="475"/>
  <c r="N13" i="475"/>
  <c r="M12" i="475"/>
  <c r="N12" i="475"/>
  <c r="M11" i="475"/>
  <c r="N11" i="475"/>
  <c r="J34" i="474"/>
  <c r="J24" i="474"/>
  <c r="J25" i="474"/>
  <c r="J14" i="474"/>
  <c r="J44" i="474"/>
  <c r="J40" i="474"/>
  <c r="J30" i="474"/>
  <c r="H27" i="474"/>
  <c r="M100" i="475"/>
  <c r="N98" i="475"/>
  <c r="M90" i="475"/>
  <c r="P8" i="475"/>
  <c r="O8" i="475"/>
  <c r="AJ270" i="475"/>
  <c r="V267" i="475"/>
  <c r="AN267" i="475" s="1"/>
  <c r="U267" i="475"/>
  <c r="AM267" i="475" s="1"/>
  <c r="V266" i="475"/>
  <c r="AN266" i="475" s="1"/>
  <c r="U266" i="475"/>
  <c r="AM266" i="475" s="1"/>
  <c r="V265" i="475"/>
  <c r="AN265" i="475" s="1"/>
  <c r="U265" i="475"/>
  <c r="AM265" i="475" s="1"/>
  <c r="V264" i="475"/>
  <c r="AN264" i="475" s="1"/>
  <c r="U264" i="475"/>
  <c r="AM264" i="475" s="1"/>
  <c r="V263" i="475"/>
  <c r="AN263" i="475" s="1"/>
  <c r="U263" i="475"/>
  <c r="AM263" i="475" s="1"/>
  <c r="V261" i="475"/>
  <c r="AN261" i="475" s="1"/>
  <c r="U261" i="475"/>
  <c r="AM261" i="475" s="1"/>
  <c r="V260" i="475"/>
  <c r="AN260" i="475" s="1"/>
  <c r="U260" i="475"/>
  <c r="AM260" i="475" s="1"/>
  <c r="V259" i="475"/>
  <c r="AN259" i="475" s="1"/>
  <c r="U259" i="475"/>
  <c r="AM259" i="475" s="1"/>
  <c r="V258" i="475"/>
  <c r="AN258" i="475" s="1"/>
  <c r="U258" i="475"/>
  <c r="AM258" i="475" s="1"/>
  <c r="V257" i="475"/>
  <c r="AN257" i="475" s="1"/>
  <c r="U257" i="475"/>
  <c r="AM257" i="475" s="1"/>
  <c r="V256" i="475"/>
  <c r="AN256" i="475" s="1"/>
  <c r="U256" i="475"/>
  <c r="AM256" i="475" s="1"/>
  <c r="V252" i="475"/>
  <c r="AN252" i="475" s="1"/>
  <c r="U252" i="475"/>
  <c r="AM252" i="475" s="1"/>
  <c r="V251" i="475"/>
  <c r="AN251" i="475" s="1"/>
  <c r="U251" i="475"/>
  <c r="AM251" i="475" s="1"/>
  <c r="V250" i="475"/>
  <c r="AN250" i="475" s="1"/>
  <c r="U250" i="475"/>
  <c r="AM250" i="475" s="1"/>
  <c r="V249" i="475"/>
  <c r="AN249" i="475" s="1"/>
  <c r="U249" i="475"/>
  <c r="AM249" i="475" s="1"/>
  <c r="V248" i="475"/>
  <c r="AN248" i="475" s="1"/>
  <c r="U248" i="475"/>
  <c r="AM248" i="475" s="1"/>
  <c r="V245" i="475"/>
  <c r="AN245" i="475" s="1"/>
  <c r="U245" i="475"/>
  <c r="AM245" i="475" s="1"/>
  <c r="V244" i="475"/>
  <c r="AN244" i="475" s="1"/>
  <c r="U244" i="475"/>
  <c r="AM244" i="475" s="1"/>
  <c r="V241" i="475"/>
  <c r="AN241" i="475" s="1"/>
  <c r="U241" i="475"/>
  <c r="AM241" i="475" s="1"/>
  <c r="V240" i="475"/>
  <c r="AN240" i="475" s="1"/>
  <c r="U240" i="475"/>
  <c r="AM240" i="475" s="1"/>
  <c r="V239" i="475"/>
  <c r="AN239" i="475" s="1"/>
  <c r="U239" i="475"/>
  <c r="AM239" i="475" s="1"/>
  <c r="V238" i="475"/>
  <c r="AN238" i="475" s="1"/>
  <c r="U238" i="475"/>
  <c r="AM238" i="475" s="1"/>
  <c r="V237" i="475"/>
  <c r="AN237" i="475" s="1"/>
  <c r="U237" i="475"/>
  <c r="AM237" i="475" s="1"/>
  <c r="V236" i="475"/>
  <c r="AN236" i="475" s="1"/>
  <c r="U236" i="475"/>
  <c r="AM236" i="475" s="1"/>
  <c r="V235" i="475"/>
  <c r="AN235" i="475" s="1"/>
  <c r="U235" i="475"/>
  <c r="AM235" i="475" s="1"/>
  <c r="V234" i="475"/>
  <c r="AN234" i="475" s="1"/>
  <c r="U234" i="475"/>
  <c r="AM234" i="475" s="1"/>
  <c r="V228" i="475"/>
  <c r="AN228" i="475" s="1"/>
  <c r="U228" i="475"/>
  <c r="AM228" i="475" s="1"/>
  <c r="V227" i="475"/>
  <c r="AN227" i="475" s="1"/>
  <c r="U227" i="475"/>
  <c r="AM227" i="475" s="1"/>
  <c r="V226" i="475"/>
  <c r="AN226" i="475" s="1"/>
  <c r="U226" i="475"/>
  <c r="AM226" i="475" s="1"/>
  <c r="V225" i="475"/>
  <c r="AN225" i="475" s="1"/>
  <c r="U225" i="475"/>
  <c r="AM225" i="475" s="1"/>
  <c r="V224" i="475"/>
  <c r="AN224" i="475" s="1"/>
  <c r="U224" i="475"/>
  <c r="AM224" i="475" s="1"/>
  <c r="V223" i="475"/>
  <c r="AN223" i="475" s="1"/>
  <c r="U223" i="475"/>
  <c r="AM223" i="475" s="1"/>
  <c r="V222" i="475"/>
  <c r="AN222" i="475" s="1"/>
  <c r="U222" i="475"/>
  <c r="AM222" i="475" s="1"/>
  <c r="V221" i="475"/>
  <c r="AN221" i="475" s="1"/>
  <c r="U221" i="475"/>
  <c r="AM221" i="475" s="1"/>
  <c r="V219" i="475"/>
  <c r="U219" i="475"/>
  <c r="V218" i="475"/>
  <c r="AN218" i="475" s="1"/>
  <c r="U218" i="475"/>
  <c r="AM218" i="475" s="1"/>
  <c r="V216" i="475"/>
  <c r="AN216" i="475" s="1"/>
  <c r="U216" i="475"/>
  <c r="AM216" i="475" s="1"/>
  <c r="V215" i="475"/>
  <c r="AN215" i="475" s="1"/>
  <c r="U215" i="475"/>
  <c r="AM215" i="475" s="1"/>
  <c r="V212" i="475"/>
  <c r="AN212" i="475" s="1"/>
  <c r="U212" i="475"/>
  <c r="AM212" i="475" s="1"/>
  <c r="V211" i="475"/>
  <c r="AN211" i="475" s="1"/>
  <c r="S297" i="475"/>
  <c r="R296" i="475"/>
  <c r="S296" i="475" s="1"/>
  <c r="Q296" i="475"/>
  <c r="T296" i="475" s="1"/>
  <c r="T297" i="475"/>
  <c r="S293" i="475"/>
  <c r="R292" i="475"/>
  <c r="T293" i="475"/>
  <c r="Q292" i="475"/>
  <c r="T292" i="475" s="1"/>
  <c r="S291" i="475"/>
  <c r="T291" i="475"/>
  <c r="Q290" i="475"/>
  <c r="T290" i="475" s="1"/>
  <c r="S272" i="475"/>
  <c r="R271" i="475"/>
  <c r="T272" i="475"/>
  <c r="Q271" i="475"/>
  <c r="S247" i="475"/>
  <c r="R246" i="475"/>
  <c r="Q246" i="475"/>
  <c r="T247" i="475"/>
  <c r="R242" i="475"/>
  <c r="S243" i="475"/>
  <c r="T243" i="475"/>
  <c r="Q242" i="475"/>
  <c r="R232" i="475"/>
  <c r="S233" i="475"/>
  <c r="Q232" i="475"/>
  <c r="T233" i="475"/>
  <c r="S231" i="475"/>
  <c r="R230" i="475"/>
  <c r="T231" i="475"/>
  <c r="Q230" i="475"/>
  <c r="S214" i="475"/>
  <c r="R213" i="475"/>
  <c r="S213" i="475" s="1"/>
  <c r="T214" i="475"/>
  <c r="Q213" i="475"/>
  <c r="T213" i="475" s="1"/>
  <c r="R209" i="475"/>
  <c r="S209" i="475" s="1"/>
  <c r="S210" i="475"/>
  <c r="Q209" i="475"/>
  <c r="T209" i="475" s="1"/>
  <c r="T210" i="475"/>
  <c r="S178" i="475"/>
  <c r="R177" i="475"/>
  <c r="S177" i="475" s="1"/>
  <c r="T178" i="475"/>
  <c r="Q177" i="475"/>
  <c r="T177" i="475" s="1"/>
  <c r="S174" i="475"/>
  <c r="R173" i="475"/>
  <c r="S173" i="475" s="1"/>
  <c r="Q173" i="475"/>
  <c r="T173" i="475" s="1"/>
  <c r="T174" i="475"/>
  <c r="S169" i="475"/>
  <c r="R168" i="475"/>
  <c r="S168" i="475" s="1"/>
  <c r="T169" i="475"/>
  <c r="Q168" i="475"/>
  <c r="T168" i="475" s="1"/>
  <c r="S167" i="475"/>
  <c r="R166" i="475"/>
  <c r="S166" i="475" s="1"/>
  <c r="T167" i="475"/>
  <c r="Q166" i="475"/>
  <c r="T166" i="475" s="1"/>
  <c r="S162" i="475"/>
  <c r="R161" i="475"/>
  <c r="S161" i="475" s="1"/>
  <c r="Q161" i="475"/>
  <c r="T161" i="475" s="1"/>
  <c r="T162" i="475"/>
  <c r="S149" i="475"/>
  <c r="R148" i="475"/>
  <c r="S148" i="475" s="1"/>
  <c r="T149" i="475"/>
  <c r="Q148" i="475"/>
  <c r="T148" i="475" s="1"/>
  <c r="S140" i="475"/>
  <c r="R139" i="475"/>
  <c r="S139" i="475" s="1"/>
  <c r="Q139" i="475"/>
  <c r="T139" i="475" s="1"/>
  <c r="T140" i="475"/>
  <c r="R125" i="475"/>
  <c r="S125" i="475" s="1"/>
  <c r="S126" i="475"/>
  <c r="T126" i="475"/>
  <c r="Q125" i="475"/>
  <c r="T125" i="475" s="1"/>
  <c r="S123" i="475"/>
  <c r="R122" i="475"/>
  <c r="S122" i="475" s="1"/>
  <c r="T123" i="475"/>
  <c r="Q122" i="475"/>
  <c r="T122" i="475" s="1"/>
  <c r="S120" i="475"/>
  <c r="R119" i="475"/>
  <c r="S119" i="475" s="1"/>
  <c r="T120" i="475"/>
  <c r="Q119" i="475"/>
  <c r="T119" i="475" s="1"/>
  <c r="S116" i="475"/>
  <c r="R115" i="475"/>
  <c r="S115" i="475" s="1"/>
  <c r="T116" i="475"/>
  <c r="Q115" i="475"/>
  <c r="T115" i="475" s="1"/>
  <c r="S109" i="475"/>
  <c r="R108" i="475"/>
  <c r="S108" i="475" s="1"/>
  <c r="Q108" i="475"/>
  <c r="T108" i="475" s="1"/>
  <c r="T109" i="475"/>
  <c r="R103" i="475"/>
  <c r="S103" i="475" s="1"/>
  <c r="S104" i="475"/>
  <c r="Q103" i="475"/>
  <c r="T103" i="475" s="1"/>
  <c r="T104" i="475"/>
  <c r="S74" i="475"/>
  <c r="R73" i="475"/>
  <c r="S73" i="475" s="1"/>
  <c r="T74" i="475"/>
  <c r="Q73" i="475"/>
  <c r="T73" i="475" s="1"/>
  <c r="S68" i="475"/>
  <c r="R67" i="475"/>
  <c r="S67" i="475" s="1"/>
  <c r="Q67" i="475"/>
  <c r="T67" i="475" s="1"/>
  <c r="T68" i="475"/>
  <c r="S61" i="475"/>
  <c r="R60" i="475"/>
  <c r="S60" i="475" s="1"/>
  <c r="T61" i="475"/>
  <c r="Q60" i="475"/>
  <c r="T60" i="475" s="1"/>
  <c r="R54" i="475"/>
  <c r="S54" i="475" s="1"/>
  <c r="S55" i="475"/>
  <c r="T55" i="475"/>
  <c r="Q54" i="475"/>
  <c r="T54" i="475" s="1"/>
  <c r="S46" i="475"/>
  <c r="R45" i="475"/>
  <c r="S45" i="475" s="1"/>
  <c r="T46" i="475"/>
  <c r="Q45" i="475"/>
  <c r="T45" i="475" s="1"/>
  <c r="R40" i="475"/>
  <c r="S40" i="475" s="1"/>
  <c r="S41" i="475"/>
  <c r="T41" i="475"/>
  <c r="Q40" i="475"/>
  <c r="T40" i="475" s="1"/>
  <c r="S38" i="475"/>
  <c r="R37" i="475"/>
  <c r="T38" i="475"/>
  <c r="Q37" i="475"/>
  <c r="T37" i="475" s="1"/>
  <c r="R22" i="475"/>
  <c r="S22" i="475" s="1"/>
  <c r="S23" i="475"/>
  <c r="Q22" i="475"/>
  <c r="T22" i="475" s="1"/>
  <c r="T23" i="475"/>
  <c r="R9" i="475"/>
  <c r="S10" i="475"/>
  <c r="T10" i="475"/>
  <c r="Q9" i="475"/>
  <c r="P165" i="475"/>
  <c r="U211" i="475"/>
  <c r="AM211" i="475" s="1"/>
  <c r="V208" i="475"/>
  <c r="AN208" i="475" s="1"/>
  <c r="U208" i="475"/>
  <c r="AM208" i="475" s="1"/>
  <c r="V207" i="475"/>
  <c r="AN207" i="475" s="1"/>
  <c r="U207" i="475"/>
  <c r="AM207" i="475" s="1"/>
  <c r="V206" i="475"/>
  <c r="AN206" i="475" s="1"/>
  <c r="U206" i="475"/>
  <c r="AM206" i="475" s="1"/>
  <c r="V205" i="475"/>
  <c r="AN205" i="475" s="1"/>
  <c r="U205" i="475"/>
  <c r="AM205" i="475" s="1"/>
  <c r="X204" i="475"/>
  <c r="U204" i="475"/>
  <c r="AM204" i="475" s="1"/>
  <c r="V203" i="475"/>
  <c r="AN203" i="475" s="1"/>
  <c r="U203" i="475"/>
  <c r="AM203" i="475" s="1"/>
  <c r="V202" i="475"/>
  <c r="AN202" i="475" s="1"/>
  <c r="U202" i="475"/>
  <c r="AM202" i="475" s="1"/>
  <c r="V201" i="475"/>
  <c r="AN201" i="475" s="1"/>
  <c r="U201" i="475"/>
  <c r="AM201" i="475" s="1"/>
  <c r="V200" i="475"/>
  <c r="AN200" i="475" s="1"/>
  <c r="U200" i="475"/>
  <c r="AM200" i="475" s="1"/>
  <c r="V199" i="475"/>
  <c r="AN199" i="475" s="1"/>
  <c r="U199" i="475"/>
  <c r="AM199" i="475" s="1"/>
  <c r="V198" i="475"/>
  <c r="AN198" i="475" s="1"/>
  <c r="U198" i="475"/>
  <c r="AM198" i="475" s="1"/>
  <c r="V197" i="475"/>
  <c r="AN197" i="475" s="1"/>
  <c r="U197" i="475"/>
  <c r="AM197" i="475" s="1"/>
  <c r="V196" i="475"/>
  <c r="AN196" i="475" s="1"/>
  <c r="U196" i="475"/>
  <c r="AM196" i="475" s="1"/>
  <c r="V195" i="475"/>
  <c r="AN195" i="475" s="1"/>
  <c r="U195" i="475"/>
  <c r="AM195" i="475" s="1"/>
  <c r="V194" i="475"/>
  <c r="AN194" i="475" s="1"/>
  <c r="U194" i="475"/>
  <c r="AM194" i="475" s="1"/>
  <c r="V193" i="475"/>
  <c r="U193" i="475"/>
  <c r="AM193" i="475" s="1"/>
  <c r="V192" i="475"/>
  <c r="AN192" i="475" s="1"/>
  <c r="U192" i="475"/>
  <c r="AM192" i="475" s="1"/>
  <c r="V191" i="475"/>
  <c r="AN191" i="475" s="1"/>
  <c r="U191" i="475"/>
  <c r="AM191" i="475" s="1"/>
  <c r="V190" i="475"/>
  <c r="AN190" i="475" s="1"/>
  <c r="U190" i="475"/>
  <c r="AM190" i="475" s="1"/>
  <c r="V189" i="475"/>
  <c r="AN189" i="475" s="1"/>
  <c r="U189" i="475"/>
  <c r="AM189" i="475" s="1"/>
  <c r="V188" i="475"/>
  <c r="AN188" i="475" s="1"/>
  <c r="U188" i="475"/>
  <c r="AM188" i="475" s="1"/>
  <c r="V187" i="475"/>
  <c r="AN187" i="475" s="1"/>
  <c r="U187" i="475"/>
  <c r="AM187" i="475" s="1"/>
  <c r="V186" i="475"/>
  <c r="AN186" i="475" s="1"/>
  <c r="U186" i="475"/>
  <c r="AM186" i="475" s="1"/>
  <c r="V185" i="475"/>
  <c r="AN185" i="475" s="1"/>
  <c r="U185" i="475"/>
  <c r="AM185" i="475" s="1"/>
  <c r="V184" i="475"/>
  <c r="AN184" i="475" s="1"/>
  <c r="U184" i="475"/>
  <c r="AM184" i="475" s="1"/>
  <c r="V183" i="475"/>
  <c r="AN183" i="475" s="1"/>
  <c r="U183" i="475"/>
  <c r="AM183" i="475" s="1"/>
  <c r="V182" i="475"/>
  <c r="AN182" i="475" s="1"/>
  <c r="U182" i="475"/>
  <c r="AM182" i="475" s="1"/>
  <c r="V181" i="475"/>
  <c r="AN181" i="475" s="1"/>
  <c r="U181" i="475"/>
  <c r="AM181" i="475" s="1"/>
  <c r="V180" i="475"/>
  <c r="AN180" i="475" s="1"/>
  <c r="U180" i="475"/>
  <c r="AM180" i="475" s="1"/>
  <c r="V179" i="475"/>
  <c r="AN179" i="475" s="1"/>
  <c r="U179" i="475"/>
  <c r="AM179" i="475" s="1"/>
  <c r="V176" i="475"/>
  <c r="AN176" i="475" s="1"/>
  <c r="U176" i="475"/>
  <c r="AM176" i="475" s="1"/>
  <c r="V175" i="475"/>
  <c r="AN175" i="475" s="1"/>
  <c r="U175" i="475"/>
  <c r="AM175" i="475" s="1"/>
  <c r="V172" i="475"/>
  <c r="AN172" i="475" s="1"/>
  <c r="U172" i="475"/>
  <c r="AM172" i="475" s="1"/>
  <c r="V171" i="475"/>
  <c r="AN171" i="475" s="1"/>
  <c r="U171" i="475"/>
  <c r="AM171" i="475" s="1"/>
  <c r="V170" i="475"/>
  <c r="AN170" i="475" s="1"/>
  <c r="U170" i="475"/>
  <c r="AM170" i="475" s="1"/>
  <c r="V164" i="475"/>
  <c r="AN164" i="475" s="1"/>
  <c r="U164" i="475"/>
  <c r="AM164" i="475" s="1"/>
  <c r="V163" i="475"/>
  <c r="AN163" i="475" s="1"/>
  <c r="U163" i="475"/>
  <c r="AM163" i="475" s="1"/>
  <c r="V160" i="475"/>
  <c r="AN160" i="475" s="1"/>
  <c r="U160" i="475"/>
  <c r="AM160" i="475" s="1"/>
  <c r="V159" i="475"/>
  <c r="AN159" i="475" s="1"/>
  <c r="U159" i="475"/>
  <c r="AM159" i="475" s="1"/>
  <c r="V158" i="475"/>
  <c r="AN158" i="475" s="1"/>
  <c r="U158" i="475"/>
  <c r="AM158" i="475" s="1"/>
  <c r="V157" i="475"/>
  <c r="AN157" i="475" s="1"/>
  <c r="U157" i="475"/>
  <c r="AM157" i="475" s="1"/>
  <c r="V156" i="475"/>
  <c r="AN156" i="475" s="1"/>
  <c r="U156" i="475"/>
  <c r="AM156" i="475" s="1"/>
  <c r="V155" i="475"/>
  <c r="AN155" i="475" s="1"/>
  <c r="U155" i="475"/>
  <c r="AM155" i="475" s="1"/>
  <c r="V154" i="475"/>
  <c r="AN154" i="475" s="1"/>
  <c r="U154" i="475"/>
  <c r="AM154" i="475" s="1"/>
  <c r="V153" i="475"/>
  <c r="AN153" i="475" s="1"/>
  <c r="U153" i="475"/>
  <c r="AM153" i="475" s="1"/>
  <c r="V152" i="475"/>
  <c r="AN152" i="475" s="1"/>
  <c r="U152" i="475"/>
  <c r="AM152" i="475" s="1"/>
  <c r="X151" i="475"/>
  <c r="U151" i="475"/>
  <c r="AM151" i="475" s="1"/>
  <c r="V150" i="475"/>
  <c r="AN150" i="475" s="1"/>
  <c r="U150" i="475"/>
  <c r="AM150" i="475" s="1"/>
  <c r="V147" i="475"/>
  <c r="AN147" i="475" s="1"/>
  <c r="U147" i="475"/>
  <c r="AM147" i="475" s="1"/>
  <c r="V146" i="475"/>
  <c r="AN146" i="475" s="1"/>
  <c r="U146" i="475"/>
  <c r="AM146" i="475" s="1"/>
  <c r="V145" i="475"/>
  <c r="AN145" i="475" s="1"/>
  <c r="U145" i="475"/>
  <c r="AM145" i="475" s="1"/>
  <c r="V144" i="475"/>
  <c r="AN144" i="475" s="1"/>
  <c r="U144" i="475"/>
  <c r="AM144" i="475" s="1"/>
  <c r="V143" i="475"/>
  <c r="AN143" i="475" s="1"/>
  <c r="U143" i="475"/>
  <c r="AM143" i="475" s="1"/>
  <c r="V142" i="475"/>
  <c r="AN142" i="475" s="1"/>
  <c r="U142" i="475"/>
  <c r="AM142" i="475" s="1"/>
  <c r="V141" i="475"/>
  <c r="AN141" i="475" s="1"/>
  <c r="U141" i="475"/>
  <c r="AM141" i="475" s="1"/>
  <c r="V139" i="475"/>
  <c r="V138" i="475"/>
  <c r="AN138" i="475" s="1"/>
  <c r="U138" i="475"/>
  <c r="AM138" i="475" s="1"/>
  <c r="V137" i="475"/>
  <c r="AN137" i="475" s="1"/>
  <c r="U137" i="475"/>
  <c r="AM137" i="475" s="1"/>
  <c r="X136" i="475"/>
  <c r="U136" i="475"/>
  <c r="AM136" i="475" s="1"/>
  <c r="V134" i="475"/>
  <c r="AN134" i="475" s="1"/>
  <c r="U134" i="475"/>
  <c r="AM134" i="475" s="1"/>
  <c r="V133" i="475"/>
  <c r="AN133" i="475" s="1"/>
  <c r="U133" i="475"/>
  <c r="AM133" i="475" s="1"/>
  <c r="V132" i="475"/>
  <c r="AN132" i="475" s="1"/>
  <c r="U132" i="475"/>
  <c r="AM132" i="475" s="1"/>
  <c r="V131" i="475"/>
  <c r="AN131" i="475" s="1"/>
  <c r="U131" i="475"/>
  <c r="AM131" i="475" s="1"/>
  <c r="V130" i="475"/>
  <c r="AN130" i="475" s="1"/>
  <c r="U130" i="475"/>
  <c r="AM130" i="475" s="1"/>
  <c r="V128" i="475"/>
  <c r="AN128" i="475" s="1"/>
  <c r="U128" i="475"/>
  <c r="AM128" i="475" s="1"/>
  <c r="V127" i="475"/>
  <c r="AN127" i="475" s="1"/>
  <c r="U127" i="475"/>
  <c r="AM127" i="475" s="1"/>
  <c r="V124" i="475"/>
  <c r="AN124" i="475" s="1"/>
  <c r="U124" i="475"/>
  <c r="AM124" i="475" s="1"/>
  <c r="V121" i="475"/>
  <c r="AN121" i="475" s="1"/>
  <c r="U121" i="475"/>
  <c r="AM121" i="475" s="1"/>
  <c r="V118" i="475"/>
  <c r="AN118" i="475" s="1"/>
  <c r="U118" i="475"/>
  <c r="AM118" i="475" s="1"/>
  <c r="V117" i="475"/>
  <c r="AN117" i="475" s="1"/>
  <c r="U117" i="475"/>
  <c r="AM117" i="475" s="1"/>
  <c r="V114" i="475"/>
  <c r="AN114" i="475" s="1"/>
  <c r="U114" i="475"/>
  <c r="AM114" i="475" s="1"/>
  <c r="V113" i="475"/>
  <c r="AN113" i="475" s="1"/>
  <c r="U113" i="475"/>
  <c r="AM113" i="475" s="1"/>
  <c r="V112" i="475"/>
  <c r="AN112" i="475" s="1"/>
  <c r="U112" i="475"/>
  <c r="AM112" i="475" s="1"/>
  <c r="V111" i="475"/>
  <c r="AN111" i="475" s="1"/>
  <c r="U111" i="475"/>
  <c r="AM111" i="475" s="1"/>
  <c r="V110" i="475"/>
  <c r="AN110" i="475" s="1"/>
  <c r="U110" i="475"/>
  <c r="AM110" i="475" s="1"/>
  <c r="V107" i="475"/>
  <c r="AN107" i="475" s="1"/>
  <c r="U107" i="475"/>
  <c r="AM107" i="475" s="1"/>
  <c r="V106" i="475"/>
  <c r="AN106" i="475" s="1"/>
  <c r="U106" i="475"/>
  <c r="AM106" i="475" s="1"/>
  <c r="V105" i="475"/>
  <c r="AN105" i="475" s="1"/>
  <c r="U105" i="475"/>
  <c r="AM105" i="475" s="1"/>
  <c r="V102" i="475"/>
  <c r="AN102" i="475" s="1"/>
  <c r="U102" i="475"/>
  <c r="AM102" i="475" s="1"/>
  <c r="V101" i="475"/>
  <c r="AN101" i="475" s="1"/>
  <c r="U101" i="475"/>
  <c r="AM101" i="475" s="1"/>
  <c r="V100" i="475"/>
  <c r="AN100" i="475" s="1"/>
  <c r="U100" i="475"/>
  <c r="AM100" i="475" s="1"/>
  <c r="V99" i="475"/>
  <c r="AN99" i="475" s="1"/>
  <c r="U99" i="475"/>
  <c r="AM99" i="475" s="1"/>
  <c r="V98" i="475"/>
  <c r="AN98" i="475" s="1"/>
  <c r="U98" i="475"/>
  <c r="AM98" i="475" s="1"/>
  <c r="V97" i="475"/>
  <c r="AN97" i="475" s="1"/>
  <c r="U97" i="475"/>
  <c r="AM97" i="475" s="1"/>
  <c r="V96" i="475"/>
  <c r="AN96" i="475" s="1"/>
  <c r="U96" i="475"/>
  <c r="AM96" i="475" s="1"/>
  <c r="V95" i="475"/>
  <c r="AN95" i="475" s="1"/>
  <c r="U95" i="475"/>
  <c r="AM95" i="475" s="1"/>
  <c r="V94" i="475"/>
  <c r="AN94" i="475" s="1"/>
  <c r="U94" i="475"/>
  <c r="AM94" i="475" s="1"/>
  <c r="V92" i="475"/>
  <c r="U92" i="475"/>
  <c r="V91" i="475"/>
  <c r="AN91" i="475" s="1"/>
  <c r="U91" i="475"/>
  <c r="AM91" i="475" s="1"/>
  <c r="V90" i="475"/>
  <c r="AN90" i="475" s="1"/>
  <c r="U90" i="475"/>
  <c r="AM90" i="475" s="1"/>
  <c r="V89" i="475"/>
  <c r="AN89" i="475" s="1"/>
  <c r="U89" i="475"/>
  <c r="AM89" i="475" s="1"/>
  <c r="V88" i="475"/>
  <c r="AN88" i="475" s="1"/>
  <c r="U88" i="475"/>
  <c r="AM88" i="475" s="1"/>
  <c r="V87" i="475"/>
  <c r="AN87" i="475" s="1"/>
  <c r="U87" i="475"/>
  <c r="AM87" i="475" s="1"/>
  <c r="V86" i="475"/>
  <c r="AN86" i="475" s="1"/>
  <c r="U86" i="475"/>
  <c r="AM86" i="475" s="1"/>
  <c r="V85" i="475"/>
  <c r="AN85" i="475" s="1"/>
  <c r="U85" i="475"/>
  <c r="AM85" i="475" s="1"/>
  <c r="V84" i="475"/>
  <c r="AN84" i="475" s="1"/>
  <c r="U84" i="475"/>
  <c r="AM84" i="475" s="1"/>
  <c r="V83" i="475"/>
  <c r="AN83" i="475" s="1"/>
  <c r="U83" i="475"/>
  <c r="AM83" i="475" s="1"/>
  <c r="V82" i="475"/>
  <c r="AN82" i="475" s="1"/>
  <c r="U82" i="475"/>
  <c r="AM82" i="475" s="1"/>
  <c r="V81" i="475"/>
  <c r="AN81" i="475" s="1"/>
  <c r="U81" i="475"/>
  <c r="AM81" i="475" s="1"/>
  <c r="V80" i="475"/>
  <c r="AN80" i="475" s="1"/>
  <c r="U80" i="475"/>
  <c r="AM80" i="475" s="1"/>
  <c r="V79" i="475"/>
  <c r="AN79" i="475" s="1"/>
  <c r="U79" i="475"/>
  <c r="AM79" i="475" s="1"/>
  <c r="V78" i="475"/>
  <c r="AN78" i="475" s="1"/>
  <c r="U78" i="475"/>
  <c r="AM78" i="475" s="1"/>
  <c r="V77" i="475"/>
  <c r="AN77" i="475" s="1"/>
  <c r="U77" i="475"/>
  <c r="AM77" i="475" s="1"/>
  <c r="V75" i="475"/>
  <c r="AN75" i="475" s="1"/>
  <c r="U75" i="475"/>
  <c r="AM75" i="475" s="1"/>
  <c r="V72" i="475"/>
  <c r="AN72" i="475" s="1"/>
  <c r="U72" i="475"/>
  <c r="AM72" i="475" s="1"/>
  <c r="V71" i="475"/>
  <c r="AN71" i="475" s="1"/>
  <c r="U71" i="475"/>
  <c r="AM71" i="475" s="1"/>
  <c r="V70" i="475"/>
  <c r="AN70" i="475" s="1"/>
  <c r="U70" i="475"/>
  <c r="AM70" i="475" s="1"/>
  <c r="V69" i="475"/>
  <c r="AN69" i="475" s="1"/>
  <c r="U69" i="475"/>
  <c r="AM69" i="475" s="1"/>
  <c r="V66" i="475"/>
  <c r="AN66" i="475" s="1"/>
  <c r="U66" i="475"/>
  <c r="AM66" i="475" s="1"/>
  <c r="V65" i="475"/>
  <c r="AN65" i="475" s="1"/>
  <c r="U65" i="475"/>
  <c r="AM65" i="475" s="1"/>
  <c r="V64" i="475"/>
  <c r="AN64" i="475" s="1"/>
  <c r="U64" i="475"/>
  <c r="AM64" i="475" s="1"/>
  <c r="V63" i="475"/>
  <c r="AN63" i="475" s="1"/>
  <c r="U63" i="475"/>
  <c r="AM63" i="475" s="1"/>
  <c r="V62" i="475"/>
  <c r="AN62" i="475" s="1"/>
  <c r="U62" i="475"/>
  <c r="AM62" i="475" s="1"/>
  <c r="V59" i="475"/>
  <c r="AN59" i="475" s="1"/>
  <c r="U59" i="475"/>
  <c r="AM59" i="475" s="1"/>
  <c r="V58" i="475"/>
  <c r="AN58" i="475" s="1"/>
  <c r="U58" i="475"/>
  <c r="AM58" i="475" s="1"/>
  <c r="V57" i="475"/>
  <c r="AN57" i="475" s="1"/>
  <c r="U57" i="475"/>
  <c r="AM57" i="475" s="1"/>
  <c r="V56" i="475"/>
  <c r="AN56" i="475" s="1"/>
  <c r="U56" i="475"/>
  <c r="AM56" i="475" s="1"/>
  <c r="V53" i="475"/>
  <c r="AN53" i="475" s="1"/>
  <c r="U53" i="475"/>
  <c r="AM53" i="475" s="1"/>
  <c r="V52" i="475"/>
  <c r="AN52" i="475" s="1"/>
  <c r="U52" i="475"/>
  <c r="AM52" i="475" s="1"/>
  <c r="V49" i="475"/>
  <c r="AN49" i="475" s="1"/>
  <c r="U49" i="475"/>
  <c r="AM49" i="475" s="1"/>
  <c r="V48" i="475"/>
  <c r="AN48" i="475" s="1"/>
  <c r="U48" i="475"/>
  <c r="AM48" i="475" s="1"/>
  <c r="V47" i="475"/>
  <c r="AN47" i="475" s="1"/>
  <c r="U47" i="475"/>
  <c r="AM47" i="475" s="1"/>
  <c r="V44" i="475"/>
  <c r="AN44" i="475" s="1"/>
  <c r="U44" i="475"/>
  <c r="AM44" i="475" s="1"/>
  <c r="V43" i="475"/>
  <c r="AN43" i="475" s="1"/>
  <c r="U43" i="475"/>
  <c r="AM43" i="475" s="1"/>
  <c r="V42" i="475"/>
  <c r="AN42" i="475" s="1"/>
  <c r="U42" i="475"/>
  <c r="AM42" i="475" s="1"/>
  <c r="V39" i="475"/>
  <c r="AN39" i="475" s="1"/>
  <c r="U39" i="475"/>
  <c r="AM39" i="475" s="1"/>
  <c r="V36" i="475"/>
  <c r="AN36" i="475" s="1"/>
  <c r="U36" i="475"/>
  <c r="AM36" i="475" s="1"/>
  <c r="V35" i="475"/>
  <c r="AN35" i="475" s="1"/>
  <c r="U35" i="475"/>
  <c r="AM35" i="475" s="1"/>
  <c r="V33" i="475"/>
  <c r="AN33" i="475" s="1"/>
  <c r="U33" i="475"/>
  <c r="AM33" i="475" s="1"/>
  <c r="V32" i="475"/>
  <c r="AN32" i="475" s="1"/>
  <c r="U32" i="475"/>
  <c r="AM32" i="475" s="1"/>
  <c r="V31" i="475"/>
  <c r="AN31" i="475" s="1"/>
  <c r="U31" i="475"/>
  <c r="AM31" i="475" s="1"/>
  <c r="V30" i="475"/>
  <c r="AN30" i="475" s="1"/>
  <c r="U30" i="475"/>
  <c r="AM30" i="475" s="1"/>
  <c r="V29" i="475"/>
  <c r="AN29" i="475" s="1"/>
  <c r="U29" i="475"/>
  <c r="AM29" i="475" s="1"/>
  <c r="V28" i="475"/>
  <c r="AN28" i="475" s="1"/>
  <c r="U28" i="475"/>
  <c r="AM28" i="475" s="1"/>
  <c r="V27" i="475"/>
  <c r="AN27" i="475" s="1"/>
  <c r="U27" i="475"/>
  <c r="AM27" i="475" s="1"/>
  <c r="V26" i="475"/>
  <c r="AN26" i="475" s="1"/>
  <c r="U26" i="475"/>
  <c r="AM26" i="475" s="1"/>
  <c r="V25" i="475"/>
  <c r="AN25" i="475" s="1"/>
  <c r="U25" i="475"/>
  <c r="AM25" i="475" s="1"/>
  <c r="V24" i="475"/>
  <c r="AN24" i="475" s="1"/>
  <c r="U24" i="475"/>
  <c r="AM24" i="475" s="1"/>
  <c r="V21" i="475"/>
  <c r="AN21" i="475" s="1"/>
  <c r="U21" i="475"/>
  <c r="AM21" i="475" s="1"/>
  <c r="V20" i="475"/>
  <c r="AN20" i="475" s="1"/>
  <c r="U20" i="475"/>
  <c r="AM20" i="475" s="1"/>
  <c r="V19" i="475"/>
  <c r="AN19" i="475" s="1"/>
  <c r="U19" i="475"/>
  <c r="AM19" i="475" s="1"/>
  <c r="V18" i="475"/>
  <c r="AN18" i="475" s="1"/>
  <c r="U18" i="475"/>
  <c r="AM18" i="475" s="1"/>
  <c r="V17" i="475"/>
  <c r="AN17" i="475" s="1"/>
  <c r="U17" i="475"/>
  <c r="AM17" i="475" s="1"/>
  <c r="V16" i="475"/>
  <c r="AN16" i="475" s="1"/>
  <c r="U16" i="475"/>
  <c r="AM16" i="475" s="1"/>
  <c r="V15" i="475"/>
  <c r="AN15" i="475" s="1"/>
  <c r="U15" i="475"/>
  <c r="AM15" i="475" s="1"/>
  <c r="V14" i="475"/>
  <c r="AN14" i="475" s="1"/>
  <c r="U14" i="475"/>
  <c r="AM14" i="475" s="1"/>
  <c r="V13" i="475"/>
  <c r="AN13" i="475" s="1"/>
  <c r="U13" i="475"/>
  <c r="AM13" i="475" s="1"/>
  <c r="V12" i="475"/>
  <c r="AN12" i="475" s="1"/>
  <c r="U12" i="475"/>
  <c r="AM12" i="475" s="1"/>
  <c r="V11" i="475"/>
  <c r="AN11" i="475" s="1"/>
  <c r="U11" i="475"/>
  <c r="AM11" i="475" s="1"/>
  <c r="M297" i="475"/>
  <c r="L296" i="475"/>
  <c r="N297" i="475"/>
  <c r="K296" i="475"/>
  <c r="V297" i="475"/>
  <c r="J296" i="475"/>
  <c r="V296" i="475" s="1"/>
  <c r="U297" i="475"/>
  <c r="I296" i="475"/>
  <c r="U296" i="475" s="1"/>
  <c r="N295" i="475"/>
  <c r="W295" i="475"/>
  <c r="M293" i="475"/>
  <c r="L292" i="475"/>
  <c r="N293" i="475"/>
  <c r="K292" i="475"/>
  <c r="K290" i="475" s="1"/>
  <c r="V293" i="475"/>
  <c r="J292" i="475"/>
  <c r="V292" i="475" s="1"/>
  <c r="U293" i="475"/>
  <c r="I292" i="475"/>
  <c r="U292" i="475" s="1"/>
  <c r="M291" i="475"/>
  <c r="L290" i="475"/>
  <c r="N291" i="475"/>
  <c r="V291" i="475"/>
  <c r="AN291" i="475" s="1"/>
  <c r="J290" i="475"/>
  <c r="V290" i="475" s="1"/>
  <c r="U291" i="475"/>
  <c r="AM291" i="475" s="1"/>
  <c r="I290" i="475"/>
  <c r="M272" i="475"/>
  <c r="L271" i="475"/>
  <c r="N272" i="475"/>
  <c r="K271" i="475"/>
  <c r="V272" i="475"/>
  <c r="J271" i="475"/>
  <c r="U272" i="475"/>
  <c r="I271" i="475"/>
  <c r="J254" i="475"/>
  <c r="J253" i="475" s="1"/>
  <c r="V255" i="475"/>
  <c r="AN255" i="475" s="1"/>
  <c r="I254" i="475"/>
  <c r="I253" i="475" s="1"/>
  <c r="U255" i="475"/>
  <c r="AM255" i="475" s="1"/>
  <c r="M247" i="475"/>
  <c r="L246" i="475"/>
  <c r="N247" i="475"/>
  <c r="K246" i="475"/>
  <c r="V247" i="475"/>
  <c r="J246" i="475"/>
  <c r="V246" i="475" s="1"/>
  <c r="U247" i="475"/>
  <c r="I246" i="475"/>
  <c r="U246" i="475" s="1"/>
  <c r="M243" i="475"/>
  <c r="L242" i="475"/>
  <c r="N243" i="475"/>
  <c r="K242" i="475"/>
  <c r="V243" i="475"/>
  <c r="J242" i="475"/>
  <c r="V242" i="475" s="1"/>
  <c r="U243" i="475"/>
  <c r="I242" i="475"/>
  <c r="U242" i="475" s="1"/>
  <c r="M233" i="475"/>
  <c r="L232" i="475"/>
  <c r="N233" i="475"/>
  <c r="K232" i="475"/>
  <c r="V233" i="475"/>
  <c r="J232" i="475"/>
  <c r="V232" i="475" s="1"/>
  <c r="U233" i="475"/>
  <c r="I232" i="475"/>
  <c r="U232" i="475" s="1"/>
  <c r="M231" i="475"/>
  <c r="L230" i="475"/>
  <c r="N231" i="475"/>
  <c r="K230" i="475"/>
  <c r="V231" i="475"/>
  <c r="J230" i="475"/>
  <c r="U231" i="475"/>
  <c r="I230" i="475"/>
  <c r="M214" i="475"/>
  <c r="L213" i="475"/>
  <c r="N214" i="475"/>
  <c r="K213" i="475"/>
  <c r="M210" i="475"/>
  <c r="L209" i="475"/>
  <c r="N210" i="475"/>
  <c r="K209" i="475"/>
  <c r="L177" i="475"/>
  <c r="M178" i="475"/>
  <c r="N178" i="475"/>
  <c r="K177" i="475"/>
  <c r="M174" i="475"/>
  <c r="L173" i="475"/>
  <c r="N174" i="475"/>
  <c r="K173" i="475"/>
  <c r="M169" i="475"/>
  <c r="L168" i="475"/>
  <c r="N169" i="475"/>
  <c r="K168" i="475"/>
  <c r="M167" i="475"/>
  <c r="L166" i="475"/>
  <c r="K166" i="475"/>
  <c r="N167" i="475"/>
  <c r="M162" i="475"/>
  <c r="L161" i="475"/>
  <c r="N162" i="475"/>
  <c r="K161" i="475"/>
  <c r="L148" i="475"/>
  <c r="M149" i="475"/>
  <c r="K148" i="475"/>
  <c r="N149" i="475"/>
  <c r="L139" i="475"/>
  <c r="M140" i="475"/>
  <c r="K139" i="475"/>
  <c r="N140" i="475"/>
  <c r="L125" i="475"/>
  <c r="M126" i="475"/>
  <c r="K125" i="475"/>
  <c r="N126" i="475"/>
  <c r="M123" i="475"/>
  <c r="L122" i="475"/>
  <c r="K122" i="475"/>
  <c r="N123" i="475"/>
  <c r="M120" i="475"/>
  <c r="L119" i="475"/>
  <c r="N120" i="475"/>
  <c r="K119" i="475"/>
  <c r="M116" i="475"/>
  <c r="L115" i="475"/>
  <c r="N116" i="475"/>
  <c r="K115" i="475"/>
  <c r="M109" i="475"/>
  <c r="L108" i="475"/>
  <c r="K108" i="475"/>
  <c r="N109" i="475"/>
  <c r="M104" i="475"/>
  <c r="L103" i="475"/>
  <c r="K103" i="475"/>
  <c r="N104" i="475"/>
  <c r="L73" i="475"/>
  <c r="M74" i="475"/>
  <c r="N74" i="475"/>
  <c r="K73" i="475"/>
  <c r="L67" i="475"/>
  <c r="M68" i="475"/>
  <c r="N68" i="475"/>
  <c r="K67" i="475"/>
  <c r="M61" i="475"/>
  <c r="L60" i="475"/>
  <c r="K60" i="475"/>
  <c r="N61" i="475"/>
  <c r="L54" i="475"/>
  <c r="M55" i="475"/>
  <c r="N55" i="475"/>
  <c r="K54" i="475"/>
  <c r="M46" i="475"/>
  <c r="L45" i="475"/>
  <c r="N46" i="475"/>
  <c r="K45" i="475"/>
  <c r="M41" i="475"/>
  <c r="L40" i="475"/>
  <c r="N41" i="475"/>
  <c r="K40" i="475"/>
  <c r="L37" i="475"/>
  <c r="M38" i="475"/>
  <c r="K37" i="475"/>
  <c r="N38" i="475"/>
  <c r="L22" i="475"/>
  <c r="M23" i="475"/>
  <c r="K22" i="475"/>
  <c r="N23" i="475"/>
  <c r="M10" i="475"/>
  <c r="L9" i="475"/>
  <c r="N10" i="475"/>
  <c r="K9" i="475"/>
  <c r="W219" i="475"/>
  <c r="H219" i="475"/>
  <c r="V214" i="475"/>
  <c r="D213" i="475"/>
  <c r="U214" i="475"/>
  <c r="C213" i="475"/>
  <c r="U213" i="475" s="1"/>
  <c r="V210" i="475"/>
  <c r="D209" i="475"/>
  <c r="U210" i="475"/>
  <c r="C209" i="475"/>
  <c r="U209" i="475" s="1"/>
  <c r="V174" i="475"/>
  <c r="D173" i="475"/>
  <c r="U174" i="475"/>
  <c r="C173" i="475"/>
  <c r="U173" i="475" s="1"/>
  <c r="V169" i="475"/>
  <c r="D168" i="475"/>
  <c r="U169" i="475"/>
  <c r="C168" i="475"/>
  <c r="U168" i="475" s="1"/>
  <c r="V167" i="475"/>
  <c r="D166" i="475"/>
  <c r="U167" i="475"/>
  <c r="C166" i="475"/>
  <c r="V162" i="475"/>
  <c r="D161" i="475"/>
  <c r="U162" i="475"/>
  <c r="C161" i="475"/>
  <c r="U161" i="475" s="1"/>
  <c r="D148" i="475"/>
  <c r="V149" i="475"/>
  <c r="U149" i="475"/>
  <c r="C148" i="475"/>
  <c r="U148" i="475" s="1"/>
  <c r="F139" i="475"/>
  <c r="G139" i="475" s="1"/>
  <c r="X140" i="475"/>
  <c r="U140" i="475"/>
  <c r="C139" i="475"/>
  <c r="U139" i="475" s="1"/>
  <c r="D125" i="475"/>
  <c r="V126" i="475"/>
  <c r="C125" i="475"/>
  <c r="U125" i="475" s="1"/>
  <c r="U126" i="475"/>
  <c r="V123" i="475"/>
  <c r="D122" i="475"/>
  <c r="U123" i="475"/>
  <c r="C122" i="475"/>
  <c r="U122" i="475" s="1"/>
  <c r="D119" i="475"/>
  <c r="V120" i="475"/>
  <c r="U120" i="475"/>
  <c r="C119" i="475"/>
  <c r="U119" i="475" s="1"/>
  <c r="D115" i="475"/>
  <c r="V116" i="475"/>
  <c r="C115" i="475"/>
  <c r="U115" i="475" s="1"/>
  <c r="U116" i="475"/>
  <c r="V109" i="475"/>
  <c r="D108" i="475"/>
  <c r="U109" i="475"/>
  <c r="C108" i="475"/>
  <c r="U108" i="475" s="1"/>
  <c r="D103" i="475"/>
  <c r="V104" i="475"/>
  <c r="C103" i="475"/>
  <c r="U103" i="475" s="1"/>
  <c r="U104" i="475"/>
  <c r="X92" i="475"/>
  <c r="G92" i="475"/>
  <c r="H92" i="475"/>
  <c r="W92" i="475"/>
  <c r="V74" i="475"/>
  <c r="D73" i="475"/>
  <c r="U74" i="475"/>
  <c r="C73" i="475"/>
  <c r="U73" i="475" s="1"/>
  <c r="D67" i="475"/>
  <c r="V68" i="475"/>
  <c r="C67" i="475"/>
  <c r="U68" i="475"/>
  <c r="D60" i="475"/>
  <c r="V61" i="475"/>
  <c r="U61" i="475"/>
  <c r="C60" i="475"/>
  <c r="U60" i="475" s="1"/>
  <c r="V55" i="475"/>
  <c r="D54" i="475"/>
  <c r="U55" i="475"/>
  <c r="C54" i="475"/>
  <c r="U54" i="475" s="1"/>
  <c r="D45" i="475"/>
  <c r="V46" i="475"/>
  <c r="C45" i="475"/>
  <c r="U45" i="475" s="1"/>
  <c r="U46" i="475"/>
  <c r="D40" i="475"/>
  <c r="V41" i="475"/>
  <c r="C40" i="475"/>
  <c r="U40" i="475" s="1"/>
  <c r="U41" i="475"/>
  <c r="D37" i="475"/>
  <c r="V38" i="475"/>
  <c r="C37" i="475"/>
  <c r="U38" i="475"/>
  <c r="V23" i="475"/>
  <c r="D22" i="475"/>
  <c r="U23" i="475"/>
  <c r="C22" i="475"/>
  <c r="U22" i="475" s="1"/>
  <c r="V10" i="475"/>
  <c r="D9" i="475"/>
  <c r="U10" i="475"/>
  <c r="C9" i="475"/>
  <c r="AE300" i="475"/>
  <c r="AJ300" i="475"/>
  <c r="AK300" i="475" s="1"/>
  <c r="AI300" i="475"/>
  <c r="AL300" i="475" s="1"/>
  <c r="AF300" i="475"/>
  <c r="G300" i="475"/>
  <c r="X300" i="475"/>
  <c r="W300" i="475"/>
  <c r="H300" i="475"/>
  <c r="AE299" i="475"/>
  <c r="AJ299" i="475"/>
  <c r="AK299" i="475" s="1"/>
  <c r="AF299" i="475"/>
  <c r="AI299" i="475"/>
  <c r="AL299" i="475" s="1"/>
  <c r="G299" i="475"/>
  <c r="X299" i="475"/>
  <c r="W299" i="475"/>
  <c r="H299" i="475"/>
  <c r="AE298" i="475"/>
  <c r="AJ298" i="475"/>
  <c r="AK298" i="475" s="1"/>
  <c r="AI298" i="475"/>
  <c r="AL298" i="475" s="1"/>
  <c r="AF298" i="475"/>
  <c r="X298" i="475"/>
  <c r="G298" i="475"/>
  <c r="W298" i="475"/>
  <c r="H298" i="475"/>
  <c r="AE297" i="475"/>
  <c r="AJ297" i="475"/>
  <c r="AI297" i="475"/>
  <c r="AF297" i="475"/>
  <c r="G297" i="475"/>
  <c r="X297" i="475"/>
  <c r="H297" i="475"/>
  <c r="W297" i="475"/>
  <c r="AJ296" i="475"/>
  <c r="AI296" i="475"/>
  <c r="G296" i="475"/>
  <c r="H296" i="475"/>
  <c r="AE295" i="475"/>
  <c r="AJ295" i="475"/>
  <c r="AK295" i="475" s="1"/>
  <c r="AI295" i="475"/>
  <c r="AL295" i="475" s="1"/>
  <c r="AF295" i="475"/>
  <c r="G295" i="475"/>
  <c r="X295" i="475"/>
  <c r="AJ294" i="475"/>
  <c r="AK294" i="475" s="1"/>
  <c r="AE294" i="475"/>
  <c r="AF294" i="475"/>
  <c r="AI294" i="475"/>
  <c r="AL294" i="475" s="1"/>
  <c r="X294" i="475"/>
  <c r="G294" i="475"/>
  <c r="W294" i="475"/>
  <c r="H294" i="475"/>
  <c r="AJ293" i="475"/>
  <c r="AE293" i="475"/>
  <c r="AF293" i="475"/>
  <c r="AI293" i="475"/>
  <c r="G293" i="475"/>
  <c r="X293" i="475"/>
  <c r="W293" i="475"/>
  <c r="H293" i="475"/>
  <c r="AJ292" i="475"/>
  <c r="AI292" i="475"/>
  <c r="G292" i="475"/>
  <c r="H292" i="475"/>
  <c r="AJ291" i="475"/>
  <c r="AK291" i="475" s="1"/>
  <c r="AE291" i="475"/>
  <c r="AI291" i="475"/>
  <c r="AL291" i="475" s="1"/>
  <c r="AF291" i="475"/>
  <c r="G291" i="475"/>
  <c r="X291" i="475"/>
  <c r="E290" i="475"/>
  <c r="W291" i="475"/>
  <c r="H291" i="475"/>
  <c r="AI290" i="475"/>
  <c r="AJ289" i="475"/>
  <c r="AK289" i="475" s="1"/>
  <c r="AE289" i="475"/>
  <c r="AI289" i="475"/>
  <c r="AL289" i="475" s="1"/>
  <c r="AF289" i="475"/>
  <c r="X289" i="475"/>
  <c r="G289" i="475"/>
  <c r="H289" i="475"/>
  <c r="W289" i="475"/>
  <c r="AJ288" i="475"/>
  <c r="AK288" i="475" s="1"/>
  <c r="AE288" i="475"/>
  <c r="AF288" i="475"/>
  <c r="AI288" i="475"/>
  <c r="AL288" i="475" s="1"/>
  <c r="X288" i="475"/>
  <c r="G288" i="475"/>
  <c r="H288" i="475"/>
  <c r="W288" i="475"/>
  <c r="AE287" i="475"/>
  <c r="AJ287" i="475"/>
  <c r="AK287" i="475" s="1"/>
  <c r="AI287" i="475"/>
  <c r="AL287" i="475" s="1"/>
  <c r="AF287" i="475"/>
  <c r="G287" i="475"/>
  <c r="X287" i="475"/>
  <c r="H287" i="475"/>
  <c r="W287" i="475"/>
  <c r="AJ286" i="475"/>
  <c r="AK286" i="475" s="1"/>
  <c r="AE286" i="475"/>
  <c r="AI286" i="475"/>
  <c r="AL286" i="475" s="1"/>
  <c r="AF286" i="475"/>
  <c r="X286" i="475"/>
  <c r="G286" i="475"/>
  <c r="H286" i="475"/>
  <c r="W286" i="475"/>
  <c r="AJ285" i="475"/>
  <c r="AK285" i="475" s="1"/>
  <c r="AE285" i="475"/>
  <c r="AI285" i="475"/>
  <c r="AL285" i="475" s="1"/>
  <c r="AF285" i="475"/>
  <c r="X285" i="475"/>
  <c r="G285" i="475"/>
  <c r="H285" i="475"/>
  <c r="W285" i="475"/>
  <c r="AJ284" i="475"/>
  <c r="AK284" i="475" s="1"/>
  <c r="AE284" i="475"/>
  <c r="AI284" i="475"/>
  <c r="AL284" i="475" s="1"/>
  <c r="AF284" i="475"/>
  <c r="X284" i="475"/>
  <c r="G284" i="475"/>
  <c r="H284" i="475"/>
  <c r="W284" i="475"/>
  <c r="AE283" i="475"/>
  <c r="AJ283" i="475"/>
  <c r="AK283" i="475" s="1"/>
  <c r="AF283" i="475"/>
  <c r="AI283" i="475"/>
  <c r="AL283" i="475" s="1"/>
  <c r="X283" i="475"/>
  <c r="G283" i="475"/>
  <c r="W283" i="475"/>
  <c r="H283" i="475"/>
  <c r="AJ282" i="475"/>
  <c r="AK282" i="475" s="1"/>
  <c r="AE282" i="475"/>
  <c r="AI282" i="475"/>
  <c r="AL282" i="475" s="1"/>
  <c r="AF282" i="475"/>
  <c r="X282" i="475"/>
  <c r="G282" i="475"/>
  <c r="H282" i="475"/>
  <c r="W282" i="475"/>
  <c r="AE281" i="475"/>
  <c r="AJ281" i="475"/>
  <c r="AK281" i="475" s="1"/>
  <c r="AI281" i="475"/>
  <c r="AL281" i="475" s="1"/>
  <c r="AF281" i="475"/>
  <c r="X281" i="475"/>
  <c r="G281" i="475"/>
  <c r="H281" i="475"/>
  <c r="W281" i="475"/>
  <c r="AJ280" i="475"/>
  <c r="AK280" i="475" s="1"/>
  <c r="AE280" i="475"/>
  <c r="X280" i="475"/>
  <c r="G280" i="475"/>
  <c r="H280" i="475"/>
  <c r="W280" i="475"/>
  <c r="AJ279" i="475"/>
  <c r="AK279" i="475" s="1"/>
  <c r="AE279" i="475"/>
  <c r="AI279" i="475"/>
  <c r="AL279" i="475" s="1"/>
  <c r="AF279" i="475"/>
  <c r="G279" i="475"/>
  <c r="X279" i="475"/>
  <c r="H279" i="475"/>
  <c r="W279" i="475"/>
  <c r="AF278" i="475"/>
  <c r="AI278" i="475"/>
  <c r="AL278" i="475" s="1"/>
  <c r="G278" i="475"/>
  <c r="X278" i="475"/>
  <c r="H278" i="475"/>
  <c r="W278" i="475"/>
  <c r="AE277" i="475"/>
  <c r="AJ277" i="475"/>
  <c r="AK277" i="475" s="1"/>
  <c r="AI277" i="475"/>
  <c r="AL277" i="475" s="1"/>
  <c r="AF277" i="475"/>
  <c r="G277" i="475"/>
  <c r="X277" i="475"/>
  <c r="W277" i="475"/>
  <c r="H277" i="475"/>
  <c r="AE276" i="475"/>
  <c r="AJ276" i="475"/>
  <c r="AK276" i="475" s="1"/>
  <c r="AF276" i="475"/>
  <c r="AI276" i="475"/>
  <c r="AL276" i="475" s="1"/>
  <c r="X276" i="475"/>
  <c r="G276" i="475"/>
  <c r="W276" i="475"/>
  <c r="H276" i="475"/>
  <c r="AE275" i="475"/>
  <c r="AJ275" i="475"/>
  <c r="AK275" i="475" s="1"/>
  <c r="AI275" i="475"/>
  <c r="AL275" i="475" s="1"/>
  <c r="AF275" i="475"/>
  <c r="X275" i="475"/>
  <c r="G275" i="475"/>
  <c r="W275" i="475"/>
  <c r="H275" i="475"/>
  <c r="AJ274" i="475"/>
  <c r="AK274" i="475" s="1"/>
  <c r="AE274" i="475"/>
  <c r="AF274" i="475"/>
  <c r="AI274" i="475"/>
  <c r="AL274" i="475" s="1"/>
  <c r="G274" i="475"/>
  <c r="X274" i="475"/>
  <c r="W274" i="475"/>
  <c r="H274" i="475"/>
  <c r="AE273" i="475"/>
  <c r="AJ273" i="475"/>
  <c r="AK273" i="475" s="1"/>
  <c r="AI273" i="475"/>
  <c r="AL273" i="475" s="1"/>
  <c r="AF273" i="475"/>
  <c r="X273" i="475"/>
  <c r="G273" i="475"/>
  <c r="W273" i="475"/>
  <c r="H273" i="475"/>
  <c r="AJ272" i="475"/>
  <c r="AE272" i="475"/>
  <c r="AI272" i="475"/>
  <c r="AF272" i="475"/>
  <c r="X272" i="475"/>
  <c r="G272" i="475"/>
  <c r="H272" i="475"/>
  <c r="W272" i="475"/>
  <c r="AJ271" i="475"/>
  <c r="AI271" i="475"/>
  <c r="G271" i="475"/>
  <c r="H271" i="475"/>
  <c r="AI270" i="475"/>
  <c r="G270" i="475"/>
  <c r="H270" i="475"/>
  <c r="AE269" i="475"/>
  <c r="AJ269" i="475"/>
  <c r="AK269" i="475" s="1"/>
  <c r="AF269" i="475"/>
  <c r="AI269" i="475"/>
  <c r="AL269" i="475" s="1"/>
  <c r="X269" i="475"/>
  <c r="G269" i="475"/>
  <c r="H269" i="475"/>
  <c r="W269" i="475"/>
  <c r="AJ268" i="475"/>
  <c r="AK268" i="475" s="1"/>
  <c r="AE268" i="475"/>
  <c r="AI268" i="475"/>
  <c r="AL268" i="475" s="1"/>
  <c r="AF268" i="475"/>
  <c r="G268" i="475"/>
  <c r="X268" i="475"/>
  <c r="W268" i="475"/>
  <c r="H268" i="475"/>
  <c r="AJ267" i="475"/>
  <c r="AK267" i="475" s="1"/>
  <c r="AE267" i="475"/>
  <c r="AF267" i="475"/>
  <c r="AI267" i="475"/>
  <c r="AL267" i="475" s="1"/>
  <c r="G267" i="475"/>
  <c r="X267" i="475"/>
  <c r="H267" i="475"/>
  <c r="W267" i="475"/>
  <c r="AJ266" i="475"/>
  <c r="AK266" i="475" s="1"/>
  <c r="AE266" i="475"/>
  <c r="AI266" i="475"/>
  <c r="AL266" i="475" s="1"/>
  <c r="AF266" i="475"/>
  <c r="G266" i="475"/>
  <c r="X266" i="475"/>
  <c r="W266" i="475"/>
  <c r="H266" i="475"/>
  <c r="AJ265" i="475"/>
  <c r="AK265" i="475" s="1"/>
  <c r="AE265" i="475"/>
  <c r="AF265" i="475"/>
  <c r="AI265" i="475"/>
  <c r="AL265" i="475" s="1"/>
  <c r="G265" i="475"/>
  <c r="X265" i="475"/>
  <c r="W265" i="475"/>
  <c r="H265" i="475"/>
  <c r="AJ264" i="475"/>
  <c r="AK264" i="475" s="1"/>
  <c r="AE264" i="475"/>
  <c r="AI264" i="475"/>
  <c r="AL264" i="475" s="1"/>
  <c r="AF264" i="475"/>
  <c r="X264" i="475"/>
  <c r="G264" i="475"/>
  <c r="H264" i="475"/>
  <c r="W264" i="475"/>
  <c r="AJ263" i="475"/>
  <c r="AK263" i="475" s="1"/>
  <c r="AE263" i="475"/>
  <c r="AI263" i="475"/>
  <c r="AL263" i="475" s="1"/>
  <c r="AF263" i="475"/>
  <c r="G263" i="475"/>
  <c r="X263" i="475"/>
  <c r="W263" i="475"/>
  <c r="H263" i="475"/>
  <c r="AD254" i="475"/>
  <c r="AJ262" i="475"/>
  <c r="AE262" i="475"/>
  <c r="AF262" i="475"/>
  <c r="AC254" i="475"/>
  <c r="AI262" i="475"/>
  <c r="AB254" i="475"/>
  <c r="AH262" i="475"/>
  <c r="AA254" i="475"/>
  <c r="AG262" i="475"/>
  <c r="R254" i="475"/>
  <c r="S262" i="475"/>
  <c r="Q254" i="475"/>
  <c r="T262" i="475"/>
  <c r="L254" i="475"/>
  <c r="M262" i="475"/>
  <c r="K254" i="475"/>
  <c r="N262" i="475"/>
  <c r="F254" i="475"/>
  <c r="X262" i="475"/>
  <c r="G262" i="475"/>
  <c r="E254" i="475"/>
  <c r="W262" i="475"/>
  <c r="H262" i="475"/>
  <c r="D254" i="475"/>
  <c r="V262" i="475"/>
  <c r="C254" i="475"/>
  <c r="U262" i="475"/>
  <c r="X261" i="475"/>
  <c r="G261" i="475"/>
  <c r="W261" i="475"/>
  <c r="H261" i="475"/>
  <c r="AE260" i="475"/>
  <c r="AJ260" i="475"/>
  <c r="AK260" i="475" s="1"/>
  <c r="AI260" i="475"/>
  <c r="AL260" i="475" s="1"/>
  <c r="AF260" i="475"/>
  <c r="G260" i="475"/>
  <c r="X260" i="475"/>
  <c r="H260" i="475"/>
  <c r="W260" i="475"/>
  <c r="AE259" i="475"/>
  <c r="AJ259" i="475"/>
  <c r="AK259" i="475" s="1"/>
  <c r="AI259" i="475"/>
  <c r="AL259" i="475" s="1"/>
  <c r="AF259" i="475"/>
  <c r="X259" i="475"/>
  <c r="G259" i="475"/>
  <c r="W259" i="475"/>
  <c r="H259" i="475"/>
  <c r="AE258" i="475"/>
  <c r="AJ258" i="475"/>
  <c r="AK258" i="475" s="1"/>
  <c r="AI258" i="475"/>
  <c r="AL258" i="475" s="1"/>
  <c r="AF258" i="475"/>
  <c r="X258" i="475"/>
  <c r="G258" i="475"/>
  <c r="H258" i="475"/>
  <c r="W258" i="475"/>
  <c r="AE257" i="475"/>
  <c r="AJ257" i="475"/>
  <c r="AK257" i="475" s="1"/>
  <c r="AF257" i="475"/>
  <c r="AI257" i="475"/>
  <c r="AL257" i="475" s="1"/>
  <c r="X257" i="475"/>
  <c r="G257" i="475"/>
  <c r="W257" i="475"/>
  <c r="H257" i="475"/>
  <c r="AE256" i="475"/>
  <c r="AJ256" i="475"/>
  <c r="AK256" i="475" s="1"/>
  <c r="AI256" i="475"/>
  <c r="AL256" i="475" s="1"/>
  <c r="AF256" i="475"/>
  <c r="X256" i="475"/>
  <c r="G256" i="475"/>
  <c r="W256" i="475"/>
  <c r="H256" i="475"/>
  <c r="AJ255" i="475"/>
  <c r="AK255" i="475" s="1"/>
  <c r="AE255" i="475"/>
  <c r="AF255" i="475"/>
  <c r="AI255" i="475"/>
  <c r="AL255" i="475" s="1"/>
  <c r="X255" i="475"/>
  <c r="G255" i="475"/>
  <c r="W255" i="475"/>
  <c r="H255" i="475"/>
  <c r="AJ252" i="475"/>
  <c r="AK252" i="475" s="1"/>
  <c r="AE252" i="475"/>
  <c r="AF252" i="475"/>
  <c r="AI252" i="475"/>
  <c r="AL252" i="475" s="1"/>
  <c r="X252" i="475"/>
  <c r="G252" i="475"/>
  <c r="W252" i="475"/>
  <c r="H252" i="475"/>
  <c r="AE251" i="475"/>
  <c r="AJ251" i="475"/>
  <c r="AK251" i="475" s="1"/>
  <c r="AF251" i="475"/>
  <c r="AI251" i="475"/>
  <c r="AL251" i="475" s="1"/>
  <c r="X251" i="475"/>
  <c r="G251" i="475"/>
  <c r="H251" i="475"/>
  <c r="W251" i="475"/>
  <c r="AJ250" i="475"/>
  <c r="AK250" i="475" s="1"/>
  <c r="AE250" i="475"/>
  <c r="AI250" i="475"/>
  <c r="AL250" i="475" s="1"/>
  <c r="AF250" i="475"/>
  <c r="G250" i="475"/>
  <c r="X250" i="475"/>
  <c r="W250" i="475"/>
  <c r="H250" i="475"/>
  <c r="AE249" i="475"/>
  <c r="AJ249" i="475"/>
  <c r="AK249" i="475" s="1"/>
  <c r="AF249" i="475"/>
  <c r="AI249" i="475"/>
  <c r="AL249" i="475" s="1"/>
  <c r="X249" i="475"/>
  <c r="G249" i="475"/>
  <c r="H249" i="475"/>
  <c r="W249" i="475"/>
  <c r="AJ248" i="475"/>
  <c r="AK248" i="475" s="1"/>
  <c r="AE248" i="475"/>
  <c r="AI248" i="475"/>
  <c r="AL248" i="475" s="1"/>
  <c r="AF248" i="475"/>
  <c r="X248" i="475"/>
  <c r="G248" i="475"/>
  <c r="W248" i="475"/>
  <c r="H248" i="475"/>
  <c r="AE247" i="475"/>
  <c r="AJ247" i="475"/>
  <c r="AI247" i="475"/>
  <c r="AF247" i="475"/>
  <c r="X247" i="475"/>
  <c r="G247" i="475"/>
  <c r="W247" i="475"/>
  <c r="H247" i="475"/>
  <c r="AJ246" i="475"/>
  <c r="AI246" i="475"/>
  <c r="G246" i="475"/>
  <c r="H246" i="475"/>
  <c r="AJ245" i="475"/>
  <c r="AK245" i="475" s="1"/>
  <c r="AE245" i="475"/>
  <c r="AF245" i="475"/>
  <c r="AI245" i="475"/>
  <c r="AL245" i="475" s="1"/>
  <c r="G245" i="475"/>
  <c r="X245" i="475"/>
  <c r="W245" i="475"/>
  <c r="H245" i="475"/>
  <c r="AE244" i="475"/>
  <c r="AJ244" i="475"/>
  <c r="AK244" i="475" s="1"/>
  <c r="AI244" i="475"/>
  <c r="AL244" i="475" s="1"/>
  <c r="AF244" i="475"/>
  <c r="X244" i="475"/>
  <c r="G244" i="475"/>
  <c r="W244" i="475"/>
  <c r="H244" i="475"/>
  <c r="AE243" i="475"/>
  <c r="AJ243" i="475"/>
  <c r="AI243" i="475"/>
  <c r="AF243" i="475"/>
  <c r="G243" i="475"/>
  <c r="X243" i="475"/>
  <c r="H243" i="475"/>
  <c r="W243" i="475"/>
  <c r="AJ242" i="475"/>
  <c r="AI242" i="475"/>
  <c r="G242" i="475"/>
  <c r="H242" i="475"/>
  <c r="AE241" i="475"/>
  <c r="AJ241" i="475"/>
  <c r="AK241" i="475" s="1"/>
  <c r="AF241" i="475"/>
  <c r="AI241" i="475"/>
  <c r="AL241" i="475" s="1"/>
  <c r="G241" i="475"/>
  <c r="X241" i="475"/>
  <c r="H241" i="475"/>
  <c r="W241" i="475"/>
  <c r="AJ240" i="475"/>
  <c r="AK240" i="475" s="1"/>
  <c r="AE240" i="475"/>
  <c r="AI240" i="475"/>
  <c r="AL240" i="475" s="1"/>
  <c r="AF240" i="475"/>
  <c r="X240" i="475"/>
  <c r="G240" i="475"/>
  <c r="W240" i="475"/>
  <c r="H240" i="475"/>
  <c r="AJ239" i="475"/>
  <c r="AK239" i="475" s="1"/>
  <c r="AE239" i="475"/>
  <c r="AI239" i="475"/>
  <c r="AL239" i="475" s="1"/>
  <c r="AF239" i="475"/>
  <c r="G239" i="475"/>
  <c r="X239" i="475"/>
  <c r="H239" i="475"/>
  <c r="W239" i="475"/>
  <c r="AE238" i="475"/>
  <c r="AJ238" i="475"/>
  <c r="AK238" i="475" s="1"/>
  <c r="AI238" i="475"/>
  <c r="AL238" i="475" s="1"/>
  <c r="AF238" i="475"/>
  <c r="X238" i="475"/>
  <c r="G238" i="475"/>
  <c r="W238" i="475"/>
  <c r="H238" i="475"/>
  <c r="AE237" i="475"/>
  <c r="AJ237" i="475"/>
  <c r="AK237" i="475" s="1"/>
  <c r="AI237" i="475"/>
  <c r="AL237" i="475" s="1"/>
  <c r="AF237" i="475"/>
  <c r="X237" i="475"/>
  <c r="G237" i="475"/>
  <c r="W237" i="475"/>
  <c r="H237" i="475"/>
  <c r="AJ236" i="475"/>
  <c r="AK236" i="475" s="1"/>
  <c r="AE236" i="475"/>
  <c r="AI236" i="475"/>
  <c r="AL236" i="475" s="1"/>
  <c r="AF236" i="475"/>
  <c r="X236" i="475"/>
  <c r="G236" i="475"/>
  <c r="W236" i="475"/>
  <c r="H236" i="475"/>
  <c r="AE235" i="475"/>
  <c r="AJ235" i="475"/>
  <c r="AK235" i="475" s="1"/>
  <c r="AF235" i="475"/>
  <c r="AI235" i="475"/>
  <c r="AL235" i="475" s="1"/>
  <c r="G235" i="475"/>
  <c r="X235" i="475"/>
  <c r="H235" i="475"/>
  <c r="W235" i="475"/>
  <c r="AE234" i="475"/>
  <c r="AJ234" i="475"/>
  <c r="AK234" i="475" s="1"/>
  <c r="AF234" i="475"/>
  <c r="AI234" i="475"/>
  <c r="AL234" i="475" s="1"/>
  <c r="X234" i="475"/>
  <c r="G234" i="475"/>
  <c r="H234" i="475"/>
  <c r="W234" i="475"/>
  <c r="AJ233" i="475"/>
  <c r="AE233" i="475"/>
  <c r="AI233" i="475"/>
  <c r="AF233" i="475"/>
  <c r="X233" i="475"/>
  <c r="G233" i="475"/>
  <c r="W233" i="475"/>
  <c r="H233" i="475"/>
  <c r="AJ232" i="475"/>
  <c r="AI232" i="475"/>
  <c r="G232" i="475"/>
  <c r="H232" i="475"/>
  <c r="AJ231" i="475"/>
  <c r="AE231" i="475"/>
  <c r="AI231" i="475"/>
  <c r="AF231" i="475"/>
  <c r="X231" i="475"/>
  <c r="G231" i="475"/>
  <c r="W231" i="475"/>
  <c r="H231" i="475"/>
  <c r="AJ230" i="475"/>
  <c r="AI230" i="475"/>
  <c r="H230" i="475"/>
  <c r="AJ229" i="475"/>
  <c r="AI229" i="475"/>
  <c r="AJ228" i="475"/>
  <c r="AK228" i="475" s="1"/>
  <c r="AE228" i="475"/>
  <c r="AI228" i="475"/>
  <c r="AL228" i="475" s="1"/>
  <c r="AF228" i="475"/>
  <c r="X228" i="475"/>
  <c r="G228" i="475"/>
  <c r="W228" i="475"/>
  <c r="H228" i="475"/>
  <c r="AJ227" i="475"/>
  <c r="AK227" i="475" s="1"/>
  <c r="AE227" i="475"/>
  <c r="AI227" i="475"/>
  <c r="AL227" i="475" s="1"/>
  <c r="AF227" i="475"/>
  <c r="X227" i="475"/>
  <c r="G227" i="475"/>
  <c r="W227" i="475"/>
  <c r="H227" i="475"/>
  <c r="AJ226" i="475"/>
  <c r="AK226" i="475" s="1"/>
  <c r="AE226" i="475"/>
  <c r="AI226" i="475"/>
  <c r="AL226" i="475" s="1"/>
  <c r="AF226" i="475"/>
  <c r="X226" i="475"/>
  <c r="G226" i="475"/>
  <c r="W226" i="475"/>
  <c r="H226" i="475"/>
  <c r="AJ225" i="475"/>
  <c r="AK225" i="475" s="1"/>
  <c r="AE225" i="475"/>
  <c r="AI225" i="475"/>
  <c r="AL225" i="475" s="1"/>
  <c r="AF225" i="475"/>
  <c r="G225" i="475"/>
  <c r="X225" i="475"/>
  <c r="H225" i="475"/>
  <c r="W225" i="475"/>
  <c r="AJ224" i="475"/>
  <c r="AK224" i="475" s="1"/>
  <c r="AE224" i="475"/>
  <c r="AI224" i="475"/>
  <c r="AL224" i="475" s="1"/>
  <c r="AF224" i="475"/>
  <c r="X224" i="475"/>
  <c r="G224" i="475"/>
  <c r="W224" i="475"/>
  <c r="H224" i="475"/>
  <c r="AE223" i="475"/>
  <c r="AJ223" i="475"/>
  <c r="AK223" i="475" s="1"/>
  <c r="AF223" i="475"/>
  <c r="AI223" i="475"/>
  <c r="AL223" i="475" s="1"/>
  <c r="X223" i="475"/>
  <c r="G223" i="475"/>
  <c r="W223" i="475"/>
  <c r="H223" i="475"/>
  <c r="AJ222" i="475"/>
  <c r="AK222" i="475" s="1"/>
  <c r="AE222" i="475"/>
  <c r="AI222" i="475"/>
  <c r="AL222" i="475" s="1"/>
  <c r="AF222" i="475"/>
  <c r="X222" i="475"/>
  <c r="G222" i="475"/>
  <c r="W222" i="475"/>
  <c r="H222" i="475"/>
  <c r="AJ221" i="475"/>
  <c r="AK221" i="475" s="1"/>
  <c r="AE221" i="475"/>
  <c r="AI221" i="475"/>
  <c r="AL221" i="475" s="1"/>
  <c r="AF221" i="475"/>
  <c r="X221" i="475"/>
  <c r="G221" i="475"/>
  <c r="W221" i="475"/>
  <c r="H221" i="475"/>
  <c r="AE220" i="475"/>
  <c r="AJ220" i="475"/>
  <c r="AK220" i="475" s="1"/>
  <c r="AI220" i="475"/>
  <c r="AL220" i="475" s="1"/>
  <c r="AF220" i="475"/>
  <c r="Q217" i="475"/>
  <c r="T220" i="475"/>
  <c r="L217" i="475"/>
  <c r="M220" i="475"/>
  <c r="K217" i="475"/>
  <c r="N220" i="475"/>
  <c r="F217" i="475"/>
  <c r="X220" i="475"/>
  <c r="G220" i="475"/>
  <c r="W220" i="475"/>
  <c r="E217" i="475"/>
  <c r="H220" i="475"/>
  <c r="V220" i="475"/>
  <c r="AN220" i="475" s="1"/>
  <c r="D217" i="475"/>
  <c r="V217" i="475" s="1"/>
  <c r="C217" i="475"/>
  <c r="U217" i="475" s="1"/>
  <c r="U220" i="475"/>
  <c r="AM220" i="475" s="1"/>
  <c r="AD217" i="475"/>
  <c r="AE219" i="475"/>
  <c r="AJ219" i="475"/>
  <c r="AC217" i="475"/>
  <c r="AI219" i="475"/>
  <c r="AF219" i="475"/>
  <c r="AB217" i="475"/>
  <c r="AH219" i="475"/>
  <c r="AG219" i="475"/>
  <c r="AA217" i="475"/>
  <c r="R217" i="475"/>
  <c r="X219" i="475"/>
  <c r="S219" i="475"/>
  <c r="AE218" i="475"/>
  <c r="AJ218" i="475"/>
  <c r="AK218" i="475" s="1"/>
  <c r="AF218" i="475"/>
  <c r="AI218" i="475"/>
  <c r="AL218" i="475" s="1"/>
  <c r="G218" i="475"/>
  <c r="X218" i="475"/>
  <c r="H218" i="475"/>
  <c r="W218" i="475"/>
  <c r="AE216" i="475"/>
  <c r="AJ216" i="475"/>
  <c r="AK216" i="475" s="1"/>
  <c r="AF216" i="475"/>
  <c r="AI216" i="475"/>
  <c r="AL216" i="475" s="1"/>
  <c r="G216" i="475"/>
  <c r="X216" i="475"/>
  <c r="W216" i="475"/>
  <c r="H216" i="475"/>
  <c r="AJ215" i="475"/>
  <c r="AK215" i="475" s="1"/>
  <c r="AE215" i="475"/>
  <c r="AF215" i="475"/>
  <c r="AI215" i="475"/>
  <c r="AL215" i="475" s="1"/>
  <c r="G215" i="475"/>
  <c r="X215" i="475"/>
  <c r="H215" i="475"/>
  <c r="W215" i="475"/>
  <c r="AE214" i="475"/>
  <c r="AJ214" i="475"/>
  <c r="AF214" i="475"/>
  <c r="AI214" i="475"/>
  <c r="G214" i="475"/>
  <c r="X214" i="475"/>
  <c r="H214" i="475"/>
  <c r="W214" i="475"/>
  <c r="AJ213" i="475"/>
  <c r="AI213" i="475"/>
  <c r="AE212" i="475"/>
  <c r="AJ212" i="475"/>
  <c r="AK212" i="475" s="1"/>
  <c r="AF212" i="475"/>
  <c r="AI212" i="475"/>
  <c r="AL212" i="475" s="1"/>
  <c r="X212" i="475"/>
  <c r="G212" i="475"/>
  <c r="W212" i="475"/>
  <c r="H212" i="475"/>
  <c r="AJ211" i="475"/>
  <c r="AK211" i="475" s="1"/>
  <c r="AE211" i="475"/>
  <c r="AI211" i="475"/>
  <c r="AL211" i="475" s="1"/>
  <c r="AF211" i="475"/>
  <c r="X211" i="475"/>
  <c r="G211" i="475"/>
  <c r="W211" i="475"/>
  <c r="H211" i="475"/>
  <c r="AJ210" i="475"/>
  <c r="AE210" i="475"/>
  <c r="AI210" i="475"/>
  <c r="AF210" i="475"/>
  <c r="G210" i="475"/>
  <c r="X210" i="475"/>
  <c r="H210" i="475"/>
  <c r="W210" i="475"/>
  <c r="AJ209" i="475"/>
  <c r="AI209" i="475"/>
  <c r="AJ208" i="475"/>
  <c r="AK208" i="475" s="1"/>
  <c r="AE208" i="475"/>
  <c r="AI208" i="475"/>
  <c r="AL208" i="475" s="1"/>
  <c r="AF208" i="475"/>
  <c r="G208" i="475"/>
  <c r="X208" i="475"/>
  <c r="W208" i="475"/>
  <c r="H208" i="475"/>
  <c r="AE207" i="475"/>
  <c r="AJ207" i="475"/>
  <c r="AK207" i="475" s="1"/>
  <c r="AF207" i="475"/>
  <c r="AI207" i="475"/>
  <c r="AL207" i="475" s="1"/>
  <c r="G207" i="475"/>
  <c r="X207" i="475"/>
  <c r="W207" i="475"/>
  <c r="H207" i="475"/>
  <c r="AJ206" i="475"/>
  <c r="AK206" i="475" s="1"/>
  <c r="AE206" i="475"/>
  <c r="G206" i="475"/>
  <c r="X206" i="475"/>
  <c r="H206" i="475"/>
  <c r="W206" i="475"/>
  <c r="AJ205" i="475"/>
  <c r="AK205" i="475" s="1"/>
  <c r="AE205" i="475"/>
  <c r="AI205" i="475"/>
  <c r="AL205" i="475" s="1"/>
  <c r="AF205" i="475"/>
  <c r="G205" i="475"/>
  <c r="X205" i="475"/>
  <c r="W205" i="475"/>
  <c r="H205" i="475"/>
  <c r="AE204" i="475"/>
  <c r="AJ204" i="475"/>
  <c r="AK204" i="475" s="1"/>
  <c r="AF204" i="475"/>
  <c r="AI204" i="475"/>
  <c r="AL204" i="475" s="1"/>
  <c r="W204" i="475"/>
  <c r="H204" i="475"/>
  <c r="V204" i="475"/>
  <c r="G204" i="475"/>
  <c r="AJ203" i="475"/>
  <c r="AK203" i="475" s="1"/>
  <c r="AE203" i="475"/>
  <c r="AI203" i="475"/>
  <c r="AL203" i="475" s="1"/>
  <c r="AF203" i="475"/>
  <c r="X203" i="475"/>
  <c r="G203" i="475"/>
  <c r="W203" i="475"/>
  <c r="H203" i="475"/>
  <c r="AJ202" i="475"/>
  <c r="AK202" i="475" s="1"/>
  <c r="AE202" i="475"/>
  <c r="AF202" i="475"/>
  <c r="AI202" i="475"/>
  <c r="AL202" i="475" s="1"/>
  <c r="X202" i="475"/>
  <c r="G202" i="475"/>
  <c r="H202" i="475"/>
  <c r="W202" i="475"/>
  <c r="AJ201" i="475"/>
  <c r="AK201" i="475" s="1"/>
  <c r="AE201" i="475"/>
  <c r="AF201" i="475"/>
  <c r="AI201" i="475"/>
  <c r="AL201" i="475" s="1"/>
  <c r="G201" i="475"/>
  <c r="X201" i="475"/>
  <c r="W201" i="475"/>
  <c r="H201" i="475"/>
  <c r="AE200" i="475"/>
  <c r="AJ200" i="475"/>
  <c r="AK200" i="475" s="1"/>
  <c r="AF200" i="475"/>
  <c r="AI200" i="475"/>
  <c r="AL200" i="475" s="1"/>
  <c r="G200" i="475"/>
  <c r="X200" i="475"/>
  <c r="W200" i="475"/>
  <c r="H200" i="475"/>
  <c r="AJ199" i="475"/>
  <c r="AK199" i="475" s="1"/>
  <c r="AE199" i="475"/>
  <c r="AF199" i="475"/>
  <c r="AI199" i="475"/>
  <c r="AL199" i="475" s="1"/>
  <c r="X199" i="475"/>
  <c r="G199" i="475"/>
  <c r="W199" i="475"/>
  <c r="H199" i="475"/>
  <c r="AE198" i="475"/>
  <c r="AJ198" i="475"/>
  <c r="AK198" i="475" s="1"/>
  <c r="AF198" i="475"/>
  <c r="AI198" i="475"/>
  <c r="AL198" i="475" s="1"/>
  <c r="X198" i="475"/>
  <c r="G198" i="475"/>
  <c r="H198" i="475"/>
  <c r="W198" i="475"/>
  <c r="AJ197" i="475"/>
  <c r="AK197" i="475" s="1"/>
  <c r="AE197" i="475"/>
  <c r="AF197" i="475"/>
  <c r="AI197" i="475"/>
  <c r="AL197" i="475" s="1"/>
  <c r="G197" i="475"/>
  <c r="X197" i="475"/>
  <c r="W197" i="475"/>
  <c r="H197" i="475"/>
  <c r="AE196" i="475"/>
  <c r="AJ196" i="475"/>
  <c r="AK196" i="475" s="1"/>
  <c r="AF196" i="475"/>
  <c r="AI196" i="475"/>
  <c r="AL196" i="475" s="1"/>
  <c r="X196" i="475"/>
  <c r="G196" i="475"/>
  <c r="H196" i="475"/>
  <c r="W196" i="475"/>
  <c r="AE195" i="475"/>
  <c r="AJ195" i="475"/>
  <c r="AK195" i="475" s="1"/>
  <c r="AF195" i="475"/>
  <c r="AI195" i="475"/>
  <c r="AL195" i="475" s="1"/>
  <c r="G195" i="475"/>
  <c r="X195" i="475"/>
  <c r="H195" i="475"/>
  <c r="W195" i="475"/>
  <c r="AE194" i="475"/>
  <c r="AJ194" i="475"/>
  <c r="AK194" i="475" s="1"/>
  <c r="AF194" i="475"/>
  <c r="AI194" i="475"/>
  <c r="AL194" i="475" s="1"/>
  <c r="G194" i="475"/>
  <c r="X194" i="475"/>
  <c r="H194" i="475"/>
  <c r="W194" i="475"/>
  <c r="AI193" i="475"/>
  <c r="AF193" i="475"/>
  <c r="AH193" i="475"/>
  <c r="AE193" i="475"/>
  <c r="X193" i="475"/>
  <c r="G193" i="475"/>
  <c r="H193" i="475"/>
  <c r="W193" i="475"/>
  <c r="AJ192" i="475"/>
  <c r="AK192" i="475" s="1"/>
  <c r="AE192" i="475"/>
  <c r="AF192" i="475"/>
  <c r="AI192" i="475"/>
  <c r="AL192" i="475" s="1"/>
  <c r="G192" i="475"/>
  <c r="X192" i="475"/>
  <c r="W192" i="475"/>
  <c r="H192" i="475"/>
  <c r="AJ191" i="475"/>
  <c r="AK191" i="475" s="1"/>
  <c r="AE191" i="475"/>
  <c r="AI191" i="475"/>
  <c r="AL191" i="475" s="1"/>
  <c r="AF191" i="475"/>
  <c r="X191" i="475"/>
  <c r="G191" i="475"/>
  <c r="W191" i="475"/>
  <c r="H191" i="475"/>
  <c r="AE190" i="475"/>
  <c r="AJ190" i="475"/>
  <c r="AK190" i="475" s="1"/>
  <c r="AF190" i="475"/>
  <c r="AI190" i="475"/>
  <c r="AL190" i="475" s="1"/>
  <c r="X190" i="475"/>
  <c r="G190" i="475"/>
  <c r="W190" i="475"/>
  <c r="H190" i="475"/>
  <c r="AJ189" i="475"/>
  <c r="AK189" i="475" s="1"/>
  <c r="AE189" i="475"/>
  <c r="AF189" i="475"/>
  <c r="AI189" i="475"/>
  <c r="AL189" i="475" s="1"/>
  <c r="G189" i="475"/>
  <c r="X189" i="475"/>
  <c r="W189" i="475"/>
  <c r="H189" i="475"/>
  <c r="AJ188" i="475"/>
  <c r="AK188" i="475" s="1"/>
  <c r="AE188" i="475"/>
  <c r="AI188" i="475"/>
  <c r="AL188" i="475" s="1"/>
  <c r="AF188" i="475"/>
  <c r="G188" i="475"/>
  <c r="X188" i="475"/>
  <c r="H188" i="475"/>
  <c r="W188" i="475"/>
  <c r="AE187" i="475"/>
  <c r="AJ187" i="475"/>
  <c r="AK187" i="475" s="1"/>
  <c r="AF187" i="475"/>
  <c r="AI187" i="475"/>
  <c r="AL187" i="475" s="1"/>
  <c r="X187" i="475"/>
  <c r="G187" i="475"/>
  <c r="H187" i="475"/>
  <c r="W187" i="475"/>
  <c r="AE186" i="475"/>
  <c r="AJ186" i="475"/>
  <c r="AK186" i="475" s="1"/>
  <c r="AF186" i="475"/>
  <c r="AI186" i="475"/>
  <c r="AL186" i="475" s="1"/>
  <c r="G186" i="475"/>
  <c r="X186" i="475"/>
  <c r="W186" i="475"/>
  <c r="H186" i="475"/>
  <c r="AE185" i="475"/>
  <c r="AJ185" i="475"/>
  <c r="AK185" i="475" s="1"/>
  <c r="AF185" i="475"/>
  <c r="AI185" i="475"/>
  <c r="AL185" i="475" s="1"/>
  <c r="G185" i="475"/>
  <c r="X185" i="475"/>
  <c r="H185" i="475"/>
  <c r="W185" i="475"/>
  <c r="AE184" i="475"/>
  <c r="AJ184" i="475"/>
  <c r="AK184" i="475" s="1"/>
  <c r="AF184" i="475"/>
  <c r="AI184" i="475"/>
  <c r="AL184" i="475" s="1"/>
  <c r="X184" i="475"/>
  <c r="G184" i="475"/>
  <c r="H184" i="475"/>
  <c r="W184" i="475"/>
  <c r="AJ183" i="475"/>
  <c r="AK183" i="475" s="1"/>
  <c r="AE183" i="475"/>
  <c r="AF183" i="475"/>
  <c r="AI183" i="475"/>
  <c r="AL183" i="475" s="1"/>
  <c r="G183" i="475"/>
  <c r="X183" i="475"/>
  <c r="W183" i="475"/>
  <c r="H183" i="475"/>
  <c r="AJ182" i="475"/>
  <c r="AK182" i="475" s="1"/>
  <c r="AE182" i="475"/>
  <c r="AI182" i="475"/>
  <c r="AL182" i="475" s="1"/>
  <c r="AF182" i="475"/>
  <c r="G182" i="475"/>
  <c r="X182" i="475"/>
  <c r="W182" i="475"/>
  <c r="H182" i="475"/>
  <c r="AE181" i="475"/>
  <c r="AJ181" i="475"/>
  <c r="AK181" i="475" s="1"/>
  <c r="AF181" i="475"/>
  <c r="AI181" i="475"/>
  <c r="AL181" i="475" s="1"/>
  <c r="G181" i="475"/>
  <c r="X181" i="475"/>
  <c r="H181" i="475"/>
  <c r="W181" i="475"/>
  <c r="AE180" i="475"/>
  <c r="AJ180" i="475"/>
  <c r="AK180" i="475" s="1"/>
  <c r="AF180" i="475"/>
  <c r="AI180" i="475"/>
  <c r="AL180" i="475" s="1"/>
  <c r="X180" i="475"/>
  <c r="G180" i="475"/>
  <c r="W180" i="475"/>
  <c r="H180" i="475"/>
  <c r="AJ179" i="475"/>
  <c r="AK179" i="475" s="1"/>
  <c r="AE179" i="475"/>
  <c r="AI179" i="475"/>
  <c r="AL179" i="475" s="1"/>
  <c r="AF179" i="475"/>
  <c r="G179" i="475"/>
  <c r="X179" i="475"/>
  <c r="W179" i="475"/>
  <c r="H179" i="475"/>
  <c r="AJ178" i="475"/>
  <c r="AE178" i="475"/>
  <c r="AF178" i="475"/>
  <c r="AI178" i="475"/>
  <c r="G178" i="475"/>
  <c r="X178" i="475"/>
  <c r="W178" i="475"/>
  <c r="H178" i="475"/>
  <c r="V178" i="475"/>
  <c r="D177" i="475"/>
  <c r="U178" i="475"/>
  <c r="C177" i="475"/>
  <c r="AJ177" i="475"/>
  <c r="AI177" i="475"/>
  <c r="G177" i="475"/>
  <c r="H177" i="475"/>
  <c r="AJ176" i="475"/>
  <c r="AK176" i="475" s="1"/>
  <c r="AE176" i="475"/>
  <c r="AI176" i="475"/>
  <c r="AL176" i="475" s="1"/>
  <c r="AF176" i="475"/>
  <c r="G176" i="475"/>
  <c r="X176" i="475"/>
  <c r="H176" i="475"/>
  <c r="W176" i="475"/>
  <c r="AE175" i="475"/>
  <c r="AJ175" i="475"/>
  <c r="AK175" i="475" s="1"/>
  <c r="AI175" i="475"/>
  <c r="AL175" i="475" s="1"/>
  <c r="AF175" i="475"/>
  <c r="G175" i="475"/>
  <c r="X175" i="475"/>
  <c r="H175" i="475"/>
  <c r="W175" i="475"/>
  <c r="AJ174" i="475"/>
  <c r="AE174" i="475"/>
  <c r="AI174" i="475"/>
  <c r="AF174" i="475"/>
  <c r="G174" i="475"/>
  <c r="X174" i="475"/>
  <c r="H174" i="475"/>
  <c r="W174" i="475"/>
  <c r="AJ173" i="475"/>
  <c r="AI173" i="475"/>
  <c r="AJ172" i="475"/>
  <c r="AK172" i="475" s="1"/>
  <c r="AE172" i="475"/>
  <c r="AI172" i="475"/>
  <c r="AL172" i="475" s="1"/>
  <c r="AF172" i="475"/>
  <c r="G172" i="475"/>
  <c r="X172" i="475"/>
  <c r="H172" i="475"/>
  <c r="W172" i="475"/>
  <c r="AJ171" i="475"/>
  <c r="AK171" i="475" s="1"/>
  <c r="AE171" i="475"/>
  <c r="AF171" i="475"/>
  <c r="AI171" i="475"/>
  <c r="AL171" i="475" s="1"/>
  <c r="G171" i="475"/>
  <c r="X171" i="475"/>
  <c r="H171" i="475"/>
  <c r="W171" i="475"/>
  <c r="AE170" i="475"/>
  <c r="AJ170" i="475"/>
  <c r="AK170" i="475" s="1"/>
  <c r="X170" i="475"/>
  <c r="G170" i="475"/>
  <c r="H170" i="475"/>
  <c r="W170" i="475"/>
  <c r="AE169" i="475"/>
  <c r="AJ169" i="475"/>
  <c r="AF169" i="475"/>
  <c r="AI169" i="475"/>
  <c r="G169" i="475"/>
  <c r="X169" i="475"/>
  <c r="W169" i="475"/>
  <c r="H169" i="475"/>
  <c r="AJ168" i="475"/>
  <c r="AI168" i="475"/>
  <c r="AJ167" i="475"/>
  <c r="AE167" i="475"/>
  <c r="AF167" i="475"/>
  <c r="AI167" i="475"/>
  <c r="X167" i="475"/>
  <c r="G167" i="475"/>
  <c r="W167" i="475"/>
  <c r="H167" i="475"/>
  <c r="AJ166" i="475"/>
  <c r="AI166" i="475"/>
  <c r="AE164" i="475"/>
  <c r="AJ164" i="475"/>
  <c r="AK164" i="475" s="1"/>
  <c r="AF164" i="475"/>
  <c r="AI164" i="475"/>
  <c r="AL164" i="475" s="1"/>
  <c r="G164" i="475"/>
  <c r="X164" i="475"/>
  <c r="H164" i="475"/>
  <c r="W164" i="475"/>
  <c r="AJ163" i="475"/>
  <c r="AK163" i="475" s="1"/>
  <c r="AE163" i="475"/>
  <c r="AI163" i="475"/>
  <c r="AL163" i="475" s="1"/>
  <c r="AF163" i="475"/>
  <c r="G163" i="475"/>
  <c r="X163" i="475"/>
  <c r="W163" i="475"/>
  <c r="H163" i="475"/>
  <c r="AJ162" i="475"/>
  <c r="AE162" i="475"/>
  <c r="AF162" i="475"/>
  <c r="AI162" i="475"/>
  <c r="X162" i="475"/>
  <c r="G162" i="475"/>
  <c r="W162" i="475"/>
  <c r="H162" i="475"/>
  <c r="AJ161" i="475"/>
  <c r="AI161" i="475"/>
  <c r="AF160" i="475"/>
  <c r="AI160" i="475"/>
  <c r="AL160" i="475" s="1"/>
  <c r="G160" i="475"/>
  <c r="X160" i="475"/>
  <c r="W160" i="475"/>
  <c r="H160" i="475"/>
  <c r="AE159" i="475"/>
  <c r="AJ159" i="475"/>
  <c r="AK159" i="475" s="1"/>
  <c r="AF159" i="475"/>
  <c r="AI159" i="475"/>
  <c r="AL159" i="475" s="1"/>
  <c r="G159" i="475"/>
  <c r="X159" i="475"/>
  <c r="H159" i="475"/>
  <c r="W159" i="475"/>
  <c r="AJ158" i="475"/>
  <c r="AK158" i="475" s="1"/>
  <c r="AE158" i="475"/>
  <c r="AI158" i="475"/>
  <c r="AL158" i="475" s="1"/>
  <c r="AF158" i="475"/>
  <c r="X158" i="475"/>
  <c r="G158" i="475"/>
  <c r="H158" i="475"/>
  <c r="W158" i="475"/>
  <c r="AE157" i="475"/>
  <c r="AJ157" i="475"/>
  <c r="AK157" i="475" s="1"/>
  <c r="AF157" i="475"/>
  <c r="AI157" i="475"/>
  <c r="AL157" i="475" s="1"/>
  <c r="G157" i="475"/>
  <c r="X157" i="475"/>
  <c r="W157" i="475"/>
  <c r="H157" i="475"/>
  <c r="AJ156" i="475"/>
  <c r="AK156" i="475" s="1"/>
  <c r="AE156" i="475"/>
  <c r="AI156" i="475"/>
  <c r="AL156" i="475" s="1"/>
  <c r="AF156" i="475"/>
  <c r="X156" i="475"/>
  <c r="G156" i="475"/>
  <c r="H156" i="475"/>
  <c r="W156" i="475"/>
  <c r="AJ155" i="475"/>
  <c r="AK155" i="475" s="1"/>
  <c r="AE155" i="475"/>
  <c r="AI155" i="475"/>
  <c r="AL155" i="475" s="1"/>
  <c r="AF155" i="475"/>
  <c r="X155" i="475"/>
  <c r="G155" i="475"/>
  <c r="W155" i="475"/>
  <c r="H155" i="475"/>
  <c r="AE154" i="475"/>
  <c r="AJ154" i="475"/>
  <c r="AK154" i="475" s="1"/>
  <c r="AI154" i="475"/>
  <c r="AL154" i="475" s="1"/>
  <c r="AF154" i="475"/>
  <c r="G154" i="475"/>
  <c r="X154" i="475"/>
  <c r="W154" i="475"/>
  <c r="H154" i="475"/>
  <c r="AE153" i="475"/>
  <c r="AJ153" i="475"/>
  <c r="AK153" i="475" s="1"/>
  <c r="AF153" i="475"/>
  <c r="AI153" i="475"/>
  <c r="AL153" i="475" s="1"/>
  <c r="X153" i="475"/>
  <c r="G153" i="475"/>
  <c r="W153" i="475"/>
  <c r="H153" i="475"/>
  <c r="AE152" i="475"/>
  <c r="AJ152" i="475"/>
  <c r="AK152" i="475" s="1"/>
  <c r="AF152" i="475"/>
  <c r="AI152" i="475"/>
  <c r="AL152" i="475" s="1"/>
  <c r="X152" i="475"/>
  <c r="G152" i="475"/>
  <c r="W152" i="475"/>
  <c r="H152" i="475"/>
  <c r="AE151" i="475"/>
  <c r="AJ151" i="475"/>
  <c r="AK151" i="475" s="1"/>
  <c r="AI151" i="475"/>
  <c r="AL151" i="475" s="1"/>
  <c r="AF151" i="475"/>
  <c r="W151" i="475"/>
  <c r="H151" i="475"/>
  <c r="G151" i="475"/>
  <c r="V151" i="475"/>
  <c r="AE150" i="475"/>
  <c r="AJ150" i="475"/>
  <c r="AK150" i="475" s="1"/>
  <c r="AF150" i="475"/>
  <c r="AI150" i="475"/>
  <c r="AL150" i="475" s="1"/>
  <c r="G150" i="475"/>
  <c r="X150" i="475"/>
  <c r="W150" i="475"/>
  <c r="H150" i="475"/>
  <c r="AE149" i="475"/>
  <c r="AJ149" i="475"/>
  <c r="AI149" i="475"/>
  <c r="AF149" i="475"/>
  <c r="G149" i="475"/>
  <c r="X149" i="475"/>
  <c r="H149" i="475"/>
  <c r="W149" i="475"/>
  <c r="AJ148" i="475"/>
  <c r="AI148" i="475"/>
  <c r="AJ147" i="475"/>
  <c r="AK147" i="475" s="1"/>
  <c r="AE147" i="475"/>
  <c r="AI147" i="475"/>
  <c r="AL147" i="475" s="1"/>
  <c r="AF147" i="475"/>
  <c r="G147" i="475"/>
  <c r="X147" i="475"/>
  <c r="H147" i="475"/>
  <c r="W147" i="475"/>
  <c r="AJ146" i="475"/>
  <c r="AK146" i="475" s="1"/>
  <c r="AE146" i="475"/>
  <c r="AI146" i="475"/>
  <c r="AL146" i="475" s="1"/>
  <c r="AF146" i="475"/>
  <c r="G146" i="475"/>
  <c r="X146" i="475"/>
  <c r="W146" i="475"/>
  <c r="H146" i="475"/>
  <c r="AJ145" i="475"/>
  <c r="AK145" i="475" s="1"/>
  <c r="AE145" i="475"/>
  <c r="AF145" i="475"/>
  <c r="AI145" i="475"/>
  <c r="AL145" i="475" s="1"/>
  <c r="G145" i="475"/>
  <c r="X145" i="475"/>
  <c r="H145" i="475"/>
  <c r="W145" i="475"/>
  <c r="AE144" i="475"/>
  <c r="AJ144" i="475"/>
  <c r="AK144" i="475" s="1"/>
  <c r="AF144" i="475"/>
  <c r="AI144" i="475"/>
  <c r="AL144" i="475" s="1"/>
  <c r="G144" i="475"/>
  <c r="X144" i="475"/>
  <c r="H144" i="475"/>
  <c r="W144" i="475"/>
  <c r="AJ143" i="475"/>
  <c r="AK143" i="475" s="1"/>
  <c r="AE143" i="475"/>
  <c r="AI143" i="475"/>
  <c r="AL143" i="475" s="1"/>
  <c r="AF143" i="475"/>
  <c r="X143" i="475"/>
  <c r="G143" i="475"/>
  <c r="H143" i="475"/>
  <c r="W143" i="475"/>
  <c r="AJ142" i="475"/>
  <c r="AK142" i="475" s="1"/>
  <c r="AE142" i="475"/>
  <c r="AF142" i="475"/>
  <c r="AI142" i="475"/>
  <c r="AL142" i="475" s="1"/>
  <c r="X142" i="475"/>
  <c r="G142" i="475"/>
  <c r="H142" i="475"/>
  <c r="W142" i="475"/>
  <c r="AJ141" i="475"/>
  <c r="AK141" i="475" s="1"/>
  <c r="AE141" i="475"/>
  <c r="AI141" i="475"/>
  <c r="AL141" i="475" s="1"/>
  <c r="AF141" i="475"/>
  <c r="G141" i="475"/>
  <c r="X141" i="475"/>
  <c r="W141" i="475"/>
  <c r="H141" i="475"/>
  <c r="AJ140" i="475"/>
  <c r="AE140" i="475"/>
  <c r="AI140" i="475"/>
  <c r="AF140" i="475"/>
  <c r="H140" i="475"/>
  <c r="W140" i="475"/>
  <c r="G140" i="475"/>
  <c r="V140" i="475"/>
  <c r="AJ139" i="475"/>
  <c r="AI139" i="475"/>
  <c r="H139" i="475"/>
  <c r="AE138" i="475"/>
  <c r="AJ138" i="475"/>
  <c r="AK138" i="475" s="1"/>
  <c r="AI138" i="475"/>
  <c r="AL138" i="475" s="1"/>
  <c r="AF138" i="475"/>
  <c r="X138" i="475"/>
  <c r="G138" i="475"/>
  <c r="W138" i="475"/>
  <c r="H138" i="475"/>
  <c r="AE137" i="475"/>
  <c r="AJ137" i="475"/>
  <c r="AK137" i="475" s="1"/>
  <c r="AF137" i="475"/>
  <c r="AI137" i="475"/>
  <c r="AL137" i="475" s="1"/>
  <c r="G137" i="475"/>
  <c r="X137" i="475"/>
  <c r="W137" i="475"/>
  <c r="H137" i="475"/>
  <c r="AJ136" i="475"/>
  <c r="AK136" i="475" s="1"/>
  <c r="AE136" i="475"/>
  <c r="AF136" i="475"/>
  <c r="AI136" i="475"/>
  <c r="AL136" i="475" s="1"/>
  <c r="H136" i="475"/>
  <c r="W136" i="475"/>
  <c r="V136" i="475"/>
  <c r="G136" i="475"/>
  <c r="AD129" i="475"/>
  <c r="AE135" i="475"/>
  <c r="AJ135" i="475"/>
  <c r="AF135" i="475"/>
  <c r="AI135" i="475"/>
  <c r="AC129" i="475"/>
  <c r="AB129" i="475"/>
  <c r="AH129" i="475" s="1"/>
  <c r="AH135" i="475"/>
  <c r="AG135" i="475"/>
  <c r="AA129" i="475"/>
  <c r="AG129" i="475" s="1"/>
  <c r="S135" i="475"/>
  <c r="R129" i="475"/>
  <c r="S129" i="475" s="1"/>
  <c r="Q129" i="475"/>
  <c r="T135" i="475"/>
  <c r="M135" i="475"/>
  <c r="L129" i="475"/>
  <c r="M129" i="475" s="1"/>
  <c r="K129" i="475"/>
  <c r="N129" i="475" s="1"/>
  <c r="N135" i="475"/>
  <c r="F129" i="475"/>
  <c r="G135" i="475"/>
  <c r="X135" i="475"/>
  <c r="E129" i="475"/>
  <c r="W135" i="475"/>
  <c r="H135" i="475"/>
  <c r="D129" i="475"/>
  <c r="V129" i="475" s="1"/>
  <c r="V135" i="475"/>
  <c r="AN135" i="475" s="1"/>
  <c r="U135" i="475"/>
  <c r="C129" i="475"/>
  <c r="U129" i="475" s="1"/>
  <c r="G134" i="475"/>
  <c r="X134" i="475"/>
  <c r="H134" i="475"/>
  <c r="W134" i="475"/>
  <c r="AE133" i="475"/>
  <c r="AJ133" i="475"/>
  <c r="AK133" i="475" s="1"/>
  <c r="AF133" i="475"/>
  <c r="AI133" i="475"/>
  <c r="AL133" i="475" s="1"/>
  <c r="X133" i="475"/>
  <c r="G133" i="475"/>
  <c r="W133" i="475"/>
  <c r="H133" i="475"/>
  <c r="AJ132" i="475"/>
  <c r="AK132" i="475" s="1"/>
  <c r="AE132" i="475"/>
  <c r="AI132" i="475"/>
  <c r="AL132" i="475" s="1"/>
  <c r="AF132" i="475"/>
  <c r="X132" i="475"/>
  <c r="G132" i="475"/>
  <c r="W132" i="475"/>
  <c r="H132" i="475"/>
  <c r="AE131" i="475"/>
  <c r="AJ131" i="475"/>
  <c r="AK131" i="475" s="1"/>
  <c r="AF131" i="475"/>
  <c r="AI131" i="475"/>
  <c r="AL131" i="475" s="1"/>
  <c r="X131" i="475"/>
  <c r="G131" i="475"/>
  <c r="W131" i="475"/>
  <c r="H131" i="475"/>
  <c r="AJ130" i="475"/>
  <c r="AK130" i="475" s="1"/>
  <c r="AE130" i="475"/>
  <c r="AF130" i="475"/>
  <c r="AI130" i="475"/>
  <c r="AL130" i="475" s="1"/>
  <c r="G130" i="475"/>
  <c r="X130" i="475"/>
  <c r="H130" i="475"/>
  <c r="W130" i="475"/>
  <c r="AJ128" i="475"/>
  <c r="AK128" i="475" s="1"/>
  <c r="AE128" i="475"/>
  <c r="AF128" i="475"/>
  <c r="AI128" i="475"/>
  <c r="AL128" i="475" s="1"/>
  <c r="X128" i="475"/>
  <c r="G128" i="475"/>
  <c r="W128" i="475"/>
  <c r="H128" i="475"/>
  <c r="AJ127" i="475"/>
  <c r="AK127" i="475" s="1"/>
  <c r="AE127" i="475"/>
  <c r="AI127" i="475"/>
  <c r="AL127" i="475" s="1"/>
  <c r="AF127" i="475"/>
  <c r="G127" i="475"/>
  <c r="X127" i="475"/>
  <c r="H127" i="475"/>
  <c r="W127" i="475"/>
  <c r="AJ126" i="475"/>
  <c r="AE126" i="475"/>
  <c r="AI126" i="475"/>
  <c r="AF126" i="475"/>
  <c r="G126" i="475"/>
  <c r="X126" i="475"/>
  <c r="W126" i="475"/>
  <c r="H126" i="475"/>
  <c r="AJ125" i="475"/>
  <c r="AI125" i="475"/>
  <c r="AE124" i="475"/>
  <c r="AJ124" i="475"/>
  <c r="AK124" i="475" s="1"/>
  <c r="AF124" i="475"/>
  <c r="AI124" i="475"/>
  <c r="AL124" i="475" s="1"/>
  <c r="X124" i="475"/>
  <c r="G124" i="475"/>
  <c r="W124" i="475"/>
  <c r="H124" i="475"/>
  <c r="AE123" i="475"/>
  <c r="AJ123" i="475"/>
  <c r="AF123" i="475"/>
  <c r="AI123" i="475"/>
  <c r="X123" i="475"/>
  <c r="G123" i="475"/>
  <c r="W123" i="475"/>
  <c r="H123" i="475"/>
  <c r="AJ122" i="475"/>
  <c r="AI122" i="475"/>
  <c r="AE121" i="475"/>
  <c r="AJ121" i="475"/>
  <c r="AK121" i="475" s="1"/>
  <c r="AI121" i="475"/>
  <c r="AL121" i="475" s="1"/>
  <c r="AF121" i="475"/>
  <c r="G121" i="475"/>
  <c r="X121" i="475"/>
  <c r="H121" i="475"/>
  <c r="W121" i="475"/>
  <c r="AJ120" i="475"/>
  <c r="AE120" i="475"/>
  <c r="AI120" i="475"/>
  <c r="AF120" i="475"/>
  <c r="X120" i="475"/>
  <c r="G120" i="475"/>
  <c r="H120" i="475"/>
  <c r="W120" i="475"/>
  <c r="AJ119" i="475"/>
  <c r="AI119" i="475"/>
  <c r="AE118" i="475"/>
  <c r="AJ118" i="475"/>
  <c r="AK118" i="475" s="1"/>
  <c r="AI118" i="475"/>
  <c r="AL118" i="475" s="1"/>
  <c r="AF118" i="475"/>
  <c r="X118" i="475"/>
  <c r="G118" i="475"/>
  <c r="H118" i="475"/>
  <c r="W118" i="475"/>
  <c r="AE117" i="475"/>
  <c r="AJ117" i="475"/>
  <c r="AK117" i="475" s="1"/>
  <c r="AF117" i="475"/>
  <c r="AI117" i="475"/>
  <c r="AL117" i="475" s="1"/>
  <c r="X117" i="475"/>
  <c r="G117" i="475"/>
  <c r="W117" i="475"/>
  <c r="H117" i="475"/>
  <c r="AE116" i="475"/>
  <c r="AJ116" i="475"/>
  <c r="AI116" i="475"/>
  <c r="AF116" i="475"/>
  <c r="X116" i="475"/>
  <c r="G116" i="475"/>
  <c r="H116" i="475"/>
  <c r="W116" i="475"/>
  <c r="AJ115" i="475"/>
  <c r="AI115" i="475"/>
  <c r="AJ114" i="475"/>
  <c r="AK114" i="475" s="1"/>
  <c r="AE114" i="475"/>
  <c r="AI114" i="475"/>
  <c r="AL114" i="475" s="1"/>
  <c r="AF114" i="475"/>
  <c r="X114" i="475"/>
  <c r="G114" i="475"/>
  <c r="H114" i="475"/>
  <c r="W114" i="475"/>
  <c r="AE113" i="475"/>
  <c r="AJ113" i="475"/>
  <c r="AK113" i="475" s="1"/>
  <c r="AF113" i="475"/>
  <c r="AI113" i="475"/>
  <c r="AL113" i="475" s="1"/>
  <c r="X113" i="475"/>
  <c r="G113" i="475"/>
  <c r="W113" i="475"/>
  <c r="H113" i="475"/>
  <c r="AJ112" i="475"/>
  <c r="AK112" i="475" s="1"/>
  <c r="AE112" i="475"/>
  <c r="AI112" i="475"/>
  <c r="AL112" i="475" s="1"/>
  <c r="AF112" i="475"/>
  <c r="G112" i="475"/>
  <c r="X112" i="475"/>
  <c r="H112" i="475"/>
  <c r="W112" i="475"/>
  <c r="AJ111" i="475"/>
  <c r="AK111" i="475" s="1"/>
  <c r="AE111" i="475"/>
  <c r="AI111" i="475"/>
  <c r="AL111" i="475" s="1"/>
  <c r="AF111" i="475"/>
  <c r="G111" i="475"/>
  <c r="X111" i="475"/>
  <c r="H111" i="475"/>
  <c r="W111" i="475"/>
  <c r="AE110" i="475"/>
  <c r="AJ110" i="475"/>
  <c r="AK110" i="475" s="1"/>
  <c r="AI110" i="475"/>
  <c r="AL110" i="475" s="1"/>
  <c r="AF110" i="475"/>
  <c r="X110" i="475"/>
  <c r="G110" i="475"/>
  <c r="W110" i="475"/>
  <c r="H110" i="475"/>
  <c r="AJ109" i="475"/>
  <c r="AE109" i="475"/>
  <c r="AI109" i="475"/>
  <c r="AF109" i="475"/>
  <c r="G109" i="475"/>
  <c r="X109" i="475"/>
  <c r="H109" i="475"/>
  <c r="W109" i="475"/>
  <c r="AJ108" i="475"/>
  <c r="AI108" i="475"/>
  <c r="AE107" i="475"/>
  <c r="AJ107" i="475"/>
  <c r="AK107" i="475" s="1"/>
  <c r="AF107" i="475"/>
  <c r="AI107" i="475"/>
  <c r="AL107" i="475" s="1"/>
  <c r="G107" i="475"/>
  <c r="X107" i="475"/>
  <c r="H107" i="475"/>
  <c r="W107" i="475"/>
  <c r="AJ106" i="475"/>
  <c r="AK106" i="475" s="1"/>
  <c r="AE106" i="475"/>
  <c r="AI106" i="475"/>
  <c r="AL106" i="475" s="1"/>
  <c r="AF106" i="475"/>
  <c r="G106" i="475"/>
  <c r="X106" i="475"/>
  <c r="W106" i="475"/>
  <c r="H106" i="475"/>
  <c r="AJ105" i="475"/>
  <c r="AK105" i="475" s="1"/>
  <c r="AE105" i="475"/>
  <c r="AF105" i="475"/>
  <c r="AI105" i="475"/>
  <c r="AL105" i="475" s="1"/>
  <c r="X105" i="475"/>
  <c r="G105" i="475"/>
  <c r="W105" i="475"/>
  <c r="H105" i="475"/>
  <c r="AE104" i="475"/>
  <c r="AJ104" i="475"/>
  <c r="AF104" i="475"/>
  <c r="AI104" i="475"/>
  <c r="X104" i="475"/>
  <c r="G104" i="475"/>
  <c r="W104" i="475"/>
  <c r="H104" i="475"/>
  <c r="AJ103" i="475"/>
  <c r="AI103" i="475"/>
  <c r="AJ102" i="475"/>
  <c r="AK102" i="475" s="1"/>
  <c r="AE102" i="475"/>
  <c r="AI102" i="475"/>
  <c r="AL102" i="475" s="1"/>
  <c r="AF102" i="475"/>
  <c r="X102" i="475"/>
  <c r="G102" i="475"/>
  <c r="W102" i="475"/>
  <c r="H102" i="475"/>
  <c r="AE101" i="475"/>
  <c r="AJ101" i="475"/>
  <c r="AK101" i="475" s="1"/>
  <c r="AF101" i="475"/>
  <c r="AI101" i="475"/>
  <c r="AL101" i="475" s="1"/>
  <c r="G101" i="475"/>
  <c r="X101" i="475"/>
  <c r="H101" i="475"/>
  <c r="W101" i="475"/>
  <c r="AJ100" i="475"/>
  <c r="AK100" i="475" s="1"/>
  <c r="AE100" i="475"/>
  <c r="AI100" i="475"/>
  <c r="AL100" i="475" s="1"/>
  <c r="AF100" i="475"/>
  <c r="X100" i="475"/>
  <c r="G100" i="475"/>
  <c r="W100" i="475"/>
  <c r="H100" i="475"/>
  <c r="AJ99" i="475"/>
  <c r="AK99" i="475" s="1"/>
  <c r="AE99" i="475"/>
  <c r="AI99" i="475"/>
  <c r="AL99" i="475" s="1"/>
  <c r="AF99" i="475"/>
  <c r="G99" i="475"/>
  <c r="X99" i="475"/>
  <c r="H99" i="475"/>
  <c r="W99" i="475"/>
  <c r="AE98" i="475"/>
  <c r="AJ98" i="475"/>
  <c r="AK98" i="475" s="1"/>
  <c r="AF98" i="475"/>
  <c r="AI98" i="475"/>
  <c r="AL98" i="475" s="1"/>
  <c r="G98" i="475"/>
  <c r="X98" i="475"/>
  <c r="H98" i="475"/>
  <c r="W98" i="475"/>
  <c r="AJ97" i="475"/>
  <c r="AK97" i="475" s="1"/>
  <c r="AE97" i="475"/>
  <c r="AF97" i="475"/>
  <c r="AI97" i="475"/>
  <c r="AL97" i="475" s="1"/>
  <c r="X97" i="475"/>
  <c r="G97" i="475"/>
  <c r="W97" i="475"/>
  <c r="H97" i="475"/>
  <c r="AE96" i="475"/>
  <c r="AJ96" i="475"/>
  <c r="AK96" i="475" s="1"/>
  <c r="AF96" i="475"/>
  <c r="AI96" i="475"/>
  <c r="AL96" i="475" s="1"/>
  <c r="G96" i="475"/>
  <c r="X96" i="475"/>
  <c r="H96" i="475"/>
  <c r="W96" i="475"/>
  <c r="AJ95" i="475"/>
  <c r="AK95" i="475" s="1"/>
  <c r="AE95" i="475"/>
  <c r="AF95" i="475"/>
  <c r="AI95" i="475"/>
  <c r="AL95" i="475" s="1"/>
  <c r="G95" i="475"/>
  <c r="X95" i="475"/>
  <c r="H95" i="475"/>
  <c r="W95" i="475"/>
  <c r="AJ94" i="475"/>
  <c r="AK94" i="475" s="1"/>
  <c r="AE94" i="475"/>
  <c r="AI94" i="475"/>
  <c r="AL94" i="475" s="1"/>
  <c r="AF94" i="475"/>
  <c r="X94" i="475"/>
  <c r="G94" i="475"/>
  <c r="W94" i="475"/>
  <c r="H94" i="475"/>
  <c r="AE93" i="475"/>
  <c r="AJ93" i="475"/>
  <c r="AK93" i="475" s="1"/>
  <c r="AF93" i="475"/>
  <c r="AI93" i="475"/>
  <c r="AL93" i="475" s="1"/>
  <c r="S93" i="475"/>
  <c r="R76" i="475"/>
  <c r="S76" i="475" s="1"/>
  <c r="T93" i="475"/>
  <c r="Q76" i="475"/>
  <c r="T76" i="475" s="1"/>
  <c r="M93" i="475"/>
  <c r="L76" i="475"/>
  <c r="M76" i="475" s="1"/>
  <c r="N93" i="475"/>
  <c r="K76" i="475"/>
  <c r="N76" i="475" s="1"/>
  <c r="G93" i="475"/>
  <c r="X93" i="475"/>
  <c r="F76" i="475"/>
  <c r="E76" i="475"/>
  <c r="H93" i="475"/>
  <c r="W93" i="475"/>
  <c r="V93" i="475"/>
  <c r="AN93" i="475" s="1"/>
  <c r="D76" i="475"/>
  <c r="V76" i="475" s="1"/>
  <c r="U93" i="475"/>
  <c r="AM93" i="475" s="1"/>
  <c r="C76" i="475"/>
  <c r="U76" i="475" s="1"/>
  <c r="AD76" i="475"/>
  <c r="AJ92" i="475"/>
  <c r="AE92" i="475"/>
  <c r="AF92" i="475"/>
  <c r="AI92" i="475"/>
  <c r="AC76" i="475"/>
  <c r="AH92" i="475"/>
  <c r="AB76" i="475"/>
  <c r="AG92" i="475"/>
  <c r="AA76" i="475"/>
  <c r="AJ91" i="475"/>
  <c r="AK91" i="475" s="1"/>
  <c r="AE91" i="475"/>
  <c r="AF91" i="475"/>
  <c r="AI91" i="475"/>
  <c r="AL91" i="475" s="1"/>
  <c r="X91" i="475"/>
  <c r="G91" i="475"/>
  <c r="H91" i="475"/>
  <c r="W91" i="475"/>
  <c r="AJ90" i="475"/>
  <c r="AK90" i="475" s="1"/>
  <c r="AE90" i="475"/>
  <c r="AI90" i="475"/>
  <c r="AL90" i="475" s="1"/>
  <c r="AF90" i="475"/>
  <c r="G90" i="475"/>
  <c r="X90" i="475"/>
  <c r="H90" i="475"/>
  <c r="W90" i="475"/>
  <c r="AJ89" i="475"/>
  <c r="AK89" i="475" s="1"/>
  <c r="AE89" i="475"/>
  <c r="AF89" i="475"/>
  <c r="AI89" i="475"/>
  <c r="AL89" i="475" s="1"/>
  <c r="X89" i="475"/>
  <c r="G89" i="475"/>
  <c r="W89" i="475"/>
  <c r="H89" i="475"/>
  <c r="AJ88" i="475"/>
  <c r="AK88" i="475" s="1"/>
  <c r="AE88" i="475"/>
  <c r="AI88" i="475"/>
  <c r="AL88" i="475" s="1"/>
  <c r="AF88" i="475"/>
  <c r="G88" i="475"/>
  <c r="X88" i="475"/>
  <c r="H88" i="475"/>
  <c r="W88" i="475"/>
  <c r="AJ87" i="475"/>
  <c r="AK87" i="475" s="1"/>
  <c r="AE87" i="475"/>
  <c r="AF87" i="475"/>
  <c r="AI87" i="475"/>
  <c r="AL87" i="475" s="1"/>
  <c r="X87" i="475"/>
  <c r="G87" i="475"/>
  <c r="W87" i="475"/>
  <c r="H87" i="475"/>
  <c r="AJ86" i="475"/>
  <c r="AK86" i="475" s="1"/>
  <c r="AE86" i="475"/>
  <c r="AF86" i="475"/>
  <c r="AI86" i="475"/>
  <c r="AL86" i="475" s="1"/>
  <c r="X86" i="475"/>
  <c r="G86" i="475"/>
  <c r="H86" i="475"/>
  <c r="W86" i="475"/>
  <c r="AE85" i="475"/>
  <c r="AJ85" i="475"/>
  <c r="AK85" i="475" s="1"/>
  <c r="AI85" i="475"/>
  <c r="AL85" i="475" s="1"/>
  <c r="AF85" i="475"/>
  <c r="X85" i="475"/>
  <c r="G85" i="475"/>
  <c r="W85" i="475"/>
  <c r="H85" i="475"/>
  <c r="AE84" i="475"/>
  <c r="AJ84" i="475"/>
  <c r="AK84" i="475" s="1"/>
  <c r="AF84" i="475"/>
  <c r="AI84" i="475"/>
  <c r="AL84" i="475" s="1"/>
  <c r="G84" i="475"/>
  <c r="X84" i="475"/>
  <c r="W84" i="475"/>
  <c r="H84" i="475"/>
  <c r="AE83" i="475"/>
  <c r="AJ83" i="475"/>
  <c r="AK83" i="475" s="1"/>
  <c r="AI83" i="475"/>
  <c r="AL83" i="475" s="1"/>
  <c r="AF83" i="475"/>
  <c r="G83" i="475"/>
  <c r="X83" i="475"/>
  <c r="H83" i="475"/>
  <c r="W83" i="475"/>
  <c r="AJ82" i="475"/>
  <c r="AK82" i="475" s="1"/>
  <c r="AE82" i="475"/>
  <c r="AI82" i="475"/>
  <c r="AL82" i="475" s="1"/>
  <c r="AF82" i="475"/>
  <c r="G82" i="475"/>
  <c r="X82" i="475"/>
  <c r="H82" i="475"/>
  <c r="W82" i="475"/>
  <c r="AE81" i="475"/>
  <c r="AJ81" i="475"/>
  <c r="AK81" i="475" s="1"/>
  <c r="AF81" i="475"/>
  <c r="AI81" i="475"/>
  <c r="AL81" i="475" s="1"/>
  <c r="X81" i="475"/>
  <c r="G81" i="475"/>
  <c r="W81" i="475"/>
  <c r="H81" i="475"/>
  <c r="AJ80" i="475"/>
  <c r="AK80" i="475" s="1"/>
  <c r="AE80" i="475"/>
  <c r="AI80" i="475"/>
  <c r="AL80" i="475" s="1"/>
  <c r="AF80" i="475"/>
  <c r="G80" i="475"/>
  <c r="X80" i="475"/>
  <c r="H80" i="475"/>
  <c r="W80" i="475"/>
  <c r="AE79" i="475"/>
  <c r="AJ79" i="475"/>
  <c r="AK79" i="475" s="1"/>
  <c r="AI79" i="475"/>
  <c r="AL79" i="475" s="1"/>
  <c r="AF79" i="475"/>
  <c r="X79" i="475"/>
  <c r="G79" i="475"/>
  <c r="W79" i="475"/>
  <c r="H79" i="475"/>
  <c r="AJ78" i="475"/>
  <c r="AK78" i="475" s="1"/>
  <c r="AE78" i="475"/>
  <c r="AI78" i="475"/>
  <c r="AL78" i="475" s="1"/>
  <c r="AF78" i="475"/>
  <c r="X78" i="475"/>
  <c r="G78" i="475"/>
  <c r="H78" i="475"/>
  <c r="W78" i="475"/>
  <c r="AJ77" i="475"/>
  <c r="AK77" i="475" s="1"/>
  <c r="AE77" i="475"/>
  <c r="AI77" i="475"/>
  <c r="AL77" i="475" s="1"/>
  <c r="AF77" i="475"/>
  <c r="G77" i="475"/>
  <c r="X77" i="475"/>
  <c r="H77" i="475"/>
  <c r="W77" i="475"/>
  <c r="AJ75" i="475"/>
  <c r="AK75" i="475" s="1"/>
  <c r="AE75" i="475"/>
  <c r="AI75" i="475"/>
  <c r="AL75" i="475" s="1"/>
  <c r="AF75" i="475"/>
  <c r="X75" i="475"/>
  <c r="G75" i="475"/>
  <c r="W75" i="475"/>
  <c r="H75" i="475"/>
  <c r="AJ74" i="475"/>
  <c r="AE74" i="475"/>
  <c r="AI74" i="475"/>
  <c r="AF74" i="475"/>
  <c r="X74" i="475"/>
  <c r="G74" i="475"/>
  <c r="W74" i="475"/>
  <c r="H74" i="475"/>
  <c r="AJ73" i="475"/>
  <c r="AI73" i="475"/>
  <c r="AE72" i="475"/>
  <c r="AJ72" i="475"/>
  <c r="AK72" i="475" s="1"/>
  <c r="AF72" i="475"/>
  <c r="AI72" i="475"/>
  <c r="AL72" i="475" s="1"/>
  <c r="X72" i="475"/>
  <c r="G72" i="475"/>
  <c r="W72" i="475"/>
  <c r="H72" i="475"/>
  <c r="AJ71" i="475"/>
  <c r="AK71" i="475" s="1"/>
  <c r="AE71" i="475"/>
  <c r="AF71" i="475"/>
  <c r="AI71" i="475"/>
  <c r="AL71" i="475" s="1"/>
  <c r="G71" i="475"/>
  <c r="X71" i="475"/>
  <c r="W71" i="475"/>
  <c r="H71" i="475"/>
  <c r="AJ70" i="475"/>
  <c r="AK70" i="475" s="1"/>
  <c r="AE70" i="475"/>
  <c r="AI70" i="475"/>
  <c r="AL70" i="475" s="1"/>
  <c r="AF70" i="475"/>
  <c r="X70" i="475"/>
  <c r="G70" i="475"/>
  <c r="W70" i="475"/>
  <c r="H70" i="475"/>
  <c r="AE69" i="475"/>
  <c r="AJ69" i="475"/>
  <c r="AK69" i="475" s="1"/>
  <c r="AF69" i="475"/>
  <c r="AI69" i="475"/>
  <c r="AL69" i="475" s="1"/>
  <c r="G69" i="475"/>
  <c r="X69" i="475"/>
  <c r="W69" i="475"/>
  <c r="H69" i="475"/>
  <c r="AJ68" i="475"/>
  <c r="AE68" i="475"/>
  <c r="AI68" i="475"/>
  <c r="AF68" i="475"/>
  <c r="X68" i="475"/>
  <c r="G68" i="475"/>
  <c r="H68" i="475"/>
  <c r="W68" i="475"/>
  <c r="AJ67" i="475"/>
  <c r="AI67" i="475"/>
  <c r="AJ66" i="475"/>
  <c r="AK66" i="475" s="1"/>
  <c r="AE66" i="475"/>
  <c r="AI66" i="475"/>
  <c r="AL66" i="475" s="1"/>
  <c r="AF66" i="475"/>
  <c r="G66" i="475"/>
  <c r="X66" i="475"/>
  <c r="H66" i="475"/>
  <c r="W66" i="475"/>
  <c r="AJ65" i="475"/>
  <c r="AK65" i="475" s="1"/>
  <c r="AE65" i="475"/>
  <c r="AI65" i="475"/>
  <c r="AL65" i="475" s="1"/>
  <c r="AF65" i="475"/>
  <c r="G65" i="475"/>
  <c r="X65" i="475"/>
  <c r="W65" i="475"/>
  <c r="H65" i="475"/>
  <c r="AJ64" i="475"/>
  <c r="AK64" i="475" s="1"/>
  <c r="AE64" i="475"/>
  <c r="AI64" i="475"/>
  <c r="AL64" i="475" s="1"/>
  <c r="AF64" i="475"/>
  <c r="X64" i="475"/>
  <c r="G64" i="475"/>
  <c r="W64" i="475"/>
  <c r="H64" i="475"/>
  <c r="AE63" i="475"/>
  <c r="AJ63" i="475"/>
  <c r="AK63" i="475" s="1"/>
  <c r="AF63" i="475"/>
  <c r="AI63" i="475"/>
  <c r="AL63" i="475" s="1"/>
  <c r="X63" i="475"/>
  <c r="G63" i="475"/>
  <c r="W63" i="475"/>
  <c r="H63" i="475"/>
  <c r="AE62" i="475"/>
  <c r="AJ62" i="475"/>
  <c r="AK62" i="475" s="1"/>
  <c r="AI62" i="475"/>
  <c r="AL62" i="475" s="1"/>
  <c r="AF62" i="475"/>
  <c r="X62" i="475"/>
  <c r="G62" i="475"/>
  <c r="H62" i="475"/>
  <c r="W62" i="475"/>
  <c r="AE61" i="475"/>
  <c r="AJ61" i="475"/>
  <c r="AI61" i="475"/>
  <c r="AF61" i="475"/>
  <c r="X61" i="475"/>
  <c r="G61" i="475"/>
  <c r="W61" i="475"/>
  <c r="H61" i="475"/>
  <c r="AJ60" i="475"/>
  <c r="AI60" i="475"/>
  <c r="AE59" i="475"/>
  <c r="AJ59" i="475"/>
  <c r="AK59" i="475" s="1"/>
  <c r="AF59" i="475"/>
  <c r="AI59" i="475"/>
  <c r="AL59" i="475" s="1"/>
  <c r="G59" i="475"/>
  <c r="X59" i="475"/>
  <c r="W59" i="475"/>
  <c r="H59" i="475"/>
  <c r="AJ58" i="475"/>
  <c r="AK58" i="475" s="1"/>
  <c r="AE58" i="475"/>
  <c r="AI58" i="475"/>
  <c r="AL58" i="475" s="1"/>
  <c r="AF58" i="475"/>
  <c r="X58" i="475"/>
  <c r="G58" i="475"/>
  <c r="W58" i="475"/>
  <c r="H58" i="475"/>
  <c r="AE57" i="475"/>
  <c r="AJ57" i="475"/>
  <c r="AK57" i="475" s="1"/>
  <c r="AI57" i="475"/>
  <c r="AL57" i="475" s="1"/>
  <c r="AF57" i="475"/>
  <c r="X57" i="475"/>
  <c r="G57" i="475"/>
  <c r="W57" i="475"/>
  <c r="H57" i="475"/>
  <c r="AE56" i="475"/>
  <c r="AJ56" i="475"/>
  <c r="AK56" i="475" s="1"/>
  <c r="AI56" i="475"/>
  <c r="AL56" i="475" s="1"/>
  <c r="AF56" i="475"/>
  <c r="X56" i="475"/>
  <c r="G56" i="475"/>
  <c r="W56" i="475"/>
  <c r="H56" i="475"/>
  <c r="AJ55" i="475"/>
  <c r="AE55" i="475"/>
  <c r="AF55" i="475"/>
  <c r="AI55" i="475"/>
  <c r="G55" i="475"/>
  <c r="X55" i="475"/>
  <c r="W55" i="475"/>
  <c r="H55" i="475"/>
  <c r="AJ54" i="475"/>
  <c r="AI54" i="475"/>
  <c r="AE53" i="475"/>
  <c r="AJ53" i="475"/>
  <c r="AK53" i="475" s="1"/>
  <c r="AF53" i="475"/>
  <c r="AI53" i="475"/>
  <c r="AL53" i="475" s="1"/>
  <c r="G53" i="475"/>
  <c r="X53" i="475"/>
  <c r="H53" i="475"/>
  <c r="W53" i="475"/>
  <c r="AE52" i="475"/>
  <c r="AJ52" i="475"/>
  <c r="AK52" i="475" s="1"/>
  <c r="AF52" i="475"/>
  <c r="AI52" i="475"/>
  <c r="AL52" i="475" s="1"/>
  <c r="X52" i="475"/>
  <c r="G52" i="475"/>
  <c r="W52" i="475"/>
  <c r="H52" i="475"/>
  <c r="AJ51" i="475"/>
  <c r="AK51" i="475" s="1"/>
  <c r="AE51" i="475"/>
  <c r="AF51" i="475"/>
  <c r="AI51" i="475"/>
  <c r="AL51" i="475" s="1"/>
  <c r="G51" i="475"/>
  <c r="X51" i="475"/>
  <c r="W51" i="475"/>
  <c r="H51" i="475"/>
  <c r="V51" i="475"/>
  <c r="AN51" i="475" s="1"/>
  <c r="U51" i="475"/>
  <c r="AM51" i="475" s="1"/>
  <c r="AE50" i="475"/>
  <c r="AJ50" i="475"/>
  <c r="AI50" i="475"/>
  <c r="AF50" i="475"/>
  <c r="AH50" i="475"/>
  <c r="AG50" i="475"/>
  <c r="S50" i="475"/>
  <c r="T50" i="475"/>
  <c r="M50" i="475"/>
  <c r="W50" i="475"/>
  <c r="N50" i="475"/>
  <c r="V50" i="475"/>
  <c r="AN50" i="475" s="1"/>
  <c r="U50" i="475"/>
  <c r="AM50" i="475" s="1"/>
  <c r="G50" i="475"/>
  <c r="X50" i="475"/>
  <c r="AJ49" i="475"/>
  <c r="AK49" i="475" s="1"/>
  <c r="AE49" i="475"/>
  <c r="AI49" i="475"/>
  <c r="AL49" i="475" s="1"/>
  <c r="AF49" i="475"/>
  <c r="X49" i="475"/>
  <c r="G49" i="475"/>
  <c r="W49" i="475"/>
  <c r="H49" i="475"/>
  <c r="AJ48" i="475"/>
  <c r="AK48" i="475" s="1"/>
  <c r="AE48" i="475"/>
  <c r="AI48" i="475"/>
  <c r="AL48" i="475" s="1"/>
  <c r="AF48" i="475"/>
  <c r="X48" i="475"/>
  <c r="G48" i="475"/>
  <c r="W48" i="475"/>
  <c r="H48" i="475"/>
  <c r="AJ47" i="475"/>
  <c r="AK47" i="475" s="1"/>
  <c r="AE47" i="475"/>
  <c r="AI47" i="475"/>
  <c r="AL47" i="475" s="1"/>
  <c r="AF47" i="475"/>
  <c r="G47" i="475"/>
  <c r="X47" i="475"/>
  <c r="H47" i="475"/>
  <c r="W47" i="475"/>
  <c r="AJ46" i="475"/>
  <c r="AE46" i="475"/>
  <c r="AI46" i="475"/>
  <c r="AF46" i="475"/>
  <c r="X46" i="475"/>
  <c r="G46" i="475"/>
  <c r="W46" i="475"/>
  <c r="H46" i="475"/>
  <c r="AJ45" i="475"/>
  <c r="AI45" i="475"/>
  <c r="AJ44" i="475"/>
  <c r="AK44" i="475" s="1"/>
  <c r="AE44" i="475"/>
  <c r="AI44" i="475"/>
  <c r="AL44" i="475" s="1"/>
  <c r="AF44" i="475"/>
  <c r="G44" i="475"/>
  <c r="X44" i="475"/>
  <c r="H44" i="475"/>
  <c r="W44" i="475"/>
  <c r="AJ43" i="475"/>
  <c r="AK43" i="475" s="1"/>
  <c r="AE43" i="475"/>
  <c r="AI43" i="475"/>
  <c r="AL43" i="475" s="1"/>
  <c r="AF43" i="475"/>
  <c r="G43" i="475"/>
  <c r="X43" i="475"/>
  <c r="H43" i="475"/>
  <c r="W43" i="475"/>
  <c r="AJ42" i="475"/>
  <c r="AK42" i="475" s="1"/>
  <c r="AE42" i="475"/>
  <c r="AF42" i="475"/>
  <c r="AI42" i="475"/>
  <c r="AL42" i="475" s="1"/>
  <c r="X42" i="475"/>
  <c r="G42" i="475"/>
  <c r="W42" i="475"/>
  <c r="H42" i="475"/>
  <c r="AE41" i="475"/>
  <c r="AJ41" i="475"/>
  <c r="AI41" i="475"/>
  <c r="AF41" i="475"/>
  <c r="X41" i="475"/>
  <c r="G41" i="475"/>
  <c r="W41" i="475"/>
  <c r="H41" i="475"/>
  <c r="AJ40" i="475"/>
  <c r="AI40" i="475"/>
  <c r="AE39" i="475"/>
  <c r="AJ39" i="475"/>
  <c r="AK39" i="475" s="1"/>
  <c r="AF39" i="475"/>
  <c r="AI39" i="475"/>
  <c r="AL39" i="475" s="1"/>
  <c r="G39" i="475"/>
  <c r="X39" i="475"/>
  <c r="H39" i="475"/>
  <c r="W39" i="475"/>
  <c r="AJ38" i="475"/>
  <c r="AE38" i="475"/>
  <c r="AI38" i="475"/>
  <c r="AF38" i="475"/>
  <c r="G38" i="475"/>
  <c r="X38" i="475"/>
  <c r="H38" i="475"/>
  <c r="W38" i="475"/>
  <c r="AJ37" i="475"/>
  <c r="AI37" i="475"/>
  <c r="AE36" i="475"/>
  <c r="AJ36" i="475"/>
  <c r="AK36" i="475" s="1"/>
  <c r="AF36" i="475"/>
  <c r="AI36" i="475"/>
  <c r="AL36" i="475" s="1"/>
  <c r="G36" i="475"/>
  <c r="X36" i="475"/>
  <c r="H36" i="475"/>
  <c r="W36" i="475"/>
  <c r="AE35" i="475"/>
  <c r="AJ35" i="475"/>
  <c r="AK35" i="475" s="1"/>
  <c r="AI35" i="475"/>
  <c r="AL35" i="475" s="1"/>
  <c r="AF35" i="475"/>
  <c r="X35" i="475"/>
  <c r="G35" i="475"/>
  <c r="W35" i="475"/>
  <c r="H35" i="475"/>
  <c r="AJ33" i="475"/>
  <c r="AK33" i="475" s="1"/>
  <c r="AE33" i="475"/>
  <c r="AI33" i="475"/>
  <c r="AL33" i="475" s="1"/>
  <c r="AF33" i="475"/>
  <c r="G33" i="475"/>
  <c r="X33" i="475"/>
  <c r="W33" i="475"/>
  <c r="H33" i="475"/>
  <c r="AE32" i="475"/>
  <c r="AJ32" i="475"/>
  <c r="AK32" i="475" s="1"/>
  <c r="AI32" i="475"/>
  <c r="AL32" i="475" s="1"/>
  <c r="AF32" i="475"/>
  <c r="X32" i="475"/>
  <c r="G32" i="475"/>
  <c r="H32" i="475"/>
  <c r="W32" i="475"/>
  <c r="AE31" i="475"/>
  <c r="AJ31" i="475"/>
  <c r="AK31" i="475" s="1"/>
  <c r="AF31" i="475"/>
  <c r="AI31" i="475"/>
  <c r="AL31" i="475" s="1"/>
  <c r="X31" i="475"/>
  <c r="G31" i="475"/>
  <c r="W31" i="475"/>
  <c r="H31" i="475"/>
  <c r="AE30" i="475"/>
  <c r="AJ30" i="475"/>
  <c r="AK30" i="475" s="1"/>
  <c r="AF30" i="475"/>
  <c r="AI30" i="475"/>
  <c r="AL30" i="475" s="1"/>
  <c r="X30" i="475"/>
  <c r="G30" i="475"/>
  <c r="W30" i="475"/>
  <c r="H30" i="475"/>
  <c r="AE29" i="475"/>
  <c r="AJ29" i="475"/>
  <c r="AK29" i="475" s="1"/>
  <c r="AI29" i="475"/>
  <c r="AL29" i="475" s="1"/>
  <c r="AF29" i="475"/>
  <c r="X29" i="475"/>
  <c r="G29" i="475"/>
  <c r="W29" i="475"/>
  <c r="H29" i="475"/>
  <c r="AJ28" i="475"/>
  <c r="AK28" i="475" s="1"/>
  <c r="AE28" i="475"/>
  <c r="AI28" i="475"/>
  <c r="AL28" i="475" s="1"/>
  <c r="AF28" i="475"/>
  <c r="X28" i="475"/>
  <c r="G28" i="475"/>
  <c r="H28" i="475"/>
  <c r="W28" i="475"/>
  <c r="AJ27" i="475"/>
  <c r="AK27" i="475" s="1"/>
  <c r="AE27" i="475"/>
  <c r="AI27" i="475"/>
  <c r="AL27" i="475" s="1"/>
  <c r="AF27" i="475"/>
  <c r="G27" i="475"/>
  <c r="X27" i="475"/>
  <c r="H27" i="475"/>
  <c r="W27" i="475"/>
  <c r="AE26" i="475"/>
  <c r="AJ26" i="475"/>
  <c r="AK26" i="475" s="1"/>
  <c r="AF26" i="475"/>
  <c r="AI26" i="475"/>
  <c r="AL26" i="475" s="1"/>
  <c r="G26" i="475"/>
  <c r="X26" i="475"/>
  <c r="W26" i="475"/>
  <c r="H26" i="475"/>
  <c r="AE25" i="475"/>
  <c r="AJ25" i="475"/>
  <c r="AK25" i="475" s="1"/>
  <c r="AF25" i="475"/>
  <c r="AI25" i="475"/>
  <c r="AL25" i="475" s="1"/>
  <c r="G25" i="475"/>
  <c r="X25" i="475"/>
  <c r="H25" i="475"/>
  <c r="W25" i="475"/>
  <c r="AJ24" i="475"/>
  <c r="AK24" i="475" s="1"/>
  <c r="AE24" i="475"/>
  <c r="AI24" i="475"/>
  <c r="AL24" i="475" s="1"/>
  <c r="AF24" i="475"/>
  <c r="X24" i="475"/>
  <c r="G24" i="475"/>
  <c r="H24" i="475"/>
  <c r="W24" i="475"/>
  <c r="AJ23" i="475"/>
  <c r="AE23" i="475"/>
  <c r="AF23" i="475"/>
  <c r="AI23" i="475"/>
  <c r="X23" i="475"/>
  <c r="G23" i="475"/>
  <c r="W23" i="475"/>
  <c r="H23" i="475"/>
  <c r="AJ22" i="475"/>
  <c r="AI22" i="475"/>
  <c r="AE21" i="475"/>
  <c r="AJ21" i="475"/>
  <c r="AK21" i="475" s="1"/>
  <c r="AI21" i="475"/>
  <c r="AL21" i="475" s="1"/>
  <c r="AF21" i="475"/>
  <c r="G21" i="475"/>
  <c r="X21" i="475"/>
  <c r="H21" i="475"/>
  <c r="W21" i="475"/>
  <c r="AJ20" i="475"/>
  <c r="AK20" i="475" s="1"/>
  <c r="AE20" i="475"/>
  <c r="AF20" i="475"/>
  <c r="AI20" i="475"/>
  <c r="AL20" i="475" s="1"/>
  <c r="G20" i="475"/>
  <c r="X20" i="475"/>
  <c r="H20" i="475"/>
  <c r="W20" i="475"/>
  <c r="AJ19" i="475"/>
  <c r="AK19" i="475" s="1"/>
  <c r="AE19" i="475"/>
  <c r="AF19" i="475"/>
  <c r="AI19" i="475"/>
  <c r="AL19" i="475" s="1"/>
  <c r="X19" i="475"/>
  <c r="G19" i="475"/>
  <c r="W19" i="475"/>
  <c r="H19" i="475"/>
  <c r="AJ18" i="475"/>
  <c r="AK18" i="475" s="1"/>
  <c r="AE18" i="475"/>
  <c r="AI18" i="475"/>
  <c r="AL18" i="475" s="1"/>
  <c r="AF18" i="475"/>
  <c r="G18" i="475"/>
  <c r="X18" i="475"/>
  <c r="H18" i="475"/>
  <c r="W18" i="475"/>
  <c r="AJ17" i="475"/>
  <c r="AK17" i="475" s="1"/>
  <c r="AE17" i="475"/>
  <c r="AI17" i="475"/>
  <c r="AL17" i="475" s="1"/>
  <c r="AF17" i="475"/>
  <c r="X17" i="475"/>
  <c r="G17" i="475"/>
  <c r="W17" i="475"/>
  <c r="H17" i="475"/>
  <c r="AJ16" i="475"/>
  <c r="AK16" i="475" s="1"/>
  <c r="AE16" i="475"/>
  <c r="AI16" i="475"/>
  <c r="AL16" i="475" s="1"/>
  <c r="AF16" i="475"/>
  <c r="G16" i="475"/>
  <c r="X16" i="475"/>
  <c r="H16" i="475"/>
  <c r="W16" i="475"/>
  <c r="AE15" i="475"/>
  <c r="AJ15" i="475"/>
  <c r="AK15" i="475" s="1"/>
  <c r="AI15" i="475"/>
  <c r="AL15" i="475" s="1"/>
  <c r="AF15" i="475"/>
  <c r="X15" i="475"/>
  <c r="G15" i="475"/>
  <c r="W15" i="475"/>
  <c r="H15" i="475"/>
  <c r="AE14" i="475"/>
  <c r="AJ14" i="475"/>
  <c r="AK14" i="475" s="1"/>
  <c r="AI14" i="475"/>
  <c r="AL14" i="475" s="1"/>
  <c r="AF14" i="475"/>
  <c r="X14" i="475"/>
  <c r="G14" i="475"/>
  <c r="W14" i="475"/>
  <c r="H14" i="475"/>
  <c r="AJ13" i="475"/>
  <c r="AK13" i="475" s="1"/>
  <c r="AE13" i="475"/>
  <c r="AF13" i="475"/>
  <c r="AI13" i="475"/>
  <c r="AL13" i="475" s="1"/>
  <c r="X13" i="475"/>
  <c r="G13" i="475"/>
  <c r="H13" i="475"/>
  <c r="W13" i="475"/>
  <c r="AJ12" i="475"/>
  <c r="AK12" i="475" s="1"/>
  <c r="AE12" i="475"/>
  <c r="AI12" i="475"/>
  <c r="AL12" i="475" s="1"/>
  <c r="AF12" i="475"/>
  <c r="G12" i="475"/>
  <c r="X12" i="475"/>
  <c r="H12" i="475"/>
  <c r="W12" i="475"/>
  <c r="AE11" i="475"/>
  <c r="AJ11" i="475"/>
  <c r="AK11" i="475" s="1"/>
  <c r="AF11" i="475"/>
  <c r="AI11" i="475"/>
  <c r="AL11" i="475" s="1"/>
  <c r="G11" i="475"/>
  <c r="X11" i="475"/>
  <c r="H11" i="475"/>
  <c r="W11" i="475"/>
  <c r="AJ10" i="475"/>
  <c r="AE10" i="475"/>
  <c r="AI10" i="475"/>
  <c r="AF10" i="475"/>
  <c r="G10" i="475"/>
  <c r="X10" i="475"/>
  <c r="W10" i="475"/>
  <c r="H10" i="475"/>
  <c r="AJ9" i="475"/>
  <c r="AI9" i="475"/>
  <c r="P34" i="475"/>
  <c r="O34" i="475"/>
  <c r="Y101" i="474"/>
  <c r="Z101" i="474" s="1"/>
  <c r="V101" i="474"/>
  <c r="Y100" i="474"/>
  <c r="Z100" i="474" s="1"/>
  <c r="V100" i="474"/>
  <c r="V99" i="474"/>
  <c r="Y99" i="474"/>
  <c r="U86" i="474"/>
  <c r="V86" i="474" s="1"/>
  <c r="V87" i="474"/>
  <c r="X80" i="474"/>
  <c r="V80" i="474"/>
  <c r="U47" i="474"/>
  <c r="V47" i="474" s="1"/>
  <c r="V49" i="474"/>
  <c r="U28" i="474"/>
  <c r="V29" i="474"/>
  <c r="J23" i="474"/>
  <c r="I22" i="474"/>
  <c r="J22" i="474" s="1"/>
  <c r="J10" i="474"/>
  <c r="I9" i="474"/>
  <c r="N137" i="474"/>
  <c r="M134" i="474"/>
  <c r="J38" i="474"/>
  <c r="I28" i="474"/>
  <c r="N37" i="474"/>
  <c r="M28" i="474"/>
  <c r="D146" i="474"/>
  <c r="C9" i="474"/>
  <c r="C8" i="474" s="1"/>
  <c r="F118" i="474"/>
  <c r="E116" i="474"/>
  <c r="F97" i="474"/>
  <c r="O81" i="474"/>
  <c r="AA81" i="474" s="1"/>
  <c r="P81" i="474"/>
  <c r="AB81" i="474" s="1"/>
  <c r="O80" i="474"/>
  <c r="Y81" i="474"/>
  <c r="Z81" i="474" s="1"/>
  <c r="Y80" i="474"/>
  <c r="P100" i="474"/>
  <c r="AB100" i="474" s="1"/>
  <c r="O100" i="474"/>
  <c r="AA100" i="474" s="1"/>
  <c r="P99" i="474"/>
  <c r="O99" i="474"/>
  <c r="Q81" i="474"/>
  <c r="Q80" i="474"/>
  <c r="P80" i="474"/>
  <c r="Q100" i="474"/>
  <c r="Q99" i="474"/>
  <c r="V163" i="474" l="1"/>
  <c r="U160" i="474"/>
  <c r="N163" i="474"/>
  <c r="M160" i="474"/>
  <c r="N160" i="474" s="1"/>
  <c r="B27" i="671"/>
  <c r="D27" i="671" s="1"/>
  <c r="D22" i="671"/>
  <c r="AN129" i="475"/>
  <c r="D69" i="474"/>
  <c r="AA80" i="474"/>
  <c r="H229" i="475"/>
  <c r="V160" i="474"/>
  <c r="AN297" i="475"/>
  <c r="AM297" i="475"/>
  <c r="AN293" i="475"/>
  <c r="AM293" i="475"/>
  <c r="AN272" i="475"/>
  <c r="AM272" i="475"/>
  <c r="AN247" i="475"/>
  <c r="AM247" i="475"/>
  <c r="AM246" i="475"/>
  <c r="AN243" i="475"/>
  <c r="AM243" i="475"/>
  <c r="AM242" i="475"/>
  <c r="AN167" i="475"/>
  <c r="AM167" i="475"/>
  <c r="U166" i="475"/>
  <c r="AN162" i="475"/>
  <c r="AM162" i="475"/>
  <c r="AM161" i="475"/>
  <c r="AN149" i="475"/>
  <c r="AM149" i="475"/>
  <c r="AM148" i="475"/>
  <c r="AM140" i="475"/>
  <c r="AM139" i="475"/>
  <c r="AN126" i="475"/>
  <c r="AM125" i="475"/>
  <c r="AM126" i="475"/>
  <c r="AN123" i="475"/>
  <c r="AM123" i="475"/>
  <c r="AM122" i="475"/>
  <c r="AN61" i="475"/>
  <c r="AN55" i="475"/>
  <c r="AM55" i="475"/>
  <c r="AM54" i="475"/>
  <c r="AN46" i="475"/>
  <c r="AM45" i="475"/>
  <c r="AM46" i="475"/>
  <c r="AN41" i="475"/>
  <c r="AM40" i="475"/>
  <c r="AM41" i="475"/>
  <c r="AN38" i="475"/>
  <c r="AM38" i="475"/>
  <c r="AN23" i="475"/>
  <c r="AM23" i="475"/>
  <c r="AK297" i="475"/>
  <c r="AL297" i="475"/>
  <c r="AK293" i="475"/>
  <c r="AL293" i="475"/>
  <c r="AK272" i="475"/>
  <c r="AL272" i="475"/>
  <c r="AN262" i="475"/>
  <c r="AM262" i="475"/>
  <c r="AK167" i="475"/>
  <c r="AL167" i="475"/>
  <c r="AK120" i="475"/>
  <c r="AK116" i="475"/>
  <c r="AB99" i="474"/>
  <c r="AK149" i="475"/>
  <c r="AL149" i="475"/>
  <c r="AK140" i="475"/>
  <c r="AL140" i="475"/>
  <c r="AK126" i="475"/>
  <c r="AL126" i="475"/>
  <c r="AK123" i="475"/>
  <c r="AL123" i="475"/>
  <c r="AL120" i="475"/>
  <c r="AL116" i="475"/>
  <c r="AK109" i="475"/>
  <c r="AL109" i="475"/>
  <c r="AK104" i="475"/>
  <c r="AL104" i="475"/>
  <c r="AK55" i="475"/>
  <c r="AA99" i="474"/>
  <c r="AK61" i="475"/>
  <c r="AL61" i="475"/>
  <c r="AL55" i="475"/>
  <c r="AK46" i="475"/>
  <c r="AL46" i="475"/>
  <c r="AK41" i="475"/>
  <c r="AL41" i="475"/>
  <c r="AK38" i="475"/>
  <c r="AL38" i="475"/>
  <c r="AK23" i="475"/>
  <c r="AL23" i="475"/>
  <c r="AK10" i="475"/>
  <c r="AL10" i="475"/>
  <c r="Z99" i="474"/>
  <c r="AH119" i="475"/>
  <c r="AF119" i="475"/>
  <c r="AE119" i="475"/>
  <c r="AH115" i="475"/>
  <c r="AF115" i="475"/>
  <c r="AE115" i="475"/>
  <c r="AH108" i="475"/>
  <c r="AE108" i="475"/>
  <c r="AF108" i="475"/>
  <c r="AH103" i="475"/>
  <c r="AE103" i="475"/>
  <c r="AF103" i="475"/>
  <c r="AH9" i="475"/>
  <c r="AE9" i="475"/>
  <c r="AF9" i="475"/>
  <c r="V73" i="474"/>
  <c r="U72" i="474"/>
  <c r="F229" i="475"/>
  <c r="G230" i="475"/>
  <c r="AH296" i="475"/>
  <c r="AE296" i="475"/>
  <c r="AF296" i="475"/>
  <c r="AE271" i="475"/>
  <c r="AF271" i="475"/>
  <c r="N98" i="474"/>
  <c r="M96" i="474"/>
  <c r="N96" i="474" s="1"/>
  <c r="L168" i="474"/>
  <c r="L169" i="474" s="1"/>
  <c r="L170" i="474" s="1"/>
  <c r="K168" i="474"/>
  <c r="K169" i="474" s="1"/>
  <c r="K170" i="474" s="1"/>
  <c r="I55" i="474"/>
  <c r="J55" i="474" s="1"/>
  <c r="J56" i="474"/>
  <c r="E8" i="474"/>
  <c r="F8" i="474" s="1"/>
  <c r="F9" i="474"/>
  <c r="J98" i="474"/>
  <c r="I96" i="474"/>
  <c r="J96" i="474" s="1"/>
  <c r="C69" i="474"/>
  <c r="C168" i="474" s="1"/>
  <c r="C169" i="474" s="1"/>
  <c r="C170" i="474" s="1"/>
  <c r="AN296" i="475"/>
  <c r="AM296" i="475"/>
  <c r="U290" i="475"/>
  <c r="AH148" i="475"/>
  <c r="AF148" i="475"/>
  <c r="AE148" i="475"/>
  <c r="AH139" i="475"/>
  <c r="AN139" i="475" s="1"/>
  <c r="AE139" i="475"/>
  <c r="AF139" i="475"/>
  <c r="AH125" i="475"/>
  <c r="AE125" i="475"/>
  <c r="AF125" i="475"/>
  <c r="AH122" i="475"/>
  <c r="AF122" i="475"/>
  <c r="AE122" i="475"/>
  <c r="AH60" i="475"/>
  <c r="AE60" i="475"/>
  <c r="AF60" i="475"/>
  <c r="AH54" i="475"/>
  <c r="AE54" i="475"/>
  <c r="AF54" i="475"/>
  <c r="AH45" i="475"/>
  <c r="AE45" i="475"/>
  <c r="AF45" i="475"/>
  <c r="AH40" i="475"/>
  <c r="AE40" i="475"/>
  <c r="AF40" i="475"/>
  <c r="AH37" i="475"/>
  <c r="AE37" i="475"/>
  <c r="AF37" i="475"/>
  <c r="AE22" i="475"/>
  <c r="AF22" i="475"/>
  <c r="AM129" i="475"/>
  <c r="AN120" i="475"/>
  <c r="AM120" i="475"/>
  <c r="AM119" i="475"/>
  <c r="AN116" i="475"/>
  <c r="AM115" i="475"/>
  <c r="AM116" i="475"/>
  <c r="AN109" i="475"/>
  <c r="AM109" i="475"/>
  <c r="AM108" i="475"/>
  <c r="AN104" i="475"/>
  <c r="AM103" i="475"/>
  <c r="AM104" i="475"/>
  <c r="AN74" i="475"/>
  <c r="AM74" i="475"/>
  <c r="AM73" i="475"/>
  <c r="AN68" i="475"/>
  <c r="AM68" i="475"/>
  <c r="AM61" i="475"/>
  <c r="AM60" i="475"/>
  <c r="AN10" i="475"/>
  <c r="AM10" i="475"/>
  <c r="AK247" i="475"/>
  <c r="AL247" i="475"/>
  <c r="AK243" i="475"/>
  <c r="AL243" i="475"/>
  <c r="AK74" i="475"/>
  <c r="AL74" i="475"/>
  <c r="AK68" i="475"/>
  <c r="AL68" i="475"/>
  <c r="AH73" i="475"/>
  <c r="AE73" i="475"/>
  <c r="AF73" i="475"/>
  <c r="AH67" i="475"/>
  <c r="AE67" i="475"/>
  <c r="AF67" i="475"/>
  <c r="AH246" i="475"/>
  <c r="AN246" i="475" s="1"/>
  <c r="AE246" i="475"/>
  <c r="AF246" i="475"/>
  <c r="AH242" i="475"/>
  <c r="AE242" i="475"/>
  <c r="AF242" i="475"/>
  <c r="AG168" i="475"/>
  <c r="AA166" i="475"/>
  <c r="AG166" i="475" s="1"/>
  <c r="S168" i="474"/>
  <c r="S169" i="474" s="1"/>
  <c r="S170" i="474" s="1"/>
  <c r="V105" i="474"/>
  <c r="U104" i="474"/>
  <c r="V104" i="474" s="1"/>
  <c r="T96" i="474"/>
  <c r="V98" i="474"/>
  <c r="U55" i="474"/>
  <c r="V55" i="474" s="1"/>
  <c r="V56" i="474"/>
  <c r="U8" i="474"/>
  <c r="V8" i="474" s="1"/>
  <c r="V9" i="474"/>
  <c r="M72" i="474"/>
  <c r="N73" i="474"/>
  <c r="M55" i="474"/>
  <c r="N55" i="474" s="1"/>
  <c r="N56" i="474"/>
  <c r="M8" i="474"/>
  <c r="N8" i="474" s="1"/>
  <c r="N9" i="474"/>
  <c r="AB8" i="475"/>
  <c r="AH22" i="475"/>
  <c r="AA8" i="475"/>
  <c r="AG8" i="475" s="1"/>
  <c r="AG22" i="475"/>
  <c r="AM22" i="475" s="1"/>
  <c r="AB270" i="475"/>
  <c r="AH271" i="475"/>
  <c r="AA270" i="475"/>
  <c r="AG270" i="475" s="1"/>
  <c r="AG271" i="475"/>
  <c r="F90" i="474"/>
  <c r="AL242" i="475"/>
  <c r="AK233" i="475"/>
  <c r="AL233" i="475"/>
  <c r="AK231" i="475"/>
  <c r="AL231" i="475"/>
  <c r="AK214" i="475"/>
  <c r="AL214" i="475"/>
  <c r="AK210" i="475"/>
  <c r="AL210" i="475"/>
  <c r="AM178" i="475"/>
  <c r="AK174" i="475"/>
  <c r="AL174" i="475"/>
  <c r="AK169" i="475"/>
  <c r="AL169" i="475"/>
  <c r="AK162" i="475"/>
  <c r="AL162" i="475"/>
  <c r="AH292" i="475"/>
  <c r="AN292" i="475" s="1"/>
  <c r="AB290" i="475"/>
  <c r="AF292" i="475"/>
  <c r="AG292" i="475"/>
  <c r="AM292" i="475" s="1"/>
  <c r="AA290" i="475"/>
  <c r="AG290" i="475" s="1"/>
  <c r="AH166" i="475"/>
  <c r="AE166" i="475"/>
  <c r="AF166" i="475"/>
  <c r="AH161" i="475"/>
  <c r="AE161" i="475"/>
  <c r="AF161" i="475"/>
  <c r="AH232" i="475"/>
  <c r="AE232" i="475"/>
  <c r="AF232" i="475"/>
  <c r="AE230" i="475"/>
  <c r="AF230" i="475"/>
  <c r="AH213" i="475"/>
  <c r="AE213" i="475"/>
  <c r="AF213" i="475"/>
  <c r="AH209" i="475"/>
  <c r="AE209" i="475"/>
  <c r="AF209" i="475"/>
  <c r="AH177" i="475"/>
  <c r="AE177" i="475"/>
  <c r="AF177" i="475"/>
  <c r="AH173" i="475"/>
  <c r="AE173" i="475"/>
  <c r="AF173" i="475"/>
  <c r="AH168" i="475"/>
  <c r="AE168" i="475"/>
  <c r="AF168" i="475"/>
  <c r="V147" i="474"/>
  <c r="U146" i="474"/>
  <c r="V146" i="474" s="1"/>
  <c r="M146" i="474"/>
  <c r="N146" i="474" s="1"/>
  <c r="N147" i="474"/>
  <c r="I72" i="474"/>
  <c r="J73" i="474"/>
  <c r="AB229" i="475"/>
  <c r="AB165" i="475" s="1"/>
  <c r="AH165" i="475" s="1"/>
  <c r="AH230" i="475"/>
  <c r="AA229" i="475"/>
  <c r="AG230" i="475"/>
  <c r="H168" i="474"/>
  <c r="H169" i="474" s="1"/>
  <c r="H170" i="474" s="1"/>
  <c r="AP151" i="475"/>
  <c r="AP136" i="475"/>
  <c r="AN233" i="475"/>
  <c r="AN232" i="475"/>
  <c r="AM233" i="475"/>
  <c r="AM232" i="475"/>
  <c r="AN231" i="475"/>
  <c r="AM231" i="475"/>
  <c r="X9" i="475"/>
  <c r="AP9" i="475" s="1"/>
  <c r="W9" i="475"/>
  <c r="AO9" i="475" s="1"/>
  <c r="AN214" i="475"/>
  <c r="AM214" i="475"/>
  <c r="AM213" i="475"/>
  <c r="AN210" i="475"/>
  <c r="AM210" i="475"/>
  <c r="AM209" i="475"/>
  <c r="AN174" i="475"/>
  <c r="AM174" i="475"/>
  <c r="AM173" i="475"/>
  <c r="AN169" i="475"/>
  <c r="AM169" i="475"/>
  <c r="AM168" i="475"/>
  <c r="AP140" i="475"/>
  <c r="U67" i="475"/>
  <c r="AM67" i="475" s="1"/>
  <c r="AK178" i="475"/>
  <c r="AL178" i="475"/>
  <c r="AN178" i="475"/>
  <c r="AD34" i="475"/>
  <c r="AJ34" i="475" s="1"/>
  <c r="AC34" i="475"/>
  <c r="AI34" i="475" s="1"/>
  <c r="J163" i="474"/>
  <c r="I160" i="474"/>
  <c r="J160" i="474" s="1"/>
  <c r="I104" i="474"/>
  <c r="J104" i="474" s="1"/>
  <c r="J105" i="474"/>
  <c r="F163" i="474"/>
  <c r="E160" i="474"/>
  <c r="F160" i="474" s="1"/>
  <c r="X296" i="475"/>
  <c r="W296" i="475"/>
  <c r="X292" i="475"/>
  <c r="W292" i="475"/>
  <c r="I146" i="474"/>
  <c r="J146" i="474" s="1"/>
  <c r="J147" i="474"/>
  <c r="E146" i="474"/>
  <c r="F146" i="474" s="1"/>
  <c r="F147" i="474"/>
  <c r="F98" i="474"/>
  <c r="E96" i="474"/>
  <c r="F96" i="474" s="1"/>
  <c r="F73" i="474"/>
  <c r="E72" i="474"/>
  <c r="E55" i="474"/>
  <c r="F55" i="474" s="1"/>
  <c r="F56" i="474"/>
  <c r="E27" i="474"/>
  <c r="F27" i="474" s="1"/>
  <c r="F47" i="474"/>
  <c r="F34" i="475"/>
  <c r="V168" i="475"/>
  <c r="G168" i="475"/>
  <c r="H168" i="475"/>
  <c r="V166" i="475"/>
  <c r="G166" i="475"/>
  <c r="H166" i="475"/>
  <c r="X271" i="475"/>
  <c r="AP271" i="475" s="1"/>
  <c r="W271" i="475"/>
  <c r="AO271" i="475" s="1"/>
  <c r="X230" i="475"/>
  <c r="AP230" i="475" s="1"/>
  <c r="W230" i="475"/>
  <c r="AO230" i="475" s="1"/>
  <c r="AB80" i="474"/>
  <c r="Z295" i="475"/>
  <c r="AO295" i="475"/>
  <c r="AR295" i="475" s="1"/>
  <c r="M296" i="475"/>
  <c r="N296" i="475"/>
  <c r="N292" i="475"/>
  <c r="M246" i="475"/>
  <c r="N246" i="475"/>
  <c r="E34" i="475"/>
  <c r="V213" i="475"/>
  <c r="G213" i="475"/>
  <c r="H213" i="475"/>
  <c r="V209" i="475"/>
  <c r="G209" i="475"/>
  <c r="H209" i="475"/>
  <c r="V173" i="475"/>
  <c r="G173" i="475"/>
  <c r="H173" i="475"/>
  <c r="V161" i="475"/>
  <c r="G161" i="475"/>
  <c r="H161" i="475"/>
  <c r="V148" i="475"/>
  <c r="G148" i="475"/>
  <c r="H148" i="475"/>
  <c r="V125" i="475"/>
  <c r="H125" i="475"/>
  <c r="G125" i="475"/>
  <c r="V122" i="475"/>
  <c r="G122" i="475"/>
  <c r="H122" i="475"/>
  <c r="V119" i="475"/>
  <c r="H119" i="475"/>
  <c r="G119" i="475"/>
  <c r="V115" i="475"/>
  <c r="G115" i="475"/>
  <c r="H115" i="475"/>
  <c r="V108" i="475"/>
  <c r="H108" i="475"/>
  <c r="G108" i="475"/>
  <c r="AP204" i="475"/>
  <c r="AH76" i="475"/>
  <c r="AN76" i="475" s="1"/>
  <c r="AB34" i="475"/>
  <c r="AG76" i="475"/>
  <c r="AM76" i="475" s="1"/>
  <c r="AA34" i="475"/>
  <c r="AG34" i="475" s="1"/>
  <c r="R270" i="475"/>
  <c r="S270" i="475" s="1"/>
  <c r="S271" i="475"/>
  <c r="Q270" i="475"/>
  <c r="T270" i="475" s="1"/>
  <c r="T271" i="475"/>
  <c r="R229" i="475"/>
  <c r="S230" i="475"/>
  <c r="Q229" i="475"/>
  <c r="T230" i="475"/>
  <c r="R8" i="475"/>
  <c r="S9" i="475"/>
  <c r="Q8" i="475"/>
  <c r="T8" i="475" s="1"/>
  <c r="T9" i="475"/>
  <c r="AN219" i="475"/>
  <c r="AM219" i="475"/>
  <c r="O301" i="475"/>
  <c r="O302" i="475" s="1"/>
  <c r="O303" i="475" s="1"/>
  <c r="P301" i="475"/>
  <c r="P302" i="475" s="1"/>
  <c r="P303" i="475" s="1"/>
  <c r="S292" i="475"/>
  <c r="R290" i="475"/>
  <c r="S246" i="475"/>
  <c r="X246" i="475"/>
  <c r="T246" i="475"/>
  <c r="W246" i="475"/>
  <c r="S242" i="475"/>
  <c r="X242" i="475"/>
  <c r="T242" i="475"/>
  <c r="W242" i="475"/>
  <c r="S232" i="475"/>
  <c r="X232" i="475"/>
  <c r="T232" i="475"/>
  <c r="W232" i="475"/>
  <c r="S37" i="475"/>
  <c r="R34" i="475"/>
  <c r="AO219" i="475"/>
  <c r="AR219" i="475" s="1"/>
  <c r="Z219" i="475"/>
  <c r="L270" i="475"/>
  <c r="M271" i="475"/>
  <c r="K270" i="475"/>
  <c r="N271" i="475"/>
  <c r="J270" i="475"/>
  <c r="V270" i="475" s="1"/>
  <c r="V271" i="475"/>
  <c r="I270" i="475"/>
  <c r="U270" i="475" s="1"/>
  <c r="U271" i="475"/>
  <c r="L229" i="475"/>
  <c r="L165" i="475" s="1"/>
  <c r="M230" i="475"/>
  <c r="K229" i="475"/>
  <c r="K165" i="475" s="1"/>
  <c r="N230" i="475"/>
  <c r="J229" i="475"/>
  <c r="V230" i="475"/>
  <c r="I229" i="475"/>
  <c r="U230" i="475"/>
  <c r="L8" i="475"/>
  <c r="M9" i="475"/>
  <c r="K8" i="475"/>
  <c r="N9" i="475"/>
  <c r="N232" i="475"/>
  <c r="AM92" i="475"/>
  <c r="M292" i="475"/>
  <c r="M290" i="475"/>
  <c r="N242" i="475"/>
  <c r="AN92" i="475"/>
  <c r="N290" i="475"/>
  <c r="M232" i="475"/>
  <c r="M242" i="475"/>
  <c r="M213" i="475"/>
  <c r="X213" i="475"/>
  <c r="N213" i="475"/>
  <c r="W213" i="475"/>
  <c r="M209" i="475"/>
  <c r="X209" i="475"/>
  <c r="N209" i="475"/>
  <c r="W209" i="475"/>
  <c r="M177" i="475"/>
  <c r="X177" i="475"/>
  <c r="N177" i="475"/>
  <c r="W177" i="475"/>
  <c r="M173" i="475"/>
  <c r="X173" i="475"/>
  <c r="N173" i="475"/>
  <c r="W173" i="475"/>
  <c r="M168" i="475"/>
  <c r="X168" i="475"/>
  <c r="N168" i="475"/>
  <c r="W168" i="475"/>
  <c r="M166" i="475"/>
  <c r="X166" i="475"/>
  <c r="N166" i="475"/>
  <c r="W166" i="475"/>
  <c r="M161" i="475"/>
  <c r="X161" i="475"/>
  <c r="N161" i="475"/>
  <c r="W161" i="475"/>
  <c r="M148" i="475"/>
  <c r="X148" i="475"/>
  <c r="N148" i="475"/>
  <c r="W148" i="475"/>
  <c r="M139" i="475"/>
  <c r="X139" i="475"/>
  <c r="N139" i="475"/>
  <c r="W139" i="475"/>
  <c r="M125" i="475"/>
  <c r="X125" i="475"/>
  <c r="N125" i="475"/>
  <c r="W125" i="475"/>
  <c r="M122" i="475"/>
  <c r="X122" i="475"/>
  <c r="N122" i="475"/>
  <c r="W122" i="475"/>
  <c r="M119" i="475"/>
  <c r="X119" i="475"/>
  <c r="N119" i="475"/>
  <c r="W119" i="475"/>
  <c r="M115" i="475"/>
  <c r="X115" i="475"/>
  <c r="N115" i="475"/>
  <c r="W115" i="475"/>
  <c r="M108" i="475"/>
  <c r="X108" i="475"/>
  <c r="N108" i="475"/>
  <c r="W108" i="475"/>
  <c r="M103" i="475"/>
  <c r="X103" i="475"/>
  <c r="N103" i="475"/>
  <c r="W103" i="475"/>
  <c r="M73" i="475"/>
  <c r="X73" i="475"/>
  <c r="N73" i="475"/>
  <c r="W73" i="475"/>
  <c r="M67" i="475"/>
  <c r="X67" i="475"/>
  <c r="N67" i="475"/>
  <c r="W67" i="475"/>
  <c r="M60" i="475"/>
  <c r="X60" i="475"/>
  <c r="N60" i="475"/>
  <c r="W60" i="475"/>
  <c r="M54" i="475"/>
  <c r="X54" i="475"/>
  <c r="N54" i="475"/>
  <c r="W54" i="475"/>
  <c r="M45" i="475"/>
  <c r="X45" i="475"/>
  <c r="N45" i="475"/>
  <c r="W45" i="475"/>
  <c r="M40" i="475"/>
  <c r="X40" i="475"/>
  <c r="N40" i="475"/>
  <c r="W40" i="475"/>
  <c r="M37" i="475"/>
  <c r="L34" i="475"/>
  <c r="M34" i="475" s="1"/>
  <c r="X37" i="475"/>
  <c r="N37" i="475"/>
  <c r="K34" i="475"/>
  <c r="N34" i="475" s="1"/>
  <c r="W37" i="475"/>
  <c r="M22" i="475"/>
  <c r="X22" i="475"/>
  <c r="N22" i="475"/>
  <c r="W22" i="475"/>
  <c r="AO22" i="475" s="1"/>
  <c r="D8" i="475"/>
  <c r="V9" i="475"/>
  <c r="C8" i="475"/>
  <c r="U8" i="475" s="1"/>
  <c r="U9" i="475"/>
  <c r="AM9" i="475" s="1"/>
  <c r="V103" i="475"/>
  <c r="G103" i="475"/>
  <c r="H103" i="475"/>
  <c r="AP92" i="475"/>
  <c r="Y92" i="475"/>
  <c r="Z92" i="475"/>
  <c r="AO92" i="475"/>
  <c r="V73" i="475"/>
  <c r="G73" i="475"/>
  <c r="H73" i="475"/>
  <c r="V67" i="475"/>
  <c r="G67" i="475"/>
  <c r="H67" i="475"/>
  <c r="V60" i="475"/>
  <c r="G60" i="475"/>
  <c r="H60" i="475"/>
  <c r="V54" i="475"/>
  <c r="G54" i="475"/>
  <c r="H54" i="475"/>
  <c r="V45" i="475"/>
  <c r="G45" i="475"/>
  <c r="H45" i="475"/>
  <c r="V40" i="475"/>
  <c r="G40" i="475"/>
  <c r="H40" i="475"/>
  <c r="V37" i="475"/>
  <c r="D34" i="475"/>
  <c r="V34" i="475" s="1"/>
  <c r="G37" i="475"/>
  <c r="H37" i="475"/>
  <c r="U37" i="475"/>
  <c r="AM37" i="475" s="1"/>
  <c r="C34" i="475"/>
  <c r="U34" i="475" s="1"/>
  <c r="V22" i="475"/>
  <c r="G22" i="475"/>
  <c r="H22" i="475"/>
  <c r="G9" i="475"/>
  <c r="H9" i="475"/>
  <c r="AP300" i="475"/>
  <c r="AQ300" i="475" s="1"/>
  <c r="Y300" i="475"/>
  <c r="AO300" i="475"/>
  <c r="AR300" i="475" s="1"/>
  <c r="Z300" i="475"/>
  <c r="Y299" i="475"/>
  <c r="AP299" i="475"/>
  <c r="AQ299" i="475" s="1"/>
  <c r="Z299" i="475"/>
  <c r="AO299" i="475"/>
  <c r="AR299" i="475" s="1"/>
  <c r="AP298" i="475"/>
  <c r="AQ298" i="475" s="1"/>
  <c r="Y298" i="475"/>
  <c r="AO298" i="475"/>
  <c r="AR298" i="475" s="1"/>
  <c r="Z298" i="475"/>
  <c r="Y297" i="475"/>
  <c r="AP297" i="475"/>
  <c r="Z297" i="475"/>
  <c r="AO297" i="475"/>
  <c r="Y295" i="475"/>
  <c r="AP295" i="475"/>
  <c r="AQ295" i="475" s="1"/>
  <c r="AP294" i="475"/>
  <c r="AQ294" i="475" s="1"/>
  <c r="Y294" i="475"/>
  <c r="AO294" i="475"/>
  <c r="AR294" i="475" s="1"/>
  <c r="Z294" i="475"/>
  <c r="AP293" i="475"/>
  <c r="Y293" i="475"/>
  <c r="AO293" i="475"/>
  <c r="Z293" i="475"/>
  <c r="AP291" i="475"/>
  <c r="AQ291" i="475" s="1"/>
  <c r="Y291" i="475"/>
  <c r="W290" i="475"/>
  <c r="H290" i="475"/>
  <c r="Z291" i="475"/>
  <c r="AO291" i="475"/>
  <c r="AR291" i="475" s="1"/>
  <c r="AP289" i="475"/>
  <c r="AQ289" i="475" s="1"/>
  <c r="Y289" i="475"/>
  <c r="AO289" i="475"/>
  <c r="AR289" i="475" s="1"/>
  <c r="Z289" i="475"/>
  <c r="AP288" i="475"/>
  <c r="AQ288" i="475" s="1"/>
  <c r="Y288" i="475"/>
  <c r="Z288" i="475"/>
  <c r="AO288" i="475"/>
  <c r="AR288" i="475" s="1"/>
  <c r="Y287" i="475"/>
  <c r="AP287" i="475"/>
  <c r="AQ287" i="475" s="1"/>
  <c r="AO287" i="475"/>
  <c r="AR287" i="475" s="1"/>
  <c r="Z287" i="475"/>
  <c r="Y286" i="475"/>
  <c r="AP286" i="475"/>
  <c r="AQ286" i="475" s="1"/>
  <c r="Z286" i="475"/>
  <c r="AO286" i="475"/>
  <c r="AR286" i="475" s="1"/>
  <c r="AP285" i="475"/>
  <c r="AQ285" i="475" s="1"/>
  <c r="Y285" i="475"/>
  <c r="AO285" i="475"/>
  <c r="AR285" i="475" s="1"/>
  <c r="Z285" i="475"/>
  <c r="AP284" i="475"/>
  <c r="AQ284" i="475" s="1"/>
  <c r="Y284" i="475"/>
  <c r="AO284" i="475"/>
  <c r="AR284" i="475" s="1"/>
  <c r="Z284" i="475"/>
  <c r="AP283" i="475"/>
  <c r="AQ283" i="475" s="1"/>
  <c r="Y283" i="475"/>
  <c r="Z283" i="475"/>
  <c r="AO283" i="475"/>
  <c r="AR283" i="475" s="1"/>
  <c r="AP282" i="475"/>
  <c r="AQ282" i="475" s="1"/>
  <c r="Y282" i="475"/>
  <c r="AO282" i="475"/>
  <c r="AR282" i="475" s="1"/>
  <c r="Z282" i="475"/>
  <c r="Y281" i="475"/>
  <c r="AP281" i="475"/>
  <c r="AQ281" i="475" s="1"/>
  <c r="AO281" i="475"/>
  <c r="AR281" i="475" s="1"/>
  <c r="Z281" i="475"/>
  <c r="AP280" i="475"/>
  <c r="AQ280" i="475" s="1"/>
  <c r="Y280" i="475"/>
  <c r="Z280" i="475"/>
  <c r="AO280" i="475"/>
  <c r="AR280" i="475" s="1"/>
  <c r="Y279" i="475"/>
  <c r="AP279" i="475"/>
  <c r="AQ279" i="475" s="1"/>
  <c r="Z279" i="475"/>
  <c r="AO279" i="475"/>
  <c r="AR279" i="475" s="1"/>
  <c r="Y278" i="475"/>
  <c r="AP278" i="475"/>
  <c r="AQ278" i="475" s="1"/>
  <c r="Z278" i="475"/>
  <c r="AO278" i="475"/>
  <c r="AR278" i="475" s="1"/>
  <c r="AP277" i="475"/>
  <c r="AQ277" i="475" s="1"/>
  <c r="Y277" i="475"/>
  <c r="Z277" i="475"/>
  <c r="AO277" i="475"/>
  <c r="AR277" i="475" s="1"/>
  <c r="AP276" i="475"/>
  <c r="AQ276" i="475" s="1"/>
  <c r="Y276" i="475"/>
  <c r="Z276" i="475"/>
  <c r="AO276" i="475"/>
  <c r="AR276" i="475" s="1"/>
  <c r="Y275" i="475"/>
  <c r="AP275" i="475"/>
  <c r="AQ275" i="475" s="1"/>
  <c r="Z275" i="475"/>
  <c r="AO275" i="475"/>
  <c r="AR275" i="475" s="1"/>
  <c r="Y274" i="475"/>
  <c r="AP274" i="475"/>
  <c r="AQ274" i="475" s="1"/>
  <c r="Z274" i="475"/>
  <c r="AO274" i="475"/>
  <c r="AR274" i="475" s="1"/>
  <c r="Y273" i="475"/>
  <c r="AP273" i="475"/>
  <c r="AQ273" i="475" s="1"/>
  <c r="Z273" i="475"/>
  <c r="AO273" i="475"/>
  <c r="AR273" i="475" s="1"/>
  <c r="Y272" i="475"/>
  <c r="AP272" i="475"/>
  <c r="Z272" i="475"/>
  <c r="AO272" i="475"/>
  <c r="AP269" i="475"/>
  <c r="AQ269" i="475" s="1"/>
  <c r="Y269" i="475"/>
  <c r="Z269" i="475"/>
  <c r="AO269" i="475"/>
  <c r="AR269" i="475" s="1"/>
  <c r="Y268" i="475"/>
  <c r="AP268" i="475"/>
  <c r="AQ268" i="475" s="1"/>
  <c r="Z268" i="475"/>
  <c r="AO268" i="475"/>
  <c r="AR268" i="475" s="1"/>
  <c r="Y267" i="475"/>
  <c r="AP267" i="475"/>
  <c r="AQ267" i="475" s="1"/>
  <c r="Z267" i="475"/>
  <c r="AO267" i="475"/>
  <c r="AR267" i="475" s="1"/>
  <c r="Y266" i="475"/>
  <c r="AP266" i="475"/>
  <c r="AQ266" i="475" s="1"/>
  <c r="Z266" i="475"/>
  <c r="AO266" i="475"/>
  <c r="AR266" i="475" s="1"/>
  <c r="Y265" i="475"/>
  <c r="AP265" i="475"/>
  <c r="AQ265" i="475" s="1"/>
  <c r="Z265" i="475"/>
  <c r="AO265" i="475"/>
  <c r="AR265" i="475" s="1"/>
  <c r="AP264" i="475"/>
  <c r="AQ264" i="475" s="1"/>
  <c r="Y264" i="475"/>
  <c r="AO264" i="475"/>
  <c r="AR264" i="475" s="1"/>
  <c r="Z264" i="475"/>
  <c r="Y263" i="475"/>
  <c r="AP263" i="475"/>
  <c r="AQ263" i="475" s="1"/>
  <c r="AO263" i="475"/>
  <c r="AR263" i="475" s="1"/>
  <c r="Z263" i="475"/>
  <c r="AE254" i="475"/>
  <c r="AJ254" i="475"/>
  <c r="AD253" i="475"/>
  <c r="AF254" i="475"/>
  <c r="AI254" i="475"/>
  <c r="AC253" i="475"/>
  <c r="AH254" i="475"/>
  <c r="AB253" i="475"/>
  <c r="AH253" i="475" s="1"/>
  <c r="AG254" i="475"/>
  <c r="AA253" i="475"/>
  <c r="S254" i="475"/>
  <c r="R253" i="475"/>
  <c r="S253" i="475" s="1"/>
  <c r="T254" i="475"/>
  <c r="Q253" i="475"/>
  <c r="T253" i="475" s="1"/>
  <c r="M254" i="475"/>
  <c r="L253" i="475"/>
  <c r="M253" i="475" s="1"/>
  <c r="N254" i="475"/>
  <c r="K253" i="475"/>
  <c r="N253" i="475" s="1"/>
  <c r="G254" i="475"/>
  <c r="X254" i="475"/>
  <c r="F253" i="475"/>
  <c r="AP262" i="475"/>
  <c r="Y262" i="475"/>
  <c r="H254" i="475"/>
  <c r="W254" i="475"/>
  <c r="E253" i="475"/>
  <c r="Z262" i="475"/>
  <c r="AO262" i="475"/>
  <c r="V254" i="475"/>
  <c r="AN254" i="475" s="1"/>
  <c r="D253" i="475"/>
  <c r="V253" i="475" s="1"/>
  <c r="AN253" i="475" s="1"/>
  <c r="U254" i="475"/>
  <c r="AM254" i="475" s="1"/>
  <c r="C253" i="475"/>
  <c r="U253" i="475" s="1"/>
  <c r="Y261" i="475"/>
  <c r="AP261" i="475"/>
  <c r="AQ261" i="475" s="1"/>
  <c r="Z261" i="475"/>
  <c r="AO261" i="475"/>
  <c r="AR261" i="475" s="1"/>
  <c r="Y260" i="475"/>
  <c r="AP260" i="475"/>
  <c r="AQ260" i="475" s="1"/>
  <c r="Z260" i="475"/>
  <c r="AO260" i="475"/>
  <c r="AR260" i="475" s="1"/>
  <c r="Y259" i="475"/>
  <c r="AP259" i="475"/>
  <c r="AQ259" i="475" s="1"/>
  <c r="Z259" i="475"/>
  <c r="AO259" i="475"/>
  <c r="AR259" i="475" s="1"/>
  <c r="Y258" i="475"/>
  <c r="AP258" i="475"/>
  <c r="AQ258" i="475" s="1"/>
  <c r="Z258" i="475"/>
  <c r="AO258" i="475"/>
  <c r="AR258" i="475" s="1"/>
  <c r="Y257" i="475"/>
  <c r="AP257" i="475"/>
  <c r="AQ257" i="475" s="1"/>
  <c r="Z257" i="475"/>
  <c r="AO257" i="475"/>
  <c r="AR257" i="475" s="1"/>
  <c r="Y256" i="475"/>
  <c r="AP256" i="475"/>
  <c r="AQ256" i="475" s="1"/>
  <c r="Z256" i="475"/>
  <c r="AO256" i="475"/>
  <c r="AR256" i="475" s="1"/>
  <c r="Y255" i="475"/>
  <c r="AP255" i="475"/>
  <c r="AQ255" i="475" s="1"/>
  <c r="Z255" i="475"/>
  <c r="AO255" i="475"/>
  <c r="AR255" i="475" s="1"/>
  <c r="Y252" i="475"/>
  <c r="AP252" i="475"/>
  <c r="AQ252" i="475" s="1"/>
  <c r="Z252" i="475"/>
  <c r="AO252" i="475"/>
  <c r="AR252" i="475" s="1"/>
  <c r="Y251" i="475"/>
  <c r="AP251" i="475"/>
  <c r="AQ251" i="475" s="1"/>
  <c r="Z251" i="475"/>
  <c r="AO251" i="475"/>
  <c r="AR251" i="475" s="1"/>
  <c r="Y250" i="475"/>
  <c r="AP250" i="475"/>
  <c r="AQ250" i="475" s="1"/>
  <c r="Z250" i="475"/>
  <c r="AO250" i="475"/>
  <c r="AR250" i="475" s="1"/>
  <c r="Y249" i="475"/>
  <c r="AP249" i="475"/>
  <c r="AQ249" i="475" s="1"/>
  <c r="Z249" i="475"/>
  <c r="AO249" i="475"/>
  <c r="AR249" i="475" s="1"/>
  <c r="Y248" i="475"/>
  <c r="AP248" i="475"/>
  <c r="AQ248" i="475" s="1"/>
  <c r="Z248" i="475"/>
  <c r="AO248" i="475"/>
  <c r="AR248" i="475" s="1"/>
  <c r="Y247" i="475"/>
  <c r="AP247" i="475"/>
  <c r="Z247" i="475"/>
  <c r="AO247" i="475"/>
  <c r="Y245" i="475"/>
  <c r="AP245" i="475"/>
  <c r="AQ245" i="475" s="1"/>
  <c r="Z245" i="475"/>
  <c r="AO245" i="475"/>
  <c r="AR245" i="475" s="1"/>
  <c r="Y244" i="475"/>
  <c r="AP244" i="475"/>
  <c r="AQ244" i="475" s="1"/>
  <c r="Z244" i="475"/>
  <c r="AO244" i="475"/>
  <c r="AR244" i="475" s="1"/>
  <c r="Y243" i="475"/>
  <c r="AP243" i="475"/>
  <c r="Z243" i="475"/>
  <c r="AO243" i="475"/>
  <c r="Y241" i="475"/>
  <c r="AP241" i="475"/>
  <c r="AQ241" i="475" s="1"/>
  <c r="Z241" i="475"/>
  <c r="AO241" i="475"/>
  <c r="AR241" i="475" s="1"/>
  <c r="Y240" i="475"/>
  <c r="AP240" i="475"/>
  <c r="AQ240" i="475" s="1"/>
  <c r="Z240" i="475"/>
  <c r="AO240" i="475"/>
  <c r="AR240" i="475" s="1"/>
  <c r="Y239" i="475"/>
  <c r="AP239" i="475"/>
  <c r="AQ239" i="475" s="1"/>
  <c r="Z239" i="475"/>
  <c r="AO239" i="475"/>
  <c r="AR239" i="475" s="1"/>
  <c r="Y238" i="475"/>
  <c r="AP238" i="475"/>
  <c r="AQ238" i="475" s="1"/>
  <c r="Z238" i="475"/>
  <c r="AO238" i="475"/>
  <c r="AR238" i="475" s="1"/>
  <c r="Y237" i="475"/>
  <c r="AP237" i="475"/>
  <c r="AQ237" i="475" s="1"/>
  <c r="Z237" i="475"/>
  <c r="AO237" i="475"/>
  <c r="AR237" i="475" s="1"/>
  <c r="Y236" i="475"/>
  <c r="AP236" i="475"/>
  <c r="AQ236" i="475" s="1"/>
  <c r="Z236" i="475"/>
  <c r="AO236" i="475"/>
  <c r="AR236" i="475" s="1"/>
  <c r="Y235" i="475"/>
  <c r="AP235" i="475"/>
  <c r="AQ235" i="475" s="1"/>
  <c r="Z235" i="475"/>
  <c r="AO235" i="475"/>
  <c r="AR235" i="475" s="1"/>
  <c r="Y234" i="475"/>
  <c r="AP234" i="475"/>
  <c r="AQ234" i="475" s="1"/>
  <c r="Z234" i="475"/>
  <c r="AO234" i="475"/>
  <c r="AR234" i="475" s="1"/>
  <c r="Y233" i="475"/>
  <c r="AP233" i="475"/>
  <c r="Z233" i="475"/>
  <c r="AO233" i="475"/>
  <c r="Y231" i="475"/>
  <c r="AP231" i="475"/>
  <c r="Z231" i="475"/>
  <c r="AO231" i="475"/>
  <c r="Y228" i="475"/>
  <c r="AP228" i="475"/>
  <c r="AQ228" i="475" s="1"/>
  <c r="Z228" i="475"/>
  <c r="AO228" i="475"/>
  <c r="AR228" i="475" s="1"/>
  <c r="Y227" i="475"/>
  <c r="AP227" i="475"/>
  <c r="AQ227" i="475" s="1"/>
  <c r="Z227" i="475"/>
  <c r="AO227" i="475"/>
  <c r="AR227" i="475" s="1"/>
  <c r="Y226" i="475"/>
  <c r="AP226" i="475"/>
  <c r="AQ226" i="475" s="1"/>
  <c r="Z226" i="475"/>
  <c r="AO226" i="475"/>
  <c r="AR226" i="475" s="1"/>
  <c r="Y225" i="475"/>
  <c r="AP225" i="475"/>
  <c r="AQ225" i="475" s="1"/>
  <c r="Z225" i="475"/>
  <c r="AO225" i="475"/>
  <c r="AR225" i="475" s="1"/>
  <c r="Y224" i="475"/>
  <c r="AP224" i="475"/>
  <c r="AQ224" i="475" s="1"/>
  <c r="Z224" i="475"/>
  <c r="AO224" i="475"/>
  <c r="AR224" i="475" s="1"/>
  <c r="Y223" i="475"/>
  <c r="AP223" i="475"/>
  <c r="AQ223" i="475" s="1"/>
  <c r="Z223" i="475"/>
  <c r="AO223" i="475"/>
  <c r="AR223" i="475" s="1"/>
  <c r="Y222" i="475"/>
  <c r="AP222" i="475"/>
  <c r="AQ222" i="475" s="1"/>
  <c r="Z222" i="475"/>
  <c r="AO222" i="475"/>
  <c r="AR222" i="475" s="1"/>
  <c r="Y221" i="475"/>
  <c r="AP221" i="475"/>
  <c r="AQ221" i="475" s="1"/>
  <c r="Z221" i="475"/>
  <c r="AO221" i="475"/>
  <c r="AR221" i="475" s="1"/>
  <c r="T217" i="475"/>
  <c r="M217" i="475"/>
  <c r="N217" i="475"/>
  <c r="G217" i="475"/>
  <c r="X217" i="475"/>
  <c r="Y220" i="475"/>
  <c r="AP220" i="475"/>
  <c r="AQ220" i="475" s="1"/>
  <c r="Z220" i="475"/>
  <c r="AO220" i="475"/>
  <c r="AR220" i="475" s="1"/>
  <c r="H217" i="475"/>
  <c r="W217" i="475"/>
  <c r="E165" i="475"/>
  <c r="AE217" i="475"/>
  <c r="AJ217" i="475"/>
  <c r="AD165" i="475"/>
  <c r="AF217" i="475"/>
  <c r="AI217" i="475"/>
  <c r="AC165" i="475"/>
  <c r="AH217" i="475"/>
  <c r="AN217" i="475" s="1"/>
  <c r="AG217" i="475"/>
  <c r="AM217" i="475" s="1"/>
  <c r="S217" i="475"/>
  <c r="Y219" i="475"/>
  <c r="AP219" i="475"/>
  <c r="Y218" i="475"/>
  <c r="AP218" i="475"/>
  <c r="AQ218" i="475" s="1"/>
  <c r="Z218" i="475"/>
  <c r="AO218" i="475"/>
  <c r="AR218" i="475" s="1"/>
  <c r="Y216" i="475"/>
  <c r="AP216" i="475"/>
  <c r="AQ216" i="475" s="1"/>
  <c r="Z216" i="475"/>
  <c r="AO216" i="475"/>
  <c r="AR216" i="475" s="1"/>
  <c r="Y215" i="475"/>
  <c r="AP215" i="475"/>
  <c r="AQ215" i="475" s="1"/>
  <c r="Z215" i="475"/>
  <c r="AO215" i="475"/>
  <c r="AR215" i="475" s="1"/>
  <c r="Y214" i="475"/>
  <c r="AP214" i="475"/>
  <c r="Z214" i="475"/>
  <c r="AO214" i="475"/>
  <c r="Y212" i="475"/>
  <c r="AP212" i="475"/>
  <c r="AQ212" i="475" s="1"/>
  <c r="Z212" i="475"/>
  <c r="AO212" i="475"/>
  <c r="AR212" i="475" s="1"/>
  <c r="Y211" i="475"/>
  <c r="AP211" i="475"/>
  <c r="AQ211" i="475" s="1"/>
  <c r="Z211" i="475"/>
  <c r="AO211" i="475"/>
  <c r="AR211" i="475" s="1"/>
  <c r="Y210" i="475"/>
  <c r="AP210" i="475"/>
  <c r="Z210" i="475"/>
  <c r="AO210" i="475"/>
  <c r="Y208" i="475"/>
  <c r="AP208" i="475"/>
  <c r="AQ208" i="475" s="1"/>
  <c r="Z208" i="475"/>
  <c r="AO208" i="475"/>
  <c r="AR208" i="475" s="1"/>
  <c r="Y207" i="475"/>
  <c r="AP207" i="475"/>
  <c r="AQ207" i="475" s="1"/>
  <c r="Z207" i="475"/>
  <c r="AO207" i="475"/>
  <c r="AR207" i="475" s="1"/>
  <c r="Y206" i="475"/>
  <c r="AP206" i="475"/>
  <c r="AQ206" i="475" s="1"/>
  <c r="Z206" i="475"/>
  <c r="AO206" i="475"/>
  <c r="AR206" i="475" s="1"/>
  <c r="Y205" i="475"/>
  <c r="AP205" i="475"/>
  <c r="AQ205" i="475" s="1"/>
  <c r="Z205" i="475"/>
  <c r="AO205" i="475"/>
  <c r="AR205" i="475" s="1"/>
  <c r="Z204" i="475"/>
  <c r="AO204" i="475"/>
  <c r="Y203" i="475"/>
  <c r="AP203" i="475"/>
  <c r="AQ203" i="475" s="1"/>
  <c r="Z203" i="475"/>
  <c r="AO203" i="475"/>
  <c r="AR203" i="475" s="1"/>
  <c r="AP202" i="475"/>
  <c r="AQ202" i="475" s="1"/>
  <c r="Y202" i="475"/>
  <c r="Z202" i="475"/>
  <c r="AO202" i="475"/>
  <c r="AR202" i="475" s="1"/>
  <c r="Y201" i="475"/>
  <c r="AP201" i="475"/>
  <c r="AQ201" i="475" s="1"/>
  <c r="Z201" i="475"/>
  <c r="AO201" i="475"/>
  <c r="AR201" i="475" s="1"/>
  <c r="Y200" i="475"/>
  <c r="AP200" i="475"/>
  <c r="AQ200" i="475" s="1"/>
  <c r="AO200" i="475"/>
  <c r="AR200" i="475" s="1"/>
  <c r="Z200" i="475"/>
  <c r="AP199" i="475"/>
  <c r="AQ199" i="475" s="1"/>
  <c r="Y199" i="475"/>
  <c r="AO199" i="475"/>
  <c r="AR199" i="475" s="1"/>
  <c r="Z199" i="475"/>
  <c r="Y198" i="475"/>
  <c r="AP198" i="475"/>
  <c r="AQ198" i="475" s="1"/>
  <c r="Z198" i="475"/>
  <c r="AO198" i="475"/>
  <c r="AR198" i="475" s="1"/>
  <c r="AP197" i="475"/>
  <c r="AQ197" i="475" s="1"/>
  <c r="Y197" i="475"/>
  <c r="AO197" i="475"/>
  <c r="AR197" i="475" s="1"/>
  <c r="Z197" i="475"/>
  <c r="AP196" i="475"/>
  <c r="AQ196" i="475" s="1"/>
  <c r="Y196" i="475"/>
  <c r="Z196" i="475"/>
  <c r="AO196" i="475"/>
  <c r="AR196" i="475" s="1"/>
  <c r="AP195" i="475"/>
  <c r="AQ195" i="475" s="1"/>
  <c r="Y195" i="475"/>
  <c r="AO195" i="475"/>
  <c r="AR195" i="475" s="1"/>
  <c r="Z195" i="475"/>
  <c r="AP194" i="475"/>
  <c r="AQ194" i="475" s="1"/>
  <c r="Y194" i="475"/>
  <c r="AO194" i="475"/>
  <c r="AR194" i="475" s="1"/>
  <c r="Z194" i="475"/>
  <c r="AK193" i="475"/>
  <c r="AN193" i="475"/>
  <c r="AP193" i="475"/>
  <c r="AQ193" i="475" s="1"/>
  <c r="Y193" i="475"/>
  <c r="AO193" i="475"/>
  <c r="AR193" i="475" s="1"/>
  <c r="Z193" i="475"/>
  <c r="AP192" i="475"/>
  <c r="AQ192" i="475" s="1"/>
  <c r="Y192" i="475"/>
  <c r="AO192" i="475"/>
  <c r="AR192" i="475" s="1"/>
  <c r="Z192" i="475"/>
  <c r="AP191" i="475"/>
  <c r="AQ191" i="475" s="1"/>
  <c r="Y191" i="475"/>
  <c r="Z191" i="475"/>
  <c r="AO191" i="475"/>
  <c r="AR191" i="475" s="1"/>
  <c r="AP190" i="475"/>
  <c r="AQ190" i="475" s="1"/>
  <c r="Y190" i="475"/>
  <c r="AO190" i="475"/>
  <c r="AR190" i="475" s="1"/>
  <c r="Z190" i="475"/>
  <c r="AP189" i="475"/>
  <c r="AQ189" i="475" s="1"/>
  <c r="Y189" i="475"/>
  <c r="Z189" i="475"/>
  <c r="AO189" i="475"/>
  <c r="AR189" i="475" s="1"/>
  <c r="Y188" i="475"/>
  <c r="AP188" i="475"/>
  <c r="AQ188" i="475" s="1"/>
  <c r="Z188" i="475"/>
  <c r="AO188" i="475"/>
  <c r="AR188" i="475" s="1"/>
  <c r="Y187" i="475"/>
  <c r="AP187" i="475"/>
  <c r="AQ187" i="475" s="1"/>
  <c r="Z187" i="475"/>
  <c r="AO187" i="475"/>
  <c r="AR187" i="475" s="1"/>
  <c r="Y186" i="475"/>
  <c r="AP186" i="475"/>
  <c r="AQ186" i="475" s="1"/>
  <c r="AO186" i="475"/>
  <c r="AR186" i="475" s="1"/>
  <c r="Z186" i="475"/>
  <c r="AP185" i="475"/>
  <c r="AQ185" i="475" s="1"/>
  <c r="Y185" i="475"/>
  <c r="Z185" i="475"/>
  <c r="AO185" i="475"/>
  <c r="AR185" i="475" s="1"/>
  <c r="AP184" i="475"/>
  <c r="AQ184" i="475" s="1"/>
  <c r="Y184" i="475"/>
  <c r="Z184" i="475"/>
  <c r="AO184" i="475"/>
  <c r="AR184" i="475" s="1"/>
  <c r="AP183" i="475"/>
  <c r="AQ183" i="475" s="1"/>
  <c r="Y183" i="475"/>
  <c r="AO183" i="475"/>
  <c r="AR183" i="475" s="1"/>
  <c r="Z183" i="475"/>
  <c r="AP182" i="475"/>
  <c r="AQ182" i="475" s="1"/>
  <c r="Y182" i="475"/>
  <c r="AO182" i="475"/>
  <c r="AR182" i="475" s="1"/>
  <c r="Z182" i="475"/>
  <c r="Y181" i="475"/>
  <c r="AP181" i="475"/>
  <c r="AQ181" i="475" s="1"/>
  <c r="AO181" i="475"/>
  <c r="AR181" i="475" s="1"/>
  <c r="Z181" i="475"/>
  <c r="AP180" i="475"/>
  <c r="AQ180" i="475" s="1"/>
  <c r="Y180" i="475"/>
  <c r="AO180" i="475"/>
  <c r="AR180" i="475" s="1"/>
  <c r="Z180" i="475"/>
  <c r="AP179" i="475"/>
  <c r="AQ179" i="475" s="1"/>
  <c r="Y179" i="475"/>
  <c r="Z179" i="475"/>
  <c r="AO179" i="475"/>
  <c r="AR179" i="475" s="1"/>
  <c r="Y178" i="475"/>
  <c r="AP178" i="475"/>
  <c r="AO178" i="475"/>
  <c r="Z178" i="475"/>
  <c r="D165" i="475"/>
  <c r="V177" i="475"/>
  <c r="U177" i="475"/>
  <c r="AM177" i="475" s="1"/>
  <c r="C165" i="475"/>
  <c r="Y176" i="475"/>
  <c r="AP176" i="475"/>
  <c r="AQ176" i="475" s="1"/>
  <c r="Z176" i="475"/>
  <c r="AO176" i="475"/>
  <c r="AR176" i="475" s="1"/>
  <c r="Y175" i="475"/>
  <c r="AP175" i="475"/>
  <c r="AQ175" i="475" s="1"/>
  <c r="Z175" i="475"/>
  <c r="AO175" i="475"/>
  <c r="AR175" i="475" s="1"/>
  <c r="Y174" i="475"/>
  <c r="AP174" i="475"/>
  <c r="Z174" i="475"/>
  <c r="AO174" i="475"/>
  <c r="Y172" i="475"/>
  <c r="AP172" i="475"/>
  <c r="AQ172" i="475" s="1"/>
  <c r="Z172" i="475"/>
  <c r="AO172" i="475"/>
  <c r="AR172" i="475" s="1"/>
  <c r="Y171" i="475"/>
  <c r="AP171" i="475"/>
  <c r="AQ171" i="475" s="1"/>
  <c r="Z171" i="475"/>
  <c r="AO171" i="475"/>
  <c r="AR171" i="475" s="1"/>
  <c r="Y170" i="475"/>
  <c r="AP170" i="475"/>
  <c r="AQ170" i="475" s="1"/>
  <c r="AO170" i="475"/>
  <c r="AR170" i="475" s="1"/>
  <c r="Z170" i="475"/>
  <c r="Y169" i="475"/>
  <c r="AP169" i="475"/>
  <c r="AO169" i="475"/>
  <c r="Z169" i="475"/>
  <c r="Y167" i="475"/>
  <c r="AP167" i="475"/>
  <c r="Z167" i="475"/>
  <c r="AO167" i="475"/>
  <c r="AP164" i="475"/>
  <c r="AQ164" i="475" s="1"/>
  <c r="Y164" i="475"/>
  <c r="AO164" i="475"/>
  <c r="AR164" i="475" s="1"/>
  <c r="Z164" i="475"/>
  <c r="Y163" i="475"/>
  <c r="AP163" i="475"/>
  <c r="AQ163" i="475" s="1"/>
  <c r="AO163" i="475"/>
  <c r="AR163" i="475" s="1"/>
  <c r="Z163" i="475"/>
  <c r="AP162" i="475"/>
  <c r="Y162" i="475"/>
  <c r="AO162" i="475"/>
  <c r="Z162" i="475"/>
  <c r="AP160" i="475"/>
  <c r="AQ160" i="475" s="1"/>
  <c r="Y160" i="475"/>
  <c r="Z160" i="475"/>
  <c r="AO160" i="475"/>
  <c r="AR160" i="475" s="1"/>
  <c r="Y159" i="475"/>
  <c r="AP159" i="475"/>
  <c r="AQ159" i="475" s="1"/>
  <c r="Z159" i="475"/>
  <c r="AO159" i="475"/>
  <c r="AR159" i="475" s="1"/>
  <c r="Y158" i="475"/>
  <c r="AP158" i="475"/>
  <c r="AQ158" i="475" s="1"/>
  <c r="Z158" i="475"/>
  <c r="AO158" i="475"/>
  <c r="AR158" i="475" s="1"/>
  <c r="Y157" i="475"/>
  <c r="AP157" i="475"/>
  <c r="AQ157" i="475" s="1"/>
  <c r="AO157" i="475"/>
  <c r="AR157" i="475" s="1"/>
  <c r="Z157" i="475"/>
  <c r="Y156" i="475"/>
  <c r="AP156" i="475"/>
  <c r="AQ156" i="475" s="1"/>
  <c r="Z156" i="475"/>
  <c r="AO156" i="475"/>
  <c r="AR156" i="475" s="1"/>
  <c r="AP155" i="475"/>
  <c r="AQ155" i="475" s="1"/>
  <c r="Y155" i="475"/>
  <c r="Z155" i="475"/>
  <c r="AO155" i="475"/>
  <c r="AR155" i="475" s="1"/>
  <c r="AP154" i="475"/>
  <c r="AQ154" i="475" s="1"/>
  <c r="Y154" i="475"/>
  <c r="AO154" i="475"/>
  <c r="AR154" i="475" s="1"/>
  <c r="Z154" i="475"/>
  <c r="Y153" i="475"/>
  <c r="AP153" i="475"/>
  <c r="AQ153" i="475" s="1"/>
  <c r="AO153" i="475"/>
  <c r="AR153" i="475" s="1"/>
  <c r="Z153" i="475"/>
  <c r="Y152" i="475"/>
  <c r="AP152" i="475"/>
  <c r="AQ152" i="475" s="1"/>
  <c r="AO152" i="475"/>
  <c r="AR152" i="475" s="1"/>
  <c r="Z152" i="475"/>
  <c r="Z151" i="475"/>
  <c r="AO151" i="475"/>
  <c r="Y150" i="475"/>
  <c r="AP150" i="475"/>
  <c r="AQ150" i="475" s="1"/>
  <c r="Z150" i="475"/>
  <c r="AO150" i="475"/>
  <c r="AR150" i="475" s="1"/>
  <c r="AP149" i="475"/>
  <c r="Y149" i="475"/>
  <c r="AO149" i="475"/>
  <c r="Z149" i="475"/>
  <c r="AP147" i="475"/>
  <c r="AQ147" i="475" s="1"/>
  <c r="Y147" i="475"/>
  <c r="Z147" i="475"/>
  <c r="AO147" i="475"/>
  <c r="AR147" i="475" s="1"/>
  <c r="AP146" i="475"/>
  <c r="AQ146" i="475" s="1"/>
  <c r="Y146" i="475"/>
  <c r="AO146" i="475"/>
  <c r="AR146" i="475" s="1"/>
  <c r="Z146" i="475"/>
  <c r="AP145" i="475"/>
  <c r="AQ145" i="475" s="1"/>
  <c r="Y145" i="475"/>
  <c r="AO145" i="475"/>
  <c r="AR145" i="475" s="1"/>
  <c r="Z145" i="475"/>
  <c r="Y144" i="475"/>
  <c r="AP144" i="475"/>
  <c r="AQ144" i="475" s="1"/>
  <c r="Z144" i="475"/>
  <c r="AO144" i="475"/>
  <c r="AR144" i="475" s="1"/>
  <c r="Y143" i="475"/>
  <c r="AP143" i="475"/>
  <c r="AQ143" i="475" s="1"/>
  <c r="AO143" i="475"/>
  <c r="AR143" i="475" s="1"/>
  <c r="Z143" i="475"/>
  <c r="AP142" i="475"/>
  <c r="AQ142" i="475" s="1"/>
  <c r="Y142" i="475"/>
  <c r="AO142" i="475"/>
  <c r="AR142" i="475" s="1"/>
  <c r="Z142" i="475"/>
  <c r="Y141" i="475"/>
  <c r="AP141" i="475"/>
  <c r="AQ141" i="475" s="1"/>
  <c r="AO141" i="475"/>
  <c r="AR141" i="475" s="1"/>
  <c r="Z141" i="475"/>
  <c r="Z140" i="475"/>
  <c r="AO140" i="475"/>
  <c r="AP138" i="475"/>
  <c r="AQ138" i="475" s="1"/>
  <c r="Y138" i="475"/>
  <c r="AO138" i="475"/>
  <c r="AR138" i="475" s="1"/>
  <c r="Z138" i="475"/>
  <c r="AP137" i="475"/>
  <c r="AQ137" i="475" s="1"/>
  <c r="Y137" i="475"/>
  <c r="AO137" i="475"/>
  <c r="AR137" i="475" s="1"/>
  <c r="Z137" i="475"/>
  <c r="AO136" i="475"/>
  <c r="Z136" i="475"/>
  <c r="AE129" i="475"/>
  <c r="AJ129" i="475"/>
  <c r="AK129" i="475" s="1"/>
  <c r="AF129" i="475"/>
  <c r="AI129" i="475"/>
  <c r="AL129" i="475" s="1"/>
  <c r="G129" i="475"/>
  <c r="X129" i="475"/>
  <c r="AP135" i="475"/>
  <c r="AQ135" i="475" s="1"/>
  <c r="Y135" i="475"/>
  <c r="H129" i="475"/>
  <c r="W129" i="475"/>
  <c r="AO135" i="475"/>
  <c r="AR135" i="475" s="1"/>
  <c r="Z135" i="475"/>
  <c r="Y134" i="475"/>
  <c r="AP134" i="475"/>
  <c r="AQ134" i="475" s="1"/>
  <c r="Z134" i="475"/>
  <c r="AO134" i="475"/>
  <c r="AR134" i="475" s="1"/>
  <c r="Y133" i="475"/>
  <c r="AP133" i="475"/>
  <c r="AQ133" i="475" s="1"/>
  <c r="Z133" i="475"/>
  <c r="AO133" i="475"/>
  <c r="AR133" i="475" s="1"/>
  <c r="Y132" i="475"/>
  <c r="AP132" i="475"/>
  <c r="AQ132" i="475" s="1"/>
  <c r="Z132" i="475"/>
  <c r="AO132" i="475"/>
  <c r="AR132" i="475" s="1"/>
  <c r="Y131" i="475"/>
  <c r="AP131" i="475"/>
  <c r="AQ131" i="475" s="1"/>
  <c r="Z131" i="475"/>
  <c r="AO131" i="475"/>
  <c r="AR131" i="475" s="1"/>
  <c r="Y130" i="475"/>
  <c r="AP130" i="475"/>
  <c r="AQ130" i="475" s="1"/>
  <c r="Z130" i="475"/>
  <c r="AO130" i="475"/>
  <c r="AR130" i="475" s="1"/>
  <c r="Y128" i="475"/>
  <c r="AP128" i="475"/>
  <c r="AQ128" i="475" s="1"/>
  <c r="Z128" i="475"/>
  <c r="AO128" i="475"/>
  <c r="AR128" i="475" s="1"/>
  <c r="Y127" i="475"/>
  <c r="AP127" i="475"/>
  <c r="AQ127" i="475" s="1"/>
  <c r="Z127" i="475"/>
  <c r="AO127" i="475"/>
  <c r="AR127" i="475" s="1"/>
  <c r="Y126" i="475"/>
  <c r="AP126" i="475"/>
  <c r="Z126" i="475"/>
  <c r="AO126" i="475"/>
  <c r="Y124" i="475"/>
  <c r="AP124" i="475"/>
  <c r="AQ124" i="475" s="1"/>
  <c r="Z124" i="475"/>
  <c r="AO124" i="475"/>
  <c r="AR124" i="475" s="1"/>
  <c r="Y123" i="475"/>
  <c r="AP123" i="475"/>
  <c r="Z123" i="475"/>
  <c r="AO123" i="475"/>
  <c r="Y121" i="475"/>
  <c r="AP121" i="475"/>
  <c r="AQ121" i="475" s="1"/>
  <c r="Z121" i="475"/>
  <c r="AO121" i="475"/>
  <c r="AR121" i="475" s="1"/>
  <c r="Y120" i="475"/>
  <c r="AP120" i="475"/>
  <c r="Z120" i="475"/>
  <c r="AO120" i="475"/>
  <c r="Y118" i="475"/>
  <c r="AP118" i="475"/>
  <c r="AQ118" i="475" s="1"/>
  <c r="Z118" i="475"/>
  <c r="AO118" i="475"/>
  <c r="AR118" i="475" s="1"/>
  <c r="Y117" i="475"/>
  <c r="AP117" i="475"/>
  <c r="AQ117" i="475" s="1"/>
  <c r="Z117" i="475"/>
  <c r="AO117" i="475"/>
  <c r="AR117" i="475" s="1"/>
  <c r="Y116" i="475"/>
  <c r="AP116" i="475"/>
  <c r="Z116" i="475"/>
  <c r="AO116" i="475"/>
  <c r="Y114" i="475"/>
  <c r="AP114" i="475"/>
  <c r="AQ114" i="475" s="1"/>
  <c r="Z114" i="475"/>
  <c r="AO114" i="475"/>
  <c r="AR114" i="475" s="1"/>
  <c r="Y113" i="475"/>
  <c r="AP113" i="475"/>
  <c r="AQ113" i="475" s="1"/>
  <c r="Z113" i="475"/>
  <c r="AO113" i="475"/>
  <c r="AR113" i="475" s="1"/>
  <c r="Y112" i="475"/>
  <c r="AP112" i="475"/>
  <c r="AQ112" i="475" s="1"/>
  <c r="Z112" i="475"/>
  <c r="AO112" i="475"/>
  <c r="AR112" i="475" s="1"/>
  <c r="Y111" i="475"/>
  <c r="AP111" i="475"/>
  <c r="AQ111" i="475" s="1"/>
  <c r="Z111" i="475"/>
  <c r="AO111" i="475"/>
  <c r="AR111" i="475" s="1"/>
  <c r="Y110" i="475"/>
  <c r="AP110" i="475"/>
  <c r="AQ110" i="475" s="1"/>
  <c r="Z110" i="475"/>
  <c r="AO110" i="475"/>
  <c r="AR110" i="475" s="1"/>
  <c r="Y109" i="475"/>
  <c r="AP109" i="475"/>
  <c r="Z109" i="475"/>
  <c r="AO109" i="475"/>
  <c r="Y107" i="475"/>
  <c r="AP107" i="475"/>
  <c r="AQ107" i="475" s="1"/>
  <c r="Z107" i="475"/>
  <c r="AO107" i="475"/>
  <c r="AR107" i="475" s="1"/>
  <c r="Y106" i="475"/>
  <c r="AP106" i="475"/>
  <c r="AQ106" i="475" s="1"/>
  <c r="Z106" i="475"/>
  <c r="AO106" i="475"/>
  <c r="AR106" i="475" s="1"/>
  <c r="Y105" i="475"/>
  <c r="AP105" i="475"/>
  <c r="AQ105" i="475" s="1"/>
  <c r="Z105" i="475"/>
  <c r="AO105" i="475"/>
  <c r="AR105" i="475" s="1"/>
  <c r="Y104" i="475"/>
  <c r="AP104" i="475"/>
  <c r="Z104" i="475"/>
  <c r="AO104" i="475"/>
  <c r="Y102" i="475"/>
  <c r="AP102" i="475"/>
  <c r="AQ102" i="475" s="1"/>
  <c r="Z102" i="475"/>
  <c r="AO102" i="475"/>
  <c r="AR102" i="475" s="1"/>
  <c r="Y101" i="475"/>
  <c r="AP101" i="475"/>
  <c r="AQ101" i="475" s="1"/>
  <c r="Z101" i="475"/>
  <c r="AO101" i="475"/>
  <c r="AR101" i="475" s="1"/>
  <c r="Y100" i="475"/>
  <c r="AP100" i="475"/>
  <c r="AQ100" i="475" s="1"/>
  <c r="Z100" i="475"/>
  <c r="AO100" i="475"/>
  <c r="AR100" i="475" s="1"/>
  <c r="Y99" i="475"/>
  <c r="AP99" i="475"/>
  <c r="AQ99" i="475" s="1"/>
  <c r="Z99" i="475"/>
  <c r="AO99" i="475"/>
  <c r="AR99" i="475" s="1"/>
  <c r="Y98" i="475"/>
  <c r="AP98" i="475"/>
  <c r="AQ98" i="475" s="1"/>
  <c r="Z98" i="475"/>
  <c r="AO98" i="475"/>
  <c r="AR98" i="475" s="1"/>
  <c r="Y97" i="475"/>
  <c r="AP97" i="475"/>
  <c r="AQ97" i="475" s="1"/>
  <c r="Z97" i="475"/>
  <c r="AO97" i="475"/>
  <c r="AR97" i="475" s="1"/>
  <c r="Y96" i="475"/>
  <c r="AP96" i="475"/>
  <c r="AQ96" i="475" s="1"/>
  <c r="Z96" i="475"/>
  <c r="AO96" i="475"/>
  <c r="AR96" i="475" s="1"/>
  <c r="Y95" i="475"/>
  <c r="AP95" i="475"/>
  <c r="AQ95" i="475" s="1"/>
  <c r="Z95" i="475"/>
  <c r="AO95" i="475"/>
  <c r="AR95" i="475" s="1"/>
  <c r="Y94" i="475"/>
  <c r="AP94" i="475"/>
  <c r="AQ94" i="475" s="1"/>
  <c r="Z94" i="475"/>
  <c r="AO94" i="475"/>
  <c r="AR94" i="475" s="1"/>
  <c r="Y93" i="475"/>
  <c r="AP93" i="475"/>
  <c r="AQ93" i="475" s="1"/>
  <c r="G76" i="475"/>
  <c r="X76" i="475"/>
  <c r="H76" i="475"/>
  <c r="W76" i="475"/>
  <c r="Z93" i="475"/>
  <c r="AO93" i="475"/>
  <c r="AR93" i="475" s="1"/>
  <c r="AE76" i="475"/>
  <c r="AJ76" i="475"/>
  <c r="AF76" i="475"/>
  <c r="AI76" i="475"/>
  <c r="Y91" i="475"/>
  <c r="AP91" i="475"/>
  <c r="AQ91" i="475" s="1"/>
  <c r="Z91" i="475"/>
  <c r="AO91" i="475"/>
  <c r="AR91" i="475" s="1"/>
  <c r="Y90" i="475"/>
  <c r="AP90" i="475"/>
  <c r="AQ90" i="475" s="1"/>
  <c r="Z90" i="475"/>
  <c r="AO90" i="475"/>
  <c r="AR90" i="475" s="1"/>
  <c r="Y89" i="475"/>
  <c r="AP89" i="475"/>
  <c r="AQ89" i="475" s="1"/>
  <c r="Z89" i="475"/>
  <c r="AO89" i="475"/>
  <c r="AR89" i="475" s="1"/>
  <c r="Y88" i="475"/>
  <c r="AP88" i="475"/>
  <c r="AQ88" i="475" s="1"/>
  <c r="Z88" i="475"/>
  <c r="AO88" i="475"/>
  <c r="AR88" i="475" s="1"/>
  <c r="Y87" i="475"/>
  <c r="AP87" i="475"/>
  <c r="AQ87" i="475" s="1"/>
  <c r="Z87" i="475"/>
  <c r="AO87" i="475"/>
  <c r="AR87" i="475" s="1"/>
  <c r="Y86" i="475"/>
  <c r="AP86" i="475"/>
  <c r="AQ86" i="475" s="1"/>
  <c r="Z86" i="475"/>
  <c r="AO86" i="475"/>
  <c r="AR86" i="475" s="1"/>
  <c r="Y85" i="475"/>
  <c r="AP85" i="475"/>
  <c r="AQ85" i="475" s="1"/>
  <c r="Z85" i="475"/>
  <c r="AO85" i="475"/>
  <c r="AR85" i="475" s="1"/>
  <c r="Y84" i="475"/>
  <c r="AP84" i="475"/>
  <c r="AQ84" i="475" s="1"/>
  <c r="Z84" i="475"/>
  <c r="AO84" i="475"/>
  <c r="AR84" i="475" s="1"/>
  <c r="Y83" i="475"/>
  <c r="AP83" i="475"/>
  <c r="AQ83" i="475" s="1"/>
  <c r="Z83" i="475"/>
  <c r="AO83" i="475"/>
  <c r="AR83" i="475" s="1"/>
  <c r="Y82" i="475"/>
  <c r="AP82" i="475"/>
  <c r="AQ82" i="475" s="1"/>
  <c r="Z82" i="475"/>
  <c r="AO82" i="475"/>
  <c r="AR82" i="475" s="1"/>
  <c r="Y81" i="475"/>
  <c r="AP81" i="475"/>
  <c r="AQ81" i="475" s="1"/>
  <c r="Z81" i="475"/>
  <c r="AO81" i="475"/>
  <c r="AR81" i="475" s="1"/>
  <c r="Y80" i="475"/>
  <c r="AP80" i="475"/>
  <c r="AQ80" i="475" s="1"/>
  <c r="Z80" i="475"/>
  <c r="AO80" i="475"/>
  <c r="AR80" i="475" s="1"/>
  <c r="Y79" i="475"/>
  <c r="AP79" i="475"/>
  <c r="AQ79" i="475" s="1"/>
  <c r="Z79" i="475"/>
  <c r="AO79" i="475"/>
  <c r="AR79" i="475" s="1"/>
  <c r="Y78" i="475"/>
  <c r="AP78" i="475"/>
  <c r="AQ78" i="475" s="1"/>
  <c r="Z78" i="475"/>
  <c r="AO78" i="475"/>
  <c r="AR78" i="475" s="1"/>
  <c r="Y77" i="475"/>
  <c r="AP77" i="475"/>
  <c r="AQ77" i="475" s="1"/>
  <c r="Z77" i="475"/>
  <c r="AO77" i="475"/>
  <c r="AR77" i="475" s="1"/>
  <c r="Y75" i="475"/>
  <c r="AP75" i="475"/>
  <c r="AQ75" i="475" s="1"/>
  <c r="Z75" i="475"/>
  <c r="AO75" i="475"/>
  <c r="AR75" i="475" s="1"/>
  <c r="Y74" i="475"/>
  <c r="AP74" i="475"/>
  <c r="Z74" i="475"/>
  <c r="AO74" i="475"/>
  <c r="Y72" i="475"/>
  <c r="AP72" i="475"/>
  <c r="AQ72" i="475" s="1"/>
  <c r="Z72" i="475"/>
  <c r="AO72" i="475"/>
  <c r="AR72" i="475" s="1"/>
  <c r="Y71" i="475"/>
  <c r="AP71" i="475"/>
  <c r="AQ71" i="475" s="1"/>
  <c r="Z71" i="475"/>
  <c r="AO71" i="475"/>
  <c r="AR71" i="475" s="1"/>
  <c r="Y70" i="475"/>
  <c r="AP70" i="475"/>
  <c r="AQ70" i="475" s="1"/>
  <c r="Z70" i="475"/>
  <c r="AO70" i="475"/>
  <c r="AR70" i="475" s="1"/>
  <c r="Y69" i="475"/>
  <c r="AP69" i="475"/>
  <c r="AQ69" i="475" s="1"/>
  <c r="Z69" i="475"/>
  <c r="AO69" i="475"/>
  <c r="AR69" i="475" s="1"/>
  <c r="Y68" i="475"/>
  <c r="AP68" i="475"/>
  <c r="Z68" i="475"/>
  <c r="AO68" i="475"/>
  <c r="Y66" i="475"/>
  <c r="AP66" i="475"/>
  <c r="AQ66" i="475" s="1"/>
  <c r="Z66" i="475"/>
  <c r="AO66" i="475"/>
  <c r="AR66" i="475" s="1"/>
  <c r="Y65" i="475"/>
  <c r="AP65" i="475"/>
  <c r="AQ65" i="475" s="1"/>
  <c r="Z65" i="475"/>
  <c r="AO65" i="475"/>
  <c r="AR65" i="475" s="1"/>
  <c r="Y64" i="475"/>
  <c r="AP64" i="475"/>
  <c r="AQ64" i="475" s="1"/>
  <c r="Z64" i="475"/>
  <c r="AO64" i="475"/>
  <c r="AR64" i="475" s="1"/>
  <c r="Y63" i="475"/>
  <c r="AP63" i="475"/>
  <c r="AQ63" i="475" s="1"/>
  <c r="Z63" i="475"/>
  <c r="AO63" i="475"/>
  <c r="AR63" i="475" s="1"/>
  <c r="Y62" i="475"/>
  <c r="AP62" i="475"/>
  <c r="AQ62" i="475" s="1"/>
  <c r="Z62" i="475"/>
  <c r="AO62" i="475"/>
  <c r="AR62" i="475" s="1"/>
  <c r="Y61" i="475"/>
  <c r="AP61" i="475"/>
  <c r="Z61" i="475"/>
  <c r="AO61" i="475"/>
  <c r="Y59" i="475"/>
  <c r="AP59" i="475"/>
  <c r="AQ59" i="475" s="1"/>
  <c r="Z59" i="475"/>
  <c r="AO59" i="475"/>
  <c r="AR59" i="475" s="1"/>
  <c r="Y58" i="475"/>
  <c r="AP58" i="475"/>
  <c r="AQ58" i="475" s="1"/>
  <c r="Z58" i="475"/>
  <c r="AO58" i="475"/>
  <c r="AR58" i="475" s="1"/>
  <c r="Y57" i="475"/>
  <c r="AP57" i="475"/>
  <c r="AQ57" i="475" s="1"/>
  <c r="Z57" i="475"/>
  <c r="AO57" i="475"/>
  <c r="AR57" i="475" s="1"/>
  <c r="Y56" i="475"/>
  <c r="AP56" i="475"/>
  <c r="AQ56" i="475" s="1"/>
  <c r="Z56" i="475"/>
  <c r="AO56" i="475"/>
  <c r="AR56" i="475" s="1"/>
  <c r="Y55" i="475"/>
  <c r="AP55" i="475"/>
  <c r="Z55" i="475"/>
  <c r="AO55" i="475"/>
  <c r="Y53" i="475"/>
  <c r="AP53" i="475"/>
  <c r="AQ53" i="475" s="1"/>
  <c r="Z53" i="475"/>
  <c r="AO53" i="475"/>
  <c r="AR53" i="475" s="1"/>
  <c r="AP52" i="475"/>
  <c r="AQ52" i="475" s="1"/>
  <c r="Y52" i="475"/>
  <c r="Z52" i="475"/>
  <c r="AO52" i="475"/>
  <c r="AR52" i="475" s="1"/>
  <c r="Y51" i="475"/>
  <c r="AP51" i="475"/>
  <c r="AQ51" i="475" s="1"/>
  <c r="Z51" i="475"/>
  <c r="AO51" i="475"/>
  <c r="AR51" i="475" s="1"/>
  <c r="AO50" i="475"/>
  <c r="AR50" i="475" s="1"/>
  <c r="Z50" i="475"/>
  <c r="AP50" i="475"/>
  <c r="AQ50" i="475" s="1"/>
  <c r="Y50" i="475"/>
  <c r="Y49" i="475"/>
  <c r="AP49" i="475"/>
  <c r="AQ49" i="475" s="1"/>
  <c r="Z49" i="475"/>
  <c r="AO49" i="475"/>
  <c r="AR49" i="475" s="1"/>
  <c r="Y48" i="475"/>
  <c r="AP48" i="475"/>
  <c r="AQ48" i="475" s="1"/>
  <c r="Z48" i="475"/>
  <c r="AO48" i="475"/>
  <c r="AR48" i="475" s="1"/>
  <c r="Y47" i="475"/>
  <c r="AP47" i="475"/>
  <c r="AQ47" i="475" s="1"/>
  <c r="Z47" i="475"/>
  <c r="AO47" i="475"/>
  <c r="AR47" i="475" s="1"/>
  <c r="Y46" i="475"/>
  <c r="AP46" i="475"/>
  <c r="Z46" i="475"/>
  <c r="AO46" i="475"/>
  <c r="Y44" i="475"/>
  <c r="AP44" i="475"/>
  <c r="AQ44" i="475" s="1"/>
  <c r="Z44" i="475"/>
  <c r="AO44" i="475"/>
  <c r="AR44" i="475" s="1"/>
  <c r="Y43" i="475"/>
  <c r="AP43" i="475"/>
  <c r="AQ43" i="475" s="1"/>
  <c r="Z43" i="475"/>
  <c r="AO43" i="475"/>
  <c r="AR43" i="475" s="1"/>
  <c r="Y42" i="475"/>
  <c r="AP42" i="475"/>
  <c r="AQ42" i="475" s="1"/>
  <c r="Z42" i="475"/>
  <c r="AO42" i="475"/>
  <c r="AR42" i="475" s="1"/>
  <c r="Y41" i="475"/>
  <c r="AP41" i="475"/>
  <c r="Z41" i="475"/>
  <c r="AO41" i="475"/>
  <c r="Y39" i="475"/>
  <c r="AP39" i="475"/>
  <c r="AQ39" i="475" s="1"/>
  <c r="Z39" i="475"/>
  <c r="AO39" i="475"/>
  <c r="AR39" i="475" s="1"/>
  <c r="Y38" i="475"/>
  <c r="AP38" i="475"/>
  <c r="Z38" i="475"/>
  <c r="AO38" i="475"/>
  <c r="Y36" i="475"/>
  <c r="AP36" i="475"/>
  <c r="AQ36" i="475" s="1"/>
  <c r="Z36" i="475"/>
  <c r="AO36" i="475"/>
  <c r="AR36" i="475" s="1"/>
  <c r="Y35" i="475"/>
  <c r="AP35" i="475"/>
  <c r="AQ35" i="475" s="1"/>
  <c r="Z35" i="475"/>
  <c r="AO35" i="475"/>
  <c r="AR35" i="475" s="1"/>
  <c r="Y33" i="475"/>
  <c r="AP33" i="475"/>
  <c r="AQ33" i="475" s="1"/>
  <c r="Z33" i="475"/>
  <c r="AO33" i="475"/>
  <c r="AR33" i="475" s="1"/>
  <c r="Y32" i="475"/>
  <c r="AP32" i="475"/>
  <c r="AQ32" i="475" s="1"/>
  <c r="Z32" i="475"/>
  <c r="AO32" i="475"/>
  <c r="AR32" i="475" s="1"/>
  <c r="Y31" i="475"/>
  <c r="AP31" i="475"/>
  <c r="AQ31" i="475" s="1"/>
  <c r="Z31" i="475"/>
  <c r="AO31" i="475"/>
  <c r="AR31" i="475" s="1"/>
  <c r="Y30" i="475"/>
  <c r="AP30" i="475"/>
  <c r="AQ30" i="475" s="1"/>
  <c r="Z30" i="475"/>
  <c r="AO30" i="475"/>
  <c r="AR30" i="475" s="1"/>
  <c r="Y29" i="475"/>
  <c r="AP29" i="475"/>
  <c r="AQ29" i="475" s="1"/>
  <c r="Z29" i="475"/>
  <c r="AO29" i="475"/>
  <c r="AR29" i="475" s="1"/>
  <c r="Y28" i="475"/>
  <c r="AP28" i="475"/>
  <c r="AQ28" i="475" s="1"/>
  <c r="Z28" i="475"/>
  <c r="AO28" i="475"/>
  <c r="AR28" i="475" s="1"/>
  <c r="Y27" i="475"/>
  <c r="AP27" i="475"/>
  <c r="AQ27" i="475" s="1"/>
  <c r="Z27" i="475"/>
  <c r="AO27" i="475"/>
  <c r="AR27" i="475" s="1"/>
  <c r="Y26" i="475"/>
  <c r="AP26" i="475"/>
  <c r="AQ26" i="475" s="1"/>
  <c r="Z26" i="475"/>
  <c r="AO26" i="475"/>
  <c r="AR26" i="475" s="1"/>
  <c r="Y25" i="475"/>
  <c r="AP25" i="475"/>
  <c r="AQ25" i="475" s="1"/>
  <c r="Z25" i="475"/>
  <c r="AO25" i="475"/>
  <c r="AR25" i="475" s="1"/>
  <c r="Y24" i="475"/>
  <c r="AP24" i="475"/>
  <c r="AQ24" i="475" s="1"/>
  <c r="Z24" i="475"/>
  <c r="AO24" i="475"/>
  <c r="AR24" i="475" s="1"/>
  <c r="Y23" i="475"/>
  <c r="AP23" i="475"/>
  <c r="Z23" i="475"/>
  <c r="AO23" i="475"/>
  <c r="Y21" i="475"/>
  <c r="AP21" i="475"/>
  <c r="AQ21" i="475" s="1"/>
  <c r="Z21" i="475"/>
  <c r="AO21" i="475"/>
  <c r="AR21" i="475" s="1"/>
  <c r="Y20" i="475"/>
  <c r="AP20" i="475"/>
  <c r="AQ20" i="475" s="1"/>
  <c r="Z20" i="475"/>
  <c r="AO20" i="475"/>
  <c r="AR20" i="475" s="1"/>
  <c r="Y19" i="475"/>
  <c r="AP19" i="475"/>
  <c r="AQ19" i="475" s="1"/>
  <c r="Z19" i="475"/>
  <c r="AO19" i="475"/>
  <c r="AR19" i="475" s="1"/>
  <c r="Y18" i="475"/>
  <c r="AP18" i="475"/>
  <c r="AQ18" i="475" s="1"/>
  <c r="Z18" i="475"/>
  <c r="AO18" i="475"/>
  <c r="AR18" i="475" s="1"/>
  <c r="Y17" i="475"/>
  <c r="AP17" i="475"/>
  <c r="AQ17" i="475" s="1"/>
  <c r="Z17" i="475"/>
  <c r="AO17" i="475"/>
  <c r="AR17" i="475" s="1"/>
  <c r="Y16" i="475"/>
  <c r="AP16" i="475"/>
  <c r="AQ16" i="475" s="1"/>
  <c r="Z16" i="475"/>
  <c r="AO16" i="475"/>
  <c r="AR16" i="475" s="1"/>
  <c r="Y15" i="475"/>
  <c r="AP15" i="475"/>
  <c r="AQ15" i="475" s="1"/>
  <c r="Z15" i="475"/>
  <c r="AO15" i="475"/>
  <c r="AR15" i="475" s="1"/>
  <c r="Y14" i="475"/>
  <c r="AP14" i="475"/>
  <c r="AQ14" i="475" s="1"/>
  <c r="Z14" i="475"/>
  <c r="AO14" i="475"/>
  <c r="AR14" i="475" s="1"/>
  <c r="Y13" i="475"/>
  <c r="AP13" i="475"/>
  <c r="AQ13" i="475" s="1"/>
  <c r="Z13" i="475"/>
  <c r="AO13" i="475"/>
  <c r="AR13" i="475" s="1"/>
  <c r="Y12" i="475"/>
  <c r="AP12" i="475"/>
  <c r="AQ12" i="475" s="1"/>
  <c r="Z12" i="475"/>
  <c r="AO12" i="475"/>
  <c r="AR12" i="475" s="1"/>
  <c r="Y11" i="475"/>
  <c r="AP11" i="475"/>
  <c r="AQ11" i="475" s="1"/>
  <c r="Z11" i="475"/>
  <c r="AO11" i="475"/>
  <c r="AR11" i="475" s="1"/>
  <c r="Y10" i="475"/>
  <c r="AP10" i="475"/>
  <c r="Z10" i="475"/>
  <c r="AO10" i="475"/>
  <c r="AK219" i="475"/>
  <c r="AL219" i="475"/>
  <c r="AL193" i="475"/>
  <c r="AM135" i="475"/>
  <c r="AK135" i="475"/>
  <c r="AL135" i="475"/>
  <c r="AK92" i="475"/>
  <c r="AL92" i="475"/>
  <c r="AK50" i="475"/>
  <c r="AL50" i="475"/>
  <c r="AK262" i="475"/>
  <c r="AL262" i="475"/>
  <c r="AN204" i="475"/>
  <c r="Y204" i="475"/>
  <c r="AN151" i="475"/>
  <c r="Y151" i="475"/>
  <c r="AN140" i="475"/>
  <c r="Y140" i="475"/>
  <c r="AN136" i="475"/>
  <c r="Y136" i="475"/>
  <c r="T129" i="475"/>
  <c r="Q34" i="475"/>
  <c r="U27" i="474"/>
  <c r="V28" i="474"/>
  <c r="Z80" i="474"/>
  <c r="I8" i="474"/>
  <c r="J8" i="474" s="1"/>
  <c r="J9" i="474"/>
  <c r="N134" i="474"/>
  <c r="M104" i="474"/>
  <c r="N104" i="474" s="1"/>
  <c r="J28" i="474"/>
  <c r="I27" i="474"/>
  <c r="N28" i="474"/>
  <c r="M27" i="474"/>
  <c r="D168" i="474"/>
  <c r="D169" i="474" s="1"/>
  <c r="D170" i="474" s="1"/>
  <c r="F116" i="474"/>
  <c r="E104" i="474"/>
  <c r="F104" i="474" s="1"/>
  <c r="R81" i="474"/>
  <c r="AC81" i="474"/>
  <c r="AD81" i="474" s="1"/>
  <c r="AC80" i="474"/>
  <c r="R80" i="474"/>
  <c r="AC100" i="474"/>
  <c r="AD100" i="474" s="1"/>
  <c r="R100" i="474"/>
  <c r="AC99" i="474"/>
  <c r="AD99" i="474" s="1"/>
  <c r="R99" i="474"/>
  <c r="AM166" i="475" l="1"/>
  <c r="AM290" i="475"/>
  <c r="AN103" i="475"/>
  <c r="AN60" i="475"/>
  <c r="AN54" i="475"/>
  <c r="AN45" i="475"/>
  <c r="AN40" i="475"/>
  <c r="AN37" i="475"/>
  <c r="AQ297" i="475"/>
  <c r="AR297" i="475"/>
  <c r="AQ293" i="475"/>
  <c r="AR293" i="475"/>
  <c r="AN148" i="475"/>
  <c r="AN125" i="475"/>
  <c r="AN122" i="475"/>
  <c r="AN119" i="475"/>
  <c r="AN115" i="475"/>
  <c r="AN108" i="475"/>
  <c r="AQ272" i="475"/>
  <c r="AR272" i="475"/>
  <c r="AQ262" i="475"/>
  <c r="AR262" i="475"/>
  <c r="AR74" i="475"/>
  <c r="AQ167" i="475"/>
  <c r="AR167" i="475"/>
  <c r="AQ162" i="475"/>
  <c r="AR162" i="475"/>
  <c r="AQ149" i="475"/>
  <c r="AR149" i="475"/>
  <c r="AQ74" i="475"/>
  <c r="AQ41" i="475"/>
  <c r="AR41" i="475"/>
  <c r="AQ38" i="475"/>
  <c r="AR38" i="475"/>
  <c r="G229" i="475"/>
  <c r="F165" i="475"/>
  <c r="AL119" i="475"/>
  <c r="AK119" i="475"/>
  <c r="AL115" i="475"/>
  <c r="AK115" i="475"/>
  <c r="AK108" i="475"/>
  <c r="AL108" i="475"/>
  <c r="AL103" i="475"/>
  <c r="AK103" i="475"/>
  <c r="AL9" i="475"/>
  <c r="AK9" i="475"/>
  <c r="AL296" i="475"/>
  <c r="AK296" i="475"/>
  <c r="AN168" i="475"/>
  <c r="AN166" i="475"/>
  <c r="AN213" i="475"/>
  <c r="AN209" i="475"/>
  <c r="AN173" i="475"/>
  <c r="AN161" i="475"/>
  <c r="AQ247" i="475"/>
  <c r="AR247" i="475"/>
  <c r="AQ243" i="475"/>
  <c r="AR243" i="475"/>
  <c r="AQ126" i="475"/>
  <c r="AR126" i="475"/>
  <c r="AQ123" i="475"/>
  <c r="AR123" i="475"/>
  <c r="AR109" i="475"/>
  <c r="AQ104" i="475"/>
  <c r="AR104" i="475"/>
  <c r="AQ68" i="475"/>
  <c r="AR68" i="475"/>
  <c r="AQ61" i="475"/>
  <c r="AR61" i="475"/>
  <c r="AQ55" i="475"/>
  <c r="AR55" i="475"/>
  <c r="AQ46" i="475"/>
  <c r="AR46" i="475"/>
  <c r="AQ23" i="475"/>
  <c r="AR23" i="475"/>
  <c r="V72" i="474"/>
  <c r="U71" i="474"/>
  <c r="V96" i="474"/>
  <c r="T69" i="474"/>
  <c r="T168" i="474" s="1"/>
  <c r="T169" i="474" s="1"/>
  <c r="T170" i="474" s="1"/>
  <c r="AQ10" i="475"/>
  <c r="AR10" i="475"/>
  <c r="I71" i="474"/>
  <c r="J72" i="474"/>
  <c r="AL148" i="475"/>
  <c r="AK148" i="475"/>
  <c r="AL139" i="475"/>
  <c r="AK139" i="475"/>
  <c r="AK125" i="475"/>
  <c r="AL125" i="475"/>
  <c r="AL122" i="475"/>
  <c r="AK122" i="475"/>
  <c r="AL60" i="475"/>
  <c r="AK60" i="475"/>
  <c r="AL54" i="475"/>
  <c r="AK54" i="475"/>
  <c r="AL45" i="475"/>
  <c r="AK45" i="475"/>
  <c r="AL40" i="475"/>
  <c r="AK40" i="475"/>
  <c r="AL37" i="475"/>
  <c r="AK37" i="475"/>
  <c r="AN73" i="475"/>
  <c r="AN67" i="475"/>
  <c r="AN177" i="475"/>
  <c r="AK242" i="475"/>
  <c r="AN242" i="475"/>
  <c r="AL73" i="475"/>
  <c r="AK73" i="475"/>
  <c r="AL67" i="475"/>
  <c r="AK67" i="475"/>
  <c r="AL246" i="475"/>
  <c r="AK246" i="475"/>
  <c r="AQ120" i="475"/>
  <c r="AR120" i="475"/>
  <c r="AQ116" i="475"/>
  <c r="AR116" i="475"/>
  <c r="AQ109" i="475"/>
  <c r="N72" i="474"/>
  <c r="M71" i="474"/>
  <c r="AE8" i="475"/>
  <c r="AH8" i="475"/>
  <c r="AF8" i="475"/>
  <c r="AK22" i="475"/>
  <c r="AL22" i="475"/>
  <c r="AM8" i="475"/>
  <c r="AF270" i="475"/>
  <c r="AE270" i="475"/>
  <c r="AH270" i="475"/>
  <c r="AL271" i="475"/>
  <c r="AK271" i="475"/>
  <c r="AL292" i="475"/>
  <c r="AK292" i="475"/>
  <c r="AF290" i="475"/>
  <c r="AE290" i="475"/>
  <c r="AH290" i="475"/>
  <c r="AL166" i="475"/>
  <c r="AK166" i="475"/>
  <c r="AL161" i="475"/>
  <c r="AK161" i="475"/>
  <c r="AL232" i="475"/>
  <c r="AK232" i="475"/>
  <c r="AL213" i="475"/>
  <c r="AK213" i="475"/>
  <c r="AL209" i="475"/>
  <c r="AK209" i="475"/>
  <c r="AL177" i="475"/>
  <c r="AK177" i="475"/>
  <c r="AL173" i="475"/>
  <c r="AK173" i="475"/>
  <c r="AL168" i="475"/>
  <c r="AK168" i="475"/>
  <c r="AM270" i="475"/>
  <c r="AM271" i="475"/>
  <c r="AM230" i="475"/>
  <c r="AQ233" i="475"/>
  <c r="AR233" i="475"/>
  <c r="AQ231" i="475"/>
  <c r="AR231" i="475"/>
  <c r="AF229" i="475"/>
  <c r="AE229" i="475"/>
  <c r="AH229" i="475"/>
  <c r="AL230" i="475"/>
  <c r="AK230" i="475"/>
  <c r="AQ214" i="475"/>
  <c r="AR214" i="475"/>
  <c r="AQ210" i="475"/>
  <c r="AR210" i="475"/>
  <c r="AQ178" i="475"/>
  <c r="AQ174" i="475"/>
  <c r="AR169" i="475"/>
  <c r="AR178" i="475"/>
  <c r="AR174" i="475"/>
  <c r="AQ169" i="475"/>
  <c r="AK76" i="475"/>
  <c r="AL76" i="475"/>
  <c r="AQ151" i="475"/>
  <c r="AQ140" i="475"/>
  <c r="AQ136" i="475"/>
  <c r="AG229" i="475"/>
  <c r="AA165" i="475"/>
  <c r="Y296" i="475"/>
  <c r="AP296" i="475"/>
  <c r="AQ296" i="475" s="1"/>
  <c r="Z296" i="475"/>
  <c r="AO296" i="475"/>
  <c r="AR296" i="475" s="1"/>
  <c r="AP292" i="475"/>
  <c r="AQ292" i="475" s="1"/>
  <c r="Y292" i="475"/>
  <c r="Z292" i="475"/>
  <c r="AO292" i="475"/>
  <c r="AR292" i="475" s="1"/>
  <c r="E71" i="474"/>
  <c r="F72" i="474"/>
  <c r="S229" i="475"/>
  <c r="R165" i="475"/>
  <c r="T229" i="475"/>
  <c r="Q165" i="475"/>
  <c r="Y242" i="475"/>
  <c r="AP242" i="475"/>
  <c r="AP166" i="475"/>
  <c r="Y166" i="475"/>
  <c r="AD80" i="474"/>
  <c r="Z242" i="475"/>
  <c r="AO242" i="475"/>
  <c r="AQ219" i="475"/>
  <c r="Y246" i="475"/>
  <c r="AP246" i="475"/>
  <c r="AQ246" i="475" s="1"/>
  <c r="Z246" i="475"/>
  <c r="AO246" i="475"/>
  <c r="AR246" i="475" s="1"/>
  <c r="AQ204" i="475"/>
  <c r="Y232" i="475"/>
  <c r="AP232" i="475"/>
  <c r="AQ232" i="475" s="1"/>
  <c r="Z232" i="475"/>
  <c r="AO232" i="475"/>
  <c r="AR232" i="475" s="1"/>
  <c r="Y168" i="475"/>
  <c r="AP168" i="475"/>
  <c r="AO168" i="475"/>
  <c r="Z168" i="475"/>
  <c r="Y125" i="475"/>
  <c r="AP125" i="475"/>
  <c r="Z125" i="475"/>
  <c r="AO125" i="475"/>
  <c r="Y122" i="475"/>
  <c r="AP122" i="475"/>
  <c r="Z122" i="475"/>
  <c r="AO122" i="475"/>
  <c r="Y119" i="475"/>
  <c r="AP119" i="475"/>
  <c r="Z119" i="475"/>
  <c r="AO119" i="475"/>
  <c r="Y115" i="475"/>
  <c r="AP115" i="475"/>
  <c r="Z115" i="475"/>
  <c r="AO115" i="475"/>
  <c r="Y108" i="475"/>
  <c r="AP108" i="475"/>
  <c r="Z108" i="475"/>
  <c r="AO108" i="475"/>
  <c r="AN9" i="475"/>
  <c r="Y9" i="475"/>
  <c r="Z9" i="475"/>
  <c r="W34" i="475"/>
  <c r="AE34" i="475"/>
  <c r="AF34" i="475"/>
  <c r="AH34" i="475"/>
  <c r="AB301" i="475"/>
  <c r="AK34" i="475"/>
  <c r="AL34" i="475"/>
  <c r="AN34" i="475"/>
  <c r="AM34" i="475"/>
  <c r="AG253" i="475"/>
  <c r="AM253" i="475" s="1"/>
  <c r="X290" i="475"/>
  <c r="S290" i="475"/>
  <c r="AQ92" i="475"/>
  <c r="AR92" i="475"/>
  <c r="S8" i="475"/>
  <c r="X34" i="475"/>
  <c r="S34" i="475"/>
  <c r="Y177" i="475"/>
  <c r="AP177" i="475"/>
  <c r="Z177" i="475"/>
  <c r="AO177" i="475"/>
  <c r="Y173" i="475"/>
  <c r="AP173" i="475"/>
  <c r="Z173" i="475"/>
  <c r="AO173" i="475"/>
  <c r="AO166" i="475"/>
  <c r="Z166" i="475"/>
  <c r="AP161" i="475"/>
  <c r="Y161" i="475"/>
  <c r="Z161" i="475"/>
  <c r="AO161" i="475"/>
  <c r="Y148" i="475"/>
  <c r="AP148" i="475"/>
  <c r="Z148" i="475"/>
  <c r="AO148" i="475"/>
  <c r="AP139" i="475"/>
  <c r="AQ139" i="475" s="1"/>
  <c r="Y139" i="475"/>
  <c r="AO139" i="475"/>
  <c r="AR139" i="475" s="1"/>
  <c r="Z139" i="475"/>
  <c r="Y103" i="475"/>
  <c r="AP103" i="475"/>
  <c r="Z103" i="475"/>
  <c r="AO103" i="475"/>
  <c r="Y73" i="475"/>
  <c r="AP73" i="475"/>
  <c r="AO73" i="475"/>
  <c r="Z73" i="475"/>
  <c r="Y67" i="475"/>
  <c r="AP67" i="475"/>
  <c r="AO67" i="475"/>
  <c r="Z67" i="475"/>
  <c r="Y60" i="475"/>
  <c r="AP60" i="475"/>
  <c r="Z60" i="475"/>
  <c r="AO60" i="475"/>
  <c r="Y54" i="475"/>
  <c r="AP54" i="475"/>
  <c r="Z54" i="475"/>
  <c r="AO54" i="475"/>
  <c r="Y45" i="475"/>
  <c r="AP45" i="475"/>
  <c r="AO45" i="475"/>
  <c r="Z45" i="475"/>
  <c r="Y40" i="475"/>
  <c r="AP40" i="475"/>
  <c r="Z40" i="475"/>
  <c r="AO40" i="475"/>
  <c r="Y37" i="475"/>
  <c r="AP37" i="475"/>
  <c r="Z37" i="475"/>
  <c r="AO37" i="475"/>
  <c r="Y22" i="475"/>
  <c r="AP22" i="475"/>
  <c r="AN22" i="475"/>
  <c r="AR22" i="475" s="1"/>
  <c r="Z22" i="475"/>
  <c r="X270" i="475"/>
  <c r="M270" i="475"/>
  <c r="W270" i="475"/>
  <c r="N270" i="475"/>
  <c r="X229" i="475"/>
  <c r="M229" i="475"/>
  <c r="W229" i="475"/>
  <c r="N229" i="475"/>
  <c r="J165" i="475"/>
  <c r="V229" i="475"/>
  <c r="I165" i="475"/>
  <c r="U229" i="475"/>
  <c r="X8" i="475"/>
  <c r="AP8" i="475" s="1"/>
  <c r="M8" i="475"/>
  <c r="W8" i="475"/>
  <c r="AO8" i="475" s="1"/>
  <c r="N8" i="475"/>
  <c r="AN271" i="475"/>
  <c r="Y271" i="475"/>
  <c r="Z271" i="475"/>
  <c r="K301" i="475"/>
  <c r="K302" i="475" s="1"/>
  <c r="AN230" i="475"/>
  <c r="Y230" i="475"/>
  <c r="Z230" i="475"/>
  <c r="Y213" i="475"/>
  <c r="AP213" i="475"/>
  <c r="Z213" i="475"/>
  <c r="AO213" i="475"/>
  <c r="Y209" i="475"/>
  <c r="AP209" i="475"/>
  <c r="Z209" i="475"/>
  <c r="AO209" i="475"/>
  <c r="V8" i="475"/>
  <c r="H8" i="475"/>
  <c r="G8" i="475"/>
  <c r="AR204" i="475"/>
  <c r="AR151" i="475"/>
  <c r="AR140" i="475"/>
  <c r="AR136" i="475"/>
  <c r="G34" i="475"/>
  <c r="H34" i="475"/>
  <c r="AO290" i="475"/>
  <c r="Z290" i="475"/>
  <c r="AE253" i="475"/>
  <c r="AJ253" i="475"/>
  <c r="AK253" i="475" s="1"/>
  <c r="AF253" i="475"/>
  <c r="AI253" i="475"/>
  <c r="AL253" i="475" s="1"/>
  <c r="Y254" i="475"/>
  <c r="AP254" i="475"/>
  <c r="AQ254" i="475" s="1"/>
  <c r="G253" i="475"/>
  <c r="X253" i="475"/>
  <c r="Z254" i="475"/>
  <c r="AO254" i="475"/>
  <c r="AR254" i="475" s="1"/>
  <c r="H253" i="475"/>
  <c r="W253" i="475"/>
  <c r="L301" i="475"/>
  <c r="Y217" i="475"/>
  <c r="AP217" i="475"/>
  <c r="AQ217" i="475" s="1"/>
  <c r="Z217" i="475"/>
  <c r="AO217" i="475"/>
  <c r="AR217" i="475" s="1"/>
  <c r="E301" i="475"/>
  <c r="H165" i="475"/>
  <c r="AD301" i="475"/>
  <c r="AJ165" i="475"/>
  <c r="AK165" i="475" s="1"/>
  <c r="AE165" i="475"/>
  <c r="AC301" i="475"/>
  <c r="AI165" i="475"/>
  <c r="AL165" i="475" s="1"/>
  <c r="AF165" i="475"/>
  <c r="D301" i="475"/>
  <c r="C301" i="475"/>
  <c r="Y129" i="475"/>
  <c r="AP129" i="475"/>
  <c r="AQ129" i="475" s="1"/>
  <c r="Z129" i="475"/>
  <c r="AO129" i="475"/>
  <c r="AR129" i="475" s="1"/>
  <c r="Y76" i="475"/>
  <c r="AP76" i="475"/>
  <c r="AQ76" i="475" s="1"/>
  <c r="Z76" i="475"/>
  <c r="AO76" i="475"/>
  <c r="AR76" i="475" s="1"/>
  <c r="T34" i="475"/>
  <c r="AK254" i="475"/>
  <c r="AL254" i="475"/>
  <c r="AK217" i="475"/>
  <c r="AL217" i="475"/>
  <c r="V27" i="474"/>
  <c r="J27" i="474"/>
  <c r="N27" i="474"/>
  <c r="AR125" i="475" l="1"/>
  <c r="AR148" i="475"/>
  <c r="AR103" i="475"/>
  <c r="AQ148" i="475"/>
  <c r="AQ125" i="475"/>
  <c r="AQ103" i="475"/>
  <c r="AQ122" i="475"/>
  <c r="AR122" i="475"/>
  <c r="AQ119" i="475"/>
  <c r="AQ60" i="475"/>
  <c r="AR60" i="475"/>
  <c r="AQ54" i="475"/>
  <c r="AR54" i="475"/>
  <c r="AQ45" i="475"/>
  <c r="AR45" i="475"/>
  <c r="AQ40" i="475"/>
  <c r="AR40" i="475"/>
  <c r="AQ37" i="475"/>
  <c r="AR37" i="475"/>
  <c r="F301" i="475"/>
  <c r="G165" i="475"/>
  <c r="AQ166" i="475"/>
  <c r="AR119" i="475"/>
  <c r="AQ115" i="475"/>
  <c r="AR115" i="475"/>
  <c r="AQ108" i="475"/>
  <c r="AR108" i="475"/>
  <c r="AQ168" i="475"/>
  <c r="AR168" i="475"/>
  <c r="AQ213" i="475"/>
  <c r="AR213" i="475"/>
  <c r="AR209" i="475"/>
  <c r="AQ173" i="475"/>
  <c r="AR173" i="475"/>
  <c r="AR166" i="475"/>
  <c r="AQ161" i="475"/>
  <c r="AR161" i="475"/>
  <c r="AQ209" i="475"/>
  <c r="U69" i="474"/>
  <c r="V71" i="474"/>
  <c r="AR242" i="475"/>
  <c r="AQ177" i="475"/>
  <c r="AR177" i="475"/>
  <c r="AR73" i="475"/>
  <c r="AQ67" i="475"/>
  <c r="AR67" i="475"/>
  <c r="J71" i="474"/>
  <c r="I69" i="474"/>
  <c r="AQ242" i="475"/>
  <c r="AQ73" i="475"/>
  <c r="N71" i="474"/>
  <c r="M69" i="474"/>
  <c r="AL8" i="475"/>
  <c r="AK8" i="475"/>
  <c r="E69" i="474"/>
  <c r="F71" i="474"/>
  <c r="AN270" i="475"/>
  <c r="AK270" i="475"/>
  <c r="AL270" i="475"/>
  <c r="AN290" i="475"/>
  <c r="AR290" i="475" s="1"/>
  <c r="AL290" i="475"/>
  <c r="AK290" i="475"/>
  <c r="AM229" i="475"/>
  <c r="AN229" i="475"/>
  <c r="AG165" i="475"/>
  <c r="AA301" i="475"/>
  <c r="AL229" i="475"/>
  <c r="AK229" i="475"/>
  <c r="S165" i="475"/>
  <c r="R301" i="475"/>
  <c r="X165" i="475"/>
  <c r="T165" i="475"/>
  <c r="W165" i="475"/>
  <c r="Q301" i="475"/>
  <c r="AR9" i="475"/>
  <c r="AQ9" i="475"/>
  <c r="Z34" i="475"/>
  <c r="AO34" i="475"/>
  <c r="AR34" i="475" s="1"/>
  <c r="AB302" i="475"/>
  <c r="AH301" i="475"/>
  <c r="N165" i="475"/>
  <c r="V165" i="475"/>
  <c r="AN165" i="475" s="1"/>
  <c r="AQ22" i="475"/>
  <c r="AP290" i="475"/>
  <c r="Y290" i="475"/>
  <c r="S301" i="475"/>
  <c r="R302" i="475"/>
  <c r="Y34" i="475"/>
  <c r="AP34" i="475"/>
  <c r="AQ34" i="475" s="1"/>
  <c r="Y270" i="475"/>
  <c r="AP270" i="475"/>
  <c r="Z270" i="475"/>
  <c r="AO270" i="475"/>
  <c r="AP229" i="475"/>
  <c r="Y229" i="475"/>
  <c r="AO229" i="475"/>
  <c r="Z229" i="475"/>
  <c r="AR271" i="475"/>
  <c r="AQ271" i="475"/>
  <c r="AR230" i="475"/>
  <c r="AQ230" i="475"/>
  <c r="J301" i="475"/>
  <c r="M165" i="475"/>
  <c r="I301" i="475"/>
  <c r="U165" i="475"/>
  <c r="Y8" i="475"/>
  <c r="Z8" i="475"/>
  <c r="AN8" i="475"/>
  <c r="Y253" i="475"/>
  <c r="AP253" i="475"/>
  <c r="AQ253" i="475" s="1"/>
  <c r="Z253" i="475"/>
  <c r="AO253" i="475"/>
  <c r="AR253" i="475" s="1"/>
  <c r="L302" i="475"/>
  <c r="H301" i="475"/>
  <c r="E302" i="475"/>
  <c r="AE301" i="475"/>
  <c r="AD302" i="475"/>
  <c r="AJ301" i="475"/>
  <c r="AF301" i="475"/>
  <c r="AC302" i="475"/>
  <c r="AI301" i="475"/>
  <c r="D302" i="475"/>
  <c r="C302" i="475"/>
  <c r="K303" i="475"/>
  <c r="W301" i="475" l="1"/>
  <c r="T301" i="475"/>
  <c r="Q302" i="475"/>
  <c r="AK301" i="475"/>
  <c r="AL301" i="475"/>
  <c r="V69" i="474"/>
  <c r="U168" i="474"/>
  <c r="AB303" i="475"/>
  <c r="AH303" i="475" s="1"/>
  <c r="AH302" i="475"/>
  <c r="S302" i="475"/>
  <c r="R303" i="475"/>
  <c r="S303" i="475" s="1"/>
  <c r="F302" i="475"/>
  <c r="G301" i="475"/>
  <c r="X301" i="475"/>
  <c r="Y165" i="475"/>
  <c r="AP165" i="475"/>
  <c r="AQ165" i="475" s="1"/>
  <c r="J69" i="474"/>
  <c r="I168" i="474"/>
  <c r="V301" i="475"/>
  <c r="M301" i="475"/>
  <c r="Z165" i="475"/>
  <c r="AO165" i="475"/>
  <c r="AR165" i="475" s="1"/>
  <c r="N69" i="474"/>
  <c r="M168" i="474"/>
  <c r="AQ290" i="475"/>
  <c r="AQ270" i="475"/>
  <c r="AR270" i="475"/>
  <c r="AQ229" i="475"/>
  <c r="AR229" i="475"/>
  <c r="AM165" i="475"/>
  <c r="E168" i="474"/>
  <c r="F69" i="474"/>
  <c r="AA302" i="475"/>
  <c r="AG301" i="475"/>
  <c r="I302" i="475"/>
  <c r="U301" i="475"/>
  <c r="AM301" i="475" s="1"/>
  <c r="J302" i="475"/>
  <c r="N301" i="475"/>
  <c r="AR8" i="475"/>
  <c r="AQ8" i="475"/>
  <c r="L303" i="475"/>
  <c r="H302" i="475"/>
  <c r="E303" i="475"/>
  <c r="W302" i="475"/>
  <c r="AO301" i="475"/>
  <c r="AJ302" i="475"/>
  <c r="AD303" i="475"/>
  <c r="AE302" i="475"/>
  <c r="AI302" i="475"/>
  <c r="AC303" i="475"/>
  <c r="AF302" i="475"/>
  <c r="D303" i="475"/>
  <c r="C303" i="475"/>
  <c r="Q303" i="475"/>
  <c r="T303" i="475" s="1"/>
  <c r="T302" i="475"/>
  <c r="E10" i="3"/>
  <c r="B10" i="3"/>
  <c r="AK302" i="475" l="1"/>
  <c r="AL302" i="475"/>
  <c r="U169" i="474"/>
  <c r="V168" i="474"/>
  <c r="J168" i="474"/>
  <c r="I169" i="474"/>
  <c r="E169" i="474"/>
  <c r="F168" i="474"/>
  <c r="I303" i="475"/>
  <c r="U303" i="475" s="1"/>
  <c r="U302" i="475"/>
  <c r="X302" i="475"/>
  <c r="G302" i="475"/>
  <c r="F303" i="475"/>
  <c r="AP301" i="475"/>
  <c r="Y301" i="475"/>
  <c r="AN301" i="475"/>
  <c r="AR301" i="475" s="1"/>
  <c r="Z301" i="475"/>
  <c r="J169" i="474"/>
  <c r="I170" i="474"/>
  <c r="J170" i="474" s="1"/>
  <c r="M302" i="475"/>
  <c r="V302" i="475"/>
  <c r="AN302" i="475" s="1"/>
  <c r="N168" i="474"/>
  <c r="M169" i="474"/>
  <c r="AG302" i="475"/>
  <c r="AM302" i="475" s="1"/>
  <c r="AA303" i="475"/>
  <c r="AG303" i="475" s="1"/>
  <c r="AM303" i="475" s="1"/>
  <c r="J303" i="475"/>
  <c r="N302" i="475"/>
  <c r="Y302" i="475"/>
  <c r="AP302" i="475"/>
  <c r="AQ302" i="475" s="1"/>
  <c r="H303" i="475"/>
  <c r="W303" i="475"/>
  <c r="Z302" i="475"/>
  <c r="AO302" i="475"/>
  <c r="AR302" i="475" s="1"/>
  <c r="AE303" i="475"/>
  <c r="AJ303" i="475"/>
  <c r="AK303" i="475" s="1"/>
  <c r="AF303" i="475"/>
  <c r="AI303" i="475"/>
  <c r="AL303" i="475" s="1"/>
  <c r="F169" i="474"/>
  <c r="E170" i="474"/>
  <c r="F170" i="474" s="1"/>
  <c r="E12" i="3"/>
  <c r="AQ301" i="475" l="1"/>
  <c r="G303" i="475"/>
  <c r="X303" i="475"/>
  <c r="U170" i="474"/>
  <c r="V170" i="474" s="1"/>
  <c r="V169" i="474"/>
  <c r="M170" i="474"/>
  <c r="N170" i="474" s="1"/>
  <c r="N169" i="474"/>
  <c r="N303" i="475"/>
  <c r="M303" i="475"/>
  <c r="V303" i="475"/>
  <c r="AN303" i="475" s="1"/>
  <c r="Z303" i="475"/>
  <c r="AO303" i="475"/>
  <c r="AR303" i="475" s="1"/>
  <c r="AP303" i="475" l="1"/>
  <c r="AQ303" i="475" s="1"/>
  <c r="Y303" i="475"/>
  <c r="A300" i="475"/>
  <c r="A299" i="475"/>
  <c r="A298" i="475"/>
  <c r="A297" i="475"/>
  <c r="A296" i="475"/>
  <c r="A295" i="475"/>
  <c r="A294" i="475"/>
  <c r="A293" i="475"/>
  <c r="A292" i="475"/>
  <c r="A291" i="475"/>
  <c r="A289" i="475"/>
  <c r="A288" i="475"/>
  <c r="A287" i="475"/>
  <c r="A286" i="475"/>
  <c r="A285" i="475"/>
  <c r="A284" i="475"/>
  <c r="A283" i="475"/>
  <c r="A282" i="475"/>
  <c r="A281" i="475"/>
  <c r="A280" i="475"/>
  <c r="A279" i="475"/>
  <c r="A278" i="475"/>
  <c r="A277" i="475"/>
  <c r="A276" i="475"/>
  <c r="A275" i="475"/>
  <c r="A274" i="475"/>
  <c r="A273" i="475"/>
  <c r="A272" i="475"/>
  <c r="A271" i="475"/>
  <c r="A269" i="475"/>
  <c r="A268" i="475"/>
  <c r="A267" i="475"/>
  <c r="A266" i="475"/>
  <c r="A265" i="475"/>
  <c r="A264" i="475"/>
  <c r="A263" i="475"/>
  <c r="A262" i="475"/>
  <c r="A261" i="475"/>
  <c r="A260" i="475"/>
  <c r="A259" i="475"/>
  <c r="A258" i="475"/>
  <c r="A257" i="475"/>
  <c r="A256" i="475"/>
  <c r="A255" i="475"/>
  <c r="A254" i="475"/>
  <c r="A252" i="475"/>
  <c r="A251" i="475"/>
  <c r="A250" i="475"/>
  <c r="A249" i="475"/>
  <c r="A248" i="475"/>
  <c r="A247" i="475"/>
  <c r="A246" i="475"/>
  <c r="A245" i="475"/>
  <c r="A244" i="475"/>
  <c r="A243" i="475"/>
  <c r="A242" i="475"/>
  <c r="A241" i="475"/>
  <c r="A240" i="475"/>
  <c r="A239" i="475"/>
  <c r="A238" i="475"/>
  <c r="A237" i="475"/>
  <c r="A236" i="475"/>
  <c r="A235" i="475"/>
  <c r="A232" i="475"/>
  <c r="A231" i="475"/>
  <c r="A230" i="475"/>
  <c r="A229" i="475"/>
  <c r="A228" i="475"/>
  <c r="A227" i="475"/>
  <c r="A226" i="475"/>
  <c r="A225" i="475"/>
  <c r="A224" i="475"/>
  <c r="A223" i="475"/>
  <c r="A222" i="475"/>
  <c r="A221" i="475"/>
  <c r="A220" i="475"/>
  <c r="A219" i="475"/>
  <c r="A218" i="475"/>
  <c r="A217" i="475"/>
  <c r="A216" i="475"/>
  <c r="A215" i="475"/>
  <c r="A214" i="475"/>
  <c r="A213" i="475"/>
  <c r="A212" i="475"/>
  <c r="A211" i="475"/>
  <c r="A210" i="475"/>
  <c r="A209" i="475"/>
  <c r="A208" i="475"/>
  <c r="A207" i="475"/>
  <c r="A206" i="475"/>
  <c r="A205" i="475"/>
  <c r="A204" i="475"/>
  <c r="A203" i="475"/>
  <c r="A202" i="475"/>
  <c r="A201" i="475"/>
  <c r="A200" i="475"/>
  <c r="A199" i="475"/>
  <c r="A198" i="475"/>
  <c r="A197" i="475"/>
  <c r="A196" i="475"/>
  <c r="A195" i="475"/>
  <c r="A194" i="475"/>
  <c r="A193" i="475"/>
  <c r="A192" i="475"/>
  <c r="A191" i="475"/>
  <c r="A190" i="475"/>
  <c r="A189" i="475"/>
  <c r="A188" i="475"/>
  <c r="A187" i="475"/>
  <c r="A186" i="475"/>
  <c r="A185" i="475"/>
  <c r="A184" i="475"/>
  <c r="A183" i="475"/>
  <c r="A182" i="475"/>
  <c r="A181" i="475"/>
  <c r="A180" i="475"/>
  <c r="A179" i="475"/>
  <c r="A178" i="475"/>
  <c r="A177" i="475"/>
  <c r="A176" i="475"/>
  <c r="A175" i="475"/>
  <c r="A174" i="475"/>
  <c r="A173" i="475"/>
  <c r="A172" i="475"/>
  <c r="A171" i="475"/>
  <c r="A168" i="475"/>
  <c r="A167" i="475"/>
  <c r="A166" i="475"/>
  <c r="A164" i="475"/>
  <c r="A163" i="475"/>
  <c r="A162" i="475"/>
  <c r="A161" i="475"/>
  <c r="A160" i="475"/>
  <c r="A159" i="475"/>
  <c r="A158" i="475"/>
  <c r="A157" i="475"/>
  <c r="A156" i="475"/>
  <c r="A155" i="475"/>
  <c r="A154" i="475"/>
  <c r="A153" i="475"/>
  <c r="A152" i="475"/>
  <c r="A151" i="475"/>
  <c r="A150" i="475"/>
  <c r="A149" i="475"/>
  <c r="A148" i="475"/>
  <c r="A147" i="475"/>
  <c r="A146" i="475"/>
  <c r="A145" i="475"/>
  <c r="A144" i="475"/>
  <c r="A143" i="475"/>
  <c r="A142" i="475"/>
  <c r="A141" i="475"/>
  <c r="A140" i="475"/>
  <c r="A139" i="475"/>
  <c r="A138" i="475"/>
  <c r="A137" i="475"/>
  <c r="A136" i="475"/>
  <c r="A135" i="475"/>
  <c r="A134" i="475"/>
  <c r="A133" i="475"/>
  <c r="A132" i="475"/>
  <c r="A131" i="475"/>
  <c r="A130" i="475"/>
  <c r="A129" i="475"/>
  <c r="A128" i="475"/>
  <c r="A127" i="475"/>
  <c r="A126" i="475"/>
  <c r="A125" i="475"/>
  <c r="A124" i="475"/>
  <c r="A123" i="475"/>
  <c r="A122" i="475"/>
  <c r="A121" i="475"/>
  <c r="A120" i="475"/>
  <c r="A119" i="475"/>
  <c r="A118" i="475"/>
  <c r="A117" i="475"/>
  <c r="A116" i="475"/>
  <c r="A115" i="475"/>
  <c r="A114" i="475"/>
  <c r="A113" i="475"/>
  <c r="A112" i="475"/>
  <c r="A111" i="475"/>
  <c r="A110" i="475"/>
  <c r="A109" i="475"/>
  <c r="A108" i="475"/>
  <c r="A107" i="475"/>
  <c r="A106" i="475"/>
  <c r="A105" i="475"/>
  <c r="A104" i="475"/>
  <c r="A103" i="475"/>
  <c r="A102" i="475"/>
  <c r="A101" i="475"/>
  <c r="A100" i="475"/>
  <c r="A99" i="475"/>
  <c r="A98" i="475"/>
  <c r="A97" i="475"/>
  <c r="A96" i="475"/>
  <c r="A95" i="475"/>
  <c r="A94" i="475"/>
  <c r="A93" i="475"/>
  <c r="A92" i="475"/>
  <c r="A91" i="475"/>
  <c r="A90" i="475"/>
  <c r="A89" i="475"/>
  <c r="A88" i="475"/>
  <c r="A87" i="475"/>
  <c r="A86" i="475"/>
  <c r="A85" i="475"/>
  <c r="A84" i="475"/>
  <c r="A83" i="475"/>
  <c r="A82" i="475"/>
  <c r="A81" i="475"/>
  <c r="A80" i="475"/>
  <c r="A79" i="475"/>
  <c r="A78" i="475"/>
  <c r="A77" i="475"/>
  <c r="A76" i="475"/>
  <c r="A75" i="475"/>
  <c r="A74" i="475"/>
  <c r="A73" i="475"/>
  <c r="A72" i="475"/>
  <c r="A71" i="475"/>
  <c r="A70" i="475"/>
  <c r="A69" i="475"/>
  <c r="A68" i="475"/>
  <c r="A67" i="475"/>
  <c r="A66" i="475"/>
  <c r="A65" i="475"/>
  <c r="A64" i="475"/>
  <c r="A63" i="475"/>
  <c r="A62" i="475"/>
  <c r="A61" i="475"/>
  <c r="A60" i="475"/>
  <c r="A59" i="475"/>
  <c r="A58" i="475"/>
  <c r="A57" i="475"/>
  <c r="A56" i="475"/>
  <c r="A55" i="475"/>
  <c r="A54" i="475"/>
  <c r="A53" i="475"/>
  <c r="A52" i="475"/>
  <c r="A51" i="475"/>
  <c r="A50" i="475"/>
  <c r="A49" i="475"/>
  <c r="A48" i="475"/>
  <c r="A47" i="475"/>
  <c r="A46" i="475"/>
  <c r="A45" i="475"/>
  <c r="A44" i="475"/>
  <c r="A43" i="475"/>
  <c r="A42" i="475"/>
  <c r="A41" i="475"/>
  <c r="A40" i="475"/>
  <c r="A39" i="475"/>
  <c r="A38" i="475"/>
  <c r="A37" i="475"/>
  <c r="A36" i="475"/>
  <c r="A35" i="475"/>
  <c r="A33" i="475"/>
  <c r="A32" i="475"/>
  <c r="A31" i="475"/>
  <c r="A30" i="475"/>
  <c r="A29" i="475"/>
  <c r="A28" i="475"/>
  <c r="A27" i="475"/>
  <c r="A26" i="475"/>
  <c r="A25" i="475"/>
  <c r="A24" i="475"/>
  <c r="A23" i="475"/>
  <c r="A22" i="475"/>
  <c r="A21" i="475"/>
  <c r="A20" i="475"/>
  <c r="A19" i="475"/>
  <c r="A18" i="475"/>
  <c r="A17" i="475"/>
  <c r="A16" i="475"/>
  <c r="A15" i="475"/>
  <c r="A14" i="475"/>
  <c r="A13" i="475"/>
  <c r="A12" i="475"/>
  <c r="A11" i="475"/>
  <c r="A10" i="475"/>
  <c r="A9" i="475"/>
  <c r="W10" i="474"/>
  <c r="X10" i="474"/>
  <c r="Y10" i="474"/>
  <c r="W11" i="474"/>
  <c r="X11" i="474"/>
  <c r="Y11" i="474"/>
  <c r="W12" i="474"/>
  <c r="X12" i="474"/>
  <c r="Y12" i="474"/>
  <c r="W13" i="474"/>
  <c r="X13" i="474"/>
  <c r="Y13" i="474"/>
  <c r="W14" i="474"/>
  <c r="X14" i="474"/>
  <c r="Y14" i="474"/>
  <c r="W15" i="474"/>
  <c r="X15" i="474"/>
  <c r="Y15" i="474"/>
  <c r="W16" i="474"/>
  <c r="X16" i="474"/>
  <c r="Y16" i="474"/>
  <c r="W17" i="474"/>
  <c r="X17" i="474"/>
  <c r="Y17" i="474"/>
  <c r="W18" i="474"/>
  <c r="X18" i="474"/>
  <c r="Y18" i="474"/>
  <c r="W19" i="474"/>
  <c r="X19" i="474"/>
  <c r="Y19" i="474"/>
  <c r="W20" i="474"/>
  <c r="X20" i="474"/>
  <c r="Y20" i="474"/>
  <c r="W21" i="474"/>
  <c r="X21" i="474"/>
  <c r="Y21" i="474"/>
  <c r="W23" i="474"/>
  <c r="X23" i="474"/>
  <c r="Y23" i="474"/>
  <c r="W24" i="474"/>
  <c r="X24" i="474"/>
  <c r="Y24" i="474"/>
  <c r="W25" i="474"/>
  <c r="X25" i="474"/>
  <c r="Y25" i="474"/>
  <c r="W26" i="474"/>
  <c r="X26" i="474"/>
  <c r="Y26" i="474"/>
  <c r="W29" i="474"/>
  <c r="X29" i="474"/>
  <c r="Y29" i="474"/>
  <c r="W30" i="474"/>
  <c r="X30" i="474"/>
  <c r="Y30" i="474"/>
  <c r="W31" i="474"/>
  <c r="X31" i="474"/>
  <c r="Y31" i="474"/>
  <c r="W32" i="474"/>
  <c r="X32" i="474"/>
  <c r="Y32" i="474"/>
  <c r="W33" i="474"/>
  <c r="X33" i="474"/>
  <c r="Y33" i="474"/>
  <c r="W34" i="474"/>
  <c r="X34" i="474"/>
  <c r="Y34" i="474"/>
  <c r="W35" i="474"/>
  <c r="X35" i="474"/>
  <c r="Y35" i="474"/>
  <c r="W36" i="474"/>
  <c r="X36" i="474"/>
  <c r="Y36" i="474"/>
  <c r="W37" i="474"/>
  <c r="X37" i="474"/>
  <c r="Y37" i="474"/>
  <c r="W38" i="474"/>
  <c r="X38" i="474"/>
  <c r="Y38" i="474"/>
  <c r="W39" i="474"/>
  <c r="X39" i="474"/>
  <c r="Y39" i="474"/>
  <c r="W40" i="474"/>
  <c r="X40" i="474"/>
  <c r="Y40" i="474"/>
  <c r="W41" i="474"/>
  <c r="X41" i="474"/>
  <c r="Y41" i="474"/>
  <c r="W42" i="474"/>
  <c r="X42" i="474"/>
  <c r="Y42" i="474"/>
  <c r="W43" i="474"/>
  <c r="X43" i="474"/>
  <c r="Y43" i="474"/>
  <c r="W44" i="474"/>
  <c r="X44" i="474"/>
  <c r="Y44" i="474"/>
  <c r="W45" i="474"/>
  <c r="X45" i="474"/>
  <c r="Y45" i="474"/>
  <c r="W46" i="474"/>
  <c r="X46" i="474"/>
  <c r="Y46" i="474"/>
  <c r="W48" i="474"/>
  <c r="X48" i="474"/>
  <c r="Y48" i="474"/>
  <c r="W49" i="474"/>
  <c r="X49" i="474"/>
  <c r="Y49" i="474"/>
  <c r="W50" i="474"/>
  <c r="X50" i="474"/>
  <c r="Y50" i="474"/>
  <c r="W51" i="474"/>
  <c r="X51" i="474"/>
  <c r="Y51" i="474"/>
  <c r="W52" i="474"/>
  <c r="X52" i="474"/>
  <c r="Y52" i="474"/>
  <c r="W53" i="474"/>
  <c r="X53" i="474"/>
  <c r="Y53" i="474"/>
  <c r="W54" i="474"/>
  <c r="X54" i="474"/>
  <c r="Y54" i="474"/>
  <c r="W57" i="474"/>
  <c r="X57" i="474"/>
  <c r="Y57" i="474"/>
  <c r="W58" i="474"/>
  <c r="X58" i="474"/>
  <c r="Y58" i="474"/>
  <c r="W59" i="474"/>
  <c r="X59" i="474"/>
  <c r="Y59" i="474"/>
  <c r="W60" i="474"/>
  <c r="X60" i="474"/>
  <c r="Y60" i="474"/>
  <c r="W61" i="474"/>
  <c r="X61" i="474"/>
  <c r="Y61" i="474"/>
  <c r="W62" i="474"/>
  <c r="X62" i="474"/>
  <c r="Y62" i="474"/>
  <c r="W63" i="474"/>
  <c r="X63" i="474"/>
  <c r="Y63" i="474"/>
  <c r="W65" i="474"/>
  <c r="X65" i="474"/>
  <c r="Y65" i="474"/>
  <c r="W66" i="474"/>
  <c r="X66" i="474"/>
  <c r="Y66" i="474"/>
  <c r="W67" i="474"/>
  <c r="X67" i="474"/>
  <c r="Y67" i="474"/>
  <c r="W68" i="474"/>
  <c r="X68" i="474"/>
  <c r="Y68" i="474"/>
  <c r="W70" i="474"/>
  <c r="X70" i="474"/>
  <c r="Y70" i="474"/>
  <c r="W74" i="474"/>
  <c r="X74" i="474"/>
  <c r="Y74" i="474"/>
  <c r="W75" i="474"/>
  <c r="X75" i="474"/>
  <c r="Y75" i="474"/>
  <c r="W76" i="474"/>
  <c r="X76" i="474"/>
  <c r="Y76" i="474"/>
  <c r="W77" i="474"/>
  <c r="X77" i="474"/>
  <c r="Y77" i="474"/>
  <c r="W78" i="474"/>
  <c r="X78" i="474"/>
  <c r="Y78" i="474"/>
  <c r="W79" i="474"/>
  <c r="X79" i="474"/>
  <c r="Y79" i="474"/>
  <c r="W82" i="474"/>
  <c r="X82" i="474"/>
  <c r="Y82" i="474"/>
  <c r="W83" i="474"/>
  <c r="X83" i="474"/>
  <c r="Y83" i="474"/>
  <c r="W84" i="474"/>
  <c r="X84" i="474"/>
  <c r="Y84" i="474"/>
  <c r="W85" i="474"/>
  <c r="X85" i="474"/>
  <c r="Y85" i="474"/>
  <c r="W87" i="474"/>
  <c r="X87" i="474"/>
  <c r="Y87" i="474"/>
  <c r="W88" i="474"/>
  <c r="X88" i="474"/>
  <c r="Y88" i="474"/>
  <c r="W89" i="474"/>
  <c r="X89" i="474"/>
  <c r="Y89" i="474"/>
  <c r="W91" i="474"/>
  <c r="X91" i="474"/>
  <c r="Y91" i="474"/>
  <c r="W92" i="474"/>
  <c r="X92" i="474"/>
  <c r="Y92" i="474"/>
  <c r="W93" i="474"/>
  <c r="X93" i="474"/>
  <c r="Y93" i="474"/>
  <c r="W94" i="474"/>
  <c r="X94" i="474"/>
  <c r="Y94" i="474"/>
  <c r="W95" i="474"/>
  <c r="X95" i="474"/>
  <c r="Y95" i="474"/>
  <c r="W97" i="474"/>
  <c r="X97" i="474"/>
  <c r="Y97" i="474"/>
  <c r="W98" i="474"/>
  <c r="X98" i="474"/>
  <c r="Y98" i="474"/>
  <c r="W102" i="474"/>
  <c r="X102" i="474"/>
  <c r="Y102" i="474"/>
  <c r="W103" i="474"/>
  <c r="X103" i="474"/>
  <c r="Y103" i="474"/>
  <c r="W106" i="474"/>
  <c r="X106" i="474"/>
  <c r="Y106" i="474"/>
  <c r="W107" i="474"/>
  <c r="X107" i="474"/>
  <c r="Y107" i="474"/>
  <c r="W108" i="474"/>
  <c r="X108" i="474"/>
  <c r="Y108" i="474"/>
  <c r="W109" i="474"/>
  <c r="X109" i="474"/>
  <c r="Y109" i="474"/>
  <c r="W110" i="474"/>
  <c r="X110" i="474"/>
  <c r="Y110" i="474"/>
  <c r="W111" i="474"/>
  <c r="X111" i="474"/>
  <c r="Y111" i="474"/>
  <c r="W112" i="474"/>
  <c r="X112" i="474"/>
  <c r="Y112" i="474"/>
  <c r="W113" i="474"/>
  <c r="X113" i="474"/>
  <c r="Y113" i="474"/>
  <c r="W114" i="474"/>
  <c r="X114" i="474"/>
  <c r="Y114" i="474"/>
  <c r="W115" i="474"/>
  <c r="X115" i="474"/>
  <c r="Y115" i="474"/>
  <c r="W117" i="474"/>
  <c r="X117" i="474"/>
  <c r="Y117" i="474"/>
  <c r="W118" i="474"/>
  <c r="X118" i="474"/>
  <c r="Y118" i="474"/>
  <c r="W119" i="474"/>
  <c r="X119" i="474"/>
  <c r="Y119" i="474"/>
  <c r="W120" i="474"/>
  <c r="X120" i="474"/>
  <c r="Y120" i="474"/>
  <c r="W121" i="474"/>
  <c r="X121" i="474"/>
  <c r="Y121" i="474"/>
  <c r="W122" i="474"/>
  <c r="X122" i="474"/>
  <c r="Y122" i="474"/>
  <c r="W123" i="474"/>
  <c r="X123" i="474"/>
  <c r="Y123" i="474"/>
  <c r="W124" i="474"/>
  <c r="X124" i="474"/>
  <c r="Y124" i="474"/>
  <c r="W125" i="474"/>
  <c r="X125" i="474"/>
  <c r="Y125" i="474"/>
  <c r="W126" i="474"/>
  <c r="X126" i="474"/>
  <c r="Y126" i="474"/>
  <c r="W127" i="474"/>
  <c r="X127" i="474"/>
  <c r="Y127" i="474"/>
  <c r="W128" i="474"/>
  <c r="X128" i="474"/>
  <c r="Y128" i="474"/>
  <c r="W129" i="474"/>
  <c r="X129" i="474"/>
  <c r="Y129" i="474"/>
  <c r="W130" i="474"/>
  <c r="X130" i="474"/>
  <c r="Y130" i="474"/>
  <c r="W131" i="474"/>
  <c r="X131" i="474"/>
  <c r="Y131" i="474"/>
  <c r="W132" i="474"/>
  <c r="X132" i="474"/>
  <c r="Y132" i="474"/>
  <c r="W133" i="474"/>
  <c r="X133" i="474"/>
  <c r="Y133" i="474"/>
  <c r="W135" i="474"/>
  <c r="X135" i="474"/>
  <c r="Y135" i="474"/>
  <c r="W136" i="474"/>
  <c r="X136" i="474"/>
  <c r="Y136" i="474"/>
  <c r="W137" i="474"/>
  <c r="X137" i="474"/>
  <c r="Y137" i="474"/>
  <c r="W138" i="474"/>
  <c r="X138" i="474"/>
  <c r="Y138" i="474"/>
  <c r="W139" i="474"/>
  <c r="X139" i="474"/>
  <c r="Y139" i="474"/>
  <c r="W140" i="474"/>
  <c r="X140" i="474"/>
  <c r="Y140" i="474"/>
  <c r="W141" i="474"/>
  <c r="X141" i="474"/>
  <c r="Y141" i="474"/>
  <c r="W142" i="474"/>
  <c r="X142" i="474"/>
  <c r="Y142" i="474"/>
  <c r="W143" i="474"/>
  <c r="X143" i="474"/>
  <c r="Y143" i="474"/>
  <c r="W144" i="474"/>
  <c r="X144" i="474"/>
  <c r="Y144" i="474"/>
  <c r="W145" i="474"/>
  <c r="X145" i="474"/>
  <c r="Y145" i="474"/>
  <c r="W148" i="474"/>
  <c r="X148" i="474"/>
  <c r="Y148" i="474"/>
  <c r="W149" i="474"/>
  <c r="X149" i="474"/>
  <c r="Y149" i="474"/>
  <c r="W150" i="474"/>
  <c r="X150" i="474"/>
  <c r="Y150" i="474"/>
  <c r="W151" i="474"/>
  <c r="X151" i="474"/>
  <c r="Y151" i="474"/>
  <c r="W152" i="474"/>
  <c r="X152" i="474"/>
  <c r="Y152" i="474"/>
  <c r="W153" i="474"/>
  <c r="X153" i="474"/>
  <c r="Y153" i="474"/>
  <c r="W155" i="474"/>
  <c r="X155" i="474"/>
  <c r="Y155" i="474"/>
  <c r="W156" i="474"/>
  <c r="X156" i="474"/>
  <c r="Y156" i="474"/>
  <c r="W157" i="474"/>
  <c r="X157" i="474"/>
  <c r="Y157" i="474"/>
  <c r="W158" i="474"/>
  <c r="X158" i="474"/>
  <c r="Y158" i="474"/>
  <c r="W159" i="474"/>
  <c r="X159" i="474"/>
  <c r="Y159" i="474"/>
  <c r="W161" i="474"/>
  <c r="X161" i="474"/>
  <c r="Y161" i="474"/>
  <c r="W162" i="474"/>
  <c r="X162" i="474"/>
  <c r="Y162" i="474"/>
  <c r="W164" i="474"/>
  <c r="X164" i="474"/>
  <c r="Y164" i="474"/>
  <c r="W165" i="474"/>
  <c r="X165" i="474"/>
  <c r="Y165" i="474"/>
  <c r="W166" i="474"/>
  <c r="X166" i="474"/>
  <c r="Y166" i="474"/>
  <c r="W167" i="474"/>
  <c r="X167" i="474"/>
  <c r="Y167" i="474"/>
  <c r="X163" i="474" l="1"/>
  <c r="W163" i="474"/>
  <c r="Y154" i="474"/>
  <c r="X154" i="474"/>
  <c r="W154" i="474"/>
  <c r="Y147" i="474"/>
  <c r="W147" i="474"/>
  <c r="Y134" i="474"/>
  <c r="X134" i="474"/>
  <c r="W134" i="474"/>
  <c r="Y116" i="474"/>
  <c r="X116" i="474"/>
  <c r="W116" i="474"/>
  <c r="Y105" i="474"/>
  <c r="X105" i="474"/>
  <c r="W105" i="474"/>
  <c r="Y96" i="474"/>
  <c r="X96" i="474"/>
  <c r="W96" i="474"/>
  <c r="Y90" i="474"/>
  <c r="X90" i="474"/>
  <c r="W90" i="474"/>
  <c r="X86" i="474"/>
  <c r="W86" i="474"/>
  <c r="X73" i="474"/>
  <c r="X64" i="474"/>
  <c r="W64" i="474"/>
  <c r="W56" i="474"/>
  <c r="Y47" i="474"/>
  <c r="W47" i="474"/>
  <c r="Y28" i="474"/>
  <c r="W28" i="474"/>
  <c r="Y22" i="474"/>
  <c r="X22" i="474"/>
  <c r="W22" i="474"/>
  <c r="Y9" i="474"/>
  <c r="X9" i="474"/>
  <c r="Y72" i="474" l="1"/>
  <c r="Y73" i="474"/>
  <c r="W72" i="474"/>
  <c r="W73" i="474"/>
  <c r="Y160" i="474"/>
  <c r="Y163" i="474"/>
  <c r="X146" i="474"/>
  <c r="X147" i="474"/>
  <c r="Y64" i="474"/>
  <c r="X55" i="474"/>
  <c r="X56" i="474"/>
  <c r="Y56" i="474"/>
  <c r="X47" i="474"/>
  <c r="Y27" i="474"/>
  <c r="X28" i="474"/>
  <c r="W8" i="474"/>
  <c r="W9" i="474"/>
  <c r="W146" i="474"/>
  <c r="W104" i="474"/>
  <c r="X104" i="474"/>
  <c r="W55" i="474"/>
  <c r="W27" i="474"/>
  <c r="X8" i="474"/>
  <c r="W160" i="474"/>
  <c r="X72" i="474"/>
  <c r="Y104" i="474"/>
  <c r="Y71" i="474" l="1"/>
  <c r="X160" i="474"/>
  <c r="Y146" i="474"/>
  <c r="Y86" i="474"/>
  <c r="Y55" i="474"/>
  <c r="X27" i="474"/>
  <c r="Y8" i="474"/>
  <c r="X71" i="474"/>
  <c r="Y69" i="474" l="1"/>
  <c r="W71" i="474"/>
  <c r="Y168" i="474"/>
  <c r="W69" i="474" l="1"/>
  <c r="X69" i="474"/>
  <c r="Y169" i="474"/>
  <c r="W168" i="474" l="1"/>
  <c r="X168" i="474"/>
  <c r="X170" i="474"/>
  <c r="X169" i="474"/>
  <c r="W170" i="474" l="1"/>
  <c r="W169" i="474"/>
  <c r="Y170" i="474"/>
  <c r="A167" i="474" l="1"/>
  <c r="A166" i="474"/>
  <c r="A165" i="474"/>
  <c r="A164" i="474"/>
  <c r="A163" i="474"/>
  <c r="A162" i="474"/>
  <c r="A161" i="474"/>
  <c r="A157" i="474"/>
  <c r="A156" i="474"/>
  <c r="A155" i="474"/>
  <c r="A154" i="474"/>
  <c r="A153" i="474"/>
  <c r="A152" i="474"/>
  <c r="A151" i="474"/>
  <c r="A150" i="474"/>
  <c r="A149" i="474"/>
  <c r="A148" i="474"/>
  <c r="A147" i="474"/>
  <c r="A145" i="474"/>
  <c r="A144" i="474"/>
  <c r="A143" i="474"/>
  <c r="A142" i="474"/>
  <c r="A141" i="474"/>
  <c r="A140" i="474"/>
  <c r="A139" i="474"/>
  <c r="A138" i="474"/>
  <c r="A137" i="474"/>
  <c r="A136" i="474"/>
  <c r="A135" i="474"/>
  <c r="A134" i="474"/>
  <c r="A133" i="474"/>
  <c r="A132" i="474"/>
  <c r="A131" i="474"/>
  <c r="A130" i="474"/>
  <c r="A129" i="474"/>
  <c r="A128" i="474"/>
  <c r="A127" i="474"/>
  <c r="A126" i="474"/>
  <c r="A125" i="474"/>
  <c r="A124" i="474"/>
  <c r="A123" i="474"/>
  <c r="A122" i="474"/>
  <c r="A121" i="474"/>
  <c r="A120" i="474"/>
  <c r="A119" i="474"/>
  <c r="A118" i="474"/>
  <c r="A117" i="474"/>
  <c r="A116" i="474"/>
  <c r="A115" i="474"/>
  <c r="A114" i="474"/>
  <c r="A113" i="474"/>
  <c r="A112" i="474"/>
  <c r="A111" i="474"/>
  <c r="A110" i="474"/>
  <c r="A109" i="474"/>
  <c r="A108" i="474"/>
  <c r="A107" i="474"/>
  <c r="A106" i="474"/>
  <c r="A105" i="474"/>
  <c r="A103" i="474"/>
  <c r="A102" i="474"/>
  <c r="A101" i="474"/>
  <c r="A98" i="474"/>
  <c r="A97" i="474"/>
  <c r="A96" i="474"/>
  <c r="A95" i="474"/>
  <c r="A94" i="474"/>
  <c r="A93" i="474"/>
  <c r="A92" i="474"/>
  <c r="A91" i="474"/>
  <c r="A90" i="474"/>
  <c r="A89" i="474"/>
  <c r="A88" i="474"/>
  <c r="A87" i="474"/>
  <c r="A86" i="474"/>
  <c r="A85" i="474"/>
  <c r="A84" i="474"/>
  <c r="A83" i="474"/>
  <c r="A82" i="474"/>
  <c r="A79" i="474"/>
  <c r="A78" i="474"/>
  <c r="A77" i="474"/>
  <c r="A76" i="474"/>
  <c r="A75" i="474"/>
  <c r="A74" i="474"/>
  <c r="A73" i="474"/>
  <c r="A72" i="474"/>
  <c r="A71" i="474"/>
  <c r="A70" i="474"/>
  <c r="A68" i="474"/>
  <c r="A67" i="474"/>
  <c r="A66" i="474"/>
  <c r="A65" i="474"/>
  <c r="A64" i="474"/>
  <c r="A63" i="474"/>
  <c r="A62" i="474"/>
  <c r="A61" i="474"/>
  <c r="A60" i="474"/>
  <c r="A59" i="474"/>
  <c r="A58" i="474"/>
  <c r="A57" i="474"/>
  <c r="A56" i="474"/>
  <c r="A54" i="474"/>
  <c r="A53" i="474"/>
  <c r="A52" i="474"/>
  <c r="A51" i="474"/>
  <c r="A50" i="474"/>
  <c r="A49" i="474"/>
  <c r="A48" i="474"/>
  <c r="A47" i="474"/>
  <c r="A46" i="474"/>
  <c r="A45" i="474"/>
  <c r="A44" i="474"/>
  <c r="A43" i="474"/>
  <c r="A42" i="474"/>
  <c r="A41" i="474"/>
  <c r="A40" i="474"/>
  <c r="A39" i="474"/>
  <c r="A38" i="474"/>
  <c r="A37" i="474"/>
  <c r="A36" i="474"/>
  <c r="A35" i="474"/>
  <c r="A34" i="474"/>
  <c r="A33" i="474"/>
  <c r="A32" i="474"/>
  <c r="A31" i="474"/>
  <c r="A30" i="474"/>
  <c r="A29" i="474"/>
  <c r="A28" i="474"/>
  <c r="A26" i="474"/>
  <c r="A25" i="474"/>
  <c r="A24" i="474"/>
  <c r="A23" i="474"/>
  <c r="A22" i="474"/>
  <c r="A21" i="474"/>
  <c r="A20" i="474"/>
  <c r="A19" i="474"/>
  <c r="A18" i="474"/>
  <c r="A17" i="474"/>
  <c r="A16" i="474"/>
  <c r="A15" i="474"/>
  <c r="A14" i="474"/>
  <c r="A13" i="474"/>
  <c r="A12" i="474"/>
  <c r="A11" i="474"/>
  <c r="A10" i="474"/>
  <c r="A9" i="474"/>
  <c r="Q112" i="474" l="1"/>
  <c r="AC112" i="474" s="1"/>
  <c r="O54" i="474"/>
  <c r="AA54" i="474" s="1"/>
  <c r="P63" i="474"/>
  <c r="AB63" i="474" s="1"/>
  <c r="O25" i="474"/>
  <c r="AA25" i="474" s="1"/>
  <c r="P129" i="474"/>
  <c r="AB129" i="474" s="1"/>
  <c r="O38" i="474"/>
  <c r="AA38" i="474" s="1"/>
  <c r="O136" i="474"/>
  <c r="AA136" i="474" s="1"/>
  <c r="O21" i="474"/>
  <c r="AA21" i="474" s="1"/>
  <c r="O50" i="474"/>
  <c r="AA50" i="474" s="1"/>
  <c r="O13" i="474"/>
  <c r="AA13" i="474" s="1"/>
  <c r="Q14" i="474"/>
  <c r="AC14" i="474" s="1"/>
  <c r="P49" i="474"/>
  <c r="AB49" i="474" s="1"/>
  <c r="Q51" i="474"/>
  <c r="AC51" i="474" s="1"/>
  <c r="P33" i="474"/>
  <c r="AB33" i="474" s="1"/>
  <c r="Q39" i="474"/>
  <c r="AC39" i="474" s="1"/>
  <c r="O42" i="474"/>
  <c r="AA42" i="474" s="1"/>
  <c r="P58" i="474"/>
  <c r="AB58" i="474" s="1"/>
  <c r="P62" i="474"/>
  <c r="AB62" i="474" s="1"/>
  <c r="O91" i="474"/>
  <c r="AA91" i="474" s="1"/>
  <c r="O95" i="474"/>
  <c r="AA95" i="474" s="1"/>
  <c r="Q26" i="474"/>
  <c r="AC26" i="474" s="1"/>
  <c r="O30" i="474"/>
  <c r="AA30" i="474" s="1"/>
  <c r="O83" i="474"/>
  <c r="AA83" i="474" s="1"/>
  <c r="Q96" i="474"/>
  <c r="AC96" i="474" s="1"/>
  <c r="Q120" i="474"/>
  <c r="AC120" i="474" s="1"/>
  <c r="Q128" i="474"/>
  <c r="AC128" i="474" s="1"/>
  <c r="O59" i="474"/>
  <c r="AA59" i="474" s="1"/>
  <c r="O17" i="474"/>
  <c r="AA17" i="474" s="1"/>
  <c r="P45" i="474"/>
  <c r="AB45" i="474" s="1"/>
  <c r="P52" i="474"/>
  <c r="AB52" i="474" s="1"/>
  <c r="Q70" i="474"/>
  <c r="AC70" i="474" s="1"/>
  <c r="O138" i="474"/>
  <c r="AA138" i="474" s="1"/>
  <c r="O142" i="474"/>
  <c r="AA142" i="474" s="1"/>
  <c r="O156" i="474"/>
  <c r="AA156" i="474" s="1"/>
  <c r="P163" i="474"/>
  <c r="AB163" i="474" s="1"/>
  <c r="O46" i="474"/>
  <c r="AA46" i="474" s="1"/>
  <c r="O87" i="474"/>
  <c r="AA87" i="474" s="1"/>
  <c r="Q155" i="474"/>
  <c r="AC155" i="474" s="1"/>
  <c r="P151" i="474"/>
  <c r="AB151" i="474" s="1"/>
  <c r="P15" i="474"/>
  <c r="AB15" i="474" s="1"/>
  <c r="Q18" i="474"/>
  <c r="AC18" i="474" s="1"/>
  <c r="O34" i="474"/>
  <c r="AA34" i="474" s="1"/>
  <c r="O68" i="474"/>
  <c r="AA68" i="474" s="1"/>
  <c r="Q92" i="474"/>
  <c r="AC92" i="474" s="1"/>
  <c r="P148" i="474"/>
  <c r="AB148" i="474" s="1"/>
  <c r="Q11" i="474"/>
  <c r="AC11" i="474" s="1"/>
  <c r="P12" i="474"/>
  <c r="AB12" i="474" s="1"/>
  <c r="P16" i="474"/>
  <c r="AB16" i="474" s="1"/>
  <c r="O77" i="474"/>
  <c r="AA77" i="474" s="1"/>
  <c r="Q84" i="474"/>
  <c r="AC84" i="474" s="1"/>
  <c r="O148" i="474"/>
  <c r="AA148" i="474" s="1"/>
  <c r="P20" i="474"/>
  <c r="AB20" i="474" s="1"/>
  <c r="Q74" i="474"/>
  <c r="AC74" i="474" s="1"/>
  <c r="P24" i="474"/>
  <c r="AB24" i="474" s="1"/>
  <c r="P37" i="474"/>
  <c r="AB37" i="474" s="1"/>
  <c r="Q43" i="474"/>
  <c r="AC43" i="474" s="1"/>
  <c r="P53" i="474"/>
  <c r="AB53" i="474" s="1"/>
  <c r="Q88" i="474"/>
  <c r="AC88" i="474" s="1"/>
  <c r="P98" i="474"/>
  <c r="AB98" i="474" s="1"/>
  <c r="Q98" i="474"/>
  <c r="Q132" i="474"/>
  <c r="AC132" i="474" s="1"/>
  <c r="Q31" i="474"/>
  <c r="AC31" i="474" s="1"/>
  <c r="P41" i="474"/>
  <c r="AB41" i="474" s="1"/>
  <c r="Q60" i="474"/>
  <c r="AC60" i="474" s="1"/>
  <c r="Q78" i="474"/>
  <c r="AC78" i="474" s="1"/>
  <c r="P82" i="474"/>
  <c r="AB82" i="474" s="1"/>
  <c r="O94" i="474"/>
  <c r="AA94" i="474" s="1"/>
  <c r="P29" i="474"/>
  <c r="AB29" i="474" s="1"/>
  <c r="Q35" i="474"/>
  <c r="AC35" i="474" s="1"/>
  <c r="P94" i="474"/>
  <c r="AB94" i="474" s="1"/>
  <c r="Q108" i="474"/>
  <c r="AC108" i="474" s="1"/>
  <c r="Q124" i="474"/>
  <c r="AC124" i="474" s="1"/>
  <c r="P125" i="474"/>
  <c r="AB125" i="474" s="1"/>
  <c r="P133" i="474"/>
  <c r="AB133" i="474" s="1"/>
  <c r="P136" i="474"/>
  <c r="AB136" i="474" s="1"/>
  <c r="Q103" i="474"/>
  <c r="AC103" i="474" s="1"/>
  <c r="P19" i="474"/>
  <c r="AB19" i="474" s="1"/>
  <c r="P23" i="474"/>
  <c r="AB23" i="474" s="1"/>
  <c r="P32" i="474"/>
  <c r="AB32" i="474" s="1"/>
  <c r="P36" i="474"/>
  <c r="AB36" i="474" s="1"/>
  <c r="P40" i="474"/>
  <c r="AB40" i="474" s="1"/>
  <c r="P44" i="474"/>
  <c r="AB44" i="474" s="1"/>
  <c r="P57" i="474"/>
  <c r="AB57" i="474" s="1"/>
  <c r="P61" i="474"/>
  <c r="AB61" i="474" s="1"/>
  <c r="P65" i="474"/>
  <c r="AB65" i="474" s="1"/>
  <c r="O102" i="474"/>
  <c r="AA102" i="474" s="1"/>
  <c r="O149" i="474"/>
  <c r="AA149" i="474" s="1"/>
  <c r="Q151" i="474"/>
  <c r="O12" i="474"/>
  <c r="AA12" i="474" s="1"/>
  <c r="Q15" i="474"/>
  <c r="O16" i="474"/>
  <c r="AA16" i="474" s="1"/>
  <c r="Q19" i="474"/>
  <c r="AC19" i="474" s="1"/>
  <c r="O20" i="474"/>
  <c r="AA20" i="474" s="1"/>
  <c r="Q23" i="474"/>
  <c r="AC23" i="474" s="1"/>
  <c r="O24" i="474"/>
  <c r="AA24" i="474" s="1"/>
  <c r="O29" i="474"/>
  <c r="AA29" i="474" s="1"/>
  <c r="Q32" i="474"/>
  <c r="AC32" i="474" s="1"/>
  <c r="O33" i="474"/>
  <c r="AA33" i="474" s="1"/>
  <c r="Q36" i="474"/>
  <c r="AC36" i="474" s="1"/>
  <c r="O37" i="474"/>
  <c r="AA37" i="474" s="1"/>
  <c r="Q40" i="474"/>
  <c r="AC40" i="474" s="1"/>
  <c r="O41" i="474"/>
  <c r="AA41" i="474" s="1"/>
  <c r="Q44" i="474"/>
  <c r="O45" i="474"/>
  <c r="AA45" i="474" s="1"/>
  <c r="Q48" i="474"/>
  <c r="AC48" i="474" s="1"/>
  <c r="O49" i="474"/>
  <c r="AA49" i="474" s="1"/>
  <c r="Q52" i="474"/>
  <c r="O53" i="474"/>
  <c r="AA53" i="474" s="1"/>
  <c r="Q57" i="474"/>
  <c r="AC57" i="474" s="1"/>
  <c r="O58" i="474"/>
  <c r="AA58" i="474" s="1"/>
  <c r="Q61" i="474"/>
  <c r="AC61" i="474" s="1"/>
  <c r="O62" i="474"/>
  <c r="AA62" i="474" s="1"/>
  <c r="O63" i="474"/>
  <c r="AA63" i="474" s="1"/>
  <c r="O67" i="474"/>
  <c r="AA67" i="474" s="1"/>
  <c r="O76" i="474"/>
  <c r="AA76" i="474" s="1"/>
  <c r="O106" i="474"/>
  <c r="AA106" i="474" s="1"/>
  <c r="O114" i="474"/>
  <c r="AA114" i="474" s="1"/>
  <c r="Q136" i="474"/>
  <c r="O110" i="474"/>
  <c r="AA110" i="474" s="1"/>
  <c r="P11" i="474"/>
  <c r="P48" i="474"/>
  <c r="AB48" i="474" s="1"/>
  <c r="Q65" i="474"/>
  <c r="O118" i="474"/>
  <c r="AA118" i="474" s="1"/>
  <c r="O126" i="474"/>
  <c r="AA126" i="474" s="1"/>
  <c r="Q10" i="474"/>
  <c r="AC10" i="474" s="1"/>
  <c r="P67" i="474"/>
  <c r="AB67" i="474" s="1"/>
  <c r="P76" i="474"/>
  <c r="AB76" i="474" s="1"/>
  <c r="O82" i="474"/>
  <c r="AA82" i="474" s="1"/>
  <c r="O122" i="474"/>
  <c r="AA122" i="474" s="1"/>
  <c r="O130" i="474"/>
  <c r="AA130" i="474" s="1"/>
  <c r="O157" i="474"/>
  <c r="AA157" i="474" s="1"/>
  <c r="Q165" i="474"/>
  <c r="AC165" i="474" s="1"/>
  <c r="O167" i="474"/>
  <c r="AA167" i="474" s="1"/>
  <c r="P106" i="474"/>
  <c r="AB106" i="474" s="1"/>
  <c r="P109" i="474"/>
  <c r="AB109" i="474" s="1"/>
  <c r="P110" i="474"/>
  <c r="AB110" i="474" s="1"/>
  <c r="P113" i="474"/>
  <c r="AB113" i="474" s="1"/>
  <c r="P114" i="474"/>
  <c r="AB114" i="474" s="1"/>
  <c r="P121" i="474"/>
  <c r="AB121" i="474" s="1"/>
  <c r="P122" i="474"/>
  <c r="AB122" i="474" s="1"/>
  <c r="Q139" i="474"/>
  <c r="AC139" i="474" s="1"/>
  <c r="Q150" i="474"/>
  <c r="AC150" i="474" s="1"/>
  <c r="O10" i="474"/>
  <c r="AA10" i="474" s="1"/>
  <c r="Q12" i="474"/>
  <c r="P13" i="474"/>
  <c r="AB13" i="474" s="1"/>
  <c r="O14" i="474"/>
  <c r="AA14" i="474" s="1"/>
  <c r="Q16" i="474"/>
  <c r="P17" i="474"/>
  <c r="AB17" i="474" s="1"/>
  <c r="O18" i="474"/>
  <c r="AA18" i="474" s="1"/>
  <c r="Q20" i="474"/>
  <c r="P21" i="474"/>
  <c r="AB21" i="474" s="1"/>
  <c r="Q24" i="474"/>
  <c r="P25" i="474"/>
  <c r="AB25" i="474" s="1"/>
  <c r="O26" i="474"/>
  <c r="AA26" i="474" s="1"/>
  <c r="Q29" i="474"/>
  <c r="P30" i="474"/>
  <c r="AB30" i="474" s="1"/>
  <c r="O31" i="474"/>
  <c r="AA31" i="474" s="1"/>
  <c r="Q33" i="474"/>
  <c r="P34" i="474"/>
  <c r="AB34" i="474" s="1"/>
  <c r="O35" i="474"/>
  <c r="AA35" i="474" s="1"/>
  <c r="Q37" i="474"/>
  <c r="P38" i="474"/>
  <c r="AB38" i="474" s="1"/>
  <c r="O39" i="474"/>
  <c r="AA39" i="474" s="1"/>
  <c r="Q41" i="474"/>
  <c r="P42" i="474"/>
  <c r="AB42" i="474" s="1"/>
  <c r="O43" i="474"/>
  <c r="AA43" i="474" s="1"/>
  <c r="Q45" i="474"/>
  <c r="P46" i="474"/>
  <c r="AB46" i="474" s="1"/>
  <c r="Q49" i="474"/>
  <c r="P50" i="474"/>
  <c r="AB50" i="474" s="1"/>
  <c r="O51" i="474"/>
  <c r="AA51" i="474" s="1"/>
  <c r="Q53" i="474"/>
  <c r="AC53" i="474" s="1"/>
  <c r="P54" i="474"/>
  <c r="AB54" i="474" s="1"/>
  <c r="Q58" i="474"/>
  <c r="P59" i="474"/>
  <c r="AB59" i="474" s="1"/>
  <c r="O60" i="474"/>
  <c r="AA60" i="474" s="1"/>
  <c r="Q62" i="474"/>
  <c r="P66" i="474"/>
  <c r="AB66" i="474" s="1"/>
  <c r="P75" i="474"/>
  <c r="AB75" i="474" s="1"/>
  <c r="P79" i="474"/>
  <c r="AB79" i="474" s="1"/>
  <c r="P85" i="474"/>
  <c r="AB85" i="474" s="1"/>
  <c r="P89" i="474"/>
  <c r="AB89" i="474" s="1"/>
  <c r="P93" i="474"/>
  <c r="AB93" i="474" s="1"/>
  <c r="P97" i="474"/>
  <c r="AB97" i="474" s="1"/>
  <c r="O107" i="474"/>
  <c r="AA107" i="474" s="1"/>
  <c r="Q109" i="474"/>
  <c r="O111" i="474"/>
  <c r="AA111" i="474" s="1"/>
  <c r="Q113" i="474"/>
  <c r="AC113" i="474" s="1"/>
  <c r="O115" i="474"/>
  <c r="AA115" i="474" s="1"/>
  <c r="Q117" i="474"/>
  <c r="AC117" i="474" s="1"/>
  <c r="O119" i="474"/>
  <c r="AA119" i="474" s="1"/>
  <c r="Q121" i="474"/>
  <c r="O123" i="474"/>
  <c r="AA123" i="474" s="1"/>
  <c r="Q125" i="474"/>
  <c r="O127" i="474"/>
  <c r="AA127" i="474" s="1"/>
  <c r="Q129" i="474"/>
  <c r="O131" i="474"/>
  <c r="AA131" i="474" s="1"/>
  <c r="Q133" i="474"/>
  <c r="AC133" i="474" s="1"/>
  <c r="P117" i="474"/>
  <c r="AB117" i="474" s="1"/>
  <c r="P118" i="474"/>
  <c r="AB118" i="474" s="1"/>
  <c r="P126" i="474"/>
  <c r="AB126" i="474" s="1"/>
  <c r="P130" i="474"/>
  <c r="AB130" i="474" s="1"/>
  <c r="P10" i="474"/>
  <c r="AB10" i="474" s="1"/>
  <c r="O11" i="474"/>
  <c r="AA11" i="474" s="1"/>
  <c r="Q13" i="474"/>
  <c r="AC13" i="474" s="1"/>
  <c r="P14" i="474"/>
  <c r="O15" i="474"/>
  <c r="AA15" i="474" s="1"/>
  <c r="Q17" i="474"/>
  <c r="AC17" i="474" s="1"/>
  <c r="P18" i="474"/>
  <c r="O19" i="474"/>
  <c r="AA19" i="474" s="1"/>
  <c r="Q21" i="474"/>
  <c r="AC21" i="474" s="1"/>
  <c r="O23" i="474"/>
  <c r="AA23" i="474" s="1"/>
  <c r="Q25" i="474"/>
  <c r="P26" i="474"/>
  <c r="Q30" i="474"/>
  <c r="AC30" i="474" s="1"/>
  <c r="P31" i="474"/>
  <c r="O32" i="474"/>
  <c r="AA32" i="474" s="1"/>
  <c r="Q34" i="474"/>
  <c r="P35" i="474"/>
  <c r="AB35" i="474" s="1"/>
  <c r="O36" i="474"/>
  <c r="AA36" i="474" s="1"/>
  <c r="Q38" i="474"/>
  <c r="P39" i="474"/>
  <c r="O40" i="474"/>
  <c r="AA40" i="474" s="1"/>
  <c r="Q42" i="474"/>
  <c r="AC42" i="474" s="1"/>
  <c r="P43" i="474"/>
  <c r="O44" i="474"/>
  <c r="AA44" i="474" s="1"/>
  <c r="Q46" i="474"/>
  <c r="AC46" i="474" s="1"/>
  <c r="O48" i="474"/>
  <c r="AA48" i="474" s="1"/>
  <c r="Q50" i="474"/>
  <c r="P51" i="474"/>
  <c r="O52" i="474"/>
  <c r="AA52" i="474" s="1"/>
  <c r="Q54" i="474"/>
  <c r="O57" i="474"/>
  <c r="AA57" i="474" s="1"/>
  <c r="Q59" i="474"/>
  <c r="AC59" i="474" s="1"/>
  <c r="P60" i="474"/>
  <c r="O61" i="474"/>
  <c r="AA61" i="474" s="1"/>
  <c r="Q66" i="474"/>
  <c r="Q75" i="474"/>
  <c r="Q79" i="474"/>
  <c r="AC79" i="474" s="1"/>
  <c r="Q85" i="474"/>
  <c r="Q89" i="474"/>
  <c r="Q93" i="474"/>
  <c r="Q97" i="474"/>
  <c r="AC97" i="474" s="1"/>
  <c r="P101" i="474"/>
  <c r="AB101" i="474" s="1"/>
  <c r="O101" i="474"/>
  <c r="AA101" i="474" s="1"/>
  <c r="Q105" i="474"/>
  <c r="AC105" i="474" s="1"/>
  <c r="O135" i="474"/>
  <c r="AA135" i="474" s="1"/>
  <c r="O137" i="474"/>
  <c r="AA137" i="474" s="1"/>
  <c r="O141" i="474"/>
  <c r="AA141" i="474" s="1"/>
  <c r="Q63" i="474"/>
  <c r="O65" i="474"/>
  <c r="AA65" i="474" s="1"/>
  <c r="Q67" i="474"/>
  <c r="AC67" i="474" s="1"/>
  <c r="P68" i="474"/>
  <c r="AB68" i="474" s="1"/>
  <c r="O70" i="474"/>
  <c r="AA70" i="474" s="1"/>
  <c r="O74" i="474"/>
  <c r="AA74" i="474" s="1"/>
  <c r="Q76" i="474"/>
  <c r="P77" i="474"/>
  <c r="AB77" i="474" s="1"/>
  <c r="O78" i="474"/>
  <c r="AA78" i="474" s="1"/>
  <c r="Q82" i="474"/>
  <c r="AC82" i="474" s="1"/>
  <c r="P83" i="474"/>
  <c r="AB83" i="474" s="1"/>
  <c r="O84" i="474"/>
  <c r="AA84" i="474" s="1"/>
  <c r="P87" i="474"/>
  <c r="AB87" i="474" s="1"/>
  <c r="O88" i="474"/>
  <c r="AA88" i="474" s="1"/>
  <c r="P91" i="474"/>
  <c r="AB91" i="474" s="1"/>
  <c r="O92" i="474"/>
  <c r="AA92" i="474" s="1"/>
  <c r="Q94" i="474"/>
  <c r="P95" i="474"/>
  <c r="AB95" i="474" s="1"/>
  <c r="P137" i="474"/>
  <c r="AB137" i="474" s="1"/>
  <c r="P144" i="474"/>
  <c r="AB144" i="474" s="1"/>
  <c r="O153" i="474"/>
  <c r="AA153" i="474" s="1"/>
  <c r="O66" i="474"/>
  <c r="AA66" i="474" s="1"/>
  <c r="Q68" i="474"/>
  <c r="P70" i="474"/>
  <c r="P74" i="474"/>
  <c r="AB74" i="474" s="1"/>
  <c r="O75" i="474"/>
  <c r="AA75" i="474" s="1"/>
  <c r="Q77" i="474"/>
  <c r="AC77" i="474" s="1"/>
  <c r="P78" i="474"/>
  <c r="O79" i="474"/>
  <c r="AA79" i="474" s="1"/>
  <c r="Q83" i="474"/>
  <c r="AC83" i="474" s="1"/>
  <c r="P84" i="474"/>
  <c r="O85" i="474"/>
  <c r="AA85" i="474" s="1"/>
  <c r="Q87" i="474"/>
  <c r="AC87" i="474" s="1"/>
  <c r="P88" i="474"/>
  <c r="O89" i="474"/>
  <c r="AA89" i="474" s="1"/>
  <c r="Q91" i="474"/>
  <c r="AC91" i="474" s="1"/>
  <c r="P92" i="474"/>
  <c r="O93" i="474"/>
  <c r="AA93" i="474" s="1"/>
  <c r="Q95" i="474"/>
  <c r="O97" i="474"/>
  <c r="AA97" i="474" s="1"/>
  <c r="P140" i="474"/>
  <c r="AB140" i="474" s="1"/>
  <c r="Q143" i="474"/>
  <c r="AC143" i="474" s="1"/>
  <c r="O145" i="474"/>
  <c r="AA145" i="474" s="1"/>
  <c r="P155" i="474"/>
  <c r="P156" i="474"/>
  <c r="AB156" i="474" s="1"/>
  <c r="O159" i="474"/>
  <c r="AA159" i="474" s="1"/>
  <c r="Q161" i="474"/>
  <c r="AC161" i="474" s="1"/>
  <c r="P162" i="474"/>
  <c r="AB162" i="474" s="1"/>
  <c r="O164" i="474"/>
  <c r="AA164" i="474" s="1"/>
  <c r="Q101" i="474"/>
  <c r="P102" i="474"/>
  <c r="AB102" i="474" s="1"/>
  <c r="O103" i="474"/>
  <c r="AA103" i="474" s="1"/>
  <c r="Q106" i="474"/>
  <c r="AC106" i="474" s="1"/>
  <c r="P107" i="474"/>
  <c r="AB107" i="474" s="1"/>
  <c r="O108" i="474"/>
  <c r="AA108" i="474" s="1"/>
  <c r="Q110" i="474"/>
  <c r="AC110" i="474" s="1"/>
  <c r="P111" i="474"/>
  <c r="AB111" i="474" s="1"/>
  <c r="O112" i="474"/>
  <c r="AA112" i="474" s="1"/>
  <c r="Q114" i="474"/>
  <c r="AC114" i="474" s="1"/>
  <c r="P115" i="474"/>
  <c r="AB115" i="474" s="1"/>
  <c r="Q118" i="474"/>
  <c r="AC118" i="474" s="1"/>
  <c r="P119" i="474"/>
  <c r="AB119" i="474" s="1"/>
  <c r="O120" i="474"/>
  <c r="AA120" i="474" s="1"/>
  <c r="Q122" i="474"/>
  <c r="AC122" i="474" s="1"/>
  <c r="P123" i="474"/>
  <c r="AB123" i="474" s="1"/>
  <c r="O124" i="474"/>
  <c r="AA124" i="474" s="1"/>
  <c r="Q126" i="474"/>
  <c r="AC126" i="474" s="1"/>
  <c r="P127" i="474"/>
  <c r="AB127" i="474" s="1"/>
  <c r="O128" i="474"/>
  <c r="AA128" i="474" s="1"/>
  <c r="Q130" i="474"/>
  <c r="AC130" i="474" s="1"/>
  <c r="P131" i="474"/>
  <c r="AB131" i="474" s="1"/>
  <c r="O132" i="474"/>
  <c r="AA132" i="474" s="1"/>
  <c r="P135" i="474"/>
  <c r="AB135" i="474" s="1"/>
  <c r="Q140" i="474"/>
  <c r="Q144" i="474"/>
  <c r="AC144" i="474" s="1"/>
  <c r="Q148" i="474"/>
  <c r="Q162" i="474"/>
  <c r="AC162" i="474" s="1"/>
  <c r="P166" i="474"/>
  <c r="AB166" i="474" s="1"/>
  <c r="P167" i="474"/>
  <c r="AB167" i="474" s="1"/>
  <c r="O98" i="474"/>
  <c r="AA98" i="474" s="1"/>
  <c r="Q102" i="474"/>
  <c r="AC102" i="474" s="1"/>
  <c r="P103" i="474"/>
  <c r="Q107" i="474"/>
  <c r="AC107" i="474" s="1"/>
  <c r="P108" i="474"/>
  <c r="O109" i="474"/>
  <c r="AA109" i="474" s="1"/>
  <c r="Q111" i="474"/>
  <c r="P112" i="474"/>
  <c r="O113" i="474"/>
  <c r="AA113" i="474" s="1"/>
  <c r="Q115" i="474"/>
  <c r="AC115" i="474" s="1"/>
  <c r="O117" i="474"/>
  <c r="AA117" i="474" s="1"/>
  <c r="Q119" i="474"/>
  <c r="AC119" i="474" s="1"/>
  <c r="P120" i="474"/>
  <c r="O121" i="474"/>
  <c r="AA121" i="474" s="1"/>
  <c r="Q123" i="474"/>
  <c r="P124" i="474"/>
  <c r="O125" i="474"/>
  <c r="AA125" i="474" s="1"/>
  <c r="Q127" i="474"/>
  <c r="AC127" i="474" s="1"/>
  <c r="P128" i="474"/>
  <c r="O129" i="474"/>
  <c r="AA129" i="474" s="1"/>
  <c r="Q131" i="474"/>
  <c r="AC131" i="474" s="1"/>
  <c r="P132" i="474"/>
  <c r="O133" i="474"/>
  <c r="AA133" i="474" s="1"/>
  <c r="Q135" i="474"/>
  <c r="AC135" i="474" s="1"/>
  <c r="P141" i="474"/>
  <c r="AB141" i="474" s="1"/>
  <c r="P145" i="474"/>
  <c r="AB145" i="474" s="1"/>
  <c r="P152" i="474"/>
  <c r="AB152" i="474" s="1"/>
  <c r="O152" i="474"/>
  <c r="AA152" i="474" s="1"/>
  <c r="O158" i="474"/>
  <c r="AA158" i="474" s="1"/>
  <c r="Q166" i="474"/>
  <c r="Q137" i="474"/>
  <c r="AC137" i="474" s="1"/>
  <c r="P138" i="474"/>
  <c r="AB138" i="474" s="1"/>
  <c r="O139" i="474"/>
  <c r="AA139" i="474" s="1"/>
  <c r="Q141" i="474"/>
  <c r="P142" i="474"/>
  <c r="AB142" i="474" s="1"/>
  <c r="O143" i="474"/>
  <c r="AA143" i="474" s="1"/>
  <c r="Q145" i="474"/>
  <c r="AC145" i="474" s="1"/>
  <c r="Q138" i="474"/>
  <c r="P139" i="474"/>
  <c r="AB139" i="474" s="1"/>
  <c r="O140" i="474"/>
  <c r="AA140" i="474" s="1"/>
  <c r="Q142" i="474"/>
  <c r="AC142" i="474" s="1"/>
  <c r="P143" i="474"/>
  <c r="AB143" i="474" s="1"/>
  <c r="O144" i="474"/>
  <c r="AA144" i="474" s="1"/>
  <c r="P149" i="474"/>
  <c r="AB149" i="474" s="1"/>
  <c r="O150" i="474"/>
  <c r="AA150" i="474" s="1"/>
  <c r="Q152" i="474"/>
  <c r="AC152" i="474" s="1"/>
  <c r="P153" i="474"/>
  <c r="AB153" i="474" s="1"/>
  <c r="Q156" i="474"/>
  <c r="AC156" i="474" s="1"/>
  <c r="P157" i="474"/>
  <c r="AB157" i="474" s="1"/>
  <c r="P158" i="474"/>
  <c r="AB158" i="474" s="1"/>
  <c r="P159" i="474"/>
  <c r="AB159" i="474" s="1"/>
  <c r="O161" i="474"/>
  <c r="AA161" i="474" s="1"/>
  <c r="P164" i="474"/>
  <c r="AB164" i="474" s="1"/>
  <c r="O165" i="474"/>
  <c r="AA165" i="474" s="1"/>
  <c r="Q167" i="474"/>
  <c r="AC167" i="474" s="1"/>
  <c r="Q149" i="474"/>
  <c r="AC149" i="474" s="1"/>
  <c r="P150" i="474"/>
  <c r="AB150" i="474" s="1"/>
  <c r="O151" i="474"/>
  <c r="AA151" i="474" s="1"/>
  <c r="Q153" i="474"/>
  <c r="AC153" i="474" s="1"/>
  <c r="O155" i="474"/>
  <c r="AA155" i="474" s="1"/>
  <c r="Q157" i="474"/>
  <c r="AC157" i="474" s="1"/>
  <c r="Q158" i="474"/>
  <c r="AC158" i="474" s="1"/>
  <c r="Q159" i="474"/>
  <c r="AC159" i="474" s="1"/>
  <c r="P161" i="474"/>
  <c r="AB161" i="474" s="1"/>
  <c r="O162" i="474"/>
  <c r="AA162" i="474" s="1"/>
  <c r="Q164" i="474"/>
  <c r="AC164" i="474" s="1"/>
  <c r="P165" i="474"/>
  <c r="AB165" i="474" s="1"/>
  <c r="O166" i="474"/>
  <c r="AA166" i="474" s="1"/>
  <c r="O64" i="474" l="1"/>
  <c r="AA64" i="474" s="1"/>
  <c r="O134" i="474"/>
  <c r="AA134" i="474" s="1"/>
  <c r="O86" i="474"/>
  <c r="AA86" i="474" s="1"/>
  <c r="P28" i="474"/>
  <c r="AB28" i="474" s="1"/>
  <c r="O163" i="474"/>
  <c r="AA163" i="474" s="1"/>
  <c r="P56" i="474"/>
  <c r="AB56" i="474" s="1"/>
  <c r="O47" i="474"/>
  <c r="AA47" i="474" s="1"/>
  <c r="R103" i="474"/>
  <c r="AB103" i="474"/>
  <c r="R70" i="474"/>
  <c r="AB70" i="474"/>
  <c r="R94" i="474"/>
  <c r="AC94" i="474"/>
  <c r="R76" i="474"/>
  <c r="AC76" i="474"/>
  <c r="R24" i="474"/>
  <c r="AC24" i="474"/>
  <c r="R95" i="474"/>
  <c r="AC95" i="474"/>
  <c r="R84" i="474"/>
  <c r="AB84" i="474"/>
  <c r="R68" i="474"/>
  <c r="AC68" i="474"/>
  <c r="R85" i="474"/>
  <c r="AC85" i="474"/>
  <c r="R75" i="474"/>
  <c r="AC75" i="474"/>
  <c r="R98" i="474"/>
  <c r="AC98" i="474"/>
  <c r="R148" i="474"/>
  <c r="AC148" i="474"/>
  <c r="R51" i="474"/>
  <c r="AB51" i="474"/>
  <c r="R26" i="474"/>
  <c r="AB26" i="474"/>
  <c r="R63" i="474"/>
  <c r="AC63" i="474"/>
  <c r="R25" i="474"/>
  <c r="AC25" i="474"/>
  <c r="R62" i="474"/>
  <c r="AC62" i="474"/>
  <c r="R166" i="474"/>
  <c r="AC166" i="474"/>
  <c r="R155" i="474"/>
  <c r="AB155" i="474"/>
  <c r="R151" i="474"/>
  <c r="AC151" i="474"/>
  <c r="R138" i="474"/>
  <c r="AC138" i="474"/>
  <c r="R141" i="474"/>
  <c r="AC141" i="474"/>
  <c r="R140" i="474"/>
  <c r="AC140" i="474"/>
  <c r="R136" i="474"/>
  <c r="AC136" i="474"/>
  <c r="R121" i="474"/>
  <c r="AC121" i="474"/>
  <c r="R124" i="474"/>
  <c r="AB124" i="474"/>
  <c r="R128" i="474"/>
  <c r="AB128" i="474"/>
  <c r="R125" i="474"/>
  <c r="AC125" i="474"/>
  <c r="R123" i="474"/>
  <c r="AC123" i="474"/>
  <c r="R132" i="474"/>
  <c r="AB132" i="474"/>
  <c r="R129" i="474"/>
  <c r="AC129" i="474"/>
  <c r="R120" i="474"/>
  <c r="AB120" i="474"/>
  <c r="R112" i="474"/>
  <c r="AB112" i="474"/>
  <c r="R111" i="474"/>
  <c r="AC111" i="474"/>
  <c r="R109" i="474"/>
  <c r="AC109" i="474"/>
  <c r="R108" i="474"/>
  <c r="AB108" i="474"/>
  <c r="R101" i="474"/>
  <c r="AC101" i="474"/>
  <c r="R92" i="474"/>
  <c r="AB92" i="474"/>
  <c r="R93" i="474"/>
  <c r="AC93" i="474"/>
  <c r="O90" i="474"/>
  <c r="AA90" i="474" s="1"/>
  <c r="R88" i="474"/>
  <c r="AB88" i="474"/>
  <c r="R89" i="474"/>
  <c r="AC89" i="474"/>
  <c r="R78" i="474"/>
  <c r="AB78" i="474"/>
  <c r="R66" i="474"/>
  <c r="AC66" i="474"/>
  <c r="R65" i="474"/>
  <c r="AC65" i="474"/>
  <c r="R60" i="474"/>
  <c r="AB60" i="474"/>
  <c r="R58" i="474"/>
  <c r="AC58" i="474"/>
  <c r="R54" i="474"/>
  <c r="AC54" i="474"/>
  <c r="R52" i="474"/>
  <c r="AC52" i="474"/>
  <c r="R49" i="474"/>
  <c r="AC49" i="474"/>
  <c r="R50" i="474"/>
  <c r="AC50" i="474"/>
  <c r="R39" i="474"/>
  <c r="AB39" i="474"/>
  <c r="R45" i="474"/>
  <c r="AC45" i="474"/>
  <c r="R29" i="474"/>
  <c r="AC29" i="474"/>
  <c r="R43" i="474"/>
  <c r="AB43" i="474"/>
  <c r="R38" i="474"/>
  <c r="AC38" i="474"/>
  <c r="R33" i="474"/>
  <c r="AC33" i="474"/>
  <c r="R34" i="474"/>
  <c r="AC34" i="474"/>
  <c r="R31" i="474"/>
  <c r="AB31" i="474"/>
  <c r="R37" i="474"/>
  <c r="AC37" i="474"/>
  <c r="Q28" i="474"/>
  <c r="R44" i="474"/>
  <c r="AC44" i="474"/>
  <c r="R41" i="474"/>
  <c r="AC41" i="474"/>
  <c r="R14" i="474"/>
  <c r="AB14" i="474"/>
  <c r="R16" i="474"/>
  <c r="AC16" i="474"/>
  <c r="R15" i="474"/>
  <c r="AC15" i="474"/>
  <c r="R18" i="474"/>
  <c r="AB18" i="474"/>
  <c r="R20" i="474"/>
  <c r="AC20" i="474"/>
  <c r="R11" i="474"/>
  <c r="AB11" i="474"/>
  <c r="R12" i="474"/>
  <c r="AC12" i="474"/>
  <c r="R74" i="474"/>
  <c r="O56" i="474"/>
  <c r="AA56" i="474" s="1"/>
  <c r="R135" i="474"/>
  <c r="R162" i="474"/>
  <c r="R48" i="474"/>
  <c r="R35" i="474"/>
  <c r="R157" i="474"/>
  <c r="R127" i="474"/>
  <c r="R114" i="474"/>
  <c r="R161" i="474"/>
  <c r="R97" i="474"/>
  <c r="R117" i="474"/>
  <c r="R53" i="474"/>
  <c r="P22" i="474"/>
  <c r="AB22" i="474" s="1"/>
  <c r="R142" i="474"/>
  <c r="R144" i="474"/>
  <c r="R130" i="474"/>
  <c r="R91" i="474"/>
  <c r="R133" i="474"/>
  <c r="R57" i="474"/>
  <c r="R156" i="474"/>
  <c r="P116" i="474"/>
  <c r="AB116" i="474" s="1"/>
  <c r="R82" i="474"/>
  <c r="R59" i="474"/>
  <c r="R61" i="474"/>
  <c r="R32" i="474"/>
  <c r="O55" i="474"/>
  <c r="AA55" i="474" s="1"/>
  <c r="R159" i="474"/>
  <c r="R77" i="474"/>
  <c r="P147" i="474"/>
  <c r="AB147" i="474" s="1"/>
  <c r="P134" i="474"/>
  <c r="AB134" i="474" s="1"/>
  <c r="O160" i="474"/>
  <c r="AA160" i="474" s="1"/>
  <c r="R150" i="474"/>
  <c r="R149" i="474"/>
  <c r="R115" i="474"/>
  <c r="R102" i="474"/>
  <c r="P160" i="474"/>
  <c r="AB160" i="474" s="1"/>
  <c r="R13" i="474"/>
  <c r="Q116" i="474"/>
  <c r="AC116" i="474" s="1"/>
  <c r="P96" i="474"/>
  <c r="R36" i="474"/>
  <c r="R23" i="474"/>
  <c r="O147" i="474"/>
  <c r="AA147" i="474" s="1"/>
  <c r="R153" i="474"/>
  <c r="O154" i="474"/>
  <c r="AA154" i="474" s="1"/>
  <c r="R131" i="474"/>
  <c r="R110" i="474"/>
  <c r="R106" i="474"/>
  <c r="P154" i="474"/>
  <c r="AB154" i="474" s="1"/>
  <c r="R83" i="474"/>
  <c r="O96" i="474"/>
  <c r="AA96" i="474" s="1"/>
  <c r="Q86" i="474"/>
  <c r="AC86" i="474" s="1"/>
  <c r="P73" i="474"/>
  <c r="AB73" i="474" s="1"/>
  <c r="R67" i="474"/>
  <c r="R79" i="474"/>
  <c r="O73" i="474"/>
  <c r="AA73" i="474" s="1"/>
  <c r="R42" i="474"/>
  <c r="R17" i="474"/>
  <c r="R165" i="474"/>
  <c r="Q22" i="474"/>
  <c r="P47" i="474"/>
  <c r="AB47" i="474" s="1"/>
  <c r="Q9" i="474"/>
  <c r="AC9" i="474" s="1"/>
  <c r="O105" i="474"/>
  <c r="AA105" i="474" s="1"/>
  <c r="Q64" i="474"/>
  <c r="AC64" i="474" s="1"/>
  <c r="R19" i="474"/>
  <c r="O22" i="474"/>
  <c r="AA22" i="474" s="1"/>
  <c r="Q147" i="474"/>
  <c r="R145" i="474"/>
  <c r="R113" i="474"/>
  <c r="P105" i="474"/>
  <c r="AB105" i="474" s="1"/>
  <c r="Q56" i="474"/>
  <c r="O9" i="474"/>
  <c r="AA9" i="474" s="1"/>
  <c r="O116" i="474"/>
  <c r="AA116" i="474" s="1"/>
  <c r="R152" i="474"/>
  <c r="R164" i="474"/>
  <c r="R158" i="474"/>
  <c r="R167" i="474"/>
  <c r="R137" i="474"/>
  <c r="R119" i="474"/>
  <c r="R107" i="474"/>
  <c r="R126" i="474"/>
  <c r="R122" i="474"/>
  <c r="R118" i="474"/>
  <c r="R143" i="474"/>
  <c r="R87" i="474"/>
  <c r="Q90" i="474"/>
  <c r="AC90" i="474" s="1"/>
  <c r="P90" i="474"/>
  <c r="AB90" i="474" s="1"/>
  <c r="P86" i="474"/>
  <c r="AB86" i="474" s="1"/>
  <c r="R46" i="474"/>
  <c r="R30" i="474"/>
  <c r="R21" i="474"/>
  <c r="Q73" i="474"/>
  <c r="Q154" i="474"/>
  <c r="R139" i="474"/>
  <c r="Q163" i="474"/>
  <c r="Q47" i="474"/>
  <c r="R10" i="474"/>
  <c r="O28" i="474"/>
  <c r="AA28" i="474" s="1"/>
  <c r="Q134" i="474"/>
  <c r="AC134" i="474" s="1"/>
  <c r="R40" i="474"/>
  <c r="P64" i="474"/>
  <c r="AB64" i="474" s="1"/>
  <c r="P9" i="474"/>
  <c r="AB9" i="474" s="1"/>
  <c r="P8" i="474" l="1"/>
  <c r="AB8" i="474" s="1"/>
  <c r="O27" i="474"/>
  <c r="AA27" i="474" s="1"/>
  <c r="P55" i="474"/>
  <c r="AB55" i="474" s="1"/>
  <c r="R22" i="474"/>
  <c r="AC22" i="474"/>
  <c r="R73" i="474"/>
  <c r="AC73" i="474"/>
  <c r="R163" i="474"/>
  <c r="AC163" i="474"/>
  <c r="Q160" i="474"/>
  <c r="R154" i="474"/>
  <c r="AC154" i="474"/>
  <c r="R147" i="474"/>
  <c r="AC147" i="474"/>
  <c r="R105" i="474"/>
  <c r="R96" i="474"/>
  <c r="AB96" i="474"/>
  <c r="R56" i="474"/>
  <c r="AC56" i="474"/>
  <c r="R47" i="474"/>
  <c r="AC47" i="474"/>
  <c r="R28" i="474"/>
  <c r="AC28" i="474"/>
  <c r="R86" i="474"/>
  <c r="P27" i="474"/>
  <c r="AB27" i="474" s="1"/>
  <c r="Q27" i="474"/>
  <c r="AC27" i="474" s="1"/>
  <c r="R116" i="474"/>
  <c r="O8" i="474"/>
  <c r="AA8" i="474" s="1"/>
  <c r="P104" i="474"/>
  <c r="AB104" i="474" s="1"/>
  <c r="O146" i="474"/>
  <c r="AA146" i="474" s="1"/>
  <c r="O72" i="474"/>
  <c r="AA72" i="474" s="1"/>
  <c r="Q8" i="474"/>
  <c r="R134" i="474"/>
  <c r="P146" i="474"/>
  <c r="AB146" i="474" s="1"/>
  <c r="Q146" i="474"/>
  <c r="AC146" i="474" s="1"/>
  <c r="R90" i="474"/>
  <c r="Q55" i="474"/>
  <c r="R64" i="474"/>
  <c r="Q72" i="474"/>
  <c r="AC72" i="474" s="1"/>
  <c r="P72" i="474"/>
  <c r="AB72" i="474" s="1"/>
  <c r="Q104" i="474"/>
  <c r="O104" i="474"/>
  <c r="AA104" i="474" s="1"/>
  <c r="R9" i="474"/>
  <c r="R160" i="474" l="1"/>
  <c r="AC160" i="474"/>
  <c r="R104" i="474"/>
  <c r="AC104" i="474"/>
  <c r="R55" i="474"/>
  <c r="AC55" i="474"/>
  <c r="R8" i="474"/>
  <c r="AC8" i="474"/>
  <c r="R27" i="474"/>
  <c r="R72" i="474"/>
  <c r="O71" i="474"/>
  <c r="AA71" i="474" s="1"/>
  <c r="P71" i="474"/>
  <c r="AB71" i="474" s="1"/>
  <c r="R146" i="474"/>
  <c r="Q71" i="474"/>
  <c r="AC71" i="474" s="1"/>
  <c r="Z120" i="474" l="1"/>
  <c r="AD120" i="474"/>
  <c r="Z32" i="474"/>
  <c r="AD32" i="474"/>
  <c r="Z143" i="474"/>
  <c r="AD143" i="474"/>
  <c r="Z75" i="474"/>
  <c r="AD75" i="474"/>
  <c r="Z11" i="474"/>
  <c r="AD11" i="474"/>
  <c r="Z65" i="474"/>
  <c r="Z129" i="474"/>
  <c r="AD129" i="474"/>
  <c r="Z113" i="474"/>
  <c r="AD113" i="474"/>
  <c r="Z130" i="474"/>
  <c r="AD130" i="474"/>
  <c r="Z78" i="474"/>
  <c r="AD78" i="474"/>
  <c r="AD136" i="474"/>
  <c r="Z136" i="474"/>
  <c r="Z128" i="474"/>
  <c r="AD128" i="474"/>
  <c r="Z98" i="474"/>
  <c r="AD98" i="474"/>
  <c r="Z155" i="474"/>
  <c r="Z139" i="474"/>
  <c r="Z123" i="474"/>
  <c r="Z107" i="474"/>
  <c r="Z89" i="474"/>
  <c r="AD39" i="474"/>
  <c r="Z39" i="474"/>
  <c r="Z23" i="474"/>
  <c r="AD23" i="474"/>
  <c r="Z83" i="474"/>
  <c r="AD83" i="474"/>
  <c r="Z57" i="474"/>
  <c r="Z33" i="474"/>
  <c r="AD33" i="474"/>
  <c r="Z125" i="474"/>
  <c r="AD125" i="474"/>
  <c r="Z91" i="474"/>
  <c r="Z17" i="474"/>
  <c r="AD17" i="474"/>
  <c r="Z29" i="474"/>
  <c r="Z166" i="474"/>
  <c r="AD166" i="474"/>
  <c r="Z142" i="474"/>
  <c r="AD142" i="474"/>
  <c r="Z126" i="474"/>
  <c r="AD126" i="474"/>
  <c r="Z110" i="474"/>
  <c r="AD110" i="474"/>
  <c r="Z92" i="474"/>
  <c r="AD92" i="474"/>
  <c r="Z74" i="474"/>
  <c r="Z62" i="474"/>
  <c r="AD62" i="474"/>
  <c r="Z14" i="474"/>
  <c r="AD14" i="474"/>
  <c r="Z138" i="474"/>
  <c r="AD138" i="474"/>
  <c r="Z18" i="474"/>
  <c r="Z148" i="474"/>
  <c r="AD148" i="474"/>
  <c r="Z112" i="474"/>
  <c r="AD112" i="474"/>
  <c r="Z48" i="474"/>
  <c r="Z16" i="474"/>
  <c r="AD16" i="474"/>
  <c r="Z93" i="474"/>
  <c r="Z43" i="474"/>
  <c r="AD43" i="474"/>
  <c r="Z161" i="474"/>
  <c r="Z37" i="474"/>
  <c r="AD37" i="474"/>
  <c r="Z25" i="474"/>
  <c r="AD25" i="474"/>
  <c r="AD66" i="474"/>
  <c r="Z66" i="474"/>
  <c r="AD18" i="474"/>
  <c r="AD93" i="474"/>
  <c r="Z152" i="474"/>
  <c r="AD152" i="474"/>
  <c r="AD144" i="474"/>
  <c r="Z144" i="474"/>
  <c r="AD108" i="474"/>
  <c r="Z108" i="474"/>
  <c r="Z60" i="474"/>
  <c r="AD60" i="474"/>
  <c r="Z52" i="474"/>
  <c r="AD52" i="474"/>
  <c r="Z44" i="474"/>
  <c r="AD44" i="474"/>
  <c r="AD36" i="474"/>
  <c r="Z36" i="474"/>
  <c r="Z20" i="474"/>
  <c r="AD20" i="474"/>
  <c r="Z12" i="474"/>
  <c r="AD12" i="474"/>
  <c r="AD167" i="474"/>
  <c r="Z167" i="474"/>
  <c r="Z151" i="474"/>
  <c r="AD151" i="474"/>
  <c r="Z119" i="474"/>
  <c r="AD119" i="474"/>
  <c r="Z103" i="474"/>
  <c r="AD103" i="474"/>
  <c r="Z85" i="474"/>
  <c r="AD85" i="474"/>
  <c r="Z51" i="474"/>
  <c r="AD51" i="474"/>
  <c r="Z35" i="474"/>
  <c r="AD35" i="474"/>
  <c r="AD19" i="474"/>
  <c r="Z19" i="474"/>
  <c r="Z53" i="474"/>
  <c r="AD53" i="474"/>
  <c r="Z21" i="474"/>
  <c r="AD21" i="474"/>
  <c r="Z153" i="474"/>
  <c r="AD153" i="474"/>
  <c r="Z117" i="474"/>
  <c r="Z87" i="474"/>
  <c r="AD87" i="474"/>
  <c r="Z133" i="474"/>
  <c r="AD133" i="474"/>
  <c r="Z13" i="474"/>
  <c r="AD13" i="474"/>
  <c r="Z162" i="474"/>
  <c r="AD162" i="474"/>
  <c r="Z122" i="474"/>
  <c r="AD122" i="474"/>
  <c r="Z106" i="474"/>
  <c r="Z88" i="474"/>
  <c r="AD88" i="474"/>
  <c r="Z70" i="474"/>
  <c r="AD70" i="474"/>
  <c r="AD58" i="474"/>
  <c r="Z58" i="474"/>
  <c r="Z42" i="474"/>
  <c r="AD42" i="474"/>
  <c r="Z10" i="474"/>
  <c r="AD10" i="474"/>
  <c r="Z159" i="474"/>
  <c r="AD159" i="474"/>
  <c r="AD123" i="474"/>
  <c r="AD107" i="474"/>
  <c r="Z67" i="474"/>
  <c r="AD67" i="474"/>
  <c r="Z63" i="474"/>
  <c r="AD63" i="474"/>
  <c r="Z157" i="474"/>
  <c r="AD157" i="474"/>
  <c r="Z137" i="474"/>
  <c r="AD137" i="474"/>
  <c r="Z94" i="474"/>
  <c r="AD94" i="474"/>
  <c r="Z82" i="474"/>
  <c r="AD82" i="474"/>
  <c r="Z76" i="474"/>
  <c r="Z68" i="474"/>
  <c r="AD68" i="474"/>
  <c r="Z164" i="474"/>
  <c r="Z140" i="474"/>
  <c r="AD140" i="474"/>
  <c r="Z24" i="474"/>
  <c r="AD24" i="474"/>
  <c r="Z127" i="474"/>
  <c r="AD127" i="474"/>
  <c r="Z111" i="474"/>
  <c r="AD111" i="474"/>
  <c r="Z59" i="474"/>
  <c r="AD59" i="474"/>
  <c r="Z95" i="474"/>
  <c r="AD95" i="474"/>
  <c r="AD101" i="474"/>
  <c r="Z45" i="474"/>
  <c r="AD45" i="474"/>
  <c r="Z114" i="474"/>
  <c r="AD114" i="474"/>
  <c r="AD139" i="474"/>
  <c r="Z145" i="474"/>
  <c r="AD145" i="474"/>
  <c r="Z77" i="474"/>
  <c r="AD77" i="474"/>
  <c r="Z156" i="474"/>
  <c r="AD156" i="474"/>
  <c r="Z132" i="474"/>
  <c r="AD132" i="474"/>
  <c r="Z124" i="474"/>
  <c r="AD124" i="474"/>
  <c r="AD76" i="474"/>
  <c r="Z40" i="474"/>
  <c r="AD40" i="474"/>
  <c r="Z131" i="474"/>
  <c r="AD131" i="474"/>
  <c r="Z115" i="474"/>
  <c r="AD115" i="474"/>
  <c r="Z97" i="474"/>
  <c r="AD97" i="474"/>
  <c r="AD79" i="474"/>
  <c r="Z79" i="474"/>
  <c r="Z31" i="474"/>
  <c r="AD31" i="474"/>
  <c r="Z15" i="474"/>
  <c r="AD15" i="474"/>
  <c r="AD165" i="474"/>
  <c r="Z165" i="474"/>
  <c r="Z141" i="474"/>
  <c r="AD141" i="474"/>
  <c r="Z41" i="474"/>
  <c r="AD41" i="474"/>
  <c r="Z109" i="474"/>
  <c r="AD109" i="474"/>
  <c r="AD61" i="474"/>
  <c r="Z61" i="474"/>
  <c r="Z121" i="474"/>
  <c r="AD121" i="474"/>
  <c r="Z49" i="474"/>
  <c r="AD49" i="474"/>
  <c r="Z158" i="474"/>
  <c r="AD158" i="474"/>
  <c r="Z150" i="474"/>
  <c r="AD150" i="474"/>
  <c r="Z118" i="474"/>
  <c r="AD118" i="474"/>
  <c r="Z102" i="474"/>
  <c r="AD102" i="474"/>
  <c r="Z54" i="474"/>
  <c r="AD54" i="474"/>
  <c r="Z38" i="474"/>
  <c r="AD38" i="474"/>
  <c r="Z84" i="474"/>
  <c r="AD84" i="474"/>
  <c r="Z50" i="474"/>
  <c r="AD50" i="474"/>
  <c r="Z46" i="474"/>
  <c r="AD46" i="474"/>
  <c r="Z34" i="474"/>
  <c r="AD34" i="474"/>
  <c r="Z30" i="474"/>
  <c r="AD30" i="474"/>
  <c r="Z26" i="474"/>
  <c r="AD26" i="474"/>
  <c r="Z149" i="474"/>
  <c r="AD149" i="474"/>
  <c r="Q69" i="474"/>
  <c r="AC69" i="474" s="1"/>
  <c r="R71" i="474"/>
  <c r="P69" i="474"/>
  <c r="O69" i="474"/>
  <c r="AA69" i="474" s="1"/>
  <c r="R69" i="474" l="1"/>
  <c r="AB69" i="474"/>
  <c r="AD48" i="474"/>
  <c r="AD57" i="474"/>
  <c r="AD91" i="474"/>
  <c r="AD96" i="474"/>
  <c r="Z96" i="474"/>
  <c r="AD117" i="474"/>
  <c r="Z135" i="474"/>
  <c r="AD135" i="474"/>
  <c r="Z9" i="474"/>
  <c r="Z86" i="474"/>
  <c r="AD86" i="474"/>
  <c r="AD89" i="474"/>
  <c r="Z105" i="474"/>
  <c r="Z160" i="474"/>
  <c r="AD160" i="474"/>
  <c r="Z28" i="474"/>
  <c r="Z154" i="474"/>
  <c r="Z163" i="474"/>
  <c r="AD163" i="474"/>
  <c r="Z116" i="474"/>
  <c r="AD116" i="474"/>
  <c r="AD161" i="474"/>
  <c r="Z47" i="474"/>
  <c r="AD47" i="474"/>
  <c r="AD74" i="474"/>
  <c r="AD155" i="474"/>
  <c r="AD64" i="474"/>
  <c r="Z64" i="474"/>
  <c r="AD164" i="474"/>
  <c r="AD106" i="474"/>
  <c r="AD147" i="474"/>
  <c r="Z147" i="474"/>
  <c r="AD73" i="474"/>
  <c r="Z73" i="474"/>
  <c r="AD29" i="474"/>
  <c r="Z90" i="474"/>
  <c r="AD90" i="474"/>
  <c r="AD56" i="474"/>
  <c r="Z56" i="474"/>
  <c r="Z22" i="474"/>
  <c r="AD22" i="474"/>
  <c r="AD65" i="474"/>
  <c r="O168" i="474"/>
  <c r="AA168" i="474" s="1"/>
  <c r="Q168" i="474"/>
  <c r="AC168" i="474" s="1"/>
  <c r="P168" i="474"/>
  <c r="AB168" i="474" s="1"/>
  <c r="Z104" i="474" l="1"/>
  <c r="AD104" i="474"/>
  <c r="Z72" i="474"/>
  <c r="AD28" i="474"/>
  <c r="Z27" i="474"/>
  <c r="AD27" i="474"/>
  <c r="Z55" i="474"/>
  <c r="AD55" i="474"/>
  <c r="Z8" i="474"/>
  <c r="Z134" i="474"/>
  <c r="AD134" i="474"/>
  <c r="Z146" i="474"/>
  <c r="AD146" i="474"/>
  <c r="AD154" i="474"/>
  <c r="AD105" i="474"/>
  <c r="AD9" i="474"/>
  <c r="O169" i="474"/>
  <c r="AA169" i="474" s="1"/>
  <c r="R168" i="474"/>
  <c r="P169" i="474"/>
  <c r="AB169" i="474" s="1"/>
  <c r="Q169" i="474"/>
  <c r="AC169" i="474" s="1"/>
  <c r="AD8" i="474" l="1"/>
  <c r="Z71" i="474"/>
  <c r="AD72" i="474"/>
  <c r="R169" i="474"/>
  <c r="O170" i="474"/>
  <c r="AA170" i="474" s="1"/>
  <c r="Q170" i="474"/>
  <c r="P170" i="474"/>
  <c r="AB170" i="474" s="1"/>
  <c r="R170" i="474" l="1"/>
  <c r="AC170" i="474"/>
  <c r="AD71" i="474"/>
  <c r="Z69" i="474"/>
  <c r="D19" i="3"/>
  <c r="D26" i="3" s="1"/>
  <c r="D10" i="3"/>
  <c r="D12" i="3" l="1"/>
  <c r="AD69" i="474"/>
  <c r="Z168" i="474"/>
  <c r="D20" i="3" l="1"/>
  <c r="B24" i="3" s="1"/>
  <c r="B26" i="3" s="1"/>
  <c r="C26" i="3"/>
  <c r="AD168" i="474"/>
  <c r="AD169" i="474"/>
  <c r="Z169" i="474"/>
  <c r="Z170" i="474" l="1"/>
  <c r="AD170" i="474"/>
  <c r="C19" i="3" l="1"/>
  <c r="E19" i="3"/>
  <c r="B19" i="3"/>
  <c r="E20" i="3" l="1"/>
  <c r="C10" i="3" l="1"/>
  <c r="B12" i="3" l="1"/>
  <c r="B20" i="3" s="1"/>
  <c r="C12" i="3"/>
  <c r="C20" i="3" s="1"/>
</calcChain>
</file>

<file path=xl/sharedStrings.xml><?xml version="1.0" encoding="utf-8"?>
<sst xmlns="http://schemas.openxmlformats.org/spreadsheetml/2006/main" count="12769" uniqueCount="1430">
  <si>
    <t>EXECUÇÃO ORÇAMENTAL - ORÇAMENTO DA SEGURANÇA SOCIAL</t>
  </si>
  <si>
    <t>USD</t>
  </si>
  <si>
    <t>OSS inicial</t>
  </si>
  <si>
    <t>OSS corrigido</t>
  </si>
  <si>
    <t>Receita Liquidada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</si>
  <si>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</si>
  <si>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</si>
  <si>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</si>
  <si>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</si>
  <si>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</si>
  <si>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</si>
  <si>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</si>
  <si>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</si>
  <si>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</si>
  <si>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</si>
  <si>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</si>
  <si>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</si>
  <si>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 xml:space="preserve">Total Execução </t>
  </si>
  <si>
    <t>Taxa Execução (%)</t>
  </si>
  <si>
    <t>Saldo Execução</t>
  </si>
  <si>
    <t>(1)</t>
  </si>
  <si>
    <t>(2)</t>
  </si>
  <si>
    <t>(3)</t>
  </si>
  <si>
    <t>(4)</t>
  </si>
  <si>
    <t>(5)</t>
  </si>
  <si>
    <t>RECEITAS</t>
  </si>
  <si>
    <t>Rendimentos</t>
  </si>
  <si>
    <t>Transferências de Capital</t>
  </si>
  <si>
    <t>Ativos Financeiros</t>
  </si>
  <si>
    <t>Passivos Financeiros</t>
  </si>
  <si>
    <t>Compromissos</t>
  </si>
  <si>
    <t>Valor Cabimentado e não comprometido</t>
  </si>
  <si>
    <t>Saldo não comprometido</t>
  </si>
  <si>
    <t>(7)</t>
  </si>
  <si>
    <t>DESPESAS</t>
  </si>
  <si>
    <t>TOTAL DESPESA</t>
  </si>
  <si>
    <t>REGIME NÃO CONTRIBUTIVO</t>
  </si>
  <si>
    <t>Saldo Extrato bancário</t>
  </si>
  <si>
    <t>Saldo Inicial</t>
  </si>
  <si>
    <t>Saldo Final</t>
  </si>
  <si>
    <t>BNCTL</t>
  </si>
  <si>
    <t>BNU</t>
  </si>
  <si>
    <t>Mandiri</t>
  </si>
  <si>
    <t>BRI</t>
  </si>
  <si>
    <t>ANZ</t>
  </si>
  <si>
    <t>%</t>
  </si>
  <si>
    <t>TOTAL CONSOLIDADO</t>
  </si>
  <si>
    <t>Saldo de Gerência</t>
  </si>
  <si>
    <t>Saldo Receita Liquidada e não cobrada (DIVIDA)</t>
  </si>
  <si>
    <t>(5) = ∑(4)</t>
  </si>
  <si>
    <t>(6) = (5)/(2)</t>
  </si>
  <si>
    <t>(7) = (2) - (5)</t>
  </si>
  <si>
    <t>(8) = (3) - (5)</t>
  </si>
  <si>
    <t>TOTAL RECEITA</t>
  </si>
  <si>
    <t>RECEITA CONSOLIDADA</t>
  </si>
  <si>
    <t>RECEITA EFETIVA</t>
  </si>
  <si>
    <t>RECEITA EFETIVA CONSOLIDADA</t>
  </si>
  <si>
    <t>Cabimentos</t>
  </si>
  <si>
    <t>Obrigações</t>
  </si>
  <si>
    <t xml:space="preserve">Saldo Execução </t>
  </si>
  <si>
    <t>Saldo disponível (Execução+Cabimentos)</t>
  </si>
  <si>
    <t>Valor Comprometido e não liquidado</t>
  </si>
  <si>
    <t>Valor Liquidado e não pago (DIVIDA)</t>
  </si>
  <si>
    <t>(6)</t>
  </si>
  <si>
    <t>(7) = ∑(6)</t>
  </si>
  <si>
    <t>(8) = (7)/(2)</t>
  </si>
  <si>
    <t>(9) = (2) - (7)</t>
  </si>
  <si>
    <t>(10) = (2) - (3)</t>
  </si>
  <si>
    <t>(11) = (2) - (4)</t>
  </si>
  <si>
    <t>(12) = (3) - (4)</t>
  </si>
  <si>
    <t>(13) = (4) - (5)</t>
  </si>
  <si>
    <t>(14) = (5) - (7)</t>
  </si>
  <si>
    <t>DESPESA CONSOLIDADA</t>
  </si>
  <si>
    <t>DESPESA EFETIVA</t>
  </si>
  <si>
    <t>DESPESA EFETIVA CONSOLIDADA</t>
  </si>
  <si>
    <t>SALDO GLOBAL</t>
  </si>
  <si>
    <t>SALDO CONSOLIDADO</t>
  </si>
  <si>
    <t>SALDO EFETIVO</t>
  </si>
  <si>
    <t>SALDO EFETIVO CONSOLIDADO</t>
  </si>
  <si>
    <t>Programa/Subprograma/Atividade</t>
  </si>
  <si>
    <t>Despesa Executada</t>
  </si>
  <si>
    <t>(8) = (2) - (6)</t>
  </si>
  <si>
    <t>(9) = (2) - (3)</t>
  </si>
  <si>
    <t>(10) = (2) - (4)</t>
  </si>
  <si>
    <t>(11) = (3) - (4)</t>
  </si>
  <si>
    <t>(12) = (4) - (5)</t>
  </si>
  <si>
    <t>(13) = (5) - (6)</t>
  </si>
  <si>
    <t>Programa A04 - Regime Contributivo de Repartição</t>
  </si>
  <si>
    <t>Subprograma A0401- Regime transitório de segurança social</t>
  </si>
  <si>
    <t>Atividade A040101: Pagamento de prestações sociais de direito - regime transitório de segurança social</t>
  </si>
  <si>
    <t>Subprograma A0402 - Regime geral de segurança social</t>
  </si>
  <si>
    <t>Atividade A040201: Pagamento de prestações sociais de direito - regime geral de segurança social</t>
  </si>
  <si>
    <t>Programa A05 - Regime Não Contributivo</t>
  </si>
  <si>
    <t>Subprograma A0501 - Proteção Social de Cidadania</t>
  </si>
  <si>
    <t>Subprograma A0601 - Coordenação, gestão e funcionamento do INSS</t>
  </si>
  <si>
    <t xml:space="preserve">Atividade A060101: Coordenação, gestão e funcionamento de todos os serviços (operacionais e técnicos) do INSS </t>
  </si>
  <si>
    <t>Atividade A060102: Formação em exercício dos Recursos Humanos do INSS</t>
  </si>
  <si>
    <t>Atividade A060103: Elaboração de estudos e propostas técnicas visando a melhoria, alargamento, eficácia e sustentabilidade do sistema de segurança social</t>
  </si>
  <si>
    <t>Atividade A060104: Extensão da cobertura do sistema de  segurança social</t>
  </si>
  <si>
    <t>TOTAL INSS</t>
  </si>
  <si>
    <t>TOTAL FRSS</t>
  </si>
  <si>
    <t>Código</t>
  </si>
  <si>
    <t>Designação</t>
  </si>
  <si>
    <t>Regime Contributivo de Repartição</t>
  </si>
  <si>
    <t>Regime não Contributivo</t>
  </si>
  <si>
    <t>Impostos</t>
  </si>
  <si>
    <t>Direitos aduaneiros de importação</t>
  </si>
  <si>
    <t>Contribuições e cotizações para a Segurança Social</t>
  </si>
  <si>
    <t>Contribuições de entidade empregadora do Setor Público</t>
  </si>
  <si>
    <t>Contribuições de entidade empregadora do Setor Privado</t>
  </si>
  <si>
    <t>Cotizações de trabalhador do Setor Público</t>
  </si>
  <si>
    <t>Cotizações de trabalhador do Setor Privado</t>
  </si>
  <si>
    <t>Taxas</t>
  </si>
  <si>
    <t>Coimas e outras penalidades</t>
  </si>
  <si>
    <t>Rendas</t>
  </si>
  <si>
    <t>Ativos incorpóreos</t>
  </si>
  <si>
    <t>Juros</t>
  </si>
  <si>
    <t>Outros rendimentos</t>
  </si>
  <si>
    <t>Material de escritório</t>
  </si>
  <si>
    <t>Vendas de bens de capital</t>
  </si>
  <si>
    <t>Mobiliário</t>
  </si>
  <si>
    <t>Alienação de títulos</t>
  </si>
  <si>
    <t>TOTAL</t>
  </si>
  <si>
    <t>Salários e abonos regulares e permanentes</t>
  </si>
  <si>
    <t>Abonos variáveis ou eventuais</t>
  </si>
  <si>
    <t>Contribuição para a Segurança Social como entidade empregadora</t>
  </si>
  <si>
    <t>Outras despesas com pessoal</t>
  </si>
  <si>
    <t>Alimentação</t>
  </si>
  <si>
    <t>Combustível</t>
  </si>
  <si>
    <t>Produtos químicos</t>
  </si>
  <si>
    <t>Serviços Públicos</t>
  </si>
  <si>
    <t>Comunicações</t>
  </si>
  <si>
    <t>Transportes</t>
  </si>
  <si>
    <t>Catering</t>
  </si>
  <si>
    <t>Assistência técnica e conservação</t>
  </si>
  <si>
    <t>Alojamento</t>
  </si>
  <si>
    <t>Serviços Profissionais</t>
  </si>
  <si>
    <t>Publicação, cópia e impressão</t>
  </si>
  <si>
    <t>Serviços Financeiros</t>
  </si>
  <si>
    <t>Transferências para o Setor Público Administrativo</t>
  </si>
  <si>
    <t>Transferências para famílias</t>
  </si>
  <si>
    <t>Restituições não abatidas na receita</t>
  </si>
  <si>
    <t>Aquisição de serviços de capital</t>
  </si>
  <si>
    <t>Aquisição de títulos</t>
  </si>
  <si>
    <t>Reposições não abatidas nos pagamentos</t>
  </si>
  <si>
    <t>REGIME CONTRIBUTIVO</t>
  </si>
  <si>
    <t xml:space="preserve">Dotação OGE inicial </t>
  </si>
  <si>
    <t xml:space="preserve">Dotação OGE corrigida </t>
  </si>
  <si>
    <t>Execução</t>
  </si>
  <si>
    <t>CLASSIFICAÇÃO FUNCIONAL</t>
  </si>
  <si>
    <t>Classificação Funcional</t>
  </si>
  <si>
    <t>01. - Serviços gerais da administração pública</t>
  </si>
  <si>
    <t>01.01 - Órgãos executivos e legislativos, assuntos financeiros e fiscais, assuntos externos</t>
  </si>
  <si>
    <t>01.02 - Ajuda económica externa</t>
  </si>
  <si>
    <t>01.03 - Serviços gerais da administração pública</t>
  </si>
  <si>
    <t>01.04 - Investigação básica</t>
  </si>
  <si>
    <t>01.05 - Serviços públicos gerais de investigação e desenvolvimento</t>
  </si>
  <si>
    <t>01.06 - Serviços públicos gerais não especificados</t>
  </si>
  <si>
    <t>01.07 - Operações de dívida pública</t>
  </si>
  <si>
    <t>01.08 - Transferências de caráter geral entre diferentes níveis da administração pública</t>
  </si>
  <si>
    <t>02. - Defesa</t>
  </si>
  <si>
    <t>02.01 - Defesa militar</t>
  </si>
  <si>
    <t>02.02 - Defesa civil</t>
  </si>
  <si>
    <t>02.03 - Ajuda militar ao estrangeiro</t>
  </si>
  <si>
    <t>02.04 - Investigação e desenvolvimento em defesa</t>
  </si>
  <si>
    <t>02.05 - Serviços de defesa não especificados</t>
  </si>
  <si>
    <t>03. - Segurança e ordem pública</t>
  </si>
  <si>
    <t>03.01 - Segurança pública</t>
  </si>
  <si>
    <t>03.02 - Serviços de bombeiros</t>
  </si>
  <si>
    <t>03.03 - Tribunais</t>
  </si>
  <si>
    <t>03.04 - Prisões</t>
  </si>
  <si>
    <t>03.05 - Investigação e desenvolvimento em segurança e ordem pública</t>
  </si>
  <si>
    <t>03.06 - Serviços de segurança e ordem pública não especificados</t>
  </si>
  <si>
    <t>04. - Assuntos económicos</t>
  </si>
  <si>
    <t>04.01 - Assuntos económicos gerais, comerciais e laborais</t>
  </si>
  <si>
    <t>04.02 - Agricultura, silvicultura, pesca e caça</t>
  </si>
  <si>
    <t>04.03 - Combustíveis e energia</t>
  </si>
  <si>
    <t>04.04 - Indústrias extrativas, indústria transformadora e construção</t>
  </si>
  <si>
    <t>04.05 - Transportes</t>
  </si>
  <si>
    <t>04.06 - Comunicações</t>
  </si>
  <si>
    <t>04.07 - Outras atividades</t>
  </si>
  <si>
    <t>04.08 - Investigação e desenvolvimento em assuntos económicos</t>
  </si>
  <si>
    <t>04.09 - Assuntos económicos não especificados</t>
  </si>
  <si>
    <t>05. - Proteção do ambiente</t>
  </si>
  <si>
    <t>05.01 - Gestão de resíduos</t>
  </si>
  <si>
    <t>05.02 - Gestão de águas residuais</t>
  </si>
  <si>
    <t>05.03 - Redução da poluição</t>
  </si>
  <si>
    <t>05.04 - Proteção da biodiversidade biológica e da paisagem</t>
  </si>
  <si>
    <t>05.05 - Investigação e desenvolvimento em proteção do ambiente</t>
  </si>
  <si>
    <t>05.06 - Serviços de proteção do ambiente não especificados</t>
  </si>
  <si>
    <t>06. - Habitação e infraestruturas coletivas</t>
  </si>
  <si>
    <t>06.01 - Desenvolvimento habitacional</t>
  </si>
  <si>
    <t>06.02 - Desenvolvimento coletivo</t>
  </si>
  <si>
    <t>06.03 - Abastecimento de água</t>
  </si>
  <si>
    <t>06.04 - Iluminação das vias públicas</t>
  </si>
  <si>
    <t>06.05 - Investigação e desenvolvimento em habitação e infraestruturas coletivas</t>
  </si>
  <si>
    <t>06.06 - Serviços de habitação e infraestruturas coletivas não especificados</t>
  </si>
  <si>
    <t>07. - Saúde</t>
  </si>
  <si>
    <t>07.01 - Produtos, instrumentos e equipamentos médicos</t>
  </si>
  <si>
    <t>07.02 - Serviços de saúde ambulatórios</t>
  </si>
  <si>
    <t>07.03 - Serviços dos hospitais</t>
  </si>
  <si>
    <t>07.04 - Serviços de saúde pública</t>
  </si>
  <si>
    <t>07.05 - Investigação e desenvolvimento em saúde</t>
  </si>
  <si>
    <t>07.06 - Serviços de saúde não especificados</t>
  </si>
  <si>
    <t>08. - Desporto, recreação, cultura e religião</t>
  </si>
  <si>
    <t>08.01 - Serviços recreativos e desportivos</t>
  </si>
  <si>
    <t>08.02 - Serviços culturais</t>
  </si>
  <si>
    <t>08.03 - Serviços de difusão e publicação</t>
  </si>
  <si>
    <t>08.04 - Serviços religiosos e outros serviços prestados à comunidade</t>
  </si>
  <si>
    <t>08.05 - Investigação e desenvolvimento em serviços recreativos, culturais e religiosos</t>
  </si>
  <si>
    <t>08.06 - Assuntos e serviços recreativos, culturais e religiosos não especificados</t>
  </si>
  <si>
    <t>09. - Educação</t>
  </si>
  <si>
    <t>09.01 - Ensino primário e pré-primário</t>
  </si>
  <si>
    <t>09.02 - Ensino secundário</t>
  </si>
  <si>
    <t>09.03 - Ensino pós-secundário não superior</t>
  </si>
  <si>
    <t>09.04 - Ensino superior</t>
  </si>
  <si>
    <t>09.05 - Ensino não definido por níveis</t>
  </si>
  <si>
    <t>09.06 - Serviços anexos â educação</t>
  </si>
  <si>
    <t>09.07 - Investigação e desenvolvimento em educação</t>
  </si>
  <si>
    <t>09.08 - Serviços de educação não especificados</t>
  </si>
  <si>
    <t>10. - Proteção Social</t>
  </si>
  <si>
    <t>10.01 - Doença, incapacidade e deficiência</t>
  </si>
  <si>
    <t>10.02 - Velhice</t>
  </si>
  <si>
    <t>10.03 - Morte e sobrevivência</t>
  </si>
  <si>
    <t>10.04 - Família e infância</t>
  </si>
  <si>
    <t>10.05 - Desemprego</t>
  </si>
  <si>
    <t xml:space="preserve">10.06 - Habitação </t>
  </si>
  <si>
    <t>10.07 - Pobreza e exclusão social não especificada</t>
  </si>
  <si>
    <t>10.08 - Investigação e desenvolvimento em proteção social</t>
  </si>
  <si>
    <t>10.09 - Serviços de proteção social não especificados</t>
  </si>
  <si>
    <t>Contas INSS</t>
  </si>
  <si>
    <t>Total INSS</t>
  </si>
  <si>
    <t>Total FRSS</t>
  </si>
  <si>
    <t>TOTAL GLOBAL</t>
  </si>
  <si>
    <t>Saldo Contas SS</t>
  </si>
  <si>
    <t>Saldo reconciliado</t>
  </si>
  <si>
    <t>Reconciliação/Notas</t>
  </si>
  <si>
    <t>SALÁRIOS E VENCIMENTOS</t>
  </si>
  <si>
    <t>BENS E SERVIÇOS</t>
  </si>
  <si>
    <t>TRANSFERÊNCIAS PÚBLICAS</t>
  </si>
  <si>
    <t>Operações extraorçamentais</t>
  </si>
  <si>
    <t>CAPITAL MENOR</t>
  </si>
  <si>
    <t>CAPITAL DE DESENVOLVIMENTO</t>
  </si>
  <si>
    <t>Aquisição de bens de capital móvel</t>
  </si>
  <si>
    <t>Aquisição de bens de capital fixo</t>
  </si>
  <si>
    <t>TOTAL EFETIVO CONSOLIDADO</t>
  </si>
  <si>
    <t>Caixa</t>
  </si>
  <si>
    <t xml:space="preserve">TOTAL </t>
  </si>
  <si>
    <t>TOTAL POR CLASSIFICAÇÃO ECONÓMICA</t>
  </si>
  <si>
    <t>OSS GLOBAL</t>
  </si>
  <si>
    <t>401 - Impostos e contribuições para a Segurança Social</t>
  </si>
  <si>
    <t>401.01 - Impostos</t>
  </si>
  <si>
    <t>401.01.01 - Imposto sobre serviços</t>
  </si>
  <si>
    <t>401.01.02 - Imposto seletivo de consumo</t>
  </si>
  <si>
    <t>401.01.03 - Imposto sobre vendas</t>
  </si>
  <si>
    <t>401.01.04 - Imposto sobre salários</t>
  </si>
  <si>
    <t>401.01.05 - Imposto sobre o rendimento</t>
  </si>
  <si>
    <t>401.01.06 - Imposto sobre o valor acrescentado</t>
  </si>
  <si>
    <t>401.01.07 - Imposto sobre o Petróleo Suplementar</t>
  </si>
  <si>
    <t>401.01.08 - Lucros partilhados do Petróleo e Gás</t>
  </si>
  <si>
    <t>401.01.09 - Timor Sea First Tranche Petroleum (FTP) Royalties</t>
  </si>
  <si>
    <t>401.01.10 - Impostos abolidos</t>
  </si>
  <si>
    <t>401.01.11 - Outros impostos</t>
  </si>
  <si>
    <t>401.02 - Direitos aduaneiros de importação</t>
  </si>
  <si>
    <t>401.03 - Contribuições e cotizações para a Segurança Social</t>
  </si>
  <si>
    <t>401.03.01 - Contribuições de entidade empregadora do Setor Público</t>
  </si>
  <si>
    <t>401.03.02 - Contribuições de entidade empregadora do Setor Privado</t>
  </si>
  <si>
    <t>401.03.03 - Cotizações de trabalhador do Setor Público</t>
  </si>
  <si>
    <t>401.03.04 - Cotizações de trabalhador do Setor Privado</t>
  </si>
  <si>
    <t>402 - Taxas, coimas e outras penalidades</t>
  </si>
  <si>
    <t>402.01 - Taxas</t>
  </si>
  <si>
    <t>402.01.01 - Taxas aeroportuárias</t>
  </si>
  <si>
    <t>402.01.02 - Taxas ambientais</t>
  </si>
  <si>
    <t>402.01.03 - Taxas de estacionamento</t>
  </si>
  <si>
    <t>402.01.04 - Taxas de justiça</t>
  </si>
  <si>
    <t>402.01.05 - Taxas de publicidade</t>
  </si>
  <si>
    <t>402.01.06 - Taxas de passaporte</t>
  </si>
  <si>
    <t>402.01.07 - Taxas de entrada e vistos</t>
  </si>
  <si>
    <t>402.01.08 - Taxas de registo</t>
  </si>
  <si>
    <t>402.01.09 - Taxas de pesca</t>
  </si>
  <si>
    <t>402.01.10 - Taxas portuárias</t>
  </si>
  <si>
    <t>402.01.11 - Taxas sobre atividade florestal</t>
  </si>
  <si>
    <t>402.01.12 - Taxas sobre atividades extrativas</t>
  </si>
  <si>
    <t>402.01.13 - Taxas sobre atividade petrolífera</t>
  </si>
  <si>
    <t>402.01.14 - Taxas sobre telecomunicações</t>
  </si>
  <si>
    <t>402.01.15 - Taxas sobre transportes</t>
  </si>
  <si>
    <t>402.01.16 - Taxas sobre jogos sociais</t>
  </si>
  <si>
    <t>402.01.17 - Propinas</t>
  </si>
  <si>
    <t>402.01.18 - Outras taxas</t>
  </si>
  <si>
    <t>402.02 - Coimas e outras penalidades</t>
  </si>
  <si>
    <t>402.02.01 - Juros de mora</t>
  </si>
  <si>
    <t>402.02.02 - Juros compensatórios</t>
  </si>
  <si>
    <t>402.02.03 - Coimas decorrentes do Código da Estrada</t>
  </si>
  <si>
    <t>402.02.04 - Sanções e coimas da Segurança Social</t>
  </si>
  <si>
    <t>402.02.05 - Coimas laborais</t>
  </si>
  <si>
    <t>402.02.06 - Multas decorrentes de processo-crime</t>
  </si>
  <si>
    <t>402.02.07 - Outras coimas e penalidades</t>
  </si>
  <si>
    <t>403 - Rendimentos</t>
  </si>
  <si>
    <t>403.01 - Rendas</t>
  </si>
  <si>
    <t>403.01.01 - Arrendamento de bens imóveis de média e longa duração</t>
  </si>
  <si>
    <t>403.01.02 - Arrendamento de bens imóveis de curta duração</t>
  </si>
  <si>
    <t>403.01.03 - Arrendamento de bens móveis de média e longa duração</t>
  </si>
  <si>
    <t>403.01.04 - Arrendamento de bens móveis de curta duração</t>
  </si>
  <si>
    <t>403.01.05 - Outras rendas</t>
  </si>
  <si>
    <t>403.02 - Ativos incorpóreos</t>
  </si>
  <si>
    <t>403.03 - Juros</t>
  </si>
  <si>
    <t>403.04 - Dividendos e participações nos lucros</t>
  </si>
  <si>
    <t>403.04.01 - Dividendos do Banco Central de Timor-Leste</t>
  </si>
  <si>
    <t>403.04.02 - Dividendos do Banco Nacional de Comércio de Timor-Leste</t>
  </si>
  <si>
    <t>403.04.03 - Outros dividendos e participações nos lucros</t>
  </si>
  <si>
    <t>403.05 - Outros rendimentos</t>
  </si>
  <si>
    <t>404 - Transferências</t>
  </si>
  <si>
    <t>404.01 - Transferências correntes do Fundo Petrolífero relativas ao Rendimento Sustentável Estimado</t>
  </si>
  <si>
    <t xml:space="preserve">404.02 - Transferências correntes do Setor Público Administrativo </t>
  </si>
  <si>
    <t>404.02.01 - Transferências correntes da Administração Central</t>
  </si>
  <si>
    <t>404.02.01.01 - Transferências correntes do Ministério das Finanças</t>
  </si>
  <si>
    <t>404.02.01.01.01 - Para financiamento da Pensão Social</t>
  </si>
  <si>
    <t>404.02.01.01.02 - Para financiamento do Regime Transitório</t>
  </si>
  <si>
    <t>404.02.01.01.03 - Para financiamento das despesas de administração</t>
  </si>
  <si>
    <t>404.02.01.01.04 - Para financiamento da garantia de valores mínimos de Pensão</t>
  </si>
  <si>
    <t>404.02.01.02 - Transferências correntes de outros Ministérios e organismos</t>
  </si>
  <si>
    <t>404.02.03 - Transferências correntes da RAEOA</t>
  </si>
  <si>
    <t>404.02.04 - Transferências correntes dos municípios</t>
  </si>
  <si>
    <t>404.03 - Transferências correntes de sociedades</t>
  </si>
  <si>
    <t>404.04 - Transferências correntes das famílias</t>
  </si>
  <si>
    <t>404.05 - Transferências correntes de instituições sem fins lucrativos</t>
  </si>
  <si>
    <t>404.05.01 - Transferências correntes de fundações públicas</t>
  </si>
  <si>
    <t>404.05.02 - Transferências correntes de associações públicas</t>
  </si>
  <si>
    <t>404.05.03 - Transferências correntes de outras instituições sem fins lucrativos</t>
  </si>
  <si>
    <t>404.06 - Transferências correntes do Exterior</t>
  </si>
  <si>
    <t>404.06.01 - Transferências correntes de países terceiros</t>
  </si>
  <si>
    <t>404.06.02 - Transferências correntes de organizações internacionais</t>
  </si>
  <si>
    <t>404.06.03 - Outras transferências correntes do exterior</t>
  </si>
  <si>
    <t>404.07 - Outras transferências correntes</t>
  </si>
  <si>
    <t>404.08 - Transferências de capital do Fundo Petrolífero acima do Rendimento Sustentável Estimado</t>
  </si>
  <si>
    <t xml:space="preserve">404.09 - Transferências de capital do Setor Público Administrativo </t>
  </si>
  <si>
    <t>404.09.01 - Transferências de capital da Administração Central</t>
  </si>
  <si>
    <t>404.09.03 - Transferências de capital da RAEOA</t>
  </si>
  <si>
    <t>404.09.04 - Transferências de capital dos municípios</t>
  </si>
  <si>
    <t>404.10 - Outras transferências de capital</t>
  </si>
  <si>
    <t>405 - Venda de bens e serviços</t>
  </si>
  <si>
    <t>405.01 - Vendas de bens correntes</t>
  </si>
  <si>
    <t>405.01.01 - Livros e Publicações</t>
  </si>
  <si>
    <t>405.01.02 - Formulários e impressos</t>
  </si>
  <si>
    <t>405.01.03 - Material de escritório</t>
  </si>
  <si>
    <t>405.01.04 - Fardamentos e artigos pessoais</t>
  </si>
  <si>
    <t>405.01.05 - Produtos agrícolas e pecuários</t>
  </si>
  <si>
    <t>405.01.06 - Produtos alimentares e bebidas</t>
  </si>
  <si>
    <t>405.01.07 - Bens públicos</t>
  </si>
  <si>
    <t>405.01.08 - Bens inutilizados</t>
  </si>
  <si>
    <t>405.01.09 - Desperdícios e resíduos</t>
  </si>
  <si>
    <t>405.01.10 - Outros bens correntes</t>
  </si>
  <si>
    <t>405.02 - Vendas de bens de capital</t>
  </si>
  <si>
    <t>405.02.01 - Terrenos</t>
  </si>
  <si>
    <t>405.02.02 - Edifícios</t>
  </si>
  <si>
    <t>405.02.03 - Infraestruturas</t>
  </si>
  <si>
    <t>405.02.04 - Outros imóveis</t>
  </si>
  <si>
    <t>405.02.05 - Veículos civis</t>
  </si>
  <si>
    <t>405.02.06 - Veículos militares</t>
  </si>
  <si>
    <t>405.02.07 - Equipamento de informática</t>
  </si>
  <si>
    <t>405.02.08 - Equipamento de água</t>
  </si>
  <si>
    <t>405.02.09 - Equipamento de eletricidade</t>
  </si>
  <si>
    <t>405.02.10 - Equipamento de comunicações</t>
  </si>
  <si>
    <t>405.02.11 - Equipamento de segurança</t>
  </si>
  <si>
    <t>405.02.12 - Equipamento de construção</t>
  </si>
  <si>
    <t>405.02.13 - Equipamento de transporte</t>
  </si>
  <si>
    <t>405.02.14 - Outro equipamento</t>
  </si>
  <si>
    <t>405.02.15 - Mobiliário</t>
  </si>
  <si>
    <t>405.02.16 - Ativos incorpóreos</t>
  </si>
  <si>
    <t>405.02.17 - Outros bens de capital</t>
  </si>
  <si>
    <t>405.03 - Serviços correntes</t>
  </si>
  <si>
    <t>405.03.01 - Estudos, pareceres, projetos e consultadoria</t>
  </si>
  <si>
    <t>405.03.02 - Vistorias e ensaios</t>
  </si>
  <si>
    <t>405.03.03 - Serviços de laboratórios</t>
  </si>
  <si>
    <t>405.03.04 - Atividades de saúde</t>
  </si>
  <si>
    <t>405.03.05 - Reparações</t>
  </si>
  <si>
    <t>405.03.06 - Alimentação e alojamento</t>
  </si>
  <si>
    <t>405.03.07 - Serviços públicos</t>
  </si>
  <si>
    <t>405.03.08 - Serviços sociais, recreativos, culturais e desporto</t>
  </si>
  <si>
    <t>405.03.09 - Serviços de correio</t>
  </si>
  <si>
    <t>405.03.10 - Outros serviços correntes</t>
  </si>
  <si>
    <t>405.04 - Serviços de capital</t>
  </si>
  <si>
    <t>406 - Ativos e passivos financeiros</t>
  </si>
  <si>
    <t>406.01 - Ativos financeiros</t>
  </si>
  <si>
    <t>406.01.01 - Levantamento de depósitos e investimentos</t>
  </si>
  <si>
    <t>406.01.02 - Alienação de títulos</t>
  </si>
  <si>
    <t>406.01.03 - Alienação de partes sociais</t>
  </si>
  <si>
    <t>406.01.04 - Reembolso de empréstimos feitos pelo Estado</t>
  </si>
  <si>
    <t>406.01.05 - Recuperação de créditos</t>
  </si>
  <si>
    <t>406.01.06 - Outros ativos financeiros</t>
  </si>
  <si>
    <t>406.02 - Passivos Financeiros</t>
  </si>
  <si>
    <t>406.02.01 - Contração de empréstimos</t>
  </si>
  <si>
    <t>406.02.02 - Emissão de títulos do tesouro</t>
  </si>
  <si>
    <t>406.02.03 - Outros passivos financeiros</t>
  </si>
  <si>
    <t>407 - Reposições não abatidas nos pagamentos</t>
  </si>
  <si>
    <t>408 - Saldo de Gerência</t>
  </si>
  <si>
    <t>409 - Operações extraorçamentais</t>
  </si>
  <si>
    <t>409.01 - Adiantamentos de caixa</t>
  </si>
  <si>
    <t>409.02 - Retenção de impostos e cotizações</t>
  </si>
  <si>
    <t>409.03 - Cauções e garantias</t>
  </si>
  <si>
    <t>409.03.01 - Caução de execução</t>
  </si>
  <si>
    <t>409.03.02 - Caução de qualidade</t>
  </si>
  <si>
    <t>409.03.03 - Garantia de pagamento adiantado</t>
  </si>
  <si>
    <t>409.04 - Outras operações extraorçamentais</t>
  </si>
  <si>
    <t>501 - SALÁRIOS E VENCIMENTOS</t>
  </si>
  <si>
    <t>501.01 - Salários e abonos regulares e permanentes</t>
  </si>
  <si>
    <t>501.01.01 - Salários de titulares de cargos políticos</t>
  </si>
  <si>
    <t>501.01.02 - Salários de membros de órgãos de direção</t>
  </si>
  <si>
    <t>501.01.03 - Salários de titulares de cargos de direção e chefia</t>
  </si>
  <si>
    <t>501.01.04 - Salários de funcionários e agentes</t>
  </si>
  <si>
    <t>501.01.05 - Salários de contratados nacionais</t>
  </si>
  <si>
    <t>501.01.06 - Salários de contratados internacionais</t>
  </si>
  <si>
    <t>501.01.07 - Salários de estagiários do Centro de Formação Jurídica e Judiciária</t>
  </si>
  <si>
    <t>501.01.08 - Salários de estagiários do Fundo de Desenvolvimento de Capital Humano</t>
  </si>
  <si>
    <t>501.01.09 - Salários de outros beneficiários</t>
  </si>
  <si>
    <t>501.01.10 - Abono para despesas de representação</t>
  </si>
  <si>
    <t>501.01.11 - Décimo terceiro mês</t>
  </si>
  <si>
    <t>501.01.12 - Outros abonos regulares e permanentes</t>
  </si>
  <si>
    <t>501.02 - Abonos variáveis ou eventuais</t>
  </si>
  <si>
    <t>501.02.01 - Horas extraordinárias</t>
  </si>
  <si>
    <t>501.02.02 - Subsídio mensal de transporte</t>
  </si>
  <si>
    <t>501.02.03 - Ajudas de custo por recolocação</t>
  </si>
  <si>
    <t>501.02.04 - Suplemento de turno</t>
  </si>
  <si>
    <t>501.02.05 - Suplemento por trabalho em local remoto ou de difícil acesso</t>
  </si>
  <si>
    <t>501.02.06 - Subsídio de alojamento</t>
  </si>
  <si>
    <t>501.02.07 - Subsídio de alimentação</t>
  </si>
  <si>
    <t>501.02.08 - Subsídio de risco</t>
  </si>
  <si>
    <t>501.02.09 - Outros abonos variáveis ou eventuais</t>
  </si>
  <si>
    <t>501.03 - Contribuição para a Segurança Social como entidade empregadora</t>
  </si>
  <si>
    <t>501.04 - Outras despesas com pessoal</t>
  </si>
  <si>
    <t>502 - BENS E SERVIÇOS CORRENTES</t>
  </si>
  <si>
    <t>502.01 - Matérias-primas e subsidiárias</t>
  </si>
  <si>
    <t>502.02 - Mercadorias para venda</t>
  </si>
  <si>
    <t>502.03 - Vestuário e artigos pessoais</t>
  </si>
  <si>
    <t>502.03.01 - Fardamento</t>
  </si>
  <si>
    <t>502.03.02 - Outro vestuário e artigos pessoais</t>
  </si>
  <si>
    <t>502.04 - Bens públicos</t>
  </si>
  <si>
    <t>502.04.01 - Água</t>
  </si>
  <si>
    <t>502.04.02 - Eletricidade</t>
  </si>
  <si>
    <t>502.04.03 - Gás</t>
  </si>
  <si>
    <t>502.04.04 - Outros bens públicos</t>
  </si>
  <si>
    <t>502.05 - Alimentação</t>
  </si>
  <si>
    <t>502.05.01 - Produtos alimentares não confecionados</t>
  </si>
  <si>
    <t>502.05.02 - Refeições confecionadas</t>
  </si>
  <si>
    <t>502.05.03 - Bebidas</t>
  </si>
  <si>
    <t>502.05.04 - Outra alimentação</t>
  </si>
  <si>
    <t>502.06 - Material médico e hospitalar</t>
  </si>
  <si>
    <t>502.07 - Material escolar</t>
  </si>
  <si>
    <t>502.08 - Material agrícola</t>
  </si>
  <si>
    <t>502.09 - Material de escritório</t>
  </si>
  <si>
    <t>502.10 - Combustível</t>
  </si>
  <si>
    <t>502.10.01 - Combustível para geradores</t>
  </si>
  <si>
    <t>502.10.02 - Combustível para veículos</t>
  </si>
  <si>
    <t>502.10.03 - Combustível para navios</t>
  </si>
  <si>
    <t>502.10.04 - Combustível para aviões</t>
  </si>
  <si>
    <t>502.10.05 - Outros combustíveis</t>
  </si>
  <si>
    <t>502.11 - Produtos químicos</t>
  </si>
  <si>
    <t>502.11.01 - Produtos farmaceuticos</t>
  </si>
  <si>
    <t>502.11.02 - Artigos de limpeza e higiene</t>
  </si>
  <si>
    <t>502.11.03 - Munições, explosivos e artifícios</t>
  </si>
  <si>
    <t>502.11.04 - Petróleo</t>
  </si>
  <si>
    <t>502.11.05 - Lubrificantes</t>
  </si>
  <si>
    <t>502.11.06 - Outros produtos químicos</t>
  </si>
  <si>
    <t>502.12 - Peças e Ferramentas</t>
  </si>
  <si>
    <t xml:space="preserve">502.12.01 - Peças </t>
  </si>
  <si>
    <t>502.12.02 - Ferramentas e utensílios</t>
  </si>
  <si>
    <t>502.13 - Prémios, condecorações e ofertas</t>
  </si>
  <si>
    <t>502.14 - Livros e documentação técnica</t>
  </si>
  <si>
    <t>502.15 - Outros bens correntes</t>
  </si>
  <si>
    <t>502.16 - Limpeza e segurança</t>
  </si>
  <si>
    <t>502.16.01 - Limpeza e higiene</t>
  </si>
  <si>
    <t>502.16.02 - Vigilância e segurança</t>
  </si>
  <si>
    <t>502.17 - Manutenção</t>
  </si>
  <si>
    <t>502.17.01 - Manutenção de veículos</t>
  </si>
  <si>
    <t>502.17.02 - Manutenção de navios</t>
  </si>
  <si>
    <t>502.17.03 - Manutenção de aviões</t>
  </si>
  <si>
    <t>502.17.04 - Manutenção de equipamento de eletricidade</t>
  </si>
  <si>
    <t>502.17.05 - Manutenção de equipamento de comunicação</t>
  </si>
  <si>
    <t>502.17.06 - Manutenção de equipamento de ar condicionado</t>
  </si>
  <si>
    <t>502.17.07 - Manutenção de geradores</t>
  </si>
  <si>
    <t>502.17.08 - Manutenção de outro equipamento</t>
  </si>
  <si>
    <t>502.17.09 - Manutenção de edifícios administrativos</t>
  </si>
  <si>
    <t>502.17.10 - Manutenção de efifícios residenciais</t>
  </si>
  <si>
    <t>502.17.11 - Manutenção de edifícios escolares e universitários</t>
  </si>
  <si>
    <t>502.17.12 - Manutenção de edifícios médico-hospitalares</t>
  </si>
  <si>
    <t>502.17.13 - Manutenção de armazéns</t>
  </si>
  <si>
    <t>502.17.14 - Manutenção de outros edifícios</t>
  </si>
  <si>
    <t>502.17.15 - Manutenção de estradas</t>
  </si>
  <si>
    <t>502.17.16 - Manutenção de pontes</t>
  </si>
  <si>
    <t>502.17.17 - Manutenção de portos</t>
  </si>
  <si>
    <t>502.17.18 - Manutenção de aeroportos</t>
  </si>
  <si>
    <t>502.17.19 - Manutenção de infraestruturas agrícolas e de irrigação</t>
  </si>
  <si>
    <t>502.17.20 - Manutenção de infraestruturas de comunicações</t>
  </si>
  <si>
    <t>502.17.21 - Manutenção de infraestruturas energéticas</t>
  </si>
  <si>
    <t>502.17.22 - Manutenção de infraestruturas de água e saneamento</t>
  </si>
  <si>
    <t>502.17.23 - Manutenção de infraestruturas turísticas, de recreio e desporto</t>
  </si>
  <si>
    <t>502.17.24 - Manutenção de outras infraestruturas</t>
  </si>
  <si>
    <t>502.17.25 - Manutenção de outros imóveis</t>
  </si>
  <si>
    <t>502.17.26 - Outra manutenção</t>
  </si>
  <si>
    <t>502.18 - Serviços Públicos</t>
  </si>
  <si>
    <t>502.18.01 - Fornecimento de água</t>
  </si>
  <si>
    <t>502.18.02 - Fornecimento de eletricidade</t>
  </si>
  <si>
    <t>502.18.03 - Fornecimento de gás</t>
  </si>
  <si>
    <t>502.18.04 - Outros serviços públicos</t>
  </si>
  <si>
    <t>502.19 - Comunicações</t>
  </si>
  <si>
    <t>502.19.01 - Comunicações fixas</t>
  </si>
  <si>
    <t>502.19.02 - Comunicações móveis</t>
  </si>
  <si>
    <t>502.19.03 - Comunicações de dados</t>
  </si>
  <si>
    <t>502.19.04 - Comunicações em pacote</t>
  </si>
  <si>
    <t>502.19.05 - Correios, encomendas e estafetas</t>
  </si>
  <si>
    <t>502.19.06 - Outras comunicações</t>
  </si>
  <si>
    <t>502.20 - Transportes</t>
  </si>
  <si>
    <t>502.20.01 - Transportes nacionais</t>
  </si>
  <si>
    <t>502.20.02 - Transportes internacionais</t>
  </si>
  <si>
    <t>502.21 - Catering</t>
  </si>
  <si>
    <t>502.22 - Assistência técnica e conservação</t>
  </si>
  <si>
    <t>502.22.01 - Assistência técnica</t>
  </si>
  <si>
    <t>502.22.02 - Conservação</t>
  </si>
  <si>
    <t>502.23 - Alojamento</t>
  </si>
  <si>
    <t>502.23.01 - Alojamento nacional</t>
  </si>
  <si>
    <t>502.23.02 - Alojamento internacional</t>
  </si>
  <si>
    <t>502.24 - Ajudas de custo</t>
  </si>
  <si>
    <t>502.24.01 - Ajudas de custo por deslocações em serviço no país</t>
  </si>
  <si>
    <t>502.24.02 - Ajudas de custo por deslocações em serviço ao estrangeiro</t>
  </si>
  <si>
    <t>502.24.03 - Ajudas de custo por deslocações ao estrangeiro para fins de estudo</t>
  </si>
  <si>
    <t>502.25 - Serviços Profissionais</t>
  </si>
  <si>
    <t>502.25.01 - Estudos, pareceres, projetos e consultadoria</t>
  </si>
  <si>
    <t>502.25.02 - Formação e palestras</t>
  </si>
  <si>
    <t>502.25.03 - Serviços de tradução</t>
  </si>
  <si>
    <t>502.25.04 - Informática</t>
  </si>
  <si>
    <t>502.25.05 - Auditoria</t>
  </si>
  <si>
    <t>502.25.06 - Publicidade</t>
  </si>
  <si>
    <t>502.25.07 - Outros serviços profissionais</t>
  </si>
  <si>
    <t>502.26 - Representação</t>
  </si>
  <si>
    <t>502.27 - Publicação, cópia e impressão</t>
  </si>
  <si>
    <t>502.28 - Serviços Financeiros</t>
  </si>
  <si>
    <t>502.28.01 - Depósitos, transferências e levantamentos</t>
  </si>
  <si>
    <t>502.28.02 - Pagamentos</t>
  </si>
  <si>
    <t>502.28.03 - Cobranças</t>
  </si>
  <si>
    <t>502.28.04 - Outros serviços bancários</t>
  </si>
  <si>
    <t>502.28.05 - Seguros</t>
  </si>
  <si>
    <t>502.28.06 - Outros serviços financeiros</t>
  </si>
  <si>
    <t>502.29 - Serviços de Saúde</t>
  </si>
  <si>
    <t>502.30 - Outros serviços correntes</t>
  </si>
  <si>
    <t>502.31 - Rendas</t>
  </si>
  <si>
    <t>502.31.01 - Arrendamento de bens imóveis de média e longa duração</t>
  </si>
  <si>
    <t>502.31.02 - Arrendamento de bens imóveis de curta duração</t>
  </si>
  <si>
    <t>502.31.03 - Aluguer de veículos</t>
  </si>
  <si>
    <t>502.31.04 - Aluguer de navios</t>
  </si>
  <si>
    <t>502.31.05 - Aluguer de aviões</t>
  </si>
  <si>
    <t>502.31.06 - Aluguer de material de informática</t>
  </si>
  <si>
    <t>502.31.07 - Aluguer de material de decoração</t>
  </si>
  <si>
    <t>502.31.08 - Aluguer de material pesado</t>
  </si>
  <si>
    <t>502.31.09 - Aluguer de ferramentas</t>
  </si>
  <si>
    <t>502.31.10 - Aluguer de outros bens móveis</t>
  </si>
  <si>
    <t>502.31.11 - Locação financeira</t>
  </si>
  <si>
    <t>502.31.12 - Outras rendas</t>
  </si>
  <si>
    <t>502.32 - Ativos incorpóreos</t>
  </si>
  <si>
    <t>502.32.01 - Direitos de propriedade intelectual</t>
  </si>
  <si>
    <t>502.32.02 - Direitos de propriedade industrial</t>
  </si>
  <si>
    <t>502.32.03 - Outros ativos incorpóreos</t>
  </si>
  <si>
    <t>503 - TRANSFERÊNCIAS PÚBLICAS</t>
  </si>
  <si>
    <t>503.01 - Transferências correntes para o Setor Público Administrativo</t>
  </si>
  <si>
    <t>503.01.01 - Transferências correntes para a Administração Central</t>
  </si>
  <si>
    <t>503.01.01.01 - Para Ministério das Finanças</t>
  </si>
  <si>
    <t>503.01.01.02 - Para Outros Ministérios e organismos</t>
  </si>
  <si>
    <t>503.01.03 - Transferências correntes para a RAEOA</t>
  </si>
  <si>
    <t>503.01.04 - Transferências correntes para os municípios</t>
  </si>
  <si>
    <t>503.02 - Transferências correntes para sociedades</t>
  </si>
  <si>
    <t>503.02.01 - Transferências correntes para empresas públicas</t>
  </si>
  <si>
    <t>503.02.02 - Transferências correntes para sociedades financeiras</t>
  </si>
  <si>
    <t>503.02.03 - Transferências correntes para sociedades não-financeiras</t>
  </si>
  <si>
    <t>503.03 - Transferências correntes para famílias</t>
  </si>
  <si>
    <t>503.03.01 - Pensão Social de invalidez do regime não contributivo</t>
  </si>
  <si>
    <t>503.03.02 - Pensão Social de velhice do regime não contributivo</t>
  </si>
  <si>
    <t>503.03.03 - Complemento de pensão de invalidez</t>
  </si>
  <si>
    <t>503.03.04 - Complemento de pensão de velhice</t>
  </si>
  <si>
    <t>503.03.05 - Complemento de pensão de sobrevivência</t>
  </si>
  <si>
    <t>503.03.06 - Outras prestações do regime não contributivo de segurança social</t>
  </si>
  <si>
    <t>503.03.07 - Pensão de invalidez do regime transitório</t>
  </si>
  <si>
    <t>503.03.08 - Pensão de velhice do regime transitório</t>
  </si>
  <si>
    <t>503.03.09 - Pensão de sobrevivência do regime transitório</t>
  </si>
  <si>
    <t>503.03.10 - Pensão de invalidez do regime geral</t>
  </si>
  <si>
    <t>503.03.11 - Pensão de velhice do regime geral</t>
  </si>
  <si>
    <t>503.03.12 - Pensão de sobrevivência do regime geral</t>
  </si>
  <si>
    <t>503.03.13 - Subsídio por risco clínico durante a gravidez</t>
  </si>
  <si>
    <t>503.03.14 - Subsídio por interrupção de gravidez</t>
  </si>
  <si>
    <t>503.03.15 - Subsídio por maternidade</t>
  </si>
  <si>
    <t>503.03.16 - Subsídio por paternidade</t>
  </si>
  <si>
    <t>503.03.17 - Subsídio por adoção</t>
  </si>
  <si>
    <t>503.03.18 - Subsídio por morte</t>
  </si>
  <si>
    <t>503.03.19 - Reembolso e ou apoio para despesas de funeral</t>
  </si>
  <si>
    <t>503.03.20 - Subsídio de doença</t>
  </si>
  <si>
    <t>503.03.21 - Subsídio de desemprego</t>
  </si>
  <si>
    <t>503.03.22 - Abono de família</t>
  </si>
  <si>
    <t>503.03.23 - Outras prestações do regime contributivo de segurança social</t>
  </si>
  <si>
    <t>503.03.24 - Pensão para ex-titulares de cargos políticos</t>
  </si>
  <si>
    <t>503.03.25 - Pensão dos combatentes e Mártires da Libertação Nacional</t>
  </si>
  <si>
    <t>503.03.26 - Bolsa da Mãe</t>
  </si>
  <si>
    <t>503.03.27 - Bolsas de estudo aos filhos dos Combatentes e Mártires da Libertação Nacional</t>
  </si>
  <si>
    <t>503.03.28 - Outras bolsas de estudo no território nacional</t>
  </si>
  <si>
    <t>503.03.29 - Outras bolsas de estudo no estrangeiro</t>
  </si>
  <si>
    <t>503.03.30 - Outras prestações sociais</t>
  </si>
  <si>
    <t>503.03.31 - Outras transferências correntes para famílias</t>
  </si>
  <si>
    <t>503.04 - Transferências correntes para instituições sem fins lucrativos</t>
  </si>
  <si>
    <t>503.04.01 - Transferências correntes para fundações públicas</t>
  </si>
  <si>
    <t>503.04.02 - Transferências correntes para associações públicas</t>
  </si>
  <si>
    <t>503.04.03 - Outras transferências correntes para instituições sem fins lucrativos</t>
  </si>
  <si>
    <t>503.05 - Transferências correntes para o exterior</t>
  </si>
  <si>
    <t>503.05.01 - Transferências correntes para países terceiros</t>
  </si>
  <si>
    <t>503.05.02 - Transferências correntes para organizações internacionais</t>
  </si>
  <si>
    <t>503.05.03 - Outras transferências correntes para o exterior</t>
  </si>
  <si>
    <t>503.06 - Juros</t>
  </si>
  <si>
    <t>503.06.01 - Juros e taxa de compromisso do Banco Mundial</t>
  </si>
  <si>
    <t>503.06.02 - Juros e taxa de compromisso do ADB</t>
  </si>
  <si>
    <t>503.06.03 - Juros e taxa de compromisso da JICA</t>
  </si>
  <si>
    <t>503.06.04 - Juros e taxa de compromisso do AIFFP</t>
  </si>
  <si>
    <t>503.06.05 - Juros de títulos do Tesouro</t>
  </si>
  <si>
    <t>503.06.06 - Outros juros da dívida pública</t>
  </si>
  <si>
    <t>503.06.07 - Outros juros</t>
  </si>
  <si>
    <t>503.07 - Impostos</t>
  </si>
  <si>
    <t>503.08 - Taxas</t>
  </si>
  <si>
    <t>503.09 - Coimas e outras penalidades</t>
  </si>
  <si>
    <t>503.10 - Restituições não abatidas na receita</t>
  </si>
  <si>
    <t>503.11 - Transferências de Capital</t>
  </si>
  <si>
    <t>503.11.01 - Transferências para o Setor Público Administrativo</t>
  </si>
  <si>
    <t>503.11.01.01 - Transferências para a Administração Central</t>
  </si>
  <si>
    <t>503.11.01.01.01 - Para Ministério das Finanças</t>
  </si>
  <si>
    <t>503.11.01.01.02 - Para Outros Ministérios e organismos</t>
  </si>
  <si>
    <t>503.11.01.03 - Transferências para a RAEOA</t>
  </si>
  <si>
    <t>503.11.01.04 - Transferências para os municípios</t>
  </si>
  <si>
    <t>503.11.02 - Transferências para sociedades</t>
  </si>
  <si>
    <t>503.11.03 - Transferências para famílias</t>
  </si>
  <si>
    <t>503.11.04 - Transferências para instituições sem fins lucrativos</t>
  </si>
  <si>
    <t>503.11.05 - Transferências para o exterior</t>
  </si>
  <si>
    <t>503.11.06 - Outras transferências de capital</t>
  </si>
  <si>
    <t>503.12 - Ativos Financeiros</t>
  </si>
  <si>
    <t>503.12.01 - Concessão de empréstimos</t>
  </si>
  <si>
    <t>503.12.02 - Aquisição de títulos</t>
  </si>
  <si>
    <t>503.12.03 - Outros ativos financeiros</t>
  </si>
  <si>
    <t>503.13 - Passivos Financeiros</t>
  </si>
  <si>
    <t>503.13.01 - Amortização de empréstimos do Banco Mundial</t>
  </si>
  <si>
    <t>503.13.02 - Amortização de empréstimos do ADB</t>
  </si>
  <si>
    <t>503.13.03 - Amortização de empréstimos da JICA</t>
  </si>
  <si>
    <t>503.13.04 - Amortização de empréstimos do AIFFP</t>
  </si>
  <si>
    <t>503.13.05 - Amortização de títulos do Tesouro</t>
  </si>
  <si>
    <t>503.13.06 - Outros passivos financeiros</t>
  </si>
  <si>
    <t>504 - CAPITAL MENOR</t>
  </si>
  <si>
    <t>504.01 - Aquisição de bens de capital móvel</t>
  </si>
  <si>
    <t>504.01.01 - Veículos civis</t>
  </si>
  <si>
    <t>504.01.02 - Veículos militares</t>
  </si>
  <si>
    <t>504.01.03 - Equipamento de informática</t>
  </si>
  <si>
    <t>504.01.04 - Equipamento de água</t>
  </si>
  <si>
    <t>504.01.05 - Equipamento de eletricidade</t>
  </si>
  <si>
    <t>504.01.06 - Equipamento de comunicações</t>
  </si>
  <si>
    <t>504.01.07 - Equipamento de segurança</t>
  </si>
  <si>
    <t>504.01.08 - Equipamento de construção</t>
  </si>
  <si>
    <t>504.01.09 - Equipamento de transporte</t>
  </si>
  <si>
    <t>504.01.10 - Geradores</t>
  </si>
  <si>
    <t>504.01.11 - Equipamento de ar condicionado</t>
  </si>
  <si>
    <t>504.01.12 - Outro equipamento</t>
  </si>
  <si>
    <t>504.01.13 - Mobiliário</t>
  </si>
  <si>
    <t>504.01.14 - Outros bens de capital móvel</t>
  </si>
  <si>
    <t>504.02 - Aquisição de serviços de capital</t>
  </si>
  <si>
    <t>505 - CAPITAL DE DESENVOLVIMENTO</t>
  </si>
  <si>
    <t>505.01 - Aquisição de bens de capital fixo</t>
  </si>
  <si>
    <t>505.01.01 - Terrenos</t>
  </si>
  <si>
    <t>505.01.02 - Edifícios administrativos</t>
  </si>
  <si>
    <t>505.01.03 - Edifícios residenciais</t>
  </si>
  <si>
    <t>505.01.04 - Edifícios escolares e universitários</t>
  </si>
  <si>
    <t>505.01.05 - Edifícios médico-hospitalares</t>
  </si>
  <si>
    <t>505.01.06 - Armazéns</t>
  </si>
  <si>
    <t>505.01.07 - Outros edifícios</t>
  </si>
  <si>
    <t>505.01.08 - Estradas</t>
  </si>
  <si>
    <t>505.01.09 - Pontes</t>
  </si>
  <si>
    <t>505.01.10 - Portos</t>
  </si>
  <si>
    <t>505.01.11 - Aeroportos</t>
  </si>
  <si>
    <t>505.01.12 - Infraestruturas agrícolas e de irrigação</t>
  </si>
  <si>
    <t>505.01.13 - Infraestruturas de comunicações</t>
  </si>
  <si>
    <t>505.01.14 - Infraestruturas energéticas</t>
  </si>
  <si>
    <t>505.01.15 - Infraestruturas de água e saneamento</t>
  </si>
  <si>
    <t>505.01.16 - Infraestruturas turísticas, de recreio e desporto</t>
  </si>
  <si>
    <t>505.01.17 - Outras infraestruturas</t>
  </si>
  <si>
    <t>505.01.18 - Outros imóveis</t>
  </si>
  <si>
    <t>506 - OPERAÇÕES EXTRAORÇAMENTAIS</t>
  </si>
  <si>
    <t>506.01 - Adiantamentos de caixa</t>
  </si>
  <si>
    <t>506.02 - Transferência de impostos e cotizações retidos</t>
  </si>
  <si>
    <t>506.02.01 - Transferência para a Autoridade Tributária de impostos retidos</t>
  </si>
  <si>
    <t>506.02.02 - Transferência para a Segurança Social de cotizações retidas</t>
  </si>
  <si>
    <t>506.02.03 - Outras transferências de impostos e cotizações retidos</t>
  </si>
  <si>
    <t>506.03 - Devolução de cauções e garantias</t>
  </si>
  <si>
    <t>506.03.01 - Devolução de caução de execução</t>
  </si>
  <si>
    <t>506.03.02 - Devolução de caução de qualidade</t>
  </si>
  <si>
    <t>506.03.03 - Devolução de garantia de pagamento adiantado</t>
  </si>
  <si>
    <t>506.04 - Outras operações extraorçamentais</t>
  </si>
  <si>
    <t>Tabela VII - Receitas do Subsetor da Segurança Social, por classificação económica, total e por regime e administração</t>
  </si>
  <si>
    <t>Categoria/rubrica</t>
  </si>
  <si>
    <t>Impostos e contribuições para a Segurança Social</t>
  </si>
  <si>
    <t>Imposto sobre serviços</t>
  </si>
  <si>
    <t>Imposto seletivo de consumo</t>
  </si>
  <si>
    <t>Imposto sobre vendas</t>
  </si>
  <si>
    <t>Imposto sobre salários</t>
  </si>
  <si>
    <t>Imposto sobre o rendimento</t>
  </si>
  <si>
    <t>Imposto sobre o valor acrescentado</t>
  </si>
  <si>
    <t>Imposto sobre o Petróleo Suplementar</t>
  </si>
  <si>
    <t>Lucros partilhados do Petróleo e Gás</t>
  </si>
  <si>
    <t>Timor Sea First Tranche Petroleum (FTP) Royalties</t>
  </si>
  <si>
    <t>Impostos abolidos</t>
  </si>
  <si>
    <t>Outros impostos</t>
  </si>
  <si>
    <t>Taxas, coimas e outras penalidades</t>
  </si>
  <si>
    <t>Taxas aeroportuárias</t>
  </si>
  <si>
    <t>Taxas ambientais</t>
  </si>
  <si>
    <t>Taxas de estacionamento</t>
  </si>
  <si>
    <t>Taxas de justiça</t>
  </si>
  <si>
    <t>Taxas de publicidade</t>
  </si>
  <si>
    <t>Taxas de passaporte</t>
  </si>
  <si>
    <t>Taxas de entrada e vistos</t>
  </si>
  <si>
    <t>Taxas de registo</t>
  </si>
  <si>
    <t>Taxas de pesca</t>
  </si>
  <si>
    <t>Taxas portuárias</t>
  </si>
  <si>
    <t>Taxas sobre atividade florestal</t>
  </si>
  <si>
    <t>Taxas sobre atividades extrativas</t>
  </si>
  <si>
    <t>Taxas sobre atividade petrolífera</t>
  </si>
  <si>
    <t>Taxas sobre telecomunicações</t>
  </si>
  <si>
    <t>Taxas sobre transportes</t>
  </si>
  <si>
    <t>Taxas sobre jogos sociais</t>
  </si>
  <si>
    <t>Propinas</t>
  </si>
  <si>
    <t>Outras taxas</t>
  </si>
  <si>
    <t>Juros de mora</t>
  </si>
  <si>
    <t>Juros compensatórios</t>
  </si>
  <si>
    <t>Coimas decorrentes do Código da Estrada</t>
  </si>
  <si>
    <t>Sanções e coimas da Segurança Social</t>
  </si>
  <si>
    <t>Coimas laborais</t>
  </si>
  <si>
    <t>Multas decorrentes de processo-crime</t>
  </si>
  <si>
    <t>Outras coimas e penalidades</t>
  </si>
  <si>
    <t>Arrendamento de bens imóveis de média e longa duração</t>
  </si>
  <si>
    <t>Arrendamento de bens imóveis de curta duração</t>
  </si>
  <si>
    <t>Arrendamento de bens móveis de média e longa duração</t>
  </si>
  <si>
    <t>Arrendamento de bens móveis de curta duração</t>
  </si>
  <si>
    <t>Outras rendas</t>
  </si>
  <si>
    <t>Dividendos e participações nos lucros</t>
  </si>
  <si>
    <t>Dividendos do Banco Central de Timor-Leste</t>
  </si>
  <si>
    <t>Dividendos do Banco Nacional de Comércio de Timor-Leste</t>
  </si>
  <si>
    <t>Outros dividendos e participações nos lucros</t>
  </si>
  <si>
    <t>Transferências</t>
  </si>
  <si>
    <t>Transferências correntes do Fundo Petrolífero relativas ao Rendimento Sustentável Estimado</t>
  </si>
  <si>
    <t xml:space="preserve">Transferências correntes do Setor Público Administrativo </t>
  </si>
  <si>
    <t>Transferências correntes da Administração Central</t>
  </si>
  <si>
    <t>Transferências correntes do Ministério das Finanças</t>
  </si>
  <si>
    <t>Para financiamento da Pensão Social</t>
  </si>
  <si>
    <t>Para financiamento do Regime Transitório</t>
  </si>
  <si>
    <t>Para financiamento das despesas de administração</t>
  </si>
  <si>
    <t>Para financiamento da garantia de valores mínimos de Pensão</t>
  </si>
  <si>
    <t>Transferências correntes de outros Ministérios</t>
  </si>
  <si>
    <t>Transferências correntes da Segurança Social</t>
  </si>
  <si>
    <t>Transferências correntes da RAEOA</t>
  </si>
  <si>
    <t>Transferências correntes dos municípios</t>
  </si>
  <si>
    <t>Transferências correntes de sociedades</t>
  </si>
  <si>
    <t>Transferências correntes das famílias</t>
  </si>
  <si>
    <t>Transferências correntes de instituições sem fins lucrativos</t>
  </si>
  <si>
    <t>Transferências correntes de fundações públicas</t>
  </si>
  <si>
    <t>Transferências correntes de associações públicas</t>
  </si>
  <si>
    <t>Transferências correntes de outras instituições sem fins lucrativos</t>
  </si>
  <si>
    <t>Transferências correntes do Exterior</t>
  </si>
  <si>
    <t>Transferências correntes de países terceiros</t>
  </si>
  <si>
    <t>Transferências correntes de organizações internacionais</t>
  </si>
  <si>
    <t>Outras transferências correntes do exterior</t>
  </si>
  <si>
    <t>Outras transferências correntes</t>
  </si>
  <si>
    <t>Transferências de capital do Fundo Petrolífero acima do Rendimento Sustentável Estimado</t>
  </si>
  <si>
    <t xml:space="preserve">Transferências de capital do Setor Público Administrativo </t>
  </si>
  <si>
    <t>Transferências de capital da Administração Central</t>
  </si>
  <si>
    <t xml:space="preserve">Transferências de capital da Segurança Social </t>
  </si>
  <si>
    <t>Transferências de capital da RAEOA</t>
  </si>
  <si>
    <t>Transferências de capital dos municípios</t>
  </si>
  <si>
    <t>Outras transferências de capital</t>
  </si>
  <si>
    <t>Venda de bens e serviços</t>
  </si>
  <si>
    <t>Vendas de bens correntes</t>
  </si>
  <si>
    <t>Livros e Publicações</t>
  </si>
  <si>
    <t>Formulários e impressos</t>
  </si>
  <si>
    <t>Fardamentos e artigos pessoais</t>
  </si>
  <si>
    <t>Produtos agrícolas e pecuários</t>
  </si>
  <si>
    <t>Produtos alimentares e bebidas</t>
  </si>
  <si>
    <t>Bens públicos</t>
  </si>
  <si>
    <t>Bens inutilizados</t>
  </si>
  <si>
    <t>Desperdícios e resíduos</t>
  </si>
  <si>
    <t>Outros bens correntes</t>
  </si>
  <si>
    <t>Terrenos</t>
  </si>
  <si>
    <t>Edifícios</t>
  </si>
  <si>
    <t>Infraestruturas</t>
  </si>
  <si>
    <t>Outros imóveis</t>
  </si>
  <si>
    <t>Veículos civis</t>
  </si>
  <si>
    <t>Veículos militares</t>
  </si>
  <si>
    <t>Equipamento de informática</t>
  </si>
  <si>
    <t>Equipamento de água</t>
  </si>
  <si>
    <t>Equipamento de eletricidade</t>
  </si>
  <si>
    <t>Equipamento de comunicações</t>
  </si>
  <si>
    <t>Equipamento de segurança</t>
  </si>
  <si>
    <t>Equipamento de construção</t>
  </si>
  <si>
    <t>Equipamento de transporte</t>
  </si>
  <si>
    <t>Outro equipamento</t>
  </si>
  <si>
    <t>Outros bens de capital</t>
  </si>
  <si>
    <t>Serviços correntes</t>
  </si>
  <si>
    <t>Estudos, pareceres, projetos e consultadoria</t>
  </si>
  <si>
    <t>Vistorias e ensaios</t>
  </si>
  <si>
    <t>Serviços de laboratórios</t>
  </si>
  <si>
    <t>Atividades de saúde</t>
  </si>
  <si>
    <t>Reparações</t>
  </si>
  <si>
    <t>Alimentação e alojamento</t>
  </si>
  <si>
    <t>Serviços públicos</t>
  </si>
  <si>
    <t>Serviços sociais, recreativos, culturais e desporto</t>
  </si>
  <si>
    <t>Serviços de correio</t>
  </si>
  <si>
    <t>Outros serviços correntes</t>
  </si>
  <si>
    <t>Serviços de capital</t>
  </si>
  <si>
    <t>Ativos e passivos financeiros</t>
  </si>
  <si>
    <t>Ativos financeiros</t>
  </si>
  <si>
    <t>Levantamento de depósitos e investimentos</t>
  </si>
  <si>
    <t>Alienação de partes sociais</t>
  </si>
  <si>
    <t>Reembolso de empréstimos feitos pelo Estado</t>
  </si>
  <si>
    <t>Recuperação de créditos</t>
  </si>
  <si>
    <t>Outros ativos financeiros</t>
  </si>
  <si>
    <t>Contração de empréstimos</t>
  </si>
  <si>
    <t>Emissão de títulos do tesouro</t>
  </si>
  <si>
    <t>Outros passivos financeiros</t>
  </si>
  <si>
    <t>Adiantamentos de caixa</t>
  </si>
  <si>
    <t>Retenção de impostos e cotizações</t>
  </si>
  <si>
    <t>Cauções e garantias</t>
  </si>
  <si>
    <t>Caução de execução</t>
  </si>
  <si>
    <t>Caução de qualidade</t>
  </si>
  <si>
    <t>Garantia de pagamento adiantado</t>
  </si>
  <si>
    <t>Outras operações extraorçamentais</t>
  </si>
  <si>
    <t>REGIMES</t>
  </si>
  <si>
    <t>Tabela IX - Despesas do Subsetor da Segurança Social, por classificação económica, total e por regime e administração</t>
  </si>
  <si>
    <t>Salários de titulares de cargos políticos</t>
  </si>
  <si>
    <t>Salários de membros de órgãos de direção</t>
  </si>
  <si>
    <t>Salários de titulares de cargos de direção e chefia</t>
  </si>
  <si>
    <t>Salários de funcionários e agentes</t>
  </si>
  <si>
    <t>Salários de contratados nacionais</t>
  </si>
  <si>
    <t>Salários de contratados internacionais</t>
  </si>
  <si>
    <t>Salários de estagiários do Centro de Formação Jurídica e Judiciária</t>
  </si>
  <si>
    <t>Salários de estagiários do Fundo de Desenvolvimento de Capital Humano</t>
  </si>
  <si>
    <t>Salários de outros beneficiários</t>
  </si>
  <si>
    <t>Abono para despesas de representação</t>
  </si>
  <si>
    <t>Décimo terceiro mês</t>
  </si>
  <si>
    <t>Outros abonos regulares e permanentes</t>
  </si>
  <si>
    <t>Horas extraordinárias</t>
  </si>
  <si>
    <t>Subsídio mensal de transporte</t>
  </si>
  <si>
    <t>Ajudas de custo por recolocação</t>
  </si>
  <si>
    <t>Suplemento de turno</t>
  </si>
  <si>
    <t>Suplemento por trabalho em local remoto ou de difícil acesso</t>
  </si>
  <si>
    <t>Subsídio de alojamento</t>
  </si>
  <si>
    <t>Subsídio de alimentação</t>
  </si>
  <si>
    <t>Subsídio de risco</t>
  </si>
  <si>
    <t>Outros abonos variáveis ou eventuais</t>
  </si>
  <si>
    <t>BENS E SERVIÇOS CORRENTES</t>
  </si>
  <si>
    <t>Matérias-primas e subsidiárias</t>
  </si>
  <si>
    <t>Mercadorias para venda</t>
  </si>
  <si>
    <t>Vestuário e artigos pessoais</t>
  </si>
  <si>
    <t>Fardamento</t>
  </si>
  <si>
    <t>Outro vestuário e artigos pessoais</t>
  </si>
  <si>
    <t>Água</t>
  </si>
  <si>
    <t>Eletricidade</t>
  </si>
  <si>
    <t>Gás</t>
  </si>
  <si>
    <t>Outros bens públicos</t>
  </si>
  <si>
    <t>Produtos alimentares não confecionados</t>
  </si>
  <si>
    <t>Refeições confecionadas</t>
  </si>
  <si>
    <t>Bebidas</t>
  </si>
  <si>
    <t>Outra alimentação</t>
  </si>
  <si>
    <t>Material médico e hospitalar</t>
  </si>
  <si>
    <t>Material escolar</t>
  </si>
  <si>
    <t>Material agrícola</t>
  </si>
  <si>
    <t>Combustível para geradores</t>
  </si>
  <si>
    <t>Combustível para veículos</t>
  </si>
  <si>
    <t>Combustível para navios</t>
  </si>
  <si>
    <t>Combustível para aviões</t>
  </si>
  <si>
    <t>Outros combustíveis</t>
  </si>
  <si>
    <t>Produtos farmaceuticos</t>
  </si>
  <si>
    <t>Artigos de limpeza e higiene</t>
  </si>
  <si>
    <t>Munições, explosivos e artifícios</t>
  </si>
  <si>
    <t>Petróleo</t>
  </si>
  <si>
    <t>Lubrificantes</t>
  </si>
  <si>
    <t>Outros produtos químicos</t>
  </si>
  <si>
    <t>Peças e Ferramentas</t>
  </si>
  <si>
    <t xml:space="preserve">Peças </t>
  </si>
  <si>
    <t>Ferramentas e utensílios</t>
  </si>
  <si>
    <t>Prémios, condecorações e ofertas</t>
  </si>
  <si>
    <t>Livros e documentação técnica</t>
  </si>
  <si>
    <t>Limpeza e segurança</t>
  </si>
  <si>
    <t>Limpeza e higiene</t>
  </si>
  <si>
    <t>Vigilância e segurança</t>
  </si>
  <si>
    <t>Manutenção</t>
  </si>
  <si>
    <t>Manutenção de veículos</t>
  </si>
  <si>
    <t>Manutenção de navios</t>
  </si>
  <si>
    <t>Manutenção de aviões</t>
  </si>
  <si>
    <t>Manutenção de equipamento de eletricidade</t>
  </si>
  <si>
    <t>Manutenção de equipamento de comunicação</t>
  </si>
  <si>
    <t>Manutenção de equipamento de ar condicionado</t>
  </si>
  <si>
    <t>Manutenção de geradores</t>
  </si>
  <si>
    <t>Manutenção de outro equipamento</t>
  </si>
  <si>
    <t>Manutenção de edifícios administrativos</t>
  </si>
  <si>
    <t>Manutenção de efifícios residenciais</t>
  </si>
  <si>
    <t>Manutenção de edifícios escolares e universitários</t>
  </si>
  <si>
    <t>Manutenção de edifícios médico-hospitalares</t>
  </si>
  <si>
    <t>Manutenção de armazéns</t>
  </si>
  <si>
    <t>Manutenção de outros edifícios</t>
  </si>
  <si>
    <t>Manutenção de estradas</t>
  </si>
  <si>
    <t>Manutenção de pontes</t>
  </si>
  <si>
    <t>Manutenção de portos</t>
  </si>
  <si>
    <t>Manutenção de aeroportos</t>
  </si>
  <si>
    <t>Manutenção de infraestruturas agrícolas e de irrigação</t>
  </si>
  <si>
    <t>Manutenção de infraestruturas de comunicações</t>
  </si>
  <si>
    <t>Manutenção de infraestruturas energéticas</t>
  </si>
  <si>
    <t>Manutenção de infraestruturas de água e saneamento</t>
  </si>
  <si>
    <t>Manutenção de infraestruturas turísticas, de recreio e desporto</t>
  </si>
  <si>
    <t>Manutenção de outras infraestruturas</t>
  </si>
  <si>
    <t>Manutenção de outros imóveis</t>
  </si>
  <si>
    <t>Outra manutenção</t>
  </si>
  <si>
    <t>Fornecimento de água</t>
  </si>
  <si>
    <t>Fornecimento de eletricidade</t>
  </si>
  <si>
    <t>Fornecimento de gás</t>
  </si>
  <si>
    <t>Outros serviços públicos</t>
  </si>
  <si>
    <t>Comunicações fixas</t>
  </si>
  <si>
    <t>Comunicações móveis</t>
  </si>
  <si>
    <t>Comunicações de dados</t>
  </si>
  <si>
    <t>Comunicações em pacote</t>
  </si>
  <si>
    <t>Correios, encomendas e estafetas</t>
  </si>
  <si>
    <t>Outras comunicações</t>
  </si>
  <si>
    <t>Transportes nacionais</t>
  </si>
  <si>
    <t>Transportes internacionais</t>
  </si>
  <si>
    <t>Assistência técnica</t>
  </si>
  <si>
    <t>Conservação</t>
  </si>
  <si>
    <t>Alojamento nacional</t>
  </si>
  <si>
    <t>Alojamento internacional</t>
  </si>
  <si>
    <t>Ajudas de custo</t>
  </si>
  <si>
    <t>Ajudas de custo por deslocações em serviço no país</t>
  </si>
  <si>
    <t>Ajudas de custo por deslocações em serviço ao estrangeiro</t>
  </si>
  <si>
    <t>Ajudas de custo por deslocações ao estrangeiro para fins de estudo</t>
  </si>
  <si>
    <t>Formação e palestras</t>
  </si>
  <si>
    <t>Serviços de tradução</t>
  </si>
  <si>
    <t>Informática</t>
  </si>
  <si>
    <t>Auditoria</t>
  </si>
  <si>
    <t>Publicidade</t>
  </si>
  <si>
    <t>Outros serviços profissionais</t>
  </si>
  <si>
    <t>Representação</t>
  </si>
  <si>
    <t>Depósitos, transferências e levantamentos</t>
  </si>
  <si>
    <t>Pagamentos</t>
  </si>
  <si>
    <t>Cobranças</t>
  </si>
  <si>
    <t>Outros serviços bancários</t>
  </si>
  <si>
    <t>Seguros</t>
  </si>
  <si>
    <t>Outros serviços financeiros</t>
  </si>
  <si>
    <t>Serviços de Saúde</t>
  </si>
  <si>
    <t>Aluguer de veículos</t>
  </si>
  <si>
    <t>Aluguer de navios</t>
  </si>
  <si>
    <t>Aluguer de aviões</t>
  </si>
  <si>
    <t>Aluguer de material de informática</t>
  </si>
  <si>
    <t>Aluguer de material de decoração</t>
  </si>
  <si>
    <t>Aluguer de material pesado</t>
  </si>
  <si>
    <t>Aluguer de ferramentas</t>
  </si>
  <si>
    <t>Aluguer de outros bens móveis</t>
  </si>
  <si>
    <t>Locação financeira</t>
  </si>
  <si>
    <t>Direitos de propriedade intelectual</t>
  </si>
  <si>
    <t>Direitos de propriedade industrial</t>
  </si>
  <si>
    <t>Outros ativos incorpóreos</t>
  </si>
  <si>
    <t>Transferências correntes para o Setor Público Administrativo</t>
  </si>
  <si>
    <t>Transferências correntes para a Administração Central</t>
  </si>
  <si>
    <t>Transferências correntes para a Segurança Social</t>
  </si>
  <si>
    <t>Transferências correntes para a RAEOA</t>
  </si>
  <si>
    <t>Transferências correntes para os municípios</t>
  </si>
  <si>
    <t>Transferências correntes para sociedades</t>
  </si>
  <si>
    <t>Transferências correntes para empresas públicas</t>
  </si>
  <si>
    <t>Transferências correntes para sociedades financeiras</t>
  </si>
  <si>
    <t>Transferências correntes para sociedades não-financeiras</t>
  </si>
  <si>
    <t>Transferências correntes para famílias</t>
  </si>
  <si>
    <t>Pensão Social de invalidez do regime não contributivo</t>
  </si>
  <si>
    <t>Pensão Social de velhice do regime não contributivo</t>
  </si>
  <si>
    <t>Complemento de pensão de invalidez</t>
  </si>
  <si>
    <t>Complemento de pensão de velhice</t>
  </si>
  <si>
    <t>Complemento de pensão de sobrevivência</t>
  </si>
  <si>
    <t>Outras prestações do regime não contributivo de segurança social</t>
  </si>
  <si>
    <t>Pensão de invalidez do regime transitório</t>
  </si>
  <si>
    <t>Pensão de velhice do regime transitório</t>
  </si>
  <si>
    <t>Pensão de sobrevivência do regime transitório</t>
  </si>
  <si>
    <t>Pensão de invalidez do regime geral</t>
  </si>
  <si>
    <t>Pensão de velhice do regime geral</t>
  </si>
  <si>
    <t>Pensão de sobrevivência do regime geral</t>
  </si>
  <si>
    <t>Subsídio por risco clínico durante a gravidez</t>
  </si>
  <si>
    <t>Subsídio por interrupção de gravidez</t>
  </si>
  <si>
    <t>Subsídio por maternidade</t>
  </si>
  <si>
    <t>Subsídio por paternidade</t>
  </si>
  <si>
    <t>Subsídio por adoção</t>
  </si>
  <si>
    <t>Subsídio por morte</t>
  </si>
  <si>
    <t>Reembolso e ou apoio para despesas de funeral</t>
  </si>
  <si>
    <t>Subsídio de doença</t>
  </si>
  <si>
    <t>Subsídio de desemprego</t>
  </si>
  <si>
    <t>Abono de família</t>
  </si>
  <si>
    <t>Outras prestações do regime contributivo de segurança social</t>
  </si>
  <si>
    <t>Pensão para ex-titulares de cargos políticos</t>
  </si>
  <si>
    <t>Pensão dos combatentes e Mártires da Libertação Nacional</t>
  </si>
  <si>
    <t>Bolsa da Mãe</t>
  </si>
  <si>
    <t>Bolsas de estudo aos filhos dos Combatentes e Mártires da Libertação Nacional</t>
  </si>
  <si>
    <t>Outras bolsas de estudo no território nacional</t>
  </si>
  <si>
    <t>Outras bolsas de estudo no estrangeiro</t>
  </si>
  <si>
    <t>Outras prestações sociais</t>
  </si>
  <si>
    <t>Outras transferências correntes para famílias</t>
  </si>
  <si>
    <t>Transferências correntes para instituições sem fins lucrativos</t>
  </si>
  <si>
    <t>Transferências correntes para fundações públicas</t>
  </si>
  <si>
    <t>Transferências correntes para associações públicas</t>
  </si>
  <si>
    <t>Outras transferências correntes para instituições sem fins lucrativos</t>
  </si>
  <si>
    <t>Transferências correntes para o exterior</t>
  </si>
  <si>
    <t>Transferências correntes para países terceiros</t>
  </si>
  <si>
    <t>Transferências correntes para organizações internacionais</t>
  </si>
  <si>
    <t>Outras transferências correntes para o exterior</t>
  </si>
  <si>
    <t>Juros e taxa de compromisso do Banco Mundial</t>
  </si>
  <si>
    <t>Juros e taxa de compromisso do ADB</t>
  </si>
  <si>
    <t>Juros e taxa de compromisso da JICA</t>
  </si>
  <si>
    <t>Juros e taxa de compromisso do AIFFP</t>
  </si>
  <si>
    <t>Juros de títulos do Tesouro</t>
  </si>
  <si>
    <t>Outros juros da dívida pública</t>
  </si>
  <si>
    <t>Outros juros</t>
  </si>
  <si>
    <t>Transferências para a Administração Central</t>
  </si>
  <si>
    <t>Transferências para a Segurança Social (entre regimes)</t>
  </si>
  <si>
    <t>Transferências para a RAEOA</t>
  </si>
  <si>
    <t>Transferências para os municípios</t>
  </si>
  <si>
    <t>Transferências para sociedades</t>
  </si>
  <si>
    <t>Transferências para instituições sem fins lucrativos</t>
  </si>
  <si>
    <t>Transferências para o exterior</t>
  </si>
  <si>
    <t>Concessão de empréstimos</t>
  </si>
  <si>
    <t>Amortização de empréstimos do Banco Mundial</t>
  </si>
  <si>
    <t>Amortização de empréstimos do ADB</t>
  </si>
  <si>
    <t>Amortização de empréstimos da JICA</t>
  </si>
  <si>
    <t>Amortização de empréstimos do AIFFP</t>
  </si>
  <si>
    <t>Amortização de títulos do Tesouro</t>
  </si>
  <si>
    <t>Geradores</t>
  </si>
  <si>
    <t>Equipamento de ar condicionado</t>
  </si>
  <si>
    <t>Outros bens de capital móvel</t>
  </si>
  <si>
    <t>Edifícios administrativos</t>
  </si>
  <si>
    <t>Edifícios residenciais</t>
  </si>
  <si>
    <t>Edifícios escolares e universitários</t>
  </si>
  <si>
    <t>Edifícios médico-hospitalares</t>
  </si>
  <si>
    <t>Armazéns</t>
  </si>
  <si>
    <t>Outros edifícios</t>
  </si>
  <si>
    <t>Estradas</t>
  </si>
  <si>
    <t>Pontes</t>
  </si>
  <si>
    <t>Portos</t>
  </si>
  <si>
    <t>Aeroportos</t>
  </si>
  <si>
    <t>Infraestruturas agrícolas e de irrigação</t>
  </si>
  <si>
    <t>Infraestruturas de comunicações</t>
  </si>
  <si>
    <t>Infraestruturas energéticas</t>
  </si>
  <si>
    <t>Infraestruturas de água e saneamento</t>
  </si>
  <si>
    <t>Infraestruturas turísticas, de recreio e desporto</t>
  </si>
  <si>
    <t>Outras infraestruturas</t>
  </si>
  <si>
    <t>OPERAÇÕES EXTRAORÇAMENTAIS</t>
  </si>
  <si>
    <t>Transferência para a Segurança Social de cotizações retidas</t>
  </si>
  <si>
    <t>Outras transferências de impostos e cotizações retidos</t>
  </si>
  <si>
    <t>Devolução de cauções e garantias</t>
  </si>
  <si>
    <t>Devolução de caução de execução</t>
  </si>
  <si>
    <t>Devolução de caução de qualidade</t>
  </si>
  <si>
    <t>Devolução de garantia de pagamento adiantado</t>
  </si>
  <si>
    <t>Transferência para a Autoridade Tributária de impostos retidos</t>
  </si>
  <si>
    <t>Transferência de impostos e cortizações retidos</t>
  </si>
  <si>
    <t>Total saldo:</t>
  </si>
  <si>
    <t>mapa:</t>
  </si>
  <si>
    <t>Administração (BRI)</t>
  </si>
  <si>
    <t>% Compromissos</t>
  </si>
  <si>
    <t>% Execução Despesa</t>
  </si>
  <si>
    <t>INSS</t>
  </si>
  <si>
    <t>REGIMES E INSTITUIÇÃO ORGÂNICA</t>
  </si>
  <si>
    <t>REGIME NÃO CONTRIBUTIVO (RNC)</t>
  </si>
  <si>
    <t>REGIME CONTRIBUTIVO REPARTIÇÃO (RC)</t>
  </si>
  <si>
    <t>A04 - Regime Contributivo de Repartição</t>
  </si>
  <si>
    <t>A0401 - Regime transitório de segurança social</t>
  </si>
  <si>
    <t>A040101 - Pagamento de prestações sociais de direito - RTSS</t>
  </si>
  <si>
    <t>ATIVIDADE - PAGAMENTO DE PRESTAÇÕES SOCIAIS DE DIREITO - RTSS</t>
  </si>
  <si>
    <t>A0402 - Regime geral de segurança social</t>
  </si>
  <si>
    <t>A040201 - Pagamento de prestações sociais de direito - RGSS</t>
  </si>
  <si>
    <t>ATIVIDADE - PAGAMENTO DE PRESTAÇÕES SOCIAIS DE DIREITO - RGSS</t>
  </si>
  <si>
    <t>A05 - Regime Não Contributivo</t>
  </si>
  <si>
    <t>A0501 - Proteção Social de Cidadania</t>
  </si>
  <si>
    <t>A0601 - Coordenação, gestão e funcionamento do INSS</t>
  </si>
  <si>
    <t>A060101 -Coordenação, gestão e funcionamento de todos os serviços do INSS</t>
  </si>
  <si>
    <t>ATIVIDADE - COORDENAÇÃO, GESTÃO E FUNCIONAMENTO DE TODOS OS SERVIÇOS DO INSS</t>
  </si>
  <si>
    <t>A060102 - Formação em exercício dos Recursos Humanos do INSS</t>
  </si>
  <si>
    <t>ATIVIDADE - FORMAÇÃO EM EXERCÍCIO DOS RECURSOS HUMANOS DO INSS</t>
  </si>
  <si>
    <t>A060103 - Elaboração de estudos e propostas técnicas visando a melhoria, alargamento, eficácia e sustentabilidade do sistema de segurança social</t>
  </si>
  <si>
    <t>ATIVIDADE - ELABORAÇÃO DE ESTUDOS E PROPOSTAS TÉCNICAS VISANDO A MELHORIA, ALARGAMENTO, EFICÁCIA E SUSTENTABILIDADE DO SISTEMA DE SEGURANÇA SOCIAL</t>
  </si>
  <si>
    <t>A060104 - Extensão da cobertura do sistema de segurança social</t>
  </si>
  <si>
    <t>ATIVIDADE - EXTENSÃO DA COBERTURA DO SISTEMA DE SEGURANÇA SOCIAL</t>
  </si>
  <si>
    <t>ATIVIDADE - CONSTRUÇÃO DO SISTEMA DE INFORMAÇÃO DA SEGURANÇA SOCIAL</t>
  </si>
  <si>
    <t>Atividade A050101: Pagamento de prestações sociais não contributivas</t>
  </si>
  <si>
    <t>A050101 - Pagamento de prestações sociais não contributivas</t>
  </si>
  <si>
    <t>ATIVIDADE - PAGAMENTO DE PRESTAÇÕES SOCIAIS NÃO CONTRIBUTIVAS</t>
  </si>
  <si>
    <t>Administração do INSS</t>
  </si>
  <si>
    <t>Administração do FRSS</t>
  </si>
  <si>
    <t>FRSS (sem Capitalização)</t>
  </si>
  <si>
    <t>ADMINISTRAÇÃO DO INSS</t>
  </si>
  <si>
    <t>EXECUÇÃO ORÇAMENTAL - FRSS</t>
  </si>
  <si>
    <t>ADMINISTRAÇÃO DO FRSS</t>
  </si>
  <si>
    <t>TOTAL OSS (INSS + FRSS)</t>
  </si>
  <si>
    <t xml:space="preserve">Total contas bancárias </t>
  </si>
  <si>
    <t>Contas FRSS Administração</t>
  </si>
  <si>
    <t>TOTAL OSS (INSS+FRSS)</t>
  </si>
  <si>
    <t>TOTAL OSS CONSOLIDADO (INSS+FRSS)</t>
  </si>
  <si>
    <t>106 - INSTITUTO NACIONAL DE SEGURANÇA SOCIAL</t>
  </si>
  <si>
    <t>Atividade A040202: Contribuições para o Regime de Capitalização</t>
  </si>
  <si>
    <t>Programa A06 - Administração do INSS</t>
  </si>
  <si>
    <t>Subprograma A0602 - Investimento Estratégico do INSS</t>
  </si>
  <si>
    <t>Atividade A060201: Construção do Sistema de Informação da Segurança Social</t>
  </si>
  <si>
    <t>Atividade A060202: Apetrechamento das instalações do INSS</t>
  </si>
  <si>
    <t>Atividade A060203: Construção  do Novo Edificio  da Seguranca Social</t>
  </si>
  <si>
    <t>TOTAL INSS CONSOLIDADO</t>
  </si>
  <si>
    <t>107 - FUNDO DE RESERVA DA SEGURANÇA SOCIAL</t>
  </si>
  <si>
    <t>Programa A07 - Administração do FRSS</t>
  </si>
  <si>
    <t>Subprograma A0701 - Coordenação, gestão e funcionamento do FRSS</t>
  </si>
  <si>
    <t>Atividade A070101: Funcionamento de todos os serviços e unidades orgânicas do Instituto FRSS</t>
  </si>
  <si>
    <t>Atividade A070102: Capacitação técnica e especializada dos Recursos Humanos do FRSS</t>
  </si>
  <si>
    <t>Subprograma A0702 - Investimento Estratégico do FRSS</t>
  </si>
  <si>
    <t>Atividade A070201: Instalação e Aquisição de Equipamentos no FRSS</t>
  </si>
  <si>
    <t>TOTAL FRSS CONSOLIDADO</t>
  </si>
  <si>
    <t>INSS E FRSS</t>
  </si>
  <si>
    <t>TOTAL OSS CONSOLIDADO (INSS + FRSS)</t>
  </si>
  <si>
    <t>EXECUÇÃO ORÇAMENTAL - INSS</t>
  </si>
  <si>
    <t>501.01.01 - SALÁRIOS E VENCIMENTOS - Salários e abonos regulares e permanentes - Salários de titulares de cargos políticos</t>
  </si>
  <si>
    <t>501.01.02 - SALÁRIOS E VENCIMENTOS - Salários e abonos regulares e permanentes - Salários de membros de órgãos de direção</t>
  </si>
  <si>
    <t>501.01.03 - SALÁRIOS E VENCIMENTOS - Salários e abonos regulares e permanentes - Salários de titulares de cargos de direção e chefia</t>
  </si>
  <si>
    <t>501.01.04 - SALÁRIOS E VENCIMENTOS - Salários e abonos regulares e permanentes - Salários de funcionários e agentes</t>
  </si>
  <si>
    <t>501.01.05 - SALÁRIOS E VENCIMENTOS - Salários e abonos regulares e permanentes - Salários de contratados nacionais</t>
  </si>
  <si>
    <t>501.01.06 - SALÁRIOS E VENCIMENTOS - Salários e abonos regulares e permanentes - Salários de contratados internacionais</t>
  </si>
  <si>
    <t>501.01.07 - SALÁRIOS E VENCIMENTOS - Salários e abonos regulares e permanentes - Salários de estagiários do Centro de Formação Jurídica e Judiciária</t>
  </si>
  <si>
    <t>501.01.08 - SALÁRIOS E VENCIMENTOS - Salários e abonos regulares e permanentes - Salários de estagiários do Fundo de Desenvolvimento de Capital Humano</t>
  </si>
  <si>
    <t>501.01.09 - SALÁRIOS E VENCIMENTOS - Salários e abonos regulares e permanentes - Salários de outros beneficiários</t>
  </si>
  <si>
    <t>501.01.10 - SALÁRIOS E VENCIMENTOS - Salários e abonos regulares e permanentes - Abono para despesas de representação</t>
  </si>
  <si>
    <t>501.01.11 - SALÁRIOS E VENCIMENTOS - Salários e abonos regulares e permanentes - Décimo terceiro mês</t>
  </si>
  <si>
    <t>501.01.12 - SALÁRIOS E VENCIMENTOS - Salários e abonos regulares e permanentes - Outros abonos regulares e permanentes</t>
  </si>
  <si>
    <t>501.02.01 - SALÁRIOS E VENCIMENTOS - Abonos variáveis ou eventuais - Horas extraordinárias</t>
  </si>
  <si>
    <t>501.02.02 - SALÁRIOS E VENCIMENTOS - Abonos variáveis ou eventuais - Subsídio mensal de transporte</t>
  </si>
  <si>
    <t>501.02.03 - SALÁRIOS E VENCIMENTOS - Abonos variáveis ou eventuais - Ajudas de custo por recolocação</t>
  </si>
  <si>
    <t>501.02.04 - SALÁRIOS E VENCIMENTOS - Abonos variáveis ou eventuais - Suplemento de turno</t>
  </si>
  <si>
    <t>501.02.05 - SALÁRIOS E VENCIMENTOS - Abonos variáveis ou eventuais - Suplemento por trabalho em local remoto ou de difícil acesso</t>
  </si>
  <si>
    <t>501.02.06 - SALÁRIOS E VENCIMENTOS - Abonos variáveis ou eventuais - Subsídio de alojamento</t>
  </si>
  <si>
    <t>501.02.07 - SALÁRIOS E VENCIMENTOS - Abonos variáveis ou eventuais - Subsídio de alimentação</t>
  </si>
  <si>
    <t>501.02.08 - SALÁRIOS E VENCIMENTOS - Abonos variáveis ou eventuais - Subsídio de risco</t>
  </si>
  <si>
    <t>501.02.09 - SALÁRIOS E VENCIMENTOS - Abonos variáveis ou eventuais - Outros abonos variáveis ou eventuais</t>
  </si>
  <si>
    <t>501.03 - SALÁRIOS E VENCIMENTOS - Contribuição para a Segurança Social como entidade empregadora</t>
  </si>
  <si>
    <t>501.04 - SALÁRIOS E VENCIMENTOS - Outras despesas com pessoal</t>
  </si>
  <si>
    <t>502.01 - BENS E SERVIÇOS CORRENTES - Matérias-primas e subsidiárias</t>
  </si>
  <si>
    <t>502.02 - BENS E SERVIÇOS CORRENTES - Mercadorias para venda</t>
  </si>
  <si>
    <t>502.03.01 - BENS E SERVIÇOS CORRENTES - Vestuário e artigos pessoais - Fardamento</t>
  </si>
  <si>
    <t>502.03.02 - BENS E SERVIÇOS CORRENTES - Vestuário e artigos pessoais - Outro vestuário e artigos pessoais</t>
  </si>
  <si>
    <t>502.04.01 - BENS E SERVIÇOS CORRENTES - Bens públicos - Água</t>
  </si>
  <si>
    <t>502.04.02 - BENS E SERVIÇOS CORRENTES - Bens públicos - Eletricidade</t>
  </si>
  <si>
    <t>502.04.03 - BENS E SERVIÇOS CORRENTES - Bens públicos - Gás</t>
  </si>
  <si>
    <t>502.04.04 - BENS E SERVIÇOS CORRENTES - Bens públicos - Outros bens públicos</t>
  </si>
  <si>
    <t>502.05.01 - BENS E SERVIÇOS CORRENTES - Alimentação - Produtos alimentares não confecionados</t>
  </si>
  <si>
    <t>502.05.02 - BENS E SERVIÇOS CORRENTES - Alimentação - Refeições confecionadas</t>
  </si>
  <si>
    <t>502.05.03 - BENS E SERVIÇOS CORRENTES - Alimentação - Bebidas</t>
  </si>
  <si>
    <t>502.05.04 - BENS E SERVIÇOS CORRENTES - Alimentação - Outra alimentação</t>
  </si>
  <si>
    <t>502.06 - BENS E SERVIÇOS CORRENTES - Material médico e hospitalar</t>
  </si>
  <si>
    <t>502.07 - BENS E SERVIÇOS CORRENTES - Material escolar</t>
  </si>
  <si>
    <t>502.08 - BENS E SERVIÇOS CORRENTES - Material agrícola</t>
  </si>
  <si>
    <t>502.09 - BENS E SERVIÇOS CORRENTES - Material de escritório</t>
  </si>
  <si>
    <t>502.10.01 - BENS E SERVIÇOS CORRENTES - Combustível - Combustível para geradores</t>
  </si>
  <si>
    <t>502.10.02 - BENS E SERVIÇOS CORRENTES - Combustível - Combustível para veículos</t>
  </si>
  <si>
    <t>502.10.03 - BENS E SERVIÇOS CORRENTES - Combustível - Combustível para navios</t>
  </si>
  <si>
    <t>502.10.04 - BENS E SERVIÇOS CORRENTES - Combustível - Combustível para aviões</t>
  </si>
  <si>
    <t>502.10.05 - BENS E SERVIÇOS CORRENTES - Combustível - Outros combustíveis</t>
  </si>
  <si>
    <t>502.11.01 - BENS E SERVIÇOS CORRENTES - Produtos químicos - Produtos farmaceuticos</t>
  </si>
  <si>
    <t>502.11.02 - BENS E SERVIÇOS CORRENTES - Produtos químicos - Artigos de limpeza e higiene</t>
  </si>
  <si>
    <t>502.11.03 - BENS E SERVIÇOS CORRENTES - Produtos químicos - Munições, explosivos e artifícios</t>
  </si>
  <si>
    <t>502.11.04 - BENS E SERVIÇOS CORRENTES - Produtos químicos - Petróleo</t>
  </si>
  <si>
    <t>502.11.05 - BENS E SERVIÇOS CORRENTES - Produtos químicos - Lubrificantes</t>
  </si>
  <si>
    <t>502.11.06 - BENS E SERVIÇOS CORRENTES - Produtos químicos - Outros produtos químicos</t>
  </si>
  <si>
    <t xml:space="preserve">502.12.01 - BENS E SERVIÇOS CORRENTES - Peças e Ferramentas - Peças </t>
  </si>
  <si>
    <t>502.12.02 - BENS E SERVIÇOS CORRENTES - Peças e Ferramentas - Ferramentas e utensílios</t>
  </si>
  <si>
    <t>502.13 - BENS E SERVIÇOS CORRENTES - Prémios, condecorações e ofertas</t>
  </si>
  <si>
    <t>502.14 - BENS E SERVIÇOS CORRENTES - Livros e documentação técnica</t>
  </si>
  <si>
    <t>502.15 - BENS E SERVIÇOS CORRENTES - Outros bens correntes</t>
  </si>
  <si>
    <t>502.16.01 - BENS E SERVIÇOS CORRENTES - Limpeza e segurança - Limpeza e higiene</t>
  </si>
  <si>
    <t>502.16.02 - BENS E SERVIÇOS CORRENTES - Limpeza e segurança - Vigilância e segurança</t>
  </si>
  <si>
    <t>502.17.01 - BENS E SERVIÇOS CORRENTES - Manutenção - Manutenção de veículos</t>
  </si>
  <si>
    <t>502.17.02 - BENS E SERVIÇOS CORRENTES - Manutenção - Manutenção de navios</t>
  </si>
  <si>
    <t>502.17.03 - BENS E SERVIÇOS CORRENTES - Manutenção - Manutenção de aviões</t>
  </si>
  <si>
    <t>502.17.04 - BENS E SERVIÇOS CORRENTES - Manutenção - Manutenção de equipamento de eletricidade</t>
  </si>
  <si>
    <t>502.17.05 - BENS E SERVIÇOS CORRENTES - Manutenção - Manutenção de equipamento de comunicação</t>
  </si>
  <si>
    <t>502.17.06 - BENS E SERVIÇOS CORRENTES - Manutenção - Manutenção de equipamento de ar condicionado</t>
  </si>
  <si>
    <t>502.17.07 - BENS E SERVIÇOS CORRENTES - Manutenção - Manutenção de geradores</t>
  </si>
  <si>
    <t>502.17.08 - BENS E SERVIÇOS CORRENTES - Manutenção - Manutenção de outro equipamento</t>
  </si>
  <si>
    <t>502.17.09 - BENS E SERVIÇOS CORRENTES - Manutenção - Manutenção de edifícios administrativos</t>
  </si>
  <si>
    <t>502.17.10 - BENS E SERVIÇOS CORRENTES - Manutenção - Manutenção de efifícios residenciais</t>
  </si>
  <si>
    <t>502.17.11 - BENS E SERVIÇOS CORRENTES - Manutenção - Manutenção de edifícios escolares e universitários</t>
  </si>
  <si>
    <t>502.17.12 - BENS E SERVIÇOS CORRENTES - Manutenção - Manutenção de edifícios médico-hospitalares</t>
  </si>
  <si>
    <t>502.17.13 - BENS E SERVIÇOS CORRENTES - Manutenção - Manutenção de armazéns</t>
  </si>
  <si>
    <t>502.17.14 - BENS E SERVIÇOS CORRENTES - Manutenção - Manutenção de outros edifícios</t>
  </si>
  <si>
    <t>502.17.15 - BENS E SERVIÇOS CORRENTES - Manutenção - Manutenção de estradas</t>
  </si>
  <si>
    <t>502.17.16 - BENS E SERVIÇOS CORRENTES - Manutenção - Manutenção de pontes</t>
  </si>
  <si>
    <t>502.17.17 - BENS E SERVIÇOS CORRENTES - Manutenção - Manutenção de portos</t>
  </si>
  <si>
    <t>502.17.18 - BENS E SERVIÇOS CORRENTES - Manutenção - Manutenção de aeroportos</t>
  </si>
  <si>
    <t>502.17.19 - BENS E SERVIÇOS CORRENTES - Manutenção - Manutenção de infraestruturas agrícolas e de irrigação</t>
  </si>
  <si>
    <t>502.17.20 - BENS E SERVIÇOS CORRENTES - Manutenção - Manutenção de infraestruturas de comunicações</t>
  </si>
  <si>
    <t>502.17.21 - BENS E SERVIÇOS CORRENTES - Manutenção - Manutenção de infraestruturas energéticas</t>
  </si>
  <si>
    <t>502.17.22 - BENS E SERVIÇOS CORRENTES - Manutenção - Manutenção de infraestruturas de água e saneamento</t>
  </si>
  <si>
    <t>502.17.23 - BENS E SERVIÇOS CORRENTES - Manutenção - Manutenção de infraestruturas turísticas, de recreio e desporto</t>
  </si>
  <si>
    <t>502.17.24 - BENS E SERVIÇOS CORRENTES - Manutenção - Manutenção de outras infraestruturas</t>
  </si>
  <si>
    <t>502.17.25 - BENS E SERVIÇOS CORRENTES - Manutenção - Manutenção de outros imóveis</t>
  </si>
  <si>
    <t>502.17.26 - BENS E SERVIÇOS CORRENTES - Manutenção - Outra manutenção</t>
  </si>
  <si>
    <t>502.18.01 - BENS E SERVIÇOS CORRENTES - Serviços Públicos - Fornecimento de água</t>
  </si>
  <si>
    <t>502.18.02 - BENS E SERVIÇOS CORRENTES - Serviços Públicos - Fornecimento de eletricidade</t>
  </si>
  <si>
    <t>502.18.03 - BENS E SERVIÇOS CORRENTES - Serviços Públicos - Fornecimento de gás</t>
  </si>
  <si>
    <t>502.18.04 - BENS E SERVIÇOS CORRENTES - Serviços Públicos - Outros serviços públicos</t>
  </si>
  <si>
    <t>502.19.01 - BENS E SERVIÇOS CORRENTES - Comunicações - Comunicações fixas</t>
  </si>
  <si>
    <t>502.19.02 - BENS E SERVIÇOS CORRENTES - Comunicações - Comunicações móveis</t>
  </si>
  <si>
    <t>502.19.03 - BENS E SERVIÇOS CORRENTES - Comunicações - Comunicações de dados</t>
  </si>
  <si>
    <t>502.19.04 - BENS E SERVIÇOS CORRENTES - Comunicações - Comunicações em pacote</t>
  </si>
  <si>
    <t>502.19.05 - BENS E SERVIÇOS CORRENTES - Comunicações - Correios, encomendas e estafetas</t>
  </si>
  <si>
    <t>502.19.06 - BENS E SERVIÇOS CORRENTES - Comunicações - Outras comunicações</t>
  </si>
  <si>
    <t>502.20.01 - BENS E SERVIÇOS CORRENTES - Transportes - Transportes nacionais</t>
  </si>
  <si>
    <t>502.20.02 - BENS E SERVIÇOS CORRENTES - Transportes - Transportes internacionais</t>
  </si>
  <si>
    <t>502.21 - BENS E SERVIÇOS CORRENTES - Catering</t>
  </si>
  <si>
    <t>502.22.01 - BENS E SERVIÇOS CORRENTES - Assistência técnica e conservação - Assistência técnica</t>
  </si>
  <si>
    <t>502.22.02 - BENS E SERVIÇOS CORRENTES - Assistência técnica e conservação - Conservação</t>
  </si>
  <si>
    <t>502.23.01 - BENS E SERVIÇOS CORRENTES - Alojamento - Alojamento nacional</t>
  </si>
  <si>
    <t>502.23.02 - BENS E SERVIÇOS CORRENTES - Alojamento - Alojamento internacional</t>
  </si>
  <si>
    <t>502.24.01 - BENS E SERVIÇOS CORRENTES - Ajudas de custo - Ajudas de custo por deslocações em serviço no país</t>
  </si>
  <si>
    <t>502.24.02 - BENS E SERVIÇOS CORRENTES - Ajudas de custo - Ajudas de custo por deslocações em serviço ao estrangeiro</t>
  </si>
  <si>
    <t>502.24.03 - BENS E SERVIÇOS CORRENTES - Ajudas de custo - Ajudas de custo por deslocações ao estrangeiro para fins de estudo</t>
  </si>
  <si>
    <t>502.25.01 - BENS E SERVIÇOS CORRENTES - Serviços Profissionais - Estudos, pareceres, projetos e consultadoria</t>
  </si>
  <si>
    <t>502.25.02 - BENS E SERVIÇOS CORRENTES - Serviços Profissionais - Formação e palestras</t>
  </si>
  <si>
    <t>502.25.03 - BENS E SERVIÇOS CORRENTES - Serviços Profissionais - Serviços de tradução</t>
  </si>
  <si>
    <t>502.25.04 - BENS E SERVIÇOS CORRENTES - Serviços Profissionais - Informática</t>
  </si>
  <si>
    <t>502.25.05 - BENS E SERVIÇOS CORRENTES - Serviços Profissionais - Auditoria</t>
  </si>
  <si>
    <t>502.25.06 - BENS E SERVIÇOS CORRENTES - Serviços Profissionais - Publicidade</t>
  </si>
  <si>
    <t>502.25.07 - BENS E SERVIÇOS CORRENTES - Serviços Profissionais - Outros serviços profissionais</t>
  </si>
  <si>
    <t>502.26 - BENS E SERVIÇOS CORRENTES - Representação</t>
  </si>
  <si>
    <t>502.27 - BENS E SERVIÇOS CORRENTES - Publicação, cópia e impressão</t>
  </si>
  <si>
    <t>502.28.01 - BENS E SERVIÇOS CORRENTES - Serviços Financeiros - Depósitos, transferências e levantamentos</t>
  </si>
  <si>
    <t>502.28.02 - BENS E SERVIÇOS CORRENTES - Serviços Financeiros - Pagamentos</t>
  </si>
  <si>
    <t>502.28.03 - BENS E SERVIÇOS CORRENTES - Serviços Financeiros - Cobranças</t>
  </si>
  <si>
    <t>502.28.04 - BENS E SERVIÇOS CORRENTES - Serviços Financeiros - Outros serviços bancários</t>
  </si>
  <si>
    <t>502.28.05 - BENS E SERVIÇOS CORRENTES - Serviços Financeiros - Seguros</t>
  </si>
  <si>
    <t>502.28.06 - BENS E SERVIÇOS CORRENTES - Serviços Financeiros - Outros serviços financeiros</t>
  </si>
  <si>
    <t>502.29 - BENS E SERVIÇOS CORRENTES - Serviços de Saúde</t>
  </si>
  <si>
    <t>502.30 - BENS E SERVIÇOS CORRENTES - Outros serviços correntes</t>
  </si>
  <si>
    <t>502.31.01 - BENS E SERVIÇOS CORRENTES - Rendas - Arrendamento de bens imóveis de média e longa duração</t>
  </si>
  <si>
    <t>502.31.02 - BENS E SERVIÇOS CORRENTES - Rendas - Arrendamento de bens imóveis de curta duração</t>
  </si>
  <si>
    <t>502.31.03 - BENS E SERVIÇOS CORRENTES - Rendas - Aluguer de veículos</t>
  </si>
  <si>
    <t>502.31.04 - BENS E SERVIÇOS CORRENTES - Rendas - Aluguer de navios</t>
  </si>
  <si>
    <t>502.31.05 - BENS E SERVIÇOS CORRENTES - Rendas - Aluguer de aviões</t>
  </si>
  <si>
    <t>502.31.06 - BENS E SERVIÇOS CORRENTES - Rendas - Aluguer de material de informática</t>
  </si>
  <si>
    <t>502.31.07 - BENS E SERVIÇOS CORRENTES - Rendas - Aluguer de material de decoração</t>
  </si>
  <si>
    <t>502.31.08 - BENS E SERVIÇOS CORRENTES - Rendas - Aluguer de material pesado</t>
  </si>
  <si>
    <t>502.31.09 - BENS E SERVIÇOS CORRENTES - Rendas - Aluguer de ferramentas</t>
  </si>
  <si>
    <t>502.31.10 - BENS E SERVIÇOS CORRENTES - Rendas - Aluguer de outros bens móveis</t>
  </si>
  <si>
    <t>502.31.11 - BENS E SERVIÇOS CORRENTES - Rendas - Locação financeira</t>
  </si>
  <si>
    <t>502.31.12 - BENS E SERVIÇOS CORRENTES - Rendas - Outras rendas</t>
  </si>
  <si>
    <t>502.32.01 - BENS E SERVIÇOS CORRENTES - Ativos incorpóreos - Direitos de propriedade intelectual</t>
  </si>
  <si>
    <t>502.32.02 - BENS E SERVIÇOS CORRENTES - Ativos incorpóreos - Direitos de propriedade industrial</t>
  </si>
  <si>
    <t>502.32.03 - BENS E SERVIÇOS CORRENTES - Ativos incorpóreos - Outros ativos incorpóreos</t>
  </si>
  <si>
    <t>503.01.01.01 - TRANSFERÊNCIAS PÚBLICAS - Transferências correntes para o Setor Público Administrativo - Transferências correntes para a Administração Central -Para Ministério das Finanças</t>
  </si>
  <si>
    <t>503.01.01.02 - TRANSFERÊNCIAS PÚBLICAS - Transferências correntes para o Setor Público Administrativo - Transferências correntes para a Administração Central -Para Outros Ministérios e organismos</t>
  </si>
  <si>
    <t>503.01.02 - Transferências correntes para a Segurança Social</t>
  </si>
  <si>
    <t>503.01.02.01 - TRANSFERÊNCIAS PÚBLICAS - Transferências correntes para o Setor Público Administrativo - Transferências correntes para a Segurança Social -Entre regimes do perímetro OSS</t>
  </si>
  <si>
    <t>503.01.02.01 - Entre regimes do perímetro OSS</t>
  </si>
  <si>
    <t>503.01.02.02 - TRANSFERÊNCIAS PÚBLICAS - Transferências correntes para o Setor Público Administrativo - Transferências correntes para a Segurança Social -Do OSS para capitalização</t>
  </si>
  <si>
    <t>503.01.02.02 - Do OSS para capitalização</t>
  </si>
  <si>
    <t>503.01.03 - TRANSFERÊNCIAS PÚBLICAS - Transferências correntes para o Setor Público Administrativo -Transferências correntes para a RAEOA</t>
  </si>
  <si>
    <t>503.01.04 - TRANSFERÊNCIAS PÚBLICAS - Transferências correntes para o Setor Público Administrativo -Transferências correntes para os municípios</t>
  </si>
  <si>
    <t>503.02.01 - TRANSFERÊNCIAS PÚBLICAS - Transferências correntes para sociedades -Transferências correntes para empresas públicas</t>
  </si>
  <si>
    <t>503.02.02 - TRANSFERÊNCIAS PÚBLICAS - Transferências correntes para sociedades -Transferências correntes para sociedades financeiras</t>
  </si>
  <si>
    <t>503.02.03 - TRANSFERÊNCIAS PÚBLICAS - Transferências correntes para sociedades -Transferências correntes para sociedades não-financeiras</t>
  </si>
  <si>
    <t>503.03.01 - TRANSFERÊNCIAS PÚBLICAS - Transferências correntes para famílias -Pensão Social de invalidez do regime não contributivo</t>
  </si>
  <si>
    <t>503.03.02 - TRANSFERÊNCIAS PÚBLICAS - Transferências correntes para famílias -Pensão Social de velhice do regime não contributivo</t>
  </si>
  <si>
    <t>503.03.03 - TRANSFERÊNCIAS PÚBLICAS - Transferências correntes para famílias -Complemento de pensão de invalidez</t>
  </si>
  <si>
    <t>503.03.04 - TRANSFERÊNCIAS PÚBLICAS - Transferências correntes para famílias -Complemento de pensão de velhice</t>
  </si>
  <si>
    <t>503.03.05 - TRANSFERÊNCIAS PÚBLICAS - Transferências correntes para famílias -Complemento de pensão de sobrevivência</t>
  </si>
  <si>
    <t>503.03.06 - TRANSFERÊNCIAS PÚBLICAS - Transferências correntes para famílias -Outras prestações do regime não contributivo de segurança social</t>
  </si>
  <si>
    <t>503.03.07 - TRANSFERÊNCIAS PÚBLICAS - Transferências correntes para famílias -Pensão de invalidez do regime transitório</t>
  </si>
  <si>
    <t>503.03.08 - TRANSFERÊNCIAS PÚBLICAS - Transferências correntes para famílias -Pensão de velhice do regime transitório</t>
  </si>
  <si>
    <t>503.03.09 - TRANSFERÊNCIAS PÚBLICAS - Transferências correntes para famílias -Pensão de sobrevivência do regime transitório</t>
  </si>
  <si>
    <t>503.03.10 - TRANSFERÊNCIAS PÚBLICAS - Transferências correntes para famílias -Pensão de invalidez do regime geral</t>
  </si>
  <si>
    <t>503.03.11 - TRANSFERÊNCIAS PÚBLICAS - Transferências correntes para famílias -Pensão de velhice do regime geral</t>
  </si>
  <si>
    <t>503.03.12 - TRANSFERÊNCIAS PÚBLICAS - Transferências correntes para famílias -Pensão de sobrevivência do regime geral</t>
  </si>
  <si>
    <t>503.03.13 - TRANSFERÊNCIAS PÚBLICAS - Transferências correntes para famílias -Subsídio por risco clínico durante a gravidez</t>
  </si>
  <si>
    <t>503.03.14 - TRANSFERÊNCIAS PÚBLICAS - Transferências correntes para famílias -Subsídio por interrupção de gravidez</t>
  </si>
  <si>
    <t>503.03.15 - TRANSFERÊNCIAS PÚBLICAS - Transferências correntes para famílias -Subsídio por maternidade</t>
  </si>
  <si>
    <t>503.03.16 - TRANSFERÊNCIAS PÚBLICAS - Transferências correntes para famílias -Subsídio por paternidade</t>
  </si>
  <si>
    <t>503.03.17 - TRANSFERÊNCIAS PÚBLICAS - Transferências correntes para famílias -Subsídio por adoção</t>
  </si>
  <si>
    <t>503.03.18 - TRANSFERÊNCIAS PÚBLICAS - Transferências correntes para famílias -Subsídio por morte</t>
  </si>
  <si>
    <t>503.03.19 - TRANSFERÊNCIAS PÚBLICAS - Transferências correntes para famílias -Reembolso e ou apoio para despesas de funeral</t>
  </si>
  <si>
    <t>503.03.20 - TRANSFERÊNCIAS PÚBLICAS - Transferências correntes para famílias -Subsídio de doença</t>
  </si>
  <si>
    <t>503.03.21 - TRANSFERÊNCIAS PÚBLICAS - Transferências correntes para famílias -Subsídio de desemprego</t>
  </si>
  <si>
    <t>503.03.22 - TRANSFERÊNCIAS PÚBLICAS - Transferências correntes para famílias -Abono de família</t>
  </si>
  <si>
    <t>503.03.23 - TRANSFERÊNCIAS PÚBLICAS - Transferências correntes para famílias -Outras prestações do regime contributivo de segurança social</t>
  </si>
  <si>
    <t>503.03.24 - TRANSFERÊNCIAS PÚBLICAS - Transferências correntes para famílias -Pensão para ex-titulares de cargos políticos</t>
  </si>
  <si>
    <t>503.03.25 - TRANSFERÊNCIAS PÚBLICAS - Transferências correntes para famílias -Pensão dos combatentes e Mártires da Libertação Nacional</t>
  </si>
  <si>
    <t>503.03.26 - TRANSFERÊNCIAS PÚBLICAS - Transferências correntes para famílias -Bolsa da Mãe</t>
  </si>
  <si>
    <t>503.03.27 - TRANSFERÊNCIAS PÚBLICAS - Transferências correntes para famílias -Bolsas de estudo aos filhos dos Combatentes e Mártires da Libertação Nacional</t>
  </si>
  <si>
    <t>503.03.28 - TRANSFERÊNCIAS PÚBLICAS - Transferências correntes para famílias -Outras bolsas de estudo no território nacional</t>
  </si>
  <si>
    <t>503.03.29 - TRANSFERÊNCIAS PÚBLICAS - Transferências correntes para famílias -Outras bolsas de estudo no estrangeiro</t>
  </si>
  <si>
    <t>503.03.30 - TRANSFERÊNCIAS PÚBLICAS - Transferências correntes para famílias -Outras prestações sociais</t>
  </si>
  <si>
    <t>503.03.31 - TRANSFERÊNCIAS PÚBLICAS - Transferências correntes para famílias -Outras transferências correntes para famílias</t>
  </si>
  <si>
    <t>503.04.01 - TRANSFERÊNCIAS PÚBLICAS - Transferências correntes para instituições sem fins lucrativos -Transferências correntes para fundações públicas</t>
  </si>
  <si>
    <t>503.04.02 - TRANSFERÊNCIAS PÚBLICAS - Transferências correntes para instituições sem fins lucrativos -Transferências correntes para associações públicas</t>
  </si>
  <si>
    <t>503.04.03 - TRANSFERÊNCIAS PÚBLICAS - Transferências correntes para instituições sem fins lucrativos -Outras transferências correntes para instituições sem fins lucrativos</t>
  </si>
  <si>
    <t>503.05.01 - TRANSFERÊNCIAS PÚBLICAS - Transferências correntes para o exterior -Transferências correntes para países terceiros</t>
  </si>
  <si>
    <t>503.05.02 - TRANSFERÊNCIAS PÚBLICAS - Transferências correntes para o exterior -Transferências correntes para organizações internacionais</t>
  </si>
  <si>
    <t>503.05.03 - TRANSFERÊNCIAS PÚBLICAS - Transferências correntes para o exterior -Outras transferências correntes para o exterior</t>
  </si>
  <si>
    <t>503.06.01 - TRANSFERÊNCIAS PÚBLICAS - Juros -Juros e taxa de compromisso do Banco Mundial</t>
  </si>
  <si>
    <t>503.06.02 - TRANSFERÊNCIAS PÚBLICAS - Juros -Juros e taxa de compromisso do ADB</t>
  </si>
  <si>
    <t>503.06.03 - TRANSFERÊNCIAS PÚBLICAS - Juros -Juros e taxa de compromisso da JICA</t>
  </si>
  <si>
    <t>503.06.04 - TRANSFERÊNCIAS PÚBLICAS - Juros -Juros e taxa de compromisso do AIFFP</t>
  </si>
  <si>
    <t>503.06.05 - TRANSFERÊNCIAS PÚBLICAS - Juros -Juros de títulos do Tesouro</t>
  </si>
  <si>
    <t>503.06.06 - TRANSFERÊNCIAS PÚBLICAS - Juros -Outros juros da dívida pública</t>
  </si>
  <si>
    <t>503.06.07 - TRANSFERÊNCIAS PÚBLICAS - Juros -Outros juros</t>
  </si>
  <si>
    <t>503.07 - TRANSFERÊNCIAS PÚBLICAS - Impostos</t>
  </si>
  <si>
    <t>503.08 - TRANSFERÊNCIAS PÚBLICAS - Taxas</t>
  </si>
  <si>
    <t>503.09 - TRANSFERÊNCIAS PÚBLICAS - Coimas e outras penalidades</t>
  </si>
  <si>
    <t>503.10 - TRANSFERÊNCIAS PÚBLICAS - Restituições não abatidas na receita</t>
  </si>
  <si>
    <t>503.11.01.01.01 - TRANSFERÊNCIAS PÚBLICAS - Transferências de Capital - Transferências para o Setor Público Administrativo - Transferências para a Administração Central - Para Ministério das Finanças</t>
  </si>
  <si>
    <t>503.11.01.01.02 - TRANSFERÊNCIAS PÚBLICAS - Transferências de Capital - Transferências para o Setor Público Administrativo - Transferências para a Administração Central - Para Outros Ministérios e organismos</t>
  </si>
  <si>
    <t>503.11.01.02 - Transferências para a Segurança Social</t>
  </si>
  <si>
    <t>503.11.01.02.01 - TRANSFERÊNCIAS PÚBLICAS - Transferências de Capital - Transferências para o Setor Público Administrativo - Transferências para a Segurança Social  - Entre regimes do perímetro OSS</t>
  </si>
  <si>
    <t>503.11.01.02.01 - Entre regimes do perímetro OSS</t>
  </si>
  <si>
    <t>503.11.01.02.02 - TRANSFERÊNCIAS PÚBLICAS - Transferências de Capital - Transferências para o Setor Público Administrativo - Transferências para a Segurança Social  - Do OSS para capitalização</t>
  </si>
  <si>
    <t>503.11.01.02.02 - Do OSS para capitalização</t>
  </si>
  <si>
    <t>503.11.01.03 - TRANSFERÊNCIAS PÚBLICAS - Transferências de Capital - Transferências para o Setor Público Administrativo - Transferências para a RAEOA</t>
  </si>
  <si>
    <t>503.11.01.04 - TRANSFERÊNCIAS PÚBLICAS - Transferências de Capital - Transferências para o Setor Público Administrativo - Transferências para os municípios</t>
  </si>
  <si>
    <t>503.11.02 - TRANSFERÊNCIAS PÚBLICAS - Transferências de Capital - Transferências para sociedades</t>
  </si>
  <si>
    <t>503.11.03 - TRANSFERÊNCIAS PÚBLICAS - Transferências de Capital - Transferências para famílias</t>
  </si>
  <si>
    <t>503.11.04 - TRANSFERÊNCIAS PÚBLICAS - Transferências de Capital - Transferências para instituições sem fins lucrativos</t>
  </si>
  <si>
    <t>503.11.05 - TRANSFERÊNCIAS PÚBLICAS - Transferências de Capital - Transferências para o exterior</t>
  </si>
  <si>
    <t>503.11.06 - TRANSFERÊNCIAS PÚBLICAS - Transferências de Capital - Outras transferências de capital</t>
  </si>
  <si>
    <t>503.12.01 - TRANSFERÊNCIAS PÚBLICAS - Ativos Financeiros - Concessão de empréstimos</t>
  </si>
  <si>
    <t>503.12.02 - TRANSFERÊNCIAS PÚBLICAS - Ativos Financeiros - Aquisição de títulos</t>
  </si>
  <si>
    <t>503.12.03 - TRANSFERÊNCIAS PÚBLICAS - Ativos Financeiros - Outros ativos financeiros</t>
  </si>
  <si>
    <t>503.13.01 - TRANSFERÊNCIAS PÚBLICAS - Passivos Financeiros - Amortização de empréstimos do Banco Mundial</t>
  </si>
  <si>
    <t>503.13.02 - TRANSFERÊNCIAS PÚBLICAS - Passivos Financeiros - Amortização de empréstimos do ADB</t>
  </si>
  <si>
    <t>503.13.03 - TRANSFERÊNCIAS PÚBLICAS - Passivos Financeiros - Amortização de empréstimos da JICA</t>
  </si>
  <si>
    <t>503.13.04 - TRANSFERÊNCIAS PÚBLICAS - Passivos Financeiros - Amortização de empréstimos do AIFFP</t>
  </si>
  <si>
    <t>503.13.05 - TRANSFERÊNCIAS PÚBLICAS - Passivos Financeiros - Amortização de títulos do Tesouro</t>
  </si>
  <si>
    <t>503.13.06 - TRANSFERÊNCIAS PÚBLICAS - Passivos Financeiros - Outros passivos financeiros</t>
  </si>
  <si>
    <t>504.01.01 - CAPITAL MENOR - Aquisição de bens de capital móvel - Veículos civis</t>
  </si>
  <si>
    <t>504.01.02 - CAPITAL MENOR - Aquisição de bens de capital móvel - Veículos militares</t>
  </si>
  <si>
    <t>504.01.03 - CAPITAL MENOR - Aquisição de bens de capital móvel - Equipamento de informática</t>
  </si>
  <si>
    <t>504.01.04 - CAPITAL MENOR - Aquisição de bens de capital móvel - Equipamento de água</t>
  </si>
  <si>
    <t>504.01.05 - CAPITAL MENOR - Aquisição de bens de capital móvel - Equipamento de eletricidade</t>
  </si>
  <si>
    <t>504.01.06 - CAPITAL MENOR - Aquisição de bens de capital móvel - Equipamento de comunicações</t>
  </si>
  <si>
    <t>504.01.07 - CAPITAL MENOR - Aquisição de bens de capital móvel - Equipamento de segurança</t>
  </si>
  <si>
    <t>504.01.08 - CAPITAL MENOR - Aquisição de bens de capital móvel - Equipamento de construção</t>
  </si>
  <si>
    <t>504.01.09 - CAPITAL MENOR - Aquisição de bens de capital móvel - Equipamento de transporte</t>
  </si>
  <si>
    <t>504.01.10 - CAPITAL MENOR - Aquisição de bens de capital móvel - Geradores</t>
  </si>
  <si>
    <t>504.01.11 - CAPITAL MENOR - Aquisição de bens de capital móvel - Equipamento de ar condicionado</t>
  </si>
  <si>
    <t>504.01.12 - CAPITAL MENOR - Aquisição de bens de capital móvel - Outro equipamento</t>
  </si>
  <si>
    <t>504.01.13 - CAPITAL MENOR - Aquisição de bens de capital móvel - Mobiliário</t>
  </si>
  <si>
    <t>504.01.14 - CAPITAL MENOR - Aquisição de bens de capital móvel - Outros bens de capital móvel</t>
  </si>
  <si>
    <t>504.02 - CAPITAL MENOR - Aquisição de serviços de capital</t>
  </si>
  <si>
    <t>505.01.01 - CAPITAL DE DESENVOLVIMENTO - Aquisição de bens de capital fixo - Terrenos</t>
  </si>
  <si>
    <t>505.01.02 - CAPITAL DE DESENVOLVIMENTO - Aquisição de bens de capital fixo - Edifícios administrativos</t>
  </si>
  <si>
    <t>505.01.03 - CAPITAL DE DESENVOLVIMENTO - Aquisição de bens de capital fixo - Edifícios residenciais</t>
  </si>
  <si>
    <t>505.01.04 - CAPITAL DE DESENVOLVIMENTO - Aquisição de bens de capital fixo - Edifícios escolares e universitários</t>
  </si>
  <si>
    <t>505.01.05 - CAPITAL DE DESENVOLVIMENTO - Aquisição de bens de capital fixo - Edifícios médico-hospitalares</t>
  </si>
  <si>
    <t>505.01.06 - CAPITAL DE DESENVOLVIMENTO - Aquisição de bens de capital fixo - Armazéns</t>
  </si>
  <si>
    <t>505.01.07 - CAPITAL DE DESENVOLVIMENTO - Aquisição de bens de capital fixo - Outros edifícios</t>
  </si>
  <si>
    <t>505.01.08 - CAPITAL DE DESENVOLVIMENTO - Aquisição de bens de capital fixo - Estradas</t>
  </si>
  <si>
    <t>505.01.09 - CAPITAL DE DESENVOLVIMENTO - Aquisição de bens de capital fixo - Pontes</t>
  </si>
  <si>
    <t>505.01.10 - CAPITAL DE DESENVOLVIMENTO - Aquisição de bens de capital fixo - Portos</t>
  </si>
  <si>
    <t>505.01.11 - CAPITAL DE DESENVOLVIMENTO - Aquisição de bens de capital fixo - Aeroportos</t>
  </si>
  <si>
    <t>505.01.12 - CAPITAL DE DESENVOLVIMENTO - Aquisição de bens de capital fixo - Infraestruturas agrícolas e de irrigação</t>
  </si>
  <si>
    <t>505.01.13 - CAPITAL DE DESENVOLVIMENTO - Aquisição de bens de capital fixo - Infraestruturas de comunicações</t>
  </si>
  <si>
    <t>505.01.14 - CAPITAL DE DESENVOLVIMENTO - Aquisição de bens de capital fixo - Infraestruturas energéticas</t>
  </si>
  <si>
    <t>505.01.15 - CAPITAL DE DESENVOLVIMENTO - Aquisição de bens de capital fixo - Infraestruturas de água e saneamento</t>
  </si>
  <si>
    <t>505.01.16 - CAPITAL DE DESENVOLVIMENTO - Aquisição de bens de capital fixo - Infraestruturas turísticas, de recreio e desporto</t>
  </si>
  <si>
    <t>505.01.17 - CAPITAL DE DESENVOLVIMENTO - Aquisição de bens de capital fixo - Outras infraestruturas</t>
  </si>
  <si>
    <t>505.01.18 - CAPITAL DE DESENVOLVIMENTO - Aquisição de bens de capital fixo - Outros imóveis</t>
  </si>
  <si>
    <t>506.01 - OPERAÇÕES EXTRAORÇAMENTAIS - Adiantamentos de caixa</t>
  </si>
  <si>
    <t>506.02.01 - OPERAÇÕES EXTRAORÇAMENTAIS - Transferência de impostos e cotizações retidos - Transferência para a Autoridade Tributária de impostos retidos</t>
  </si>
  <si>
    <t>506.02.02 - OPERAÇÕES EXTRAORÇAMENTAIS - Transferência de impostos e cotizações retidos - Transferência para a Segurança Social de cotizações retidas</t>
  </si>
  <si>
    <t>506.02.03 - OPERAÇÕES EXTRAORÇAMENTAIS - Transferência de impostos e cotizações retidos - Outras transferências de impostos e cotizações retidos</t>
  </si>
  <si>
    <t>506.03.01 - OPERAÇÕES EXTRAORÇAMENTAIS - Devolução de cauções e garantias - Devolução de caução de execução</t>
  </si>
  <si>
    <t>506.03.02 - OPERAÇÕES EXTRAORÇAMENTAIS - Devolução de cauções e garantias - Devolução de caução de qualidade</t>
  </si>
  <si>
    <t>506.03.03 - OPERAÇÕES EXTRAORÇAMENTAIS - Devolução de cauções e garantias - Devolução de garantia de pagamento adiantado</t>
  </si>
  <si>
    <t>506.04 - OPERAÇÕES EXTRAORÇAMENTAIS - Outras operações extraorçamentais</t>
  </si>
  <si>
    <t>TOTAL DESPESA CONSOLIDADA</t>
  </si>
  <si>
    <t>Atividade A040202 - Contribuições para o Regime de Capitalização</t>
  </si>
  <si>
    <t>ATIVIDADE - CONTRIBUIÇÕES PARA O REGIME DE CAPITALIZAÇÃO</t>
  </si>
  <si>
    <r>
      <rPr>
        <b/>
        <sz val="12"/>
        <color theme="1"/>
        <rFont val="Calibri"/>
        <family val="2"/>
      </rPr>
      <t>A06 - Administração do INSS</t>
    </r>
    <r>
      <rPr>
        <b/>
        <sz val="12"/>
        <color rgb="FFFF0000"/>
        <rFont val="Calibri"/>
        <family val="2"/>
      </rPr>
      <t>*</t>
    </r>
  </si>
  <si>
    <t>A06 - Administração do INSS</t>
  </si>
  <si>
    <r>
      <rPr>
        <sz val="9"/>
        <color rgb="FFFF0000"/>
        <rFont val="Calibri"/>
        <family val="2"/>
      </rPr>
      <t>*</t>
    </r>
    <r>
      <rPr>
        <sz val="9"/>
        <color theme="1"/>
        <rFont val="Calibri"/>
        <family val="2"/>
      </rPr>
      <t xml:space="preserve"> Inclui as despesas com a categoria "salários e vencimentos" do FRSS, nos termos da lei</t>
    </r>
  </si>
  <si>
    <t>A0602- Investimento Estratégico do INSS</t>
  </si>
  <si>
    <t>A060201 - Construção do Sistema de Informação da Segurança Social</t>
  </si>
  <si>
    <t>A060202 - Apetrechamento das instalações do INSS</t>
  </si>
  <si>
    <t>ATIVIDADE - APETRECHAMENTO DAS INSTALAÇÕES DO INSS</t>
  </si>
  <si>
    <t>ATIVIDADE - CONSTRUÇÃO DO NOVO EDIFÍCIO DA SEGURANÇA SOCIAL</t>
  </si>
  <si>
    <t>A07 - Administração do FRSS</t>
  </si>
  <si>
    <t>A0701 - Coordenação, gestão e funcionamento do FRSS</t>
  </si>
  <si>
    <t>A070101 -Funcionamento de todos os serviços e unidades orgânicas do Instituto FRSS</t>
  </si>
  <si>
    <t>ATIVIDADE - FUNCIONAMENTO DE TODOS OS SERVIÇOS E UNIDADES ORGÂNICAS DO INSTITUTO FRSS</t>
  </si>
  <si>
    <t>A070102 -Capacitação técnica e especializada dos Recursos Humanos do FRSS</t>
  </si>
  <si>
    <t>ATIVIDADE - CAPACITAÇÃO TÉCNICA E ESPECIALIZADA DOS RH DO FRSS</t>
  </si>
  <si>
    <t>A0702- Investimento Estratégico do FRSS</t>
  </si>
  <si>
    <t>A070201 - Instalação e Aquisição de Equipamentos no FRSS</t>
  </si>
  <si>
    <t>ATIVIDADE - INSTALAÇÃO E AQUISIÇÃO DE EQUIPAMENTOS NO FRSS</t>
  </si>
  <si>
    <t>404.02.02 - Transferências correntes da Segurança Social</t>
  </si>
  <si>
    <t>404.02.02.01 - Entre regimes do perímetro OSS</t>
  </si>
  <si>
    <t>404.02.02.02 - Do OSS para capitalização</t>
  </si>
  <si>
    <t>404.09.02 - Transferências de capital da Segurança Social</t>
  </si>
  <si>
    <t>404.09.02.01 - Entre regimes do perímetro OSS</t>
  </si>
  <si>
    <t>404.09.02.02 - Do OSS para capitalização</t>
  </si>
  <si>
    <t>Entre regimes do perímetro OSS</t>
  </si>
  <si>
    <t>Do OSS para capitalização</t>
  </si>
  <si>
    <t>A060203 - Construção  do Novo Edificio  da Segurança Social</t>
  </si>
  <si>
    <t>janeiro a junho</t>
  </si>
  <si>
    <t>Administração (BNU)</t>
  </si>
  <si>
    <t>SÍNTESE EXECUÇÃO ORÇAMENTAL</t>
  </si>
  <si>
    <t>ORÇAMENTO DA SEGURANÇA SOCIAL (OSS)</t>
  </si>
  <si>
    <t>Programa/Categoria</t>
  </si>
  <si>
    <t>106 Instituto Nacional de Segurança Social</t>
  </si>
  <si>
    <t>501 Salários e Vencimentos</t>
  </si>
  <si>
    <t>502 Bens e Serviços Correntes</t>
  </si>
  <si>
    <t>503 Transferências Públicas</t>
  </si>
  <si>
    <t>504 Capital Menor</t>
  </si>
  <si>
    <t>505 Capital de Desenvolvimento</t>
  </si>
  <si>
    <t>107 Fundo de Reserva da Segurança Social</t>
  </si>
  <si>
    <t>Total</t>
  </si>
  <si>
    <t>Orçamento Final</t>
  </si>
  <si>
    <t>Execução Atual</t>
  </si>
  <si>
    <t>% Execução</t>
  </si>
  <si>
    <t>Categoria</t>
  </si>
  <si>
    <t>SETEMBRO 2026</t>
  </si>
  <si>
    <t>janeiro a setembro</t>
  </si>
  <si>
    <t>SETEMBRO</t>
  </si>
  <si>
    <t>Saldos Bancários - SETEMBRO 2026 - TESOURARIA DA SEGURANÇA SOCIAL</t>
  </si>
  <si>
    <t>341,05 = Valores de despesa extra registados no BNU e BRI (vermelho) como saídas (porque não constam da nossa carta) no total de 101,05 + 240 relativo a duplicado pago pelo BNCTL que será devolvido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</si>
</sst>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-&quot;$&quot;* #,##0.00_-;\-&quot;$&quot;* #,##0.00_-;_-&quot;$&quot;* &quot;-&quot;??_-;_-@_-"/>
  </numFmts>
  <fonts count="1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Arial"/>
      <family val="2"/>
    </font>
    <font>
      <b/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9"/>
      <color theme="0"/>
      <name val="Calibri"/>
      <family val="2"/>
    </font>
    <font>
      <sz val="9"/>
      <color theme="0"/>
      <name val="Calibri"/>
      <family val="2"/>
    </font>
    <font>
      <i/>
      <sz val="9"/>
      <color theme="1"/>
      <name val="Calibri"/>
      <family val="2"/>
    </font>
    <font>
      <b/>
      <sz val="12"/>
      <color rgb="FFFF0000"/>
      <name val="Calibri"/>
      <family val="2"/>
    </font>
    <font>
      <sz val="9"/>
      <color rgb="FFFF0000"/>
      <name val="Calibri"/>
      <family val="2"/>
    </font>
    <font>
      <sz val="9"/>
      <color rgb="FFFF0000"/>
      <name val="Calibri"/>
      <family val="2"/>
      <scheme val="minor"/>
    </font>
    <font>
      <sz val="9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21538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/>
        <bgColor theme="9"/>
      </patternFill>
    </fill>
    <fill>
      <patternFill patternType="solid">
        <fgColor theme="6"/>
        <bgColor theme="6"/>
      </patternFill>
    </fill>
    <fill>
      <patternFill patternType="solid">
        <fgColor rgb="FFDADADA"/>
        <bgColor rgb="FFDADADA"/>
      </patternFill>
    </fill>
    <fill>
      <patternFill patternType="solid">
        <fgColor rgb="FFE2EFD9"/>
        <bgColor rgb="FFE2EFD9"/>
      </patternFill>
    </fill>
    <fill>
      <patternFill patternType="solid">
        <fgColor rgb="FFFEF2CB"/>
        <bgColor rgb="FFFEF2CB"/>
      </patternFill>
    </fill>
    <fill>
      <patternFill patternType="solid">
        <fgColor rgb="FF385623"/>
        <bgColor rgb="FF385623"/>
      </patternFill>
    </fill>
    <fill>
      <patternFill patternType="solid">
        <fgColor rgb="FFC5E0B3"/>
        <bgColor rgb="FFC5E0B3"/>
      </patternFill>
    </fill>
    <fill>
      <patternFill patternType="solid">
        <fgColor theme="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indexed="64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/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auto="1"/>
      </top>
      <bottom style="thick">
        <color auto="1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indexed="64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10">
    <xf numFmtId="0" fontId="0" fillId="0" borderId="0"/>
    <xf numFmtId="0" fontId="68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76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164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166" fontId="46" fillId="0" borderId="0" applyFont="0" applyFill="0" applyBorder="0" applyAlignment="0" applyProtection="0"/>
    <xf numFmtId="166" fontId="68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164" fontId="45" fillId="0" borderId="0" applyFont="0" applyFill="0" applyBorder="0" applyAlignment="0" applyProtection="0"/>
    <xf numFmtId="0" fontId="45" fillId="0" borderId="0"/>
    <xf numFmtId="43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45" fillId="0" borderId="0" applyFont="0" applyFill="0" applyBorder="0" applyAlignment="0" applyProtection="0"/>
    <xf numFmtId="166" fontId="45" fillId="0" borderId="0" applyFont="0" applyFill="0" applyBorder="0" applyAlignment="0" applyProtection="0"/>
    <xf numFmtId="0" fontId="45" fillId="0" borderId="0"/>
    <xf numFmtId="0" fontId="45" fillId="0" borderId="0"/>
    <xf numFmtId="0" fontId="68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9" fontId="45" fillId="0" borderId="0" applyFont="0" applyFill="0" applyBorder="0" applyAlignment="0" applyProtection="0"/>
    <xf numFmtId="0" fontId="84" fillId="0" borderId="4" applyNumberFormat="0" applyFill="0" applyAlignment="0" applyProtection="0"/>
    <xf numFmtId="0" fontId="84" fillId="0" borderId="4" applyNumberFormat="0" applyFill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0" fontId="44" fillId="0" borderId="0"/>
    <xf numFmtId="164" fontId="43" fillId="0" borderId="0" applyFont="0" applyFill="0" applyBorder="0" applyAlignment="0" applyProtection="0"/>
    <xf numFmtId="0" fontId="43" fillId="0" borderId="0"/>
    <xf numFmtId="0" fontId="42" fillId="0" borderId="0"/>
    <xf numFmtId="164" fontId="42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41" fillId="0" borderId="0"/>
    <xf numFmtId="164" fontId="40" fillId="0" borderId="0" applyFont="0" applyFill="0" applyBorder="0" applyAlignment="0" applyProtection="0"/>
    <xf numFmtId="0" fontId="40" fillId="0" borderId="0"/>
    <xf numFmtId="164" fontId="39" fillId="0" borderId="0" applyFont="0" applyFill="0" applyBorder="0" applyAlignment="0" applyProtection="0"/>
    <xf numFmtId="0" fontId="39" fillId="0" borderId="0"/>
    <xf numFmtId="164" fontId="38" fillId="0" borderId="0" applyFont="0" applyFill="0" applyBorder="0" applyAlignment="0" applyProtection="0"/>
    <xf numFmtId="0" fontId="38" fillId="0" borderId="0"/>
    <xf numFmtId="0" fontId="37" fillId="0" borderId="0"/>
    <xf numFmtId="164" fontId="37" fillId="0" borderId="0" applyFont="0" applyFill="0" applyBorder="0" applyAlignment="0" applyProtection="0"/>
    <xf numFmtId="0" fontId="37" fillId="0" borderId="0"/>
    <xf numFmtId="0" fontId="36" fillId="0" borderId="0"/>
    <xf numFmtId="0" fontId="36" fillId="0" borderId="0"/>
    <xf numFmtId="164" fontId="36" fillId="0" borderId="0" applyFont="0" applyFill="0" applyBorder="0" applyAlignment="0" applyProtection="0"/>
    <xf numFmtId="0" fontId="35" fillId="0" borderId="0"/>
    <xf numFmtId="0" fontId="35" fillId="0" borderId="0"/>
    <xf numFmtId="164" fontId="35" fillId="0" borderId="0" applyFon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31" fillId="0" borderId="0"/>
    <xf numFmtId="164" fontId="31" fillId="0" borderId="0" applyFont="0" applyFill="0" applyBorder="0" applyAlignment="0" applyProtection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30" fillId="0" borderId="0"/>
    <xf numFmtId="0" fontId="29" fillId="0" borderId="0"/>
    <xf numFmtId="164" fontId="29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7" fillId="0" borderId="0"/>
    <xf numFmtId="164" fontId="27" fillId="0" borderId="0" applyFont="0" applyFill="0" applyBorder="0" applyAlignment="0" applyProtection="0"/>
    <xf numFmtId="0" fontId="27" fillId="0" borderId="0"/>
    <xf numFmtId="0" fontId="26" fillId="0" borderId="0"/>
    <xf numFmtId="164" fontId="26" fillId="0" borderId="0" applyFont="0" applyFill="0" applyBorder="0" applyAlignment="0" applyProtection="0"/>
    <xf numFmtId="0" fontId="26" fillId="0" borderId="0"/>
    <xf numFmtId="0" fontId="25" fillId="0" borderId="0"/>
    <xf numFmtId="164" fontId="25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0" fontId="24" fillId="0" borderId="0"/>
    <xf numFmtId="0" fontId="23" fillId="0" borderId="0"/>
    <xf numFmtId="164" fontId="23" fillId="0" borderId="0" applyFont="0" applyFill="0" applyBorder="0" applyAlignment="0" applyProtection="0"/>
    <xf numFmtId="0" fontId="23" fillId="0" borderId="0"/>
    <xf numFmtId="0" fontId="22" fillId="0" borderId="0"/>
    <xf numFmtId="164" fontId="22" fillId="0" borderId="0" applyFont="0" applyFill="0" applyBorder="0" applyAlignment="0" applyProtection="0"/>
    <xf numFmtId="0" fontId="22" fillId="0" borderId="0"/>
    <xf numFmtId="0" fontId="21" fillId="0" borderId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164" fontId="20" fillId="0" borderId="0" applyFont="0" applyFill="0" applyBorder="0" applyAlignment="0" applyProtection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0" fontId="18" fillId="0" borderId="0"/>
    <xf numFmtId="164" fontId="18" fillId="0" borderId="0" applyFont="0" applyFill="0" applyBorder="0" applyAlignment="0" applyProtection="0"/>
    <xf numFmtId="0" fontId="18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5" fillId="0" borderId="0"/>
    <xf numFmtId="164" fontId="15" fillId="0" borderId="0" applyFont="0" applyFill="0" applyBorder="0" applyAlignment="0" applyProtection="0"/>
    <xf numFmtId="0" fontId="15" fillId="0" borderId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96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109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11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10">
    <xf numFmtId="0" fontId="0" fillId="0" borderId="0" xfId="0"/>
    <xf numFmtId="4" fontId="0" fillId="0" borderId="0" xfId="0" applyNumberFormat="1" applyAlignment="1">
      <alignment vertical="center" wrapText="1"/>
    </xf>
    <xf numFmtId="4" fontId="71" fillId="0" borderId="0" xfId="0" applyNumberFormat="1" applyFont="1" applyAlignment="1">
      <alignment vertical="center"/>
    </xf>
    <xf numFmtId="4" fontId="72" fillId="0" borderId="0" xfId="0" applyNumberFormat="1" applyFont="1" applyAlignment="1">
      <alignment vertical="center"/>
    </xf>
    <xf numFmtId="0" fontId="74" fillId="0" borderId="0" xfId="1" applyFont="1" applyAlignment="1">
      <alignment vertical="center" wrapText="1"/>
    </xf>
    <xf numFmtId="10" fontId="74" fillId="0" borderId="0" xfId="1" applyNumberFormat="1" applyFont="1" applyAlignment="1">
      <alignment vertical="center" wrapText="1"/>
    </xf>
    <xf numFmtId="4" fontId="74" fillId="0" borderId="0" xfId="1" applyNumberFormat="1" applyFont="1" applyAlignment="1">
      <alignment vertical="center" wrapText="1"/>
    </xf>
    <xf numFmtId="4" fontId="74" fillId="0" borderId="0" xfId="1" applyNumberFormat="1" applyFont="1" applyAlignment="1">
      <alignment horizontal="right" vertical="center" wrapText="1"/>
    </xf>
    <xf numFmtId="2" fontId="75" fillId="0" borderId="0" xfId="1" applyNumberFormat="1" applyFont="1" applyAlignment="1">
      <alignment vertical="center" wrapText="1" readingOrder="1"/>
    </xf>
    <xf numFmtId="1" fontId="75" fillId="0" borderId="0" xfId="1" applyNumberFormat="1" applyFont="1" applyAlignment="1">
      <alignment vertical="center" wrapText="1" readingOrder="1"/>
    </xf>
    <xf numFmtId="1" fontId="75" fillId="0" borderId="0" xfId="1" applyNumberFormat="1" applyFont="1" applyAlignment="1">
      <alignment horizontal="center" vertical="center" wrapText="1" readingOrder="1"/>
    </xf>
    <xf numFmtId="4" fontId="71" fillId="0" borderId="0" xfId="0" applyNumberFormat="1" applyFont="1" applyAlignment="1">
      <alignment vertical="center" wrapText="1"/>
    </xf>
    <xf numFmtId="4" fontId="83" fillId="0" borderId="0" xfId="0" applyNumberFormat="1" applyFont="1" applyAlignment="1">
      <alignment horizontal="left" vertical="center"/>
    </xf>
    <xf numFmtId="1" fontId="0" fillId="0" borderId="0" xfId="0" applyNumberFormat="1" applyAlignment="1">
      <alignment vertical="center" wrapText="1"/>
    </xf>
    <xf numFmtId="0" fontId="69" fillId="0" borderId="0" xfId="1" applyFont="1" applyAlignment="1">
      <alignment vertical="center" wrapText="1"/>
    </xf>
    <xf numFmtId="10" fontId="69" fillId="0" borderId="0" xfId="1" applyNumberFormat="1" applyFont="1" applyAlignment="1">
      <alignment vertical="center" wrapText="1"/>
    </xf>
    <xf numFmtId="0" fontId="69" fillId="0" borderId="0" xfId="90" applyFont="1" applyAlignment="1">
      <alignment vertical="center" wrapText="1"/>
    </xf>
    <xf numFmtId="0" fontId="87" fillId="0" borderId="0" xfId="90" applyFont="1" applyAlignment="1">
      <alignment horizontal="center" vertical="center" wrapText="1"/>
    </xf>
    <xf numFmtId="4" fontId="70" fillId="10" borderId="8" xfId="90" applyNumberFormat="1" applyFont="1" applyFill="1" applyBorder="1" applyAlignment="1">
      <alignment horizontal="right" vertical="center" wrapText="1"/>
    </xf>
    <xf numFmtId="4" fontId="70" fillId="0" borderId="8" xfId="90" applyNumberFormat="1" applyFont="1" applyBorder="1" applyAlignment="1">
      <alignment vertical="center" wrapText="1"/>
    </xf>
    <xf numFmtId="4" fontId="69" fillId="0" borderId="8" xfId="90" applyNumberFormat="1" applyFont="1" applyBorder="1" applyAlignment="1">
      <alignment vertical="center" wrapText="1"/>
    </xf>
    <xf numFmtId="0" fontId="81" fillId="0" borderId="0" xfId="90" applyFont="1" applyAlignment="1">
      <alignment vertical="center" wrapText="1"/>
    </xf>
    <xf numFmtId="0" fontId="70" fillId="0" borderId="0" xfId="90" applyFont="1" applyAlignment="1">
      <alignment vertical="center" wrapText="1"/>
    </xf>
    <xf numFmtId="4" fontId="81" fillId="15" borderId="8" xfId="90" applyNumberFormat="1" applyFont="1" applyFill="1" applyBorder="1" applyAlignment="1">
      <alignment vertical="center" wrapText="1"/>
    </xf>
    <xf numFmtId="4" fontId="69" fillId="0" borderId="0" xfId="90" applyNumberFormat="1" applyFont="1" applyAlignment="1">
      <alignment vertical="center" wrapText="1"/>
    </xf>
    <xf numFmtId="4" fontId="70" fillId="0" borderId="8" xfId="90" applyNumberFormat="1" applyFont="1" applyBorder="1" applyAlignment="1">
      <alignment horizontal="right" vertical="center" wrapText="1"/>
    </xf>
    <xf numFmtId="4" fontId="70" fillId="10" borderId="8" xfId="90" applyNumberFormat="1" applyFont="1" applyFill="1" applyBorder="1" applyAlignment="1">
      <alignment vertical="center" wrapText="1"/>
    </xf>
    <xf numFmtId="4" fontId="70" fillId="19" borderId="8" xfId="90" applyNumberFormat="1" applyFont="1" applyFill="1" applyBorder="1" applyAlignment="1">
      <alignment vertical="center" wrapText="1"/>
    </xf>
    <xf numFmtId="4" fontId="70" fillId="11" borderId="8" xfId="90" applyNumberFormat="1" applyFont="1" applyFill="1" applyBorder="1" applyAlignment="1">
      <alignment vertical="center" wrapText="1"/>
    </xf>
    <xf numFmtId="10" fontId="70" fillId="10" borderId="8" xfId="90" applyNumberFormat="1" applyFont="1" applyFill="1" applyBorder="1" applyAlignment="1">
      <alignment horizontal="center" vertical="center" wrapText="1"/>
    </xf>
    <xf numFmtId="10" fontId="70" fillId="0" borderId="8" xfId="90" applyNumberFormat="1" applyFont="1" applyBorder="1" applyAlignment="1">
      <alignment horizontal="center" vertical="center" wrapText="1"/>
    </xf>
    <xf numFmtId="10" fontId="69" fillId="0" borderId="8" xfId="90" applyNumberFormat="1" applyFont="1" applyBorder="1" applyAlignment="1">
      <alignment horizontal="center" vertical="center" wrapText="1"/>
    </xf>
    <xf numFmtId="10" fontId="81" fillId="15" borderId="8" xfId="90" applyNumberFormat="1" applyFont="1" applyFill="1" applyBorder="1" applyAlignment="1">
      <alignment horizontal="center" vertical="center" wrapText="1"/>
    </xf>
    <xf numFmtId="10" fontId="81" fillId="0" borderId="8" xfId="90" applyNumberFormat="1" applyFont="1" applyBorder="1" applyAlignment="1">
      <alignment horizontal="center" vertical="center" wrapText="1"/>
    </xf>
    <xf numFmtId="10" fontId="70" fillId="19" borderId="8" xfId="90" applyNumberFormat="1" applyFont="1" applyFill="1" applyBorder="1" applyAlignment="1">
      <alignment horizontal="center" vertical="center" wrapText="1"/>
    </xf>
    <xf numFmtId="10" fontId="70" fillId="11" borderId="8" xfId="90" applyNumberFormat="1" applyFont="1" applyFill="1" applyBorder="1" applyAlignment="1">
      <alignment horizontal="center" vertical="center" wrapText="1"/>
    </xf>
    <xf numFmtId="0" fontId="69" fillId="0" borderId="0" xfId="93" applyFont="1" applyAlignment="1">
      <alignment vertical="center" wrapText="1"/>
    </xf>
    <xf numFmtId="0" fontId="70" fillId="2" borderId="8" xfId="93" applyFont="1" applyFill="1" applyBorder="1" applyAlignment="1">
      <alignment horizontal="center" vertical="center" wrapText="1"/>
    </xf>
    <xf numFmtId="4" fontId="69" fillId="0" borderId="0" xfId="93" applyNumberFormat="1" applyFont="1" applyAlignment="1">
      <alignment vertical="center" wrapText="1"/>
    </xf>
    <xf numFmtId="0" fontId="70" fillId="5" borderId="8" xfId="93" applyFont="1" applyFill="1" applyBorder="1" applyAlignment="1">
      <alignment horizontal="left" vertical="center" wrapText="1"/>
    </xf>
    <xf numFmtId="4" fontId="70" fillId="5" borderId="8" xfId="93" applyNumberFormat="1" applyFont="1" applyFill="1" applyBorder="1" applyAlignment="1">
      <alignment horizontal="right" vertical="center" wrapText="1"/>
    </xf>
    <xf numFmtId="0" fontId="70" fillId="0" borderId="8" xfId="93" applyFont="1" applyBorder="1" applyAlignment="1">
      <alignment horizontal="left" vertical="center" wrapText="1"/>
    </xf>
    <xf numFmtId="0" fontId="70" fillId="0" borderId="8" xfId="93" applyFont="1" applyBorder="1" applyAlignment="1">
      <alignment vertical="center" wrapText="1"/>
    </xf>
    <xf numFmtId="4" fontId="70" fillId="0" borderId="8" xfId="93" applyNumberFormat="1" applyFont="1" applyBorder="1" applyAlignment="1">
      <alignment vertical="center" wrapText="1"/>
    </xf>
    <xf numFmtId="0" fontId="70" fillId="0" borderId="0" xfId="93" applyFont="1" applyAlignment="1">
      <alignment vertical="center" wrapText="1"/>
    </xf>
    <xf numFmtId="0" fontId="69" fillId="0" borderId="8" xfId="93" applyFont="1" applyBorder="1" applyAlignment="1">
      <alignment horizontal="left" vertical="center" wrapText="1"/>
    </xf>
    <xf numFmtId="4" fontId="69" fillId="0" borderId="8" xfId="93" applyNumberFormat="1" applyFont="1" applyBorder="1" applyAlignment="1">
      <alignment vertical="center" wrapText="1"/>
    </xf>
    <xf numFmtId="0" fontId="69" fillId="0" borderId="8" xfId="93" applyFont="1" applyBorder="1" applyAlignment="1">
      <alignment vertical="center" wrapText="1"/>
    </xf>
    <xf numFmtId="4" fontId="70" fillId="5" borderId="8" xfId="93" applyNumberFormat="1" applyFont="1" applyFill="1" applyBorder="1" applyAlignment="1">
      <alignment vertical="center" wrapText="1"/>
    </xf>
    <xf numFmtId="0" fontId="81" fillId="0" borderId="8" xfId="93" applyFont="1" applyBorder="1" applyAlignment="1">
      <alignment horizontal="left" vertical="center" wrapText="1"/>
    </xf>
    <xf numFmtId="4" fontId="81" fillId="0" borderId="8" xfId="93" applyNumberFormat="1" applyFont="1" applyBorder="1" applyAlignment="1">
      <alignment vertical="center" wrapText="1"/>
    </xf>
    <xf numFmtId="0" fontId="81" fillId="0" borderId="0" xfId="93" applyFont="1" applyAlignment="1">
      <alignment vertical="center" wrapText="1"/>
    </xf>
    <xf numFmtId="0" fontId="70" fillId="2" borderId="8" xfId="93" applyFont="1" applyFill="1" applyBorder="1" applyAlignment="1">
      <alignment horizontal="left" vertical="center" wrapText="1"/>
    </xf>
    <xf numFmtId="4" fontId="70" fillId="2" borderId="8" xfId="93" applyNumberFormat="1" applyFont="1" applyFill="1" applyBorder="1" applyAlignment="1">
      <alignment vertical="center" wrapText="1"/>
    </xf>
    <xf numFmtId="0" fontId="70" fillId="19" borderId="8" xfId="0" applyFont="1" applyFill="1" applyBorder="1" applyAlignment="1">
      <alignment horizontal="center" vertical="center" wrapText="1"/>
    </xf>
    <xf numFmtId="0" fontId="70" fillId="2" borderId="8" xfId="0" applyFont="1" applyFill="1" applyBorder="1" applyAlignment="1">
      <alignment horizontal="center" vertical="center" wrapText="1"/>
    </xf>
    <xf numFmtId="0" fontId="70" fillId="7" borderId="1" xfId="28" applyFont="1" applyFill="1" applyBorder="1" applyAlignment="1">
      <alignment vertical="center" wrapText="1"/>
    </xf>
    <xf numFmtId="0" fontId="70" fillId="7" borderId="1" xfId="28" applyFont="1" applyFill="1" applyBorder="1" applyAlignment="1">
      <alignment horizontal="center" vertical="center" wrapText="1"/>
    </xf>
    <xf numFmtId="10" fontId="70" fillId="5" borderId="8" xfId="93" applyNumberFormat="1" applyFont="1" applyFill="1" applyBorder="1" applyAlignment="1">
      <alignment horizontal="center" vertical="center" wrapText="1"/>
    </xf>
    <xf numFmtId="10" fontId="70" fillId="0" borderId="8" xfId="93" applyNumberFormat="1" applyFont="1" applyBorder="1" applyAlignment="1">
      <alignment horizontal="center" vertical="center" wrapText="1"/>
    </xf>
    <xf numFmtId="10" fontId="69" fillId="0" borderId="8" xfId="93" applyNumberFormat="1" applyFont="1" applyBorder="1" applyAlignment="1">
      <alignment horizontal="center" vertical="center" wrapText="1"/>
    </xf>
    <xf numFmtId="10" fontId="81" fillId="0" borderId="8" xfId="93" applyNumberFormat="1" applyFont="1" applyBorder="1" applyAlignment="1">
      <alignment horizontal="center" vertical="center" wrapText="1"/>
    </xf>
    <xf numFmtId="10" fontId="70" fillId="2" borderId="8" xfId="93" applyNumberFormat="1" applyFont="1" applyFill="1" applyBorder="1" applyAlignment="1">
      <alignment horizontal="center" vertical="center" wrapText="1"/>
    </xf>
    <xf numFmtId="0" fontId="69" fillId="0" borderId="0" xfId="28" applyFont="1" applyAlignment="1">
      <alignment vertical="center" wrapText="1"/>
    </xf>
    <xf numFmtId="0" fontId="87" fillId="0" borderId="5" xfId="93" applyFont="1" applyBorder="1" applyAlignment="1">
      <alignment horizontal="center" vertical="center" wrapText="1"/>
    </xf>
    <xf numFmtId="10" fontId="70" fillId="7" borderId="8" xfId="28" applyNumberFormat="1" applyFont="1" applyFill="1" applyBorder="1" applyAlignment="1">
      <alignment horizontal="center" vertical="center" wrapText="1"/>
    </xf>
    <xf numFmtId="0" fontId="70" fillId="21" borderId="8" xfId="0" applyFont="1" applyFill="1" applyBorder="1" applyAlignment="1">
      <alignment horizontal="center" vertical="center" wrapText="1"/>
    </xf>
    <xf numFmtId="10" fontId="69" fillId="0" borderId="0" xfId="90" applyNumberFormat="1" applyFont="1" applyAlignment="1">
      <alignment vertical="center" wrapText="1"/>
    </xf>
    <xf numFmtId="1" fontId="77" fillId="11" borderId="0" xfId="1" applyNumberFormat="1" applyFont="1" applyFill="1" applyAlignment="1">
      <alignment horizontal="center" vertical="center" wrapText="1" readingOrder="1"/>
    </xf>
    <xf numFmtId="4" fontId="70" fillId="10" borderId="8" xfId="90" applyNumberFormat="1" applyFont="1" applyFill="1" applyBorder="1" applyAlignment="1">
      <alignment horizontal="left" vertical="center" wrapText="1"/>
    </xf>
    <xf numFmtId="4" fontId="70" fillId="0" borderId="8" xfId="90" applyNumberFormat="1" applyFont="1" applyBorder="1" applyAlignment="1">
      <alignment horizontal="left" vertical="center" wrapText="1"/>
    </xf>
    <xf numFmtId="4" fontId="69" fillId="0" borderId="8" xfId="90" applyNumberFormat="1" applyFont="1" applyBorder="1" applyAlignment="1">
      <alignment horizontal="left" vertical="center" wrapText="1"/>
    </xf>
    <xf numFmtId="4" fontId="81" fillId="15" borderId="8" xfId="90" applyNumberFormat="1" applyFont="1" applyFill="1" applyBorder="1" applyAlignment="1">
      <alignment horizontal="left" vertical="center" wrapText="1"/>
    </xf>
    <xf numFmtId="4" fontId="70" fillId="19" borderId="8" xfId="90" applyNumberFormat="1" applyFont="1" applyFill="1" applyBorder="1" applyAlignment="1">
      <alignment horizontal="left" vertical="center" wrapText="1"/>
    </xf>
    <xf numFmtId="4" fontId="70" fillId="11" borderId="8" xfId="90" applyNumberFormat="1" applyFont="1" applyFill="1" applyBorder="1" applyAlignment="1">
      <alignment horizontal="left" vertical="center" wrapText="1"/>
    </xf>
    <xf numFmtId="3" fontId="70" fillId="10" borderId="7" xfId="90" applyNumberFormat="1" applyFont="1" applyFill="1" applyBorder="1" applyAlignment="1">
      <alignment horizontal="left" vertical="center" wrapText="1"/>
    </xf>
    <xf numFmtId="3" fontId="70" fillId="0" borderId="7" xfId="90" applyNumberFormat="1" applyFont="1" applyBorder="1" applyAlignment="1">
      <alignment horizontal="left" vertical="center" wrapText="1"/>
    </xf>
    <xf numFmtId="3" fontId="69" fillId="0" borderId="7" xfId="90" applyNumberFormat="1" applyFont="1" applyBorder="1" applyAlignment="1">
      <alignment horizontal="left" vertical="center" wrapText="1"/>
    </xf>
    <xf numFmtId="3" fontId="81" fillId="15" borderId="7" xfId="90" applyNumberFormat="1" applyFont="1" applyFill="1" applyBorder="1" applyAlignment="1">
      <alignment horizontal="left" vertical="center" wrapText="1"/>
    </xf>
    <xf numFmtId="3" fontId="70" fillId="19" borderId="7" xfId="90" applyNumberFormat="1" applyFont="1" applyFill="1" applyBorder="1" applyAlignment="1">
      <alignment horizontal="left" vertical="center" wrapText="1"/>
    </xf>
    <xf numFmtId="3" fontId="70" fillId="11" borderId="7" xfId="90" applyNumberFormat="1" applyFont="1" applyFill="1" applyBorder="1" applyAlignment="1">
      <alignment horizontal="left" vertical="center" wrapText="1"/>
    </xf>
    <xf numFmtId="0" fontId="70" fillId="19" borderId="6" xfId="0" applyFont="1" applyFill="1" applyBorder="1" applyAlignment="1">
      <alignment horizontal="center" vertical="center" wrapText="1"/>
    </xf>
    <xf numFmtId="4" fontId="70" fillId="10" borderId="6" xfId="90" applyNumberFormat="1" applyFont="1" applyFill="1" applyBorder="1" applyAlignment="1">
      <alignment horizontal="right" vertical="center" wrapText="1"/>
    </xf>
    <xf numFmtId="4" fontId="70" fillId="0" borderId="6" xfId="90" applyNumberFormat="1" applyFont="1" applyBorder="1" applyAlignment="1">
      <alignment vertical="center" wrapText="1"/>
    </xf>
    <xf numFmtId="4" fontId="69" fillId="0" borderId="6" xfId="90" applyNumberFormat="1" applyFont="1" applyBorder="1" applyAlignment="1">
      <alignment vertical="center" wrapText="1"/>
    </xf>
    <xf numFmtId="4" fontId="81" fillId="15" borderId="6" xfId="90" applyNumberFormat="1" applyFont="1" applyFill="1" applyBorder="1" applyAlignment="1">
      <alignment vertical="center" wrapText="1"/>
    </xf>
    <xf numFmtId="4" fontId="70" fillId="0" borderId="6" xfId="90" applyNumberFormat="1" applyFont="1" applyBorder="1" applyAlignment="1">
      <alignment horizontal="right" vertical="center" wrapText="1"/>
    </xf>
    <xf numFmtId="4" fontId="70" fillId="10" borderId="6" xfId="90" applyNumberFormat="1" applyFont="1" applyFill="1" applyBorder="1" applyAlignment="1">
      <alignment vertical="center" wrapText="1"/>
    </xf>
    <xf numFmtId="4" fontId="70" fillId="19" borderId="6" xfId="90" applyNumberFormat="1" applyFont="1" applyFill="1" applyBorder="1" applyAlignment="1">
      <alignment vertical="center" wrapText="1"/>
    </xf>
    <xf numFmtId="4" fontId="70" fillId="11" borderId="6" xfId="90" applyNumberFormat="1" applyFont="1" applyFill="1" applyBorder="1" applyAlignment="1">
      <alignment vertical="center" wrapText="1"/>
    </xf>
    <xf numFmtId="4" fontId="70" fillId="0" borderId="0" xfId="90" applyNumberFormat="1" applyFont="1" applyAlignment="1">
      <alignment vertical="center" wrapText="1"/>
    </xf>
    <xf numFmtId="10" fontId="70" fillId="0" borderId="0" xfId="90" applyNumberFormat="1" applyFont="1" applyAlignment="1">
      <alignment vertical="center" wrapText="1"/>
    </xf>
    <xf numFmtId="4" fontId="87" fillId="0" borderId="0" xfId="90" applyNumberFormat="1" applyFont="1" applyAlignment="1">
      <alignment horizontal="center" vertical="center" wrapText="1"/>
    </xf>
    <xf numFmtId="4" fontId="88" fillId="0" borderId="0" xfId="90" applyNumberFormat="1" applyFont="1" applyAlignment="1">
      <alignment horizontal="center" vertical="center" wrapText="1"/>
    </xf>
    <xf numFmtId="3" fontId="69" fillId="22" borderId="7" xfId="90" applyNumberFormat="1" applyFont="1" applyFill="1" applyBorder="1" applyAlignment="1">
      <alignment horizontal="left" vertical="center" wrapText="1"/>
    </xf>
    <xf numFmtId="4" fontId="69" fillId="22" borderId="8" xfId="90" applyNumberFormat="1" applyFont="1" applyFill="1" applyBorder="1" applyAlignment="1">
      <alignment horizontal="left" vertical="center" wrapText="1"/>
    </xf>
    <xf numFmtId="4" fontId="69" fillId="22" borderId="6" xfId="90" applyNumberFormat="1" applyFont="1" applyFill="1" applyBorder="1" applyAlignment="1">
      <alignment vertical="center" wrapText="1"/>
    </xf>
    <xf numFmtId="10" fontId="69" fillId="22" borderId="8" xfId="90" applyNumberFormat="1" applyFont="1" applyFill="1" applyBorder="1" applyAlignment="1">
      <alignment horizontal="center" vertical="center" wrapText="1"/>
    </xf>
    <xf numFmtId="4" fontId="69" fillId="22" borderId="8" xfId="90" applyNumberFormat="1" applyFont="1" applyFill="1" applyBorder="1" applyAlignment="1">
      <alignment vertical="center" wrapText="1"/>
    </xf>
    <xf numFmtId="0" fontId="70" fillId="23" borderId="8" xfId="0" applyFont="1" applyFill="1" applyBorder="1" applyAlignment="1">
      <alignment horizontal="center" vertical="center" wrapText="1"/>
    </xf>
    <xf numFmtId="0" fontId="69" fillId="22" borderId="8" xfId="93" applyFont="1" applyFill="1" applyBorder="1" applyAlignment="1">
      <alignment horizontal="left" vertical="center" wrapText="1"/>
    </xf>
    <xf numFmtId="0" fontId="69" fillId="22" borderId="8" xfId="93" applyFont="1" applyFill="1" applyBorder="1" applyAlignment="1">
      <alignment vertical="center" wrapText="1"/>
    </xf>
    <xf numFmtId="4" fontId="69" fillId="22" borderId="8" xfId="93" applyNumberFormat="1" applyFont="1" applyFill="1" applyBorder="1" applyAlignment="1">
      <alignment vertical="center" wrapText="1"/>
    </xf>
    <xf numFmtId="10" fontId="69" fillId="22" borderId="8" xfId="93" applyNumberFormat="1" applyFont="1" applyFill="1" applyBorder="1" applyAlignment="1">
      <alignment horizontal="center" vertical="center" wrapText="1"/>
    </xf>
    <xf numFmtId="0" fontId="81" fillId="22" borderId="8" xfId="93" applyFont="1" applyFill="1" applyBorder="1" applyAlignment="1">
      <alignment horizontal="left" vertical="center" wrapText="1"/>
    </xf>
    <xf numFmtId="4" fontId="81" fillId="22" borderId="8" xfId="93" applyNumberFormat="1" applyFont="1" applyFill="1" applyBorder="1" applyAlignment="1">
      <alignment vertical="center" wrapText="1"/>
    </xf>
    <xf numFmtId="10" fontId="81" fillId="22" borderId="8" xfId="93" applyNumberFormat="1" applyFont="1" applyFill="1" applyBorder="1" applyAlignment="1">
      <alignment horizontal="center" vertical="center" wrapText="1"/>
    </xf>
    <xf numFmtId="0" fontId="70" fillId="4" borderId="8" xfId="0" applyFont="1" applyFill="1" applyBorder="1" applyAlignment="1">
      <alignment horizontal="center" vertical="center" wrapText="1"/>
    </xf>
    <xf numFmtId="0" fontId="70" fillId="24" borderId="8" xfId="0" applyFont="1" applyFill="1" applyBorder="1" applyAlignment="1">
      <alignment horizontal="center" vertical="center" wrapText="1"/>
    </xf>
    <xf numFmtId="4" fontId="73" fillId="13" borderId="8" xfId="0" applyNumberFormat="1" applyFont="1" applyFill="1" applyBorder="1" applyAlignment="1">
      <alignment vertical="center"/>
    </xf>
    <xf numFmtId="4" fontId="75" fillId="0" borderId="0" xfId="1" applyNumberFormat="1" applyFont="1" applyAlignment="1">
      <alignment horizontal="center" vertical="center" wrapText="1" readingOrder="1"/>
    </xf>
    <xf numFmtId="4" fontId="83" fillId="0" borderId="0" xfId="0" applyNumberFormat="1" applyFont="1" applyAlignment="1">
      <alignment vertical="center"/>
    </xf>
    <xf numFmtId="1" fontId="0" fillId="0" borderId="8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/>
    </xf>
    <xf numFmtId="4" fontId="73" fillId="13" borderId="8" xfId="0" applyNumberFormat="1" applyFont="1" applyFill="1" applyBorder="1" applyAlignment="1">
      <alignment vertical="center" wrapText="1"/>
    </xf>
    <xf numFmtId="10" fontId="69" fillId="0" borderId="0" xfId="93" applyNumberFormat="1" applyFont="1" applyAlignment="1">
      <alignment vertical="center" wrapText="1"/>
    </xf>
    <xf numFmtId="1" fontId="93" fillId="23" borderId="8" xfId="0" applyNumberFormat="1" applyFont="1" applyFill="1" applyBorder="1" applyAlignment="1">
      <alignment vertical="center" wrapText="1"/>
    </xf>
    <xf numFmtId="4" fontId="93" fillId="23" borderId="8" xfId="0" applyNumberFormat="1" applyFont="1" applyFill="1" applyBorder="1" applyAlignment="1">
      <alignment vertical="center" wrapText="1"/>
    </xf>
    <xf numFmtId="1" fontId="93" fillId="25" borderId="8" xfId="0" applyNumberFormat="1" applyFont="1" applyFill="1" applyBorder="1" applyAlignment="1">
      <alignment vertical="center" wrapText="1"/>
    </xf>
    <xf numFmtId="4" fontId="93" fillId="25" borderId="8" xfId="0" applyNumberFormat="1" applyFont="1" applyFill="1" applyBorder="1" applyAlignment="1">
      <alignment vertical="center" wrapText="1"/>
    </xf>
    <xf numFmtId="4" fontId="91" fillId="0" borderId="2" xfId="0" applyNumberFormat="1" applyFont="1" applyBorder="1" applyAlignment="1">
      <alignment vertical="center" wrapText="1"/>
    </xf>
    <xf numFmtId="1" fontId="73" fillId="11" borderId="8" xfId="0" applyNumberFormat="1" applyFont="1" applyFill="1" applyBorder="1" applyAlignment="1">
      <alignment horizontal="center" vertical="center" wrapText="1"/>
    </xf>
    <xf numFmtId="4" fontId="0" fillId="0" borderId="12" xfId="0" applyNumberFormat="1" applyBorder="1" applyAlignment="1">
      <alignment vertical="center" wrapText="1"/>
    </xf>
    <xf numFmtId="1" fontId="73" fillId="21" borderId="8" xfId="0" applyNumberFormat="1" applyFont="1" applyFill="1" applyBorder="1" applyAlignment="1">
      <alignment vertical="center" wrapText="1"/>
    </xf>
    <xf numFmtId="4" fontId="73" fillId="21" borderId="8" xfId="0" applyNumberFormat="1" applyFont="1" applyFill="1" applyBorder="1" applyAlignment="1">
      <alignment vertical="center" wrapText="1"/>
    </xf>
    <xf numFmtId="1" fontId="73" fillId="9" borderId="8" xfId="0" applyNumberFormat="1" applyFont="1" applyFill="1" applyBorder="1" applyAlignment="1">
      <alignment vertical="center" wrapText="1"/>
    </xf>
    <xf numFmtId="4" fontId="73" fillId="9" borderId="8" xfId="0" applyNumberFormat="1" applyFont="1" applyFill="1" applyBorder="1" applyAlignment="1">
      <alignment vertical="center"/>
    </xf>
    <xf numFmtId="1" fontId="73" fillId="7" borderId="8" xfId="0" applyNumberFormat="1" applyFont="1" applyFill="1" applyBorder="1" applyAlignment="1">
      <alignment horizontal="center" vertical="center" wrapText="1"/>
    </xf>
    <xf numFmtId="4" fontId="0" fillId="0" borderId="3" xfId="0" applyNumberFormat="1" applyBorder="1" applyAlignment="1">
      <alignment vertical="center" wrapText="1"/>
    </xf>
    <xf numFmtId="4" fontId="0" fillId="0" borderId="8" xfId="0" applyNumberFormat="1" applyBorder="1" applyAlignment="1">
      <alignment vertical="center" wrapText="1"/>
    </xf>
    <xf numFmtId="1" fontId="73" fillId="4" borderId="8" xfId="0" applyNumberFormat="1" applyFont="1" applyFill="1" applyBorder="1" applyAlignment="1">
      <alignment vertical="center" wrapText="1"/>
    </xf>
    <xf numFmtId="4" fontId="73" fillId="4" borderId="8" xfId="0" applyNumberFormat="1" applyFon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4" fontId="0" fillId="0" borderId="12" xfId="0" applyNumberFormat="1" applyBorder="1" applyAlignment="1">
      <alignment vertical="center"/>
    </xf>
    <xf numFmtId="0" fontId="77" fillId="34" borderId="8" xfId="1" applyFont="1" applyFill="1" applyBorder="1" applyAlignment="1">
      <alignment horizontal="center" vertical="center" wrapText="1"/>
    </xf>
    <xf numFmtId="4" fontId="81" fillId="0" borderId="0" xfId="93" applyNumberFormat="1" applyFont="1" applyAlignment="1">
      <alignment vertical="center" wrapText="1"/>
    </xf>
    <xf numFmtId="4" fontId="108" fillId="0" borderId="0" xfId="0" applyNumberFormat="1" applyFont="1" applyAlignment="1">
      <alignment vertical="center"/>
    </xf>
    <xf numFmtId="4" fontId="71" fillId="0" borderId="8" xfId="0" applyNumberFormat="1" applyFont="1" applyBorder="1" applyAlignment="1">
      <alignment vertical="center" wrapText="1"/>
    </xf>
    <xf numFmtId="4" fontId="70" fillId="7" borderId="8" xfId="28" applyNumberFormat="1" applyFont="1" applyFill="1" applyBorder="1" applyAlignment="1">
      <alignment vertical="center" wrapText="1"/>
    </xf>
    <xf numFmtId="4" fontId="74" fillId="0" borderId="8" xfId="200" applyNumberFormat="1" applyFont="1" applyFill="1" applyBorder="1" applyAlignment="1" applyProtection="1">
      <alignment vertical="center" wrapText="1"/>
    </xf>
    <xf numFmtId="0" fontId="78" fillId="0" borderId="8" xfId="201" applyFont="1" applyBorder="1" applyAlignment="1">
      <alignment vertical="center" wrapText="1"/>
    </xf>
    <xf numFmtId="0" fontId="74" fillId="0" borderId="0" xfId="201" applyFont="1" applyAlignment="1">
      <alignment vertical="center" wrapText="1"/>
    </xf>
    <xf numFmtId="4" fontId="74" fillId="0" borderId="8" xfId="201" applyNumberFormat="1" applyFont="1" applyBorder="1" applyAlignment="1">
      <alignment vertical="center" wrapText="1"/>
    </xf>
    <xf numFmtId="0" fontId="97" fillId="0" borderId="0" xfId="202" applyFont="1" applyAlignment="1">
      <alignment vertical="center" wrapText="1"/>
    </xf>
    <xf numFmtId="10" fontId="97" fillId="0" borderId="0" xfId="202" applyNumberFormat="1" applyFont="1" applyAlignment="1">
      <alignment vertical="center" wrapText="1"/>
    </xf>
    <xf numFmtId="0" fontId="109" fillId="0" borderId="0" xfId="202"/>
    <xf numFmtId="1" fontId="99" fillId="0" borderId="0" xfId="202" applyNumberFormat="1" applyFont="1" applyAlignment="1">
      <alignment horizontal="center" vertical="center" wrapText="1" readingOrder="1"/>
    </xf>
    <xf numFmtId="0" fontId="100" fillId="0" borderId="0" xfId="202" applyFont="1" applyAlignment="1">
      <alignment vertical="center" wrapText="1"/>
    </xf>
    <xf numFmtId="1" fontId="102" fillId="27" borderId="0" xfId="202" applyNumberFormat="1" applyFont="1" applyFill="1" applyAlignment="1">
      <alignment horizontal="center" vertical="center" wrapText="1" readingOrder="1"/>
    </xf>
    <xf numFmtId="0" fontId="103" fillId="27" borderId="0" xfId="202" applyFont="1" applyFill="1" applyAlignment="1">
      <alignment vertical="center" wrapText="1"/>
    </xf>
    <xf numFmtId="0" fontId="97" fillId="0" borderId="0" xfId="202" applyFont="1" applyAlignment="1">
      <alignment horizontal="right" vertical="center" wrapText="1"/>
    </xf>
    <xf numFmtId="0" fontId="102" fillId="28" borderId="29" xfId="202" applyFont="1" applyFill="1" applyBorder="1" applyAlignment="1">
      <alignment horizontal="center" vertical="center" wrapText="1"/>
    </xf>
    <xf numFmtId="0" fontId="99" fillId="27" borderId="29" xfId="202" applyFont="1" applyFill="1" applyBorder="1" applyAlignment="1">
      <alignment horizontal="center" vertical="center" wrapText="1"/>
    </xf>
    <xf numFmtId="0" fontId="97" fillId="27" borderId="29" xfId="202" applyFont="1" applyFill="1" applyBorder="1" applyAlignment="1">
      <alignment horizontal="center" vertical="center" wrapText="1"/>
    </xf>
    <xf numFmtId="49" fontId="99" fillId="27" borderId="29" xfId="202" applyNumberFormat="1" applyFont="1" applyFill="1" applyBorder="1" applyAlignment="1">
      <alignment horizontal="center" vertical="center" wrapText="1"/>
    </xf>
    <xf numFmtId="0" fontId="97" fillId="0" borderId="29" xfId="202" applyFont="1" applyBorder="1" applyAlignment="1">
      <alignment vertical="center" wrapText="1"/>
    </xf>
    <xf numFmtId="0" fontId="99" fillId="30" borderId="29" xfId="202" applyFont="1" applyFill="1" applyBorder="1" applyAlignment="1">
      <alignment horizontal="left" vertical="center" wrapText="1"/>
    </xf>
    <xf numFmtId="4" fontId="99" fillId="30" borderId="29" xfId="202" applyNumberFormat="1" applyFont="1" applyFill="1" applyBorder="1"/>
    <xf numFmtId="4" fontId="99" fillId="30" borderId="29" xfId="202" applyNumberFormat="1" applyFont="1" applyFill="1" applyBorder="1" applyAlignment="1">
      <alignment vertical="center" wrapText="1"/>
    </xf>
    <xf numFmtId="10" fontId="99" fillId="30" borderId="29" xfId="202" applyNumberFormat="1" applyFont="1" applyFill="1" applyBorder="1" applyAlignment="1">
      <alignment horizontal="right" vertical="center" wrapText="1"/>
    </xf>
    <xf numFmtId="4" fontId="97" fillId="0" borderId="0" xfId="202" applyNumberFormat="1" applyFont="1"/>
    <xf numFmtId="0" fontId="97" fillId="0" borderId="0" xfId="202" applyFont="1"/>
    <xf numFmtId="0" fontId="99" fillId="0" borderId="29" xfId="202" applyFont="1" applyBorder="1" applyAlignment="1">
      <alignment vertical="center" wrapText="1"/>
    </xf>
    <xf numFmtId="4" fontId="99" fillId="0" borderId="29" xfId="202" applyNumberFormat="1" applyFont="1" applyBorder="1"/>
    <xf numFmtId="4" fontId="99" fillId="0" borderId="29" xfId="202" applyNumberFormat="1" applyFont="1" applyBorder="1" applyAlignment="1">
      <alignment vertical="center" wrapText="1"/>
    </xf>
    <xf numFmtId="10" fontId="99" fillId="0" borderId="29" xfId="202" applyNumberFormat="1" applyFont="1" applyBorder="1" applyAlignment="1">
      <alignment horizontal="right" vertical="center" wrapText="1"/>
    </xf>
    <xf numFmtId="0" fontId="97" fillId="0" borderId="29" xfId="202" applyFont="1" applyBorder="1" applyAlignment="1">
      <alignment horizontal="left" vertical="center" wrapText="1"/>
    </xf>
    <xf numFmtId="4" fontId="97" fillId="0" borderId="29" xfId="202" applyNumberFormat="1" applyFont="1" applyBorder="1" applyAlignment="1">
      <alignment vertical="center" wrapText="1"/>
    </xf>
    <xf numFmtId="10" fontId="97" fillId="0" borderId="29" xfId="202" applyNumberFormat="1" applyFont="1" applyBorder="1" applyAlignment="1">
      <alignment horizontal="right" vertical="center" wrapText="1"/>
    </xf>
    <xf numFmtId="4" fontId="97" fillId="0" borderId="29" xfId="202" applyNumberFormat="1" applyFont="1" applyBorder="1"/>
    <xf numFmtId="0" fontId="104" fillId="0" borderId="29" xfId="202" applyFont="1" applyBorder="1" applyAlignment="1">
      <alignment horizontal="left" vertical="center" wrapText="1"/>
    </xf>
    <xf numFmtId="0" fontId="99" fillId="31" borderId="29" xfId="202" applyFont="1" applyFill="1" applyBorder="1" applyAlignment="1">
      <alignment horizontal="left" vertical="center" wrapText="1"/>
    </xf>
    <xf numFmtId="4" fontId="99" fillId="31" borderId="29" xfId="202" applyNumberFormat="1" applyFont="1" applyFill="1" applyBorder="1"/>
    <xf numFmtId="4" fontId="99" fillId="31" borderId="29" xfId="202" applyNumberFormat="1" applyFont="1" applyFill="1" applyBorder="1" applyAlignment="1">
      <alignment vertical="center" wrapText="1"/>
    </xf>
    <xf numFmtId="10" fontId="99" fillId="31" borderId="29" xfId="202" applyNumberFormat="1" applyFont="1" applyFill="1" applyBorder="1" applyAlignment="1">
      <alignment horizontal="right" vertical="center" wrapText="1"/>
    </xf>
    <xf numFmtId="0" fontId="102" fillId="32" borderId="29" xfId="202" applyFont="1" applyFill="1" applyBorder="1" applyAlignment="1">
      <alignment vertical="center" wrapText="1"/>
    </xf>
    <xf numFmtId="4" fontId="102" fillId="32" borderId="29" xfId="202" applyNumberFormat="1" applyFont="1" applyFill="1" applyBorder="1"/>
    <xf numFmtId="4" fontId="102" fillId="32" borderId="29" xfId="202" applyNumberFormat="1" applyFont="1" applyFill="1" applyBorder="1" applyAlignment="1">
      <alignment vertical="center" wrapText="1"/>
    </xf>
    <xf numFmtId="10" fontId="102" fillId="32" borderId="29" xfId="202" applyNumberFormat="1" applyFont="1" applyFill="1" applyBorder="1" applyAlignment="1">
      <alignment horizontal="right" vertical="center" wrapText="1"/>
    </xf>
    <xf numFmtId="0" fontId="99" fillId="27" borderId="29" xfId="202" applyFont="1" applyFill="1" applyBorder="1" applyAlignment="1">
      <alignment vertical="center" wrapText="1"/>
    </xf>
    <xf numFmtId="4" fontId="99" fillId="27" borderId="29" xfId="202" applyNumberFormat="1" applyFont="1" applyFill="1" applyBorder="1"/>
    <xf numFmtId="4" fontId="99" fillId="27" borderId="29" xfId="202" applyNumberFormat="1" applyFont="1" applyFill="1" applyBorder="1" applyAlignment="1">
      <alignment vertical="center" wrapText="1"/>
    </xf>
    <xf numFmtId="10" fontId="99" fillId="27" borderId="29" xfId="202" applyNumberFormat="1" applyFont="1" applyFill="1" applyBorder="1" applyAlignment="1">
      <alignment horizontal="right" vertical="center" wrapText="1"/>
    </xf>
    <xf numFmtId="0" fontId="99" fillId="33" borderId="29" xfId="202" applyFont="1" applyFill="1" applyBorder="1" applyAlignment="1">
      <alignment horizontal="left" vertical="center" wrapText="1"/>
    </xf>
    <xf numFmtId="4" fontId="99" fillId="33" borderId="29" xfId="202" applyNumberFormat="1" applyFont="1" applyFill="1" applyBorder="1"/>
    <xf numFmtId="4" fontId="99" fillId="33" borderId="29" xfId="202" applyNumberFormat="1" applyFont="1" applyFill="1" applyBorder="1" applyAlignment="1">
      <alignment vertical="center" wrapText="1"/>
    </xf>
    <xf numFmtId="10" fontId="99" fillId="33" borderId="29" xfId="202" applyNumberFormat="1" applyFont="1" applyFill="1" applyBorder="1" applyAlignment="1">
      <alignment horizontal="right" vertical="center" wrapText="1"/>
    </xf>
    <xf numFmtId="0" fontId="98" fillId="27" borderId="0" xfId="202" applyFont="1" applyFill="1" applyAlignment="1">
      <alignment vertical="center" wrapText="1"/>
    </xf>
    <xf numFmtId="4" fontId="106" fillId="0" borderId="29" xfId="202" applyNumberFormat="1" applyFont="1" applyBorder="1" applyAlignment="1">
      <alignment vertical="center" wrapText="1"/>
    </xf>
    <xf numFmtId="0" fontId="67" fillId="0" borderId="0" xfId="201" applyFont="1" applyAlignment="1">
      <alignment vertical="center" wrapText="1"/>
    </xf>
    <xf numFmtId="0" fontId="89" fillId="11" borderId="0" xfId="201" applyFont="1" applyFill="1" applyAlignment="1">
      <alignment vertical="center" wrapText="1"/>
    </xf>
    <xf numFmtId="0" fontId="74" fillId="0" borderId="0" xfId="201" applyFont="1" applyAlignment="1">
      <alignment horizontal="right" vertical="center" wrapText="1"/>
    </xf>
    <xf numFmtId="0" fontId="75" fillId="11" borderId="8" xfId="201" applyFont="1" applyFill="1" applyBorder="1" applyAlignment="1">
      <alignment horizontal="center" vertical="center" wrapText="1"/>
    </xf>
    <xf numFmtId="0" fontId="74" fillId="11" borderId="8" xfId="201" applyFont="1" applyFill="1" applyBorder="1" applyAlignment="1">
      <alignment horizontal="center" vertical="center" wrapText="1"/>
    </xf>
    <xf numFmtId="49" fontId="75" fillId="11" borderId="8" xfId="201" applyNumberFormat="1" applyFont="1" applyFill="1" applyBorder="1" applyAlignment="1">
      <alignment horizontal="center" vertical="center" wrapText="1"/>
    </xf>
    <xf numFmtId="0" fontId="79" fillId="0" borderId="8" xfId="201" applyFont="1" applyBorder="1" applyAlignment="1">
      <alignment vertical="center" wrapText="1"/>
    </xf>
    <xf numFmtId="0" fontId="75" fillId="10" borderId="8" xfId="201" applyFont="1" applyFill="1" applyBorder="1" applyAlignment="1">
      <alignment horizontal="left" vertical="center" wrapText="1"/>
    </xf>
    <xf numFmtId="4" fontId="78" fillId="10" borderId="8" xfId="201" applyNumberFormat="1" applyFont="1" applyFill="1" applyBorder="1"/>
    <xf numFmtId="4" fontId="75" fillId="10" borderId="8" xfId="201" applyNumberFormat="1" applyFont="1" applyFill="1" applyBorder="1" applyAlignment="1">
      <alignment vertical="center" wrapText="1"/>
    </xf>
    <xf numFmtId="10" fontId="75" fillId="10" borderId="8" xfId="201" applyNumberFormat="1" applyFont="1" applyFill="1" applyBorder="1" applyAlignment="1">
      <alignment horizontal="right" vertical="center" wrapText="1"/>
    </xf>
    <xf numFmtId="0" fontId="79" fillId="0" borderId="0" xfId="201" applyFont="1"/>
    <xf numFmtId="0" fontId="75" fillId="0" borderId="8" xfId="201" applyFont="1" applyBorder="1" applyAlignment="1">
      <alignment vertical="center" wrapText="1"/>
    </xf>
    <xf numFmtId="4" fontId="78" fillId="0" borderId="8" xfId="201" applyNumberFormat="1" applyFont="1" applyBorder="1"/>
    <xf numFmtId="4" fontId="75" fillId="0" borderId="8" xfId="201" applyNumberFormat="1" applyFont="1" applyBorder="1" applyAlignment="1">
      <alignment vertical="center" wrapText="1"/>
    </xf>
    <xf numFmtId="10" fontId="75" fillId="0" borderId="8" xfId="201" applyNumberFormat="1" applyFont="1" applyBorder="1" applyAlignment="1">
      <alignment horizontal="right" vertical="center" wrapText="1"/>
    </xf>
    <xf numFmtId="0" fontId="78" fillId="0" borderId="0" xfId="201" applyFont="1"/>
    <xf numFmtId="0" fontId="74" fillId="0" borderId="8" xfId="201" applyFont="1" applyBorder="1" applyAlignment="1">
      <alignment horizontal="left" vertical="center" wrapText="1"/>
    </xf>
    <xf numFmtId="10" fontId="74" fillId="0" borderId="8" xfId="201" applyNumberFormat="1" applyFont="1" applyBorder="1" applyAlignment="1">
      <alignment horizontal="right" vertical="center" wrapText="1"/>
    </xf>
    <xf numFmtId="4" fontId="75" fillId="0" borderId="8" xfId="200" applyNumberFormat="1" applyFont="1" applyFill="1" applyBorder="1" applyAlignment="1" applyProtection="1">
      <alignment vertical="center" wrapText="1"/>
    </xf>
    <xf numFmtId="0" fontId="74" fillId="0" borderId="8" xfId="201" applyFont="1" applyBorder="1" applyAlignment="1">
      <alignment vertical="center" wrapText="1"/>
    </xf>
    <xf numFmtId="4" fontId="79" fillId="0" borderId="8" xfId="201" applyNumberFormat="1" applyFont="1" applyBorder="1"/>
    <xf numFmtId="0" fontId="74" fillId="0" borderId="8" xfId="201" applyFont="1" applyBorder="1" applyAlignment="1">
      <alignment horizontal="left" vertical="center" wrapText="1" indent="1"/>
    </xf>
    <xf numFmtId="0" fontId="79" fillId="0" borderId="0" xfId="201" applyFont="1" applyAlignment="1" applyProtection="1">
      <alignment vertical="center" wrapText="1"/>
      <protection hidden="1"/>
    </xf>
    <xf numFmtId="0" fontId="80" fillId="0" borderId="8" xfId="201" applyFont="1" applyBorder="1" applyAlignment="1">
      <alignment horizontal="left" vertical="center" wrapText="1" indent="2"/>
    </xf>
    <xf numFmtId="0" fontId="75" fillId="14" borderId="8" xfId="201" applyFont="1" applyFill="1" applyBorder="1" applyAlignment="1">
      <alignment horizontal="left" vertical="center" wrapText="1"/>
    </xf>
    <xf numFmtId="4" fontId="78" fillId="14" borderId="8" xfId="201" applyNumberFormat="1" applyFont="1" applyFill="1" applyBorder="1"/>
    <xf numFmtId="4" fontId="75" fillId="14" borderId="8" xfId="201" applyNumberFormat="1" applyFont="1" applyFill="1" applyBorder="1" applyAlignment="1">
      <alignment vertical="center" wrapText="1"/>
    </xf>
    <xf numFmtId="10" fontId="75" fillId="14" borderId="8" xfId="201" applyNumberFormat="1" applyFont="1" applyFill="1" applyBorder="1" applyAlignment="1">
      <alignment horizontal="right" vertical="center" wrapText="1"/>
    </xf>
    <xf numFmtId="0" fontId="77" fillId="35" borderId="8" xfId="201" applyFont="1" applyFill="1" applyBorder="1" applyAlignment="1">
      <alignment vertical="center" wrapText="1"/>
    </xf>
    <xf numFmtId="4" fontId="77" fillId="35" borderId="8" xfId="201" applyNumberFormat="1" applyFont="1" applyFill="1" applyBorder="1"/>
    <xf numFmtId="4" fontId="77" fillId="35" borderId="8" xfId="201" applyNumberFormat="1" applyFont="1" applyFill="1" applyBorder="1" applyAlignment="1">
      <alignment vertical="center" wrapText="1"/>
    </xf>
    <xf numFmtId="10" fontId="77" fillId="35" borderId="8" xfId="201" applyNumberFormat="1" applyFont="1" applyFill="1" applyBorder="1" applyAlignment="1">
      <alignment horizontal="right" vertical="center" wrapText="1"/>
    </xf>
    <xf numFmtId="0" fontId="75" fillId="11" borderId="8" xfId="201" applyFont="1" applyFill="1" applyBorder="1" applyAlignment="1">
      <alignment vertical="center" wrapText="1"/>
    </xf>
    <xf numFmtId="4" fontId="78" fillId="11" borderId="8" xfId="201" applyNumberFormat="1" applyFont="1" applyFill="1" applyBorder="1"/>
    <xf numFmtId="4" fontId="75" fillId="11" borderId="8" xfId="201" applyNumberFormat="1" applyFont="1" applyFill="1" applyBorder="1" applyAlignment="1">
      <alignment vertical="center" wrapText="1"/>
    </xf>
    <xf numFmtId="10" fontId="75" fillId="11" borderId="8" xfId="201" applyNumberFormat="1" applyFont="1" applyFill="1" applyBorder="1" applyAlignment="1">
      <alignment horizontal="right" vertical="center" wrapText="1"/>
    </xf>
    <xf numFmtId="0" fontId="75" fillId="19" borderId="8" xfId="201" applyFont="1" applyFill="1" applyBorder="1" applyAlignment="1">
      <alignment horizontal="left" vertical="center" wrapText="1" indent="1"/>
    </xf>
    <xf numFmtId="4" fontId="78" fillId="19" borderId="8" xfId="201" applyNumberFormat="1" applyFont="1" applyFill="1" applyBorder="1"/>
    <xf numFmtId="4" fontId="75" fillId="19" borderId="8" xfId="201" applyNumberFormat="1" applyFont="1" applyFill="1" applyBorder="1" applyAlignment="1">
      <alignment vertical="center" wrapText="1"/>
    </xf>
    <xf numFmtId="10" fontId="75" fillId="19" borderId="8" xfId="201" applyNumberFormat="1" applyFont="1" applyFill="1" applyBorder="1" applyAlignment="1">
      <alignment horizontal="right" vertical="center" wrapText="1"/>
    </xf>
    <xf numFmtId="4" fontId="71" fillId="0" borderId="2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3" fillId="0" borderId="8" xfId="0" applyFont="1" applyBorder="1" applyAlignment="1">
      <alignment vertical="center" wrapText="1"/>
    </xf>
    <xf numFmtId="0" fontId="73" fillId="0" borderId="8" xfId="0" applyFont="1" applyBorder="1" applyAlignment="1">
      <alignment horizontal="center" vertical="center" wrapText="1"/>
    </xf>
    <xf numFmtId="0" fontId="73" fillId="3" borderId="8" xfId="0" applyFont="1" applyFill="1" applyBorder="1" applyAlignment="1">
      <alignment vertical="center" wrapText="1"/>
    </xf>
    <xf numFmtId="4" fontId="73" fillId="3" borderId="8" xfId="0" applyNumberFormat="1" applyFont="1" applyFill="1" applyBorder="1" applyAlignment="1">
      <alignment vertical="center" wrapText="1"/>
    </xf>
    <xf numFmtId="10" fontId="73" fillId="3" borderId="8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10" fontId="0" fillId="0" borderId="8" xfId="0" applyNumberFormat="1" applyBorder="1" applyAlignment="1">
      <alignment horizontal="center" vertical="center" wrapText="1"/>
    </xf>
    <xf numFmtId="0" fontId="73" fillId="36" borderId="8" xfId="0" applyFont="1" applyFill="1" applyBorder="1" applyAlignment="1">
      <alignment vertical="center" wrapText="1"/>
    </xf>
    <xf numFmtId="4" fontId="73" fillId="36" borderId="8" xfId="0" applyNumberFormat="1" applyFont="1" applyFill="1" applyBorder="1" applyAlignment="1">
      <alignment vertical="center" wrapText="1"/>
    </xf>
    <xf numFmtId="10" fontId="73" fillId="36" borderId="8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 wrapText="1"/>
    </xf>
    <xf numFmtId="0" fontId="74" fillId="0" borderId="0" xfId="203" applyFont="1" applyAlignment="1">
      <alignment vertical="center" wrapText="1"/>
    </xf>
    <xf numFmtId="0" fontId="77" fillId="12" borderId="8" xfId="203" applyFont="1" applyFill="1" applyBorder="1" applyAlignment="1">
      <alignment horizontal="center" vertical="center" wrapText="1"/>
    </xf>
    <xf numFmtId="0" fontId="2" fillId="0" borderId="0" xfId="203" applyAlignment="1">
      <alignment vertical="center" wrapText="1"/>
    </xf>
    <xf numFmtId="0" fontId="75" fillId="0" borderId="8" xfId="203" applyFont="1" applyBorder="1" applyAlignment="1">
      <alignment vertical="center" wrapText="1"/>
    </xf>
    <xf numFmtId="4" fontId="78" fillId="0" borderId="8" xfId="204" applyNumberFormat="1" applyFont="1" applyFill="1" applyBorder="1" applyAlignment="1" applyProtection="1">
      <alignment vertical="center" wrapText="1"/>
    </xf>
    <xf numFmtId="10" fontId="75" fillId="0" borderId="8" xfId="203" applyNumberFormat="1" applyFont="1" applyBorder="1" applyAlignment="1">
      <alignment horizontal="right" vertical="center" wrapText="1"/>
    </xf>
    <xf numFmtId="4" fontId="75" fillId="0" borderId="8" xfId="203" applyNumberFormat="1" applyFont="1" applyBorder="1" applyAlignment="1">
      <alignment vertical="center" wrapText="1"/>
    </xf>
    <xf numFmtId="4" fontId="72" fillId="0" borderId="0" xfId="203" applyNumberFormat="1" applyFont="1" applyAlignment="1">
      <alignment vertical="center" wrapText="1"/>
    </xf>
    <xf numFmtId="0" fontId="73" fillId="0" borderId="0" xfId="203" applyFont="1" applyAlignment="1">
      <alignment vertical="center" wrapText="1"/>
    </xf>
    <xf numFmtId="0" fontId="79" fillId="0" borderId="8" xfId="205" applyFont="1" applyBorder="1" applyAlignment="1">
      <alignment horizontal="left" vertical="center" wrapText="1" indent="1"/>
    </xf>
    <xf numFmtId="4" fontId="74" fillId="0" borderId="8" xfId="204" applyNumberFormat="1" applyFont="1" applyFill="1" applyBorder="1" applyAlignment="1" applyProtection="1">
      <alignment vertical="center" wrapText="1"/>
    </xf>
    <xf numFmtId="10" fontId="74" fillId="0" borderId="8" xfId="203" applyNumberFormat="1" applyFont="1" applyBorder="1" applyAlignment="1">
      <alignment horizontal="right" vertical="center" wrapText="1"/>
    </xf>
    <xf numFmtId="4" fontId="74" fillId="0" borderId="8" xfId="203" applyNumberFormat="1" applyFont="1" applyBorder="1" applyAlignment="1">
      <alignment vertical="center" wrapText="1"/>
    </xf>
    <xf numFmtId="0" fontId="78" fillId="0" borderId="8" xfId="205" applyFont="1" applyBorder="1" applyAlignment="1">
      <alignment vertical="center" wrapText="1"/>
    </xf>
    <xf numFmtId="0" fontId="79" fillId="6" borderId="8" xfId="205" applyFont="1" applyFill="1" applyBorder="1" applyAlignment="1">
      <alignment horizontal="left" vertical="center" wrapText="1" indent="1"/>
    </xf>
    <xf numFmtId="0" fontId="77" fillId="12" borderId="8" xfId="203" applyFont="1" applyFill="1" applyBorder="1" applyAlignment="1">
      <alignment horizontal="left" vertical="center" wrapText="1"/>
    </xf>
    <xf numFmtId="4" fontId="77" fillId="12" borderId="8" xfId="203" applyNumberFormat="1" applyFont="1" applyFill="1" applyBorder="1" applyAlignment="1">
      <alignment horizontal="right" vertical="center" wrapText="1"/>
    </xf>
    <xf numFmtId="10" fontId="77" fillId="12" borderId="8" xfId="203" applyNumberFormat="1" applyFont="1" applyFill="1" applyBorder="1" applyAlignment="1">
      <alignment horizontal="right" vertical="center" wrapText="1"/>
    </xf>
    <xf numFmtId="0" fontId="2" fillId="0" borderId="0" xfId="203"/>
    <xf numFmtId="4" fontId="2" fillId="0" borderId="0" xfId="203" applyNumberFormat="1"/>
    <xf numFmtId="0" fontId="74" fillId="0" borderId="0" xfId="205" applyFont="1" applyAlignment="1">
      <alignment vertical="center" wrapText="1"/>
    </xf>
    <xf numFmtId="0" fontId="77" fillId="16" borderId="8" xfId="205" applyFont="1" applyFill="1" applyBorder="1" applyAlignment="1">
      <alignment horizontal="center" vertical="center" wrapText="1"/>
    </xf>
    <xf numFmtId="0" fontId="77" fillId="16" borderId="18" xfId="205" applyFont="1" applyFill="1" applyBorder="1" applyAlignment="1">
      <alignment horizontal="center" vertical="center" wrapText="1"/>
    </xf>
    <xf numFmtId="0" fontId="77" fillId="17" borderId="19" xfId="205" applyFont="1" applyFill="1" applyBorder="1" applyAlignment="1">
      <alignment horizontal="center" vertical="center" wrapText="1"/>
    </xf>
    <xf numFmtId="0" fontId="77" fillId="17" borderId="8" xfId="205" applyFont="1" applyFill="1" applyBorder="1" applyAlignment="1">
      <alignment horizontal="center" vertical="center" wrapText="1"/>
    </xf>
    <xf numFmtId="0" fontId="77" fillId="17" borderId="18" xfId="205" applyFont="1" applyFill="1" applyBorder="1" applyAlignment="1">
      <alignment horizontal="center" vertical="center" wrapText="1"/>
    </xf>
    <xf numFmtId="0" fontId="77" fillId="18" borderId="19" xfId="205" applyFont="1" applyFill="1" applyBorder="1" applyAlignment="1">
      <alignment horizontal="center" vertical="center" wrapText="1"/>
    </xf>
    <xf numFmtId="0" fontId="77" fillId="18" borderId="8" xfId="205" applyFont="1" applyFill="1" applyBorder="1" applyAlignment="1">
      <alignment horizontal="center" vertical="center" wrapText="1"/>
    </xf>
    <xf numFmtId="0" fontId="77" fillId="18" borderId="18" xfId="205" applyFont="1" applyFill="1" applyBorder="1" applyAlignment="1">
      <alignment horizontal="center" vertical="center" wrapText="1"/>
    </xf>
    <xf numFmtId="0" fontId="77" fillId="17" borderId="36" xfId="205" applyFont="1" applyFill="1" applyBorder="1" applyAlignment="1">
      <alignment horizontal="center" vertical="center" wrapText="1"/>
    </xf>
    <xf numFmtId="0" fontId="2" fillId="0" borderId="0" xfId="205" applyAlignment="1">
      <alignment vertical="center" wrapText="1"/>
    </xf>
    <xf numFmtId="0" fontId="75" fillId="4" borderId="19" xfId="205" applyFont="1" applyFill="1" applyBorder="1" applyAlignment="1">
      <alignment vertical="center" wrapText="1"/>
    </xf>
    <xf numFmtId="4" fontId="78" fillId="4" borderId="8" xfId="204" applyNumberFormat="1" applyFont="1" applyFill="1" applyBorder="1" applyAlignment="1" applyProtection="1">
      <alignment vertical="center" wrapText="1"/>
    </xf>
    <xf numFmtId="10" fontId="78" fillId="4" borderId="8" xfId="204" applyNumberFormat="1" applyFont="1" applyFill="1" applyBorder="1" applyAlignment="1" applyProtection="1">
      <alignment vertical="center" wrapText="1"/>
    </xf>
    <xf numFmtId="4" fontId="78" fillId="4" borderId="18" xfId="204" applyNumberFormat="1" applyFont="1" applyFill="1" applyBorder="1" applyAlignment="1" applyProtection="1">
      <alignment vertical="center" wrapText="1"/>
    </xf>
    <xf numFmtId="4" fontId="78" fillId="4" borderId="36" xfId="204" applyNumberFormat="1" applyFont="1" applyFill="1" applyBorder="1" applyAlignment="1" applyProtection="1">
      <alignment vertical="center" wrapText="1"/>
    </xf>
    <xf numFmtId="0" fontId="75" fillId="5" borderId="19" xfId="205" applyFont="1" applyFill="1" applyBorder="1" applyAlignment="1">
      <alignment vertical="center" wrapText="1"/>
    </xf>
    <xf numFmtId="4" fontId="75" fillId="5" borderId="8" xfId="205" applyNumberFormat="1" applyFont="1" applyFill="1" applyBorder="1" applyAlignment="1">
      <alignment vertical="center" wrapText="1"/>
    </xf>
    <xf numFmtId="10" fontId="75" fillId="5" borderId="8" xfId="205" applyNumberFormat="1" applyFont="1" applyFill="1" applyBorder="1" applyAlignment="1">
      <alignment vertical="center" wrapText="1"/>
    </xf>
    <xf numFmtId="4" fontId="75" fillId="5" borderId="18" xfId="205" applyNumberFormat="1" applyFont="1" applyFill="1" applyBorder="1" applyAlignment="1">
      <alignment vertical="center" wrapText="1"/>
    </xf>
    <xf numFmtId="4" fontId="75" fillId="5" borderId="36" xfId="205" applyNumberFormat="1" applyFont="1" applyFill="1" applyBorder="1" applyAlignment="1">
      <alignment vertical="center" wrapText="1"/>
    </xf>
    <xf numFmtId="0" fontId="74" fillId="0" borderId="19" xfId="205" applyFont="1" applyBorder="1" applyAlignment="1">
      <alignment horizontal="left" vertical="center" wrapText="1" indent="1"/>
    </xf>
    <xf numFmtId="4" fontId="74" fillId="0" borderId="8" xfId="205" applyNumberFormat="1" applyFont="1" applyBorder="1" applyAlignment="1">
      <alignment vertical="center" wrapText="1"/>
    </xf>
    <xf numFmtId="10" fontId="74" fillId="0" borderId="8" xfId="205" applyNumberFormat="1" applyFont="1" applyBorder="1" applyAlignment="1">
      <alignment vertical="center" wrapText="1"/>
    </xf>
    <xf numFmtId="4" fontId="74" fillId="0" borderId="18" xfId="205" applyNumberFormat="1" applyFont="1" applyBorder="1" applyAlignment="1">
      <alignment vertical="center" wrapText="1"/>
    </xf>
    <xf numFmtId="4" fontId="75" fillId="4" borderId="8" xfId="205" applyNumberFormat="1" applyFont="1" applyFill="1" applyBorder="1" applyAlignment="1">
      <alignment vertical="center" wrapText="1"/>
    </xf>
    <xf numFmtId="10" fontId="75" fillId="4" borderId="8" xfId="205" applyNumberFormat="1" applyFont="1" applyFill="1" applyBorder="1" applyAlignment="1">
      <alignment vertical="center" wrapText="1"/>
    </xf>
    <xf numFmtId="4" fontId="75" fillId="4" borderId="18" xfId="205" applyNumberFormat="1" applyFont="1" applyFill="1" applyBorder="1" applyAlignment="1">
      <alignment vertical="center" wrapText="1"/>
    </xf>
    <xf numFmtId="4" fontId="75" fillId="4" borderId="36" xfId="205" applyNumberFormat="1" applyFont="1" applyFill="1" applyBorder="1" applyAlignment="1">
      <alignment vertical="center" wrapText="1"/>
    </xf>
    <xf numFmtId="4" fontId="79" fillId="0" borderId="8" xfId="204" applyNumberFormat="1" applyFont="1" applyBorder="1" applyAlignment="1" applyProtection="1">
      <alignment vertical="center" wrapText="1"/>
    </xf>
    <xf numFmtId="0" fontId="82" fillId="26" borderId="21" xfId="205" applyFont="1" applyFill="1" applyBorder="1" applyAlignment="1">
      <alignment vertical="center" wrapText="1"/>
    </xf>
    <xf numFmtId="4" fontId="82" fillId="16" borderId="22" xfId="205" applyNumberFormat="1" applyFont="1" applyFill="1" applyBorder="1" applyAlignment="1">
      <alignment horizontal="right" vertical="center" wrapText="1"/>
    </xf>
    <xf numFmtId="10" fontId="82" fillId="16" borderId="22" xfId="205" applyNumberFormat="1" applyFont="1" applyFill="1" applyBorder="1" applyAlignment="1">
      <alignment horizontal="right" vertical="center" wrapText="1"/>
    </xf>
    <xf numFmtId="4" fontId="82" fillId="17" borderId="22" xfId="205" applyNumberFormat="1" applyFont="1" applyFill="1" applyBorder="1" applyAlignment="1">
      <alignment horizontal="right" vertical="center" wrapText="1"/>
    </xf>
    <xf numFmtId="10" fontId="82" fillId="17" borderId="22" xfId="205" applyNumberFormat="1" applyFont="1" applyFill="1" applyBorder="1" applyAlignment="1">
      <alignment horizontal="right" vertical="center" wrapText="1"/>
    </xf>
    <xf numFmtId="4" fontId="82" fillId="18" borderId="22" xfId="205" applyNumberFormat="1" applyFont="1" applyFill="1" applyBorder="1" applyAlignment="1">
      <alignment horizontal="right" vertical="center" wrapText="1"/>
    </xf>
    <xf numFmtId="10" fontId="82" fillId="18" borderId="22" xfId="205" applyNumberFormat="1" applyFont="1" applyFill="1" applyBorder="1" applyAlignment="1">
      <alignment horizontal="right" vertical="center" wrapText="1"/>
    </xf>
    <xf numFmtId="4" fontId="82" fillId="18" borderId="23" xfId="205" applyNumberFormat="1" applyFont="1" applyFill="1" applyBorder="1" applyAlignment="1">
      <alignment horizontal="right" vertical="center" wrapText="1"/>
    </xf>
    <xf numFmtId="4" fontId="82" fillId="17" borderId="24" xfId="205" applyNumberFormat="1" applyFont="1" applyFill="1" applyBorder="1" applyAlignment="1">
      <alignment horizontal="right" vertical="center" wrapText="1"/>
    </xf>
    <xf numFmtId="4" fontId="82" fillId="18" borderId="24" xfId="205" applyNumberFormat="1" applyFont="1" applyFill="1" applyBorder="1" applyAlignment="1">
      <alignment horizontal="right" vertical="center" wrapText="1"/>
    </xf>
    <xf numFmtId="4" fontId="82" fillId="18" borderId="25" xfId="205" applyNumberFormat="1" applyFont="1" applyFill="1" applyBorder="1" applyAlignment="1">
      <alignment horizontal="right" vertical="center" wrapText="1"/>
    </xf>
    <xf numFmtId="4" fontId="82" fillId="17" borderId="25" xfId="205" applyNumberFormat="1" applyFont="1" applyFill="1" applyBorder="1" applyAlignment="1">
      <alignment horizontal="right" vertical="center" wrapText="1"/>
    </xf>
    <xf numFmtId="0" fontId="2" fillId="0" borderId="0" xfId="205"/>
    <xf numFmtId="4" fontId="2" fillId="0" borderId="0" xfId="205" applyNumberFormat="1"/>
    <xf numFmtId="4" fontId="75" fillId="4" borderId="37" xfId="205" applyNumberFormat="1" applyFont="1" applyFill="1" applyBorder="1" applyAlignment="1">
      <alignment vertical="center" wrapText="1"/>
    </xf>
    <xf numFmtId="4" fontId="75" fillId="5" borderId="37" xfId="205" applyNumberFormat="1" applyFont="1" applyFill="1" applyBorder="1" applyAlignment="1">
      <alignment vertical="center" wrapText="1"/>
    </xf>
    <xf numFmtId="4" fontId="74" fillId="0" borderId="37" xfId="205" applyNumberFormat="1" applyFont="1" applyBorder="1" applyAlignment="1">
      <alignment vertical="center" wrapText="1"/>
    </xf>
    <xf numFmtId="4" fontId="82" fillId="16" borderId="24" xfId="205" applyNumberFormat="1" applyFont="1" applyFill="1" applyBorder="1" applyAlignment="1">
      <alignment horizontal="right" vertical="center" wrapText="1"/>
    </xf>
    <xf numFmtId="0" fontId="82" fillId="26" borderId="19" xfId="205" applyFont="1" applyFill="1" applyBorder="1" applyAlignment="1">
      <alignment vertical="center" wrapText="1"/>
    </xf>
    <xf numFmtId="4" fontId="82" fillId="26" borderId="8" xfId="205" applyNumberFormat="1" applyFont="1" applyFill="1" applyBorder="1"/>
    <xf numFmtId="10" fontId="82" fillId="26" borderId="8" xfId="205" applyNumberFormat="1" applyFont="1" applyFill="1" applyBorder="1" applyAlignment="1">
      <alignment vertical="center" wrapText="1"/>
    </xf>
    <xf numFmtId="4" fontId="82" fillId="26" borderId="8" xfId="205" applyNumberFormat="1" applyFont="1" applyFill="1" applyBorder="1" applyAlignment="1">
      <alignment vertical="center" wrapText="1"/>
    </xf>
    <xf numFmtId="4" fontId="82" fillId="26" borderId="18" xfId="205" applyNumberFormat="1" applyFont="1" applyFill="1" applyBorder="1" applyAlignment="1">
      <alignment vertical="center" wrapText="1"/>
    </xf>
    <xf numFmtId="4" fontId="82" fillId="17" borderId="8" xfId="205" applyNumberFormat="1" applyFont="1" applyFill="1" applyBorder="1"/>
    <xf numFmtId="10" fontId="82" fillId="17" borderId="8" xfId="205" applyNumberFormat="1" applyFont="1" applyFill="1" applyBorder="1" applyAlignment="1">
      <alignment vertical="center" wrapText="1"/>
    </xf>
    <xf numFmtId="4" fontId="82" fillId="17" borderId="8" xfId="205" applyNumberFormat="1" applyFont="1" applyFill="1" applyBorder="1" applyAlignment="1">
      <alignment vertical="center" wrapText="1"/>
    </xf>
    <xf numFmtId="4" fontId="82" fillId="17" borderId="18" xfId="205" applyNumberFormat="1" applyFont="1" applyFill="1" applyBorder="1" applyAlignment="1">
      <alignment vertical="center" wrapText="1"/>
    </xf>
    <xf numFmtId="4" fontId="82" fillId="18" borderId="8" xfId="205" applyNumberFormat="1" applyFont="1" applyFill="1" applyBorder="1"/>
    <xf numFmtId="10" fontId="82" fillId="18" borderId="8" xfId="205" applyNumberFormat="1" applyFont="1" applyFill="1" applyBorder="1" applyAlignment="1">
      <alignment vertical="center" wrapText="1"/>
    </xf>
    <xf numFmtId="4" fontId="82" fillId="18" borderId="8" xfId="205" applyNumberFormat="1" applyFont="1" applyFill="1" applyBorder="1" applyAlignment="1">
      <alignment vertical="center" wrapText="1"/>
    </xf>
    <xf numFmtId="4" fontId="82" fillId="18" borderId="18" xfId="205" applyNumberFormat="1" applyFont="1" applyFill="1" applyBorder="1" applyAlignment="1">
      <alignment vertical="center" wrapText="1"/>
    </xf>
    <xf numFmtId="0" fontId="95" fillId="0" borderId="0" xfId="205" applyFont="1"/>
    <xf numFmtId="0" fontId="92" fillId="16" borderId="21" xfId="205" applyFont="1" applyFill="1" applyBorder="1" applyAlignment="1">
      <alignment vertical="center" wrapText="1"/>
    </xf>
    <xf numFmtId="4" fontId="82" fillId="26" borderId="2" xfId="205" applyNumberFormat="1" applyFont="1" applyFill="1" applyBorder="1"/>
    <xf numFmtId="4" fontId="82" fillId="17" borderId="2" xfId="205" applyNumberFormat="1" applyFont="1" applyFill="1" applyBorder="1"/>
    <xf numFmtId="4" fontId="82" fillId="18" borderId="2" xfId="205" applyNumberFormat="1" applyFont="1" applyFill="1" applyBorder="1"/>
    <xf numFmtId="4" fontId="92" fillId="16" borderId="22" xfId="205" applyNumberFormat="1" applyFont="1" applyFill="1" applyBorder="1"/>
    <xf numFmtId="10" fontId="92" fillId="16" borderId="22" xfId="205" applyNumberFormat="1" applyFont="1" applyFill="1" applyBorder="1" applyAlignment="1">
      <alignment vertical="center" wrapText="1"/>
    </xf>
    <xf numFmtId="4" fontId="92" fillId="16" borderId="22" xfId="205" applyNumberFormat="1" applyFont="1" applyFill="1" applyBorder="1" applyAlignment="1">
      <alignment vertical="center" wrapText="1"/>
    </xf>
    <xf numFmtId="4" fontId="92" fillId="16" borderId="24" xfId="205" applyNumberFormat="1" applyFont="1" applyFill="1" applyBorder="1" applyAlignment="1">
      <alignment vertical="center" wrapText="1"/>
    </xf>
    <xf numFmtId="4" fontId="92" fillId="17" borderId="22" xfId="205" applyNumberFormat="1" applyFont="1" applyFill="1" applyBorder="1"/>
    <xf numFmtId="10" fontId="92" fillId="17" borderId="22" xfId="205" applyNumberFormat="1" applyFont="1" applyFill="1" applyBorder="1" applyAlignment="1">
      <alignment vertical="center" wrapText="1"/>
    </xf>
    <xf numFmtId="4" fontId="92" fillId="17" borderId="22" xfId="205" applyNumberFormat="1" applyFont="1" applyFill="1" applyBorder="1" applyAlignment="1">
      <alignment vertical="center" wrapText="1"/>
    </xf>
    <xf numFmtId="4" fontId="92" fillId="17" borderId="24" xfId="205" applyNumberFormat="1" applyFont="1" applyFill="1" applyBorder="1" applyAlignment="1">
      <alignment vertical="center" wrapText="1"/>
    </xf>
    <xf numFmtId="4" fontId="92" fillId="18" borderId="22" xfId="205" applyNumberFormat="1" applyFont="1" applyFill="1" applyBorder="1"/>
    <xf numFmtId="10" fontId="92" fillId="18" borderId="22" xfId="205" applyNumberFormat="1" applyFont="1" applyFill="1" applyBorder="1" applyAlignment="1">
      <alignment vertical="center" wrapText="1"/>
    </xf>
    <xf numFmtId="4" fontId="92" fillId="18" borderId="22" xfId="205" applyNumberFormat="1" applyFont="1" applyFill="1" applyBorder="1" applyAlignment="1">
      <alignment vertical="center" wrapText="1"/>
    </xf>
    <xf numFmtId="4" fontId="92" fillId="18" borderId="24" xfId="205" applyNumberFormat="1" applyFont="1" applyFill="1" applyBorder="1" applyAlignment="1">
      <alignment vertical="center" wrapText="1"/>
    </xf>
    <xf numFmtId="0" fontId="67" fillId="0" borderId="0" xfId="205" applyFont="1"/>
    <xf numFmtId="0" fontId="97" fillId="0" borderId="0" xfId="206" applyFont="1" applyAlignment="1">
      <alignment vertical="center" wrapText="1"/>
    </xf>
    <xf numFmtId="10" fontId="97" fillId="0" borderId="0" xfId="206" applyNumberFormat="1" applyFont="1" applyAlignment="1">
      <alignment vertical="center" wrapText="1"/>
    </xf>
    <xf numFmtId="0" fontId="110" fillId="0" borderId="0" xfId="206"/>
    <xf numFmtId="1" fontId="99" fillId="0" borderId="0" xfId="206" applyNumberFormat="1" applyFont="1" applyAlignment="1">
      <alignment horizontal="center" vertical="center" wrapText="1" readingOrder="1"/>
    </xf>
    <xf numFmtId="0" fontId="100" fillId="0" borderId="0" xfId="206" applyFont="1" applyAlignment="1">
      <alignment vertical="center" wrapText="1"/>
    </xf>
    <xf numFmtId="1" fontId="102" fillId="27" borderId="0" xfId="206" applyNumberFormat="1" applyFont="1" applyFill="1" applyAlignment="1">
      <alignment horizontal="center" vertical="center" wrapText="1" readingOrder="1"/>
    </xf>
    <xf numFmtId="0" fontId="103" fillId="27" borderId="0" xfId="206" applyFont="1" applyFill="1" applyAlignment="1">
      <alignment vertical="center" wrapText="1"/>
    </xf>
    <xf numFmtId="0" fontId="97" fillId="0" borderId="0" xfId="206" applyFont="1" applyAlignment="1">
      <alignment horizontal="right" vertical="center" wrapText="1"/>
    </xf>
    <xf numFmtId="0" fontId="102" fillId="28" borderId="29" xfId="206" applyFont="1" applyFill="1" applyBorder="1" applyAlignment="1">
      <alignment horizontal="center" vertical="center" wrapText="1"/>
    </xf>
    <xf numFmtId="0" fontId="99" fillId="27" borderId="29" xfId="206" applyFont="1" applyFill="1" applyBorder="1" applyAlignment="1">
      <alignment horizontal="center" vertical="center" wrapText="1"/>
    </xf>
    <xf numFmtId="0" fontId="97" fillId="27" borderId="29" xfId="206" applyFont="1" applyFill="1" applyBorder="1" applyAlignment="1">
      <alignment horizontal="center" vertical="center" wrapText="1"/>
    </xf>
    <xf numFmtId="49" fontId="99" fillId="27" borderId="29" xfId="206" applyNumberFormat="1" applyFont="1" applyFill="1" applyBorder="1" applyAlignment="1">
      <alignment horizontal="center" vertical="center" wrapText="1"/>
    </xf>
    <xf numFmtId="0" fontId="97" fillId="0" borderId="29" xfId="206" applyFont="1" applyBorder="1" applyAlignment="1">
      <alignment vertical="center" wrapText="1"/>
    </xf>
    <xf numFmtId="0" fontId="99" fillId="30" borderId="29" xfId="206" applyFont="1" applyFill="1" applyBorder="1" applyAlignment="1">
      <alignment horizontal="left" vertical="center" wrapText="1"/>
    </xf>
    <xf numFmtId="4" fontId="99" fillId="30" borderId="29" xfId="206" applyNumberFormat="1" applyFont="1" applyFill="1" applyBorder="1"/>
    <xf numFmtId="4" fontId="99" fillId="30" borderId="29" xfId="206" applyNumberFormat="1" applyFont="1" applyFill="1" applyBorder="1" applyAlignment="1">
      <alignment vertical="center" wrapText="1"/>
    </xf>
    <xf numFmtId="10" fontId="99" fillId="30" borderId="29" xfId="206" applyNumberFormat="1" applyFont="1" applyFill="1" applyBorder="1" applyAlignment="1">
      <alignment horizontal="right" vertical="center" wrapText="1"/>
    </xf>
    <xf numFmtId="0" fontId="97" fillId="0" borderId="0" xfId="206" applyFont="1"/>
    <xf numFmtId="0" fontId="99" fillId="0" borderId="29" xfId="206" applyFont="1" applyBorder="1" applyAlignment="1">
      <alignment vertical="center" wrapText="1"/>
    </xf>
    <xf numFmtId="4" fontId="99" fillId="0" borderId="29" xfId="206" applyNumberFormat="1" applyFont="1" applyBorder="1"/>
    <xf numFmtId="4" fontId="99" fillId="0" borderId="29" xfId="206" applyNumberFormat="1" applyFont="1" applyBorder="1" applyAlignment="1">
      <alignment vertical="center" wrapText="1"/>
    </xf>
    <xf numFmtId="10" fontId="99" fillId="0" borderId="29" xfId="206" applyNumberFormat="1" applyFont="1" applyBorder="1" applyAlignment="1">
      <alignment horizontal="right" vertical="center" wrapText="1"/>
    </xf>
    <xf numFmtId="0" fontId="97" fillId="0" borderId="29" xfId="206" applyFont="1" applyBorder="1" applyAlignment="1">
      <alignment horizontal="left" vertical="center" wrapText="1"/>
    </xf>
    <xf numFmtId="4" fontId="97" fillId="0" borderId="29" xfId="206" applyNumberFormat="1" applyFont="1" applyBorder="1" applyAlignment="1">
      <alignment vertical="center" wrapText="1"/>
    </xf>
    <xf numFmtId="10" fontId="97" fillId="0" borderId="29" xfId="206" applyNumberFormat="1" applyFont="1" applyBorder="1" applyAlignment="1">
      <alignment horizontal="right" vertical="center" wrapText="1"/>
    </xf>
    <xf numFmtId="0" fontId="99" fillId="0" borderId="0" xfId="206" applyFont="1"/>
    <xf numFmtId="4" fontId="97" fillId="0" borderId="29" xfId="206" applyNumberFormat="1" applyFont="1" applyBorder="1"/>
    <xf numFmtId="0" fontId="104" fillId="0" borderId="29" xfId="206" applyFont="1" applyBorder="1" applyAlignment="1">
      <alignment horizontal="left" vertical="center" wrapText="1"/>
    </xf>
    <xf numFmtId="0" fontId="99" fillId="31" borderId="29" xfId="206" applyFont="1" applyFill="1" applyBorder="1" applyAlignment="1">
      <alignment horizontal="left" vertical="center" wrapText="1"/>
    </xf>
    <xf numFmtId="4" fontId="99" fillId="31" borderId="29" xfId="206" applyNumberFormat="1" applyFont="1" applyFill="1" applyBorder="1"/>
    <xf numFmtId="4" fontId="99" fillId="31" borderId="29" xfId="206" applyNumberFormat="1" applyFont="1" applyFill="1" applyBorder="1" applyAlignment="1">
      <alignment vertical="center" wrapText="1"/>
    </xf>
    <xf numFmtId="10" fontId="99" fillId="31" borderId="29" xfId="206" applyNumberFormat="1" applyFont="1" applyFill="1" applyBorder="1" applyAlignment="1">
      <alignment horizontal="right" vertical="center" wrapText="1"/>
    </xf>
    <xf numFmtId="0" fontId="102" fillId="32" borderId="29" xfId="206" applyFont="1" applyFill="1" applyBorder="1" applyAlignment="1">
      <alignment vertical="center" wrapText="1"/>
    </xf>
    <xf numFmtId="4" fontId="102" fillId="32" borderId="29" xfId="206" applyNumberFormat="1" applyFont="1" applyFill="1" applyBorder="1"/>
    <xf numFmtId="4" fontId="102" fillId="32" borderId="29" xfId="206" applyNumberFormat="1" applyFont="1" applyFill="1" applyBorder="1" applyAlignment="1">
      <alignment vertical="center" wrapText="1"/>
    </xf>
    <xf numFmtId="10" fontId="102" fillId="32" borderId="29" xfId="206" applyNumberFormat="1" applyFont="1" applyFill="1" applyBorder="1" applyAlignment="1">
      <alignment horizontal="right" vertical="center" wrapText="1"/>
    </xf>
    <xf numFmtId="0" fontId="99" fillId="27" borderId="29" xfId="206" applyFont="1" applyFill="1" applyBorder="1" applyAlignment="1">
      <alignment vertical="center" wrapText="1"/>
    </xf>
    <xf numFmtId="4" fontId="99" fillId="27" borderId="29" xfId="206" applyNumberFormat="1" applyFont="1" applyFill="1" applyBorder="1"/>
    <xf numFmtId="4" fontId="99" fillId="27" borderId="29" xfId="206" applyNumberFormat="1" applyFont="1" applyFill="1" applyBorder="1" applyAlignment="1">
      <alignment vertical="center" wrapText="1"/>
    </xf>
    <xf numFmtId="10" fontId="99" fillId="27" borderId="29" xfId="206" applyNumberFormat="1" applyFont="1" applyFill="1" applyBorder="1" applyAlignment="1">
      <alignment horizontal="right" vertical="center" wrapText="1"/>
    </xf>
    <xf numFmtId="0" fontId="99" fillId="33" borderId="29" xfId="206" applyFont="1" applyFill="1" applyBorder="1" applyAlignment="1">
      <alignment horizontal="left" vertical="center" wrapText="1"/>
    </xf>
    <xf numFmtId="4" fontId="99" fillId="33" borderId="29" xfId="206" applyNumberFormat="1" applyFont="1" applyFill="1" applyBorder="1"/>
    <xf numFmtId="4" fontId="99" fillId="33" borderId="29" xfId="206" applyNumberFormat="1" applyFont="1" applyFill="1" applyBorder="1" applyAlignment="1">
      <alignment vertical="center" wrapText="1"/>
    </xf>
    <xf numFmtId="10" fontId="99" fillId="33" borderId="29" xfId="206" applyNumberFormat="1" applyFont="1" applyFill="1" applyBorder="1" applyAlignment="1">
      <alignment horizontal="right" vertical="center" wrapText="1"/>
    </xf>
    <xf numFmtId="4" fontId="99" fillId="0" borderId="0" xfId="206" applyNumberFormat="1" applyFont="1"/>
    <xf numFmtId="0" fontId="99" fillId="0" borderId="0" xfId="206" applyFont="1" applyAlignment="1">
      <alignment horizontal="left" vertical="center" wrapText="1"/>
    </xf>
    <xf numFmtId="4" fontId="99" fillId="0" borderId="0" xfId="206" applyNumberFormat="1" applyFont="1" applyAlignment="1">
      <alignment vertical="center" wrapText="1"/>
    </xf>
    <xf numFmtId="10" fontId="99" fillId="0" borderId="0" xfId="206" applyNumberFormat="1" applyFont="1" applyAlignment="1">
      <alignment horizontal="right" vertical="center" wrapText="1"/>
    </xf>
    <xf numFmtId="4" fontId="99" fillId="0" borderId="0" xfId="206" applyNumberFormat="1" applyFont="1" applyAlignment="1">
      <alignment horizontal="center" vertical="center" wrapText="1" readingOrder="1"/>
    </xf>
    <xf numFmtId="0" fontId="98" fillId="27" borderId="0" xfId="206" applyFont="1" applyFill="1" applyAlignment="1">
      <alignment vertical="center" wrapText="1"/>
    </xf>
    <xf numFmtId="0" fontId="67" fillId="0" borderId="0" xfId="205" applyFont="1" applyAlignment="1">
      <alignment vertical="center" wrapText="1"/>
    </xf>
    <xf numFmtId="0" fontId="89" fillId="11" borderId="0" xfId="205" applyFont="1" applyFill="1" applyAlignment="1">
      <alignment vertical="center" wrapText="1"/>
    </xf>
    <xf numFmtId="0" fontId="74" fillId="0" borderId="0" xfId="205" applyFont="1" applyAlignment="1">
      <alignment horizontal="right" vertical="center" wrapText="1"/>
    </xf>
    <xf numFmtId="0" fontId="75" fillId="11" borderId="8" xfId="205" applyFont="1" applyFill="1" applyBorder="1" applyAlignment="1">
      <alignment horizontal="center" vertical="center" wrapText="1"/>
    </xf>
    <xf numFmtId="0" fontId="74" fillId="11" borderId="8" xfId="205" applyFont="1" applyFill="1" applyBorder="1" applyAlignment="1">
      <alignment horizontal="center" vertical="center" wrapText="1"/>
    </xf>
    <xf numFmtId="49" fontId="75" fillId="11" borderId="8" xfId="205" applyNumberFormat="1" applyFont="1" applyFill="1" applyBorder="1" applyAlignment="1">
      <alignment horizontal="center" vertical="center" wrapText="1"/>
    </xf>
    <xf numFmtId="0" fontId="79" fillId="0" borderId="8" xfId="205" applyFont="1" applyBorder="1" applyAlignment="1">
      <alignment vertical="center" wrapText="1"/>
    </xf>
    <xf numFmtId="0" fontId="75" fillId="10" borderId="8" xfId="205" applyFont="1" applyFill="1" applyBorder="1" applyAlignment="1">
      <alignment horizontal="left" vertical="center" wrapText="1"/>
    </xf>
    <xf numFmtId="4" fontId="78" fillId="10" borderId="8" xfId="205" applyNumberFormat="1" applyFont="1" applyFill="1" applyBorder="1"/>
    <xf numFmtId="4" fontId="75" fillId="10" borderId="8" xfId="205" applyNumberFormat="1" applyFont="1" applyFill="1" applyBorder="1" applyAlignment="1">
      <alignment vertical="center" wrapText="1"/>
    </xf>
    <xf numFmtId="10" fontId="75" fillId="10" borderId="8" xfId="205" applyNumberFormat="1" applyFont="1" applyFill="1" applyBorder="1" applyAlignment="1">
      <alignment horizontal="right" vertical="center" wrapText="1"/>
    </xf>
    <xf numFmtId="0" fontId="79" fillId="0" borderId="0" xfId="205" applyFont="1"/>
    <xf numFmtId="0" fontId="75" fillId="0" borderId="8" xfId="205" applyFont="1" applyBorder="1" applyAlignment="1">
      <alignment vertical="center" wrapText="1"/>
    </xf>
    <xf numFmtId="4" fontId="78" fillId="0" borderId="8" xfId="205" applyNumberFormat="1" applyFont="1" applyBorder="1"/>
    <xf numFmtId="4" fontId="75" fillId="0" borderId="8" xfId="205" applyNumberFormat="1" applyFont="1" applyBorder="1" applyAlignment="1">
      <alignment vertical="center" wrapText="1"/>
    </xf>
    <xf numFmtId="10" fontId="75" fillId="0" borderId="8" xfId="205" applyNumberFormat="1" applyFont="1" applyBorder="1" applyAlignment="1">
      <alignment horizontal="right" vertical="center" wrapText="1"/>
    </xf>
    <xf numFmtId="0" fontId="78" fillId="0" borderId="0" xfId="205" applyFont="1"/>
    <xf numFmtId="0" fontId="74" fillId="0" borderId="8" xfId="205" applyFont="1" applyBorder="1" applyAlignment="1">
      <alignment horizontal="left" vertical="center" wrapText="1"/>
    </xf>
    <xf numFmtId="10" fontId="74" fillId="0" borderId="8" xfId="205" applyNumberFormat="1" applyFont="1" applyBorder="1" applyAlignment="1">
      <alignment horizontal="right" vertical="center" wrapText="1"/>
    </xf>
    <xf numFmtId="4" fontId="75" fillId="0" borderId="8" xfId="204" applyNumberFormat="1" applyFont="1" applyFill="1" applyBorder="1" applyAlignment="1" applyProtection="1">
      <alignment vertical="center" wrapText="1"/>
    </xf>
    <xf numFmtId="0" fontId="74" fillId="0" borderId="8" xfId="205" applyFont="1" applyBorder="1" applyAlignment="1">
      <alignment vertical="center" wrapText="1"/>
    </xf>
    <xf numFmtId="4" fontId="79" fillId="0" borderId="8" xfId="205" applyNumberFormat="1" applyFont="1" applyBorder="1"/>
    <xf numFmtId="0" fontId="74" fillId="0" borderId="8" xfId="205" applyFont="1" applyBorder="1" applyAlignment="1">
      <alignment horizontal="left" vertical="center" wrapText="1" indent="1"/>
    </xf>
    <xf numFmtId="0" fontId="79" fillId="0" borderId="0" xfId="205" applyFont="1" applyAlignment="1" applyProtection="1">
      <alignment vertical="center" wrapText="1"/>
      <protection hidden="1"/>
    </xf>
    <xf numFmtId="0" fontId="80" fillId="0" borderId="8" xfId="205" applyFont="1" applyBorder="1" applyAlignment="1">
      <alignment horizontal="left" vertical="center" wrapText="1" indent="2"/>
    </xf>
    <xf numFmtId="0" fontId="75" fillId="14" borderId="8" xfId="205" applyFont="1" applyFill="1" applyBorder="1" applyAlignment="1">
      <alignment horizontal="left" vertical="center" wrapText="1"/>
    </xf>
    <xf numFmtId="4" fontId="78" fillId="14" borderId="8" xfId="205" applyNumberFormat="1" applyFont="1" applyFill="1" applyBorder="1"/>
    <xf numFmtId="4" fontId="75" fillId="14" borderId="8" xfId="205" applyNumberFormat="1" applyFont="1" applyFill="1" applyBorder="1" applyAlignment="1">
      <alignment vertical="center" wrapText="1"/>
    </xf>
    <xf numFmtId="10" fontId="75" fillId="14" borderId="8" xfId="205" applyNumberFormat="1" applyFont="1" applyFill="1" applyBorder="1" applyAlignment="1">
      <alignment horizontal="right" vertical="center" wrapText="1"/>
    </xf>
    <xf numFmtId="0" fontId="77" fillId="35" borderId="8" xfId="205" applyFont="1" applyFill="1" applyBorder="1" applyAlignment="1">
      <alignment vertical="center" wrapText="1"/>
    </xf>
    <xf numFmtId="4" fontId="77" fillId="35" borderId="8" xfId="205" applyNumberFormat="1" applyFont="1" applyFill="1" applyBorder="1"/>
    <xf numFmtId="4" fontId="77" fillId="35" borderId="8" xfId="205" applyNumberFormat="1" applyFont="1" applyFill="1" applyBorder="1" applyAlignment="1">
      <alignment vertical="center" wrapText="1"/>
    </xf>
    <xf numFmtId="10" fontId="77" fillId="35" borderId="8" xfId="205" applyNumberFormat="1" applyFont="1" applyFill="1" applyBorder="1" applyAlignment="1">
      <alignment horizontal="right" vertical="center" wrapText="1"/>
    </xf>
    <xf numFmtId="0" fontId="75" fillId="11" borderId="8" xfId="205" applyFont="1" applyFill="1" applyBorder="1" applyAlignment="1">
      <alignment vertical="center" wrapText="1"/>
    </xf>
    <xf numFmtId="4" fontId="78" fillId="11" borderId="8" xfId="205" applyNumberFormat="1" applyFont="1" applyFill="1" applyBorder="1"/>
    <xf numFmtId="4" fontId="75" fillId="11" borderId="8" xfId="205" applyNumberFormat="1" applyFont="1" applyFill="1" applyBorder="1" applyAlignment="1">
      <alignment vertical="center" wrapText="1"/>
    </xf>
    <xf numFmtId="10" fontId="75" fillId="11" borderId="8" xfId="205" applyNumberFormat="1" applyFont="1" applyFill="1" applyBorder="1" applyAlignment="1">
      <alignment horizontal="right" vertical="center" wrapText="1"/>
    </xf>
    <xf numFmtId="0" fontId="75" fillId="19" borderId="8" xfId="205" applyFont="1" applyFill="1" applyBorder="1" applyAlignment="1">
      <alignment horizontal="left" vertical="center" wrapText="1" indent="1"/>
    </xf>
    <xf numFmtId="4" fontId="78" fillId="19" borderId="8" xfId="205" applyNumberFormat="1" applyFont="1" applyFill="1" applyBorder="1"/>
    <xf numFmtId="4" fontId="75" fillId="19" borderId="8" xfId="205" applyNumberFormat="1" applyFont="1" applyFill="1" applyBorder="1" applyAlignment="1">
      <alignment vertical="center" wrapText="1"/>
    </xf>
    <xf numFmtId="10" fontId="75" fillId="19" borderId="8" xfId="205" applyNumberFormat="1" applyFont="1" applyFill="1" applyBorder="1" applyAlignment="1">
      <alignment horizontal="right" vertical="center" wrapText="1"/>
    </xf>
    <xf numFmtId="0" fontId="69" fillId="0" borderId="0" xfId="205" applyFont="1" applyAlignment="1">
      <alignment vertical="center" wrapText="1"/>
    </xf>
    <xf numFmtId="4" fontId="74" fillId="0" borderId="0" xfId="205" applyNumberFormat="1" applyFont="1" applyAlignment="1">
      <alignment vertical="center" wrapText="1"/>
    </xf>
    <xf numFmtId="0" fontId="78" fillId="2" borderId="8" xfId="205" applyFont="1" applyFill="1" applyBorder="1" applyAlignment="1">
      <alignment horizontal="center" vertical="center" wrapText="1"/>
    </xf>
    <xf numFmtId="0" fontId="78" fillId="3" borderId="8" xfId="205" applyFont="1" applyFill="1" applyBorder="1" applyAlignment="1">
      <alignment horizontal="center" vertical="center" wrapText="1"/>
    </xf>
    <xf numFmtId="0" fontId="79" fillId="2" borderId="8" xfId="205" applyFont="1" applyFill="1" applyBorder="1" applyAlignment="1">
      <alignment horizontal="center" vertical="center" wrapText="1"/>
    </xf>
    <xf numFmtId="0" fontId="79" fillId="3" borderId="8" xfId="205" applyFont="1" applyFill="1" applyBorder="1" applyAlignment="1">
      <alignment horizontal="center" vertical="center" wrapText="1"/>
    </xf>
    <xf numFmtId="49" fontId="78" fillId="2" borderId="8" xfId="205" applyNumberFormat="1" applyFont="1" applyFill="1" applyBorder="1" applyAlignment="1">
      <alignment horizontal="center" vertical="center" wrapText="1"/>
    </xf>
    <xf numFmtId="49" fontId="78" fillId="3" borderId="8" xfId="205" applyNumberFormat="1" applyFont="1" applyFill="1" applyBorder="1" applyAlignment="1">
      <alignment horizontal="center" vertical="center" wrapText="1"/>
    </xf>
    <xf numFmtId="0" fontId="75" fillId="5" borderId="8" xfId="205" applyFont="1" applyFill="1" applyBorder="1" applyAlignment="1">
      <alignment horizontal="left" vertical="center" wrapText="1"/>
    </xf>
    <xf numFmtId="4" fontId="78" fillId="5" borderId="8" xfId="205" applyNumberFormat="1" applyFont="1" applyFill="1" applyBorder="1" applyAlignment="1">
      <alignment vertical="center" wrapText="1"/>
    </xf>
    <xf numFmtId="4" fontId="78" fillId="3" borderId="8" xfId="205" applyNumberFormat="1" applyFont="1" applyFill="1" applyBorder="1" applyAlignment="1">
      <alignment vertical="center" wrapText="1"/>
    </xf>
    <xf numFmtId="10" fontId="75" fillId="5" borderId="8" xfId="205" applyNumberFormat="1" applyFont="1" applyFill="1" applyBorder="1" applyAlignment="1">
      <alignment horizontal="right" vertical="center" wrapText="1"/>
    </xf>
    <xf numFmtId="4" fontId="75" fillId="5" borderId="8" xfId="205" applyNumberFormat="1" applyFont="1" applyFill="1" applyBorder="1" applyAlignment="1">
      <alignment horizontal="right" vertical="center" wrapText="1"/>
    </xf>
    <xf numFmtId="0" fontId="79" fillId="3" borderId="8" xfId="205" applyFont="1" applyFill="1" applyBorder="1" applyAlignment="1">
      <alignment vertical="center" wrapText="1"/>
    </xf>
    <xf numFmtId="0" fontId="79" fillId="0" borderId="0" xfId="205" applyFont="1" applyAlignment="1">
      <alignment vertical="center" wrapText="1"/>
    </xf>
    <xf numFmtId="4" fontId="78" fillId="0" borderId="8" xfId="205" applyNumberFormat="1" applyFont="1" applyBorder="1" applyAlignment="1">
      <alignment vertical="center" wrapText="1"/>
    </xf>
    <xf numFmtId="4" fontId="75" fillId="0" borderId="8" xfId="205" applyNumberFormat="1" applyFont="1" applyBorder="1" applyAlignment="1">
      <alignment horizontal="right" vertical="center" wrapText="1"/>
    </xf>
    <xf numFmtId="4" fontId="74" fillId="0" borderId="8" xfId="205" applyNumberFormat="1" applyFont="1" applyBorder="1" applyAlignment="1">
      <alignment horizontal="right" vertical="center" wrapText="1"/>
    </xf>
    <xf numFmtId="4" fontId="78" fillId="0" borderId="8" xfId="204" applyNumberFormat="1" applyFont="1" applyBorder="1" applyAlignment="1" applyProtection="1">
      <alignment vertical="center" wrapText="1"/>
    </xf>
    <xf numFmtId="0" fontId="78" fillId="3" borderId="8" xfId="205" applyFont="1" applyFill="1" applyBorder="1" applyAlignment="1">
      <alignment vertical="center" wrapText="1"/>
    </xf>
    <xf numFmtId="0" fontId="78" fillId="0" borderId="0" xfId="205" applyFont="1" applyAlignment="1">
      <alignment vertical="center" wrapText="1"/>
    </xf>
    <xf numFmtId="0" fontId="75" fillId="0" borderId="8" xfId="205" applyFont="1" applyBorder="1" applyAlignment="1">
      <alignment horizontal="left" vertical="center" wrapText="1"/>
    </xf>
    <xf numFmtId="4" fontId="79" fillId="0" borderId="8" xfId="205" applyNumberFormat="1" applyFont="1" applyBorder="1" applyAlignment="1">
      <alignment vertical="center" wrapText="1"/>
    </xf>
    <xf numFmtId="4" fontId="79" fillId="3" borderId="8" xfId="205" applyNumberFormat="1" applyFont="1" applyFill="1" applyBorder="1" applyAlignment="1">
      <alignment vertical="center" wrapText="1"/>
    </xf>
    <xf numFmtId="4" fontId="79" fillId="0" borderId="8" xfId="204" applyNumberFormat="1" applyFont="1" applyFill="1" applyBorder="1" applyAlignment="1" applyProtection="1">
      <alignment vertical="center" wrapText="1"/>
    </xf>
    <xf numFmtId="4" fontId="78" fillId="5" borderId="8" xfId="204" applyNumberFormat="1" applyFont="1" applyFill="1" applyBorder="1" applyAlignment="1" applyProtection="1">
      <alignment vertical="center" wrapText="1"/>
    </xf>
    <xf numFmtId="0" fontId="75" fillId="5" borderId="8" xfId="205" applyFont="1" applyFill="1" applyBorder="1" applyAlignment="1">
      <alignment vertical="center" wrapText="1"/>
    </xf>
    <xf numFmtId="0" fontId="75" fillId="14" borderId="8" xfId="205" applyFont="1" applyFill="1" applyBorder="1" applyAlignment="1">
      <alignment vertical="center" wrapText="1"/>
    </xf>
    <xf numFmtId="4" fontId="78" fillId="14" borderId="8" xfId="205" applyNumberFormat="1" applyFont="1" applyFill="1" applyBorder="1" applyAlignment="1">
      <alignment vertical="center" wrapText="1"/>
    </xf>
    <xf numFmtId="4" fontId="75" fillId="14" borderId="8" xfId="205" applyNumberFormat="1" applyFont="1" applyFill="1" applyBorder="1" applyAlignment="1">
      <alignment horizontal="right" vertical="center" wrapText="1"/>
    </xf>
    <xf numFmtId="0" fontId="75" fillId="7" borderId="8" xfId="205" applyFont="1" applyFill="1" applyBorder="1" applyAlignment="1">
      <alignment vertical="center" wrapText="1"/>
    </xf>
    <xf numFmtId="4" fontId="78" fillId="7" borderId="8" xfId="205" applyNumberFormat="1" applyFont="1" applyFill="1" applyBorder="1" applyAlignment="1">
      <alignment vertical="center" wrapText="1"/>
    </xf>
    <xf numFmtId="10" fontId="75" fillId="7" borderId="8" xfId="205" applyNumberFormat="1" applyFont="1" applyFill="1" applyBorder="1" applyAlignment="1">
      <alignment horizontal="right" vertical="center" wrapText="1"/>
    </xf>
    <xf numFmtId="4" fontId="75" fillId="7" borderId="8" xfId="205" applyNumberFormat="1" applyFont="1" applyFill="1" applyBorder="1" applyAlignment="1">
      <alignment horizontal="right" vertical="center" wrapText="1"/>
    </xf>
    <xf numFmtId="0" fontId="75" fillId="2" borderId="8" xfId="205" applyFont="1" applyFill="1" applyBorder="1" applyAlignment="1">
      <alignment horizontal="left" vertical="center" wrapText="1" indent="1"/>
    </xf>
    <xf numFmtId="4" fontId="78" fillId="2" borderId="8" xfId="205" applyNumberFormat="1" applyFont="1" applyFill="1" applyBorder="1" applyAlignment="1">
      <alignment vertical="center" wrapText="1"/>
    </xf>
    <xf numFmtId="10" fontId="75" fillId="2" borderId="8" xfId="205" applyNumberFormat="1" applyFont="1" applyFill="1" applyBorder="1" applyAlignment="1">
      <alignment horizontal="right" vertical="center" wrapText="1"/>
    </xf>
    <xf numFmtId="4" fontId="75" fillId="2" borderId="8" xfId="205" applyNumberFormat="1" applyFont="1" applyFill="1" applyBorder="1" applyAlignment="1">
      <alignment horizontal="right" vertical="center" wrapText="1"/>
    </xf>
    <xf numFmtId="0" fontId="78" fillId="19" borderId="8" xfId="205" applyFont="1" applyFill="1" applyBorder="1" applyAlignment="1">
      <alignment horizontal="center" vertical="center" wrapText="1"/>
    </xf>
    <xf numFmtId="0" fontId="79" fillId="19" borderId="8" xfId="205" applyFont="1" applyFill="1" applyBorder="1" applyAlignment="1">
      <alignment horizontal="center" vertical="center" wrapText="1"/>
    </xf>
    <xf numFmtId="49" fontId="78" fillId="19" borderId="8" xfId="205" applyNumberFormat="1" applyFont="1" applyFill="1" applyBorder="1" applyAlignment="1">
      <alignment horizontal="center" vertical="center" wrapText="1"/>
    </xf>
    <xf numFmtId="4" fontId="78" fillId="10" borderId="8" xfId="205" applyNumberFormat="1" applyFont="1" applyFill="1" applyBorder="1" applyAlignment="1">
      <alignment vertical="center" wrapText="1"/>
    </xf>
    <xf numFmtId="4" fontId="79" fillId="0" borderId="0" xfId="205" applyNumberFormat="1" applyFont="1" applyAlignment="1">
      <alignment vertical="center" wrapText="1"/>
    </xf>
    <xf numFmtId="4" fontId="78" fillId="11" borderId="8" xfId="205" applyNumberFormat="1" applyFont="1" applyFill="1" applyBorder="1" applyAlignment="1">
      <alignment vertical="center" wrapText="1"/>
    </xf>
    <xf numFmtId="4" fontId="78" fillId="19" borderId="8" xfId="205" applyNumberFormat="1" applyFont="1" applyFill="1" applyBorder="1" applyAlignment="1">
      <alignment vertical="center" wrapText="1"/>
    </xf>
    <xf numFmtId="0" fontId="75" fillId="20" borderId="8" xfId="205" applyFont="1" applyFill="1" applyBorder="1" applyAlignment="1">
      <alignment vertical="center" wrapText="1"/>
    </xf>
    <xf numFmtId="4" fontId="78" fillId="20" borderId="8" xfId="205" applyNumberFormat="1" applyFont="1" applyFill="1" applyBorder="1" applyAlignment="1">
      <alignment vertical="center" wrapText="1"/>
    </xf>
    <xf numFmtId="10" fontId="75" fillId="20" borderId="8" xfId="205" applyNumberFormat="1" applyFont="1" applyFill="1" applyBorder="1" applyAlignment="1">
      <alignment horizontal="right" vertical="center" wrapText="1"/>
    </xf>
    <xf numFmtId="4" fontId="75" fillId="20" borderId="8" xfId="205" applyNumberFormat="1" applyFont="1" applyFill="1" applyBorder="1" applyAlignment="1">
      <alignment vertical="center" wrapText="1"/>
    </xf>
    <xf numFmtId="0" fontId="75" fillId="20" borderId="8" xfId="205" applyFont="1" applyFill="1" applyBorder="1" applyAlignment="1">
      <alignment horizontal="left" vertical="center" wrapText="1" indent="1"/>
    </xf>
    <xf numFmtId="2" fontId="75" fillId="0" borderId="0" xfId="1" applyNumberFormat="1" applyFont="1" applyAlignment="1">
      <alignment horizontal="center" vertical="center" wrapText="1" readingOrder="1"/>
    </xf>
    <xf numFmtId="1" fontId="75" fillId="0" borderId="0" xfId="1" applyNumberFormat="1" applyFont="1" applyAlignment="1">
      <alignment horizontal="center" vertical="center" wrapText="1" readingOrder="1"/>
    </xf>
    <xf numFmtId="0" fontId="77" fillId="12" borderId="2" xfId="203" applyFont="1" applyFill="1" applyBorder="1" applyAlignment="1">
      <alignment horizontal="center" vertical="center" wrapText="1"/>
    </xf>
    <xf numFmtId="0" fontId="77" fillId="12" borderId="3" xfId="203" applyFont="1" applyFill="1" applyBorder="1" applyAlignment="1">
      <alignment horizontal="center" vertical="center" wrapText="1"/>
    </xf>
    <xf numFmtId="2" fontId="85" fillId="0" borderId="0" xfId="1" applyNumberFormat="1" applyFont="1" applyAlignment="1">
      <alignment horizontal="center" vertical="center" wrapText="1" readingOrder="1"/>
    </xf>
    <xf numFmtId="1" fontId="85" fillId="0" borderId="0" xfId="1" applyNumberFormat="1" applyFont="1" applyAlignment="1">
      <alignment horizontal="center" vertical="center" wrapText="1" readingOrder="1"/>
    </xf>
    <xf numFmtId="0" fontId="82" fillId="16" borderId="13" xfId="205" applyFont="1" applyFill="1" applyBorder="1" applyAlignment="1">
      <alignment horizontal="center" vertical="center" wrapText="1"/>
    </xf>
    <xf numFmtId="0" fontId="82" fillId="16" borderId="17" xfId="205" applyFont="1" applyFill="1" applyBorder="1" applyAlignment="1">
      <alignment horizontal="center" vertical="center" wrapText="1"/>
    </xf>
    <xf numFmtId="0" fontId="82" fillId="16" borderId="20" xfId="205" applyFont="1" applyFill="1" applyBorder="1" applyAlignment="1">
      <alignment horizontal="center" vertical="center" wrapText="1"/>
    </xf>
    <xf numFmtId="4" fontId="86" fillId="16" borderId="14" xfId="1" applyNumberFormat="1" applyFont="1" applyFill="1" applyBorder="1" applyAlignment="1">
      <alignment horizontal="center" vertical="center" wrapText="1"/>
    </xf>
    <xf numFmtId="4" fontId="86" fillId="16" borderId="15" xfId="1" applyNumberFormat="1" applyFont="1" applyFill="1" applyBorder="1" applyAlignment="1">
      <alignment horizontal="center" vertical="center" wrapText="1"/>
    </xf>
    <xf numFmtId="4" fontId="86" fillId="17" borderId="16" xfId="1" applyNumberFormat="1" applyFont="1" applyFill="1" applyBorder="1" applyAlignment="1">
      <alignment horizontal="center" vertical="center" wrapText="1"/>
    </xf>
    <xf numFmtId="4" fontId="86" fillId="17" borderId="14" xfId="1" applyNumberFormat="1" applyFont="1" applyFill="1" applyBorder="1" applyAlignment="1">
      <alignment horizontal="center" vertical="center" wrapText="1"/>
    </xf>
    <xf numFmtId="4" fontId="86" fillId="17" borderId="15" xfId="1" applyNumberFormat="1" applyFont="1" applyFill="1" applyBorder="1" applyAlignment="1">
      <alignment horizontal="center" vertical="center" wrapText="1"/>
    </xf>
    <xf numFmtId="4" fontId="86" fillId="18" borderId="16" xfId="1" applyNumberFormat="1" applyFont="1" applyFill="1" applyBorder="1" applyAlignment="1">
      <alignment horizontal="center" vertical="center" wrapText="1"/>
    </xf>
    <xf numFmtId="4" fontId="86" fillId="18" borderId="14" xfId="1" applyNumberFormat="1" applyFont="1" applyFill="1" applyBorder="1" applyAlignment="1">
      <alignment horizontal="center" vertical="center" wrapText="1"/>
    </xf>
    <xf numFmtId="4" fontId="86" fillId="18" borderId="15" xfId="1" applyNumberFormat="1" applyFont="1" applyFill="1" applyBorder="1" applyAlignment="1">
      <alignment horizontal="center" vertical="center" wrapText="1"/>
    </xf>
    <xf numFmtId="0" fontId="94" fillId="0" borderId="0" xfId="205" applyFont="1" applyAlignment="1">
      <alignment horizontal="left" vertical="center" wrapText="1"/>
    </xf>
    <xf numFmtId="4" fontId="86" fillId="17" borderId="26" xfId="1" applyNumberFormat="1" applyFont="1" applyFill="1" applyBorder="1" applyAlignment="1">
      <alignment horizontal="center" vertical="center" wrapText="1"/>
    </xf>
    <xf numFmtId="4" fontId="86" fillId="17" borderId="27" xfId="1" applyNumberFormat="1" applyFont="1" applyFill="1" applyBorder="1" applyAlignment="1">
      <alignment horizontal="center" vertical="center" wrapText="1"/>
    </xf>
    <xf numFmtId="4" fontId="86" fillId="17" borderId="28" xfId="1" applyNumberFormat="1" applyFont="1" applyFill="1" applyBorder="1" applyAlignment="1">
      <alignment horizontal="center" vertical="center" wrapText="1"/>
    </xf>
    <xf numFmtId="0" fontId="82" fillId="16" borderId="26" xfId="205" applyFont="1" applyFill="1" applyBorder="1" applyAlignment="1">
      <alignment horizontal="center" vertical="center" wrapText="1"/>
    </xf>
    <xf numFmtId="0" fontId="82" fillId="16" borderId="19" xfId="205" applyFont="1" applyFill="1" applyBorder="1" applyAlignment="1">
      <alignment horizontal="center" vertical="center" wrapText="1"/>
    </xf>
    <xf numFmtId="4" fontId="86" fillId="16" borderId="27" xfId="1" applyNumberFormat="1" applyFont="1" applyFill="1" applyBorder="1" applyAlignment="1">
      <alignment horizontal="center" vertical="center" wrapText="1"/>
    </xf>
    <xf numFmtId="4" fontId="86" fillId="16" borderId="28" xfId="1" applyNumberFormat="1" applyFont="1" applyFill="1" applyBorder="1" applyAlignment="1">
      <alignment horizontal="center" vertical="center" wrapText="1"/>
    </xf>
    <xf numFmtId="4" fontId="86" fillId="18" borderId="26" xfId="1" applyNumberFormat="1" applyFont="1" applyFill="1" applyBorder="1" applyAlignment="1">
      <alignment horizontal="center" vertical="center" wrapText="1"/>
    </xf>
    <xf numFmtId="4" fontId="86" fillId="18" borderId="27" xfId="1" applyNumberFormat="1" applyFont="1" applyFill="1" applyBorder="1" applyAlignment="1">
      <alignment horizontal="center" vertical="center" wrapText="1"/>
    </xf>
    <xf numFmtId="4" fontId="86" fillId="18" borderId="28" xfId="1" applyNumberFormat="1" applyFont="1" applyFill="1" applyBorder="1" applyAlignment="1">
      <alignment horizontal="center" vertical="center" wrapText="1"/>
    </xf>
    <xf numFmtId="0" fontId="99" fillId="29" borderId="33" xfId="206" applyFont="1" applyFill="1" applyBorder="1" applyAlignment="1">
      <alignment horizontal="center" vertical="center" wrapText="1"/>
    </xf>
    <xf numFmtId="0" fontId="101" fillId="0" borderId="34" xfId="206" applyFont="1" applyBorder="1"/>
    <xf numFmtId="0" fontId="101" fillId="0" borderId="35" xfId="206" applyFont="1" applyBorder="1"/>
    <xf numFmtId="0" fontId="99" fillId="27" borderId="33" xfId="206" applyFont="1" applyFill="1" applyBorder="1" applyAlignment="1">
      <alignment horizontal="center" vertical="center" wrapText="1"/>
    </xf>
    <xf numFmtId="2" fontId="98" fillId="0" borderId="0" xfId="206" applyNumberFormat="1" applyFont="1" applyAlignment="1">
      <alignment horizontal="center" vertical="center" wrapText="1" readingOrder="1"/>
    </xf>
    <xf numFmtId="0" fontId="110" fillId="0" borderId="0" xfId="206"/>
    <xf numFmtId="1" fontId="98" fillId="0" borderId="0" xfId="206" applyNumberFormat="1" applyFont="1" applyAlignment="1">
      <alignment horizontal="center" vertical="center" wrapText="1" readingOrder="1"/>
    </xf>
    <xf numFmtId="0" fontId="98" fillId="27" borderId="0" xfId="206" applyFont="1" applyFill="1" applyAlignment="1">
      <alignment horizontal="left" vertical="center" wrapText="1"/>
    </xf>
    <xf numFmtId="0" fontId="101" fillId="0" borderId="0" xfId="206" applyFont="1"/>
    <xf numFmtId="0" fontId="99" fillId="27" borderId="30" xfId="206" applyFont="1" applyFill="1" applyBorder="1" applyAlignment="1">
      <alignment horizontal="center" vertical="center" wrapText="1"/>
    </xf>
    <xf numFmtId="0" fontId="101" fillId="0" borderId="31" xfId="206" applyFont="1" applyBorder="1"/>
    <xf numFmtId="0" fontId="101" fillId="0" borderId="32" xfId="206" applyFont="1" applyBorder="1"/>
    <xf numFmtId="0" fontId="97" fillId="0" borderId="0" xfId="206" applyFont="1" applyAlignment="1">
      <alignment horizontal="left" vertical="center" wrapText="1"/>
    </xf>
    <xf numFmtId="0" fontId="99" fillId="29" borderId="33" xfId="202" applyFont="1" applyFill="1" applyBorder="1" applyAlignment="1">
      <alignment horizontal="center" vertical="center" wrapText="1"/>
    </xf>
    <xf numFmtId="0" fontId="101" fillId="0" borderId="34" xfId="202" applyFont="1" applyBorder="1"/>
    <xf numFmtId="0" fontId="101" fillId="0" borderId="35" xfId="202" applyFont="1" applyBorder="1"/>
    <xf numFmtId="0" fontId="99" fillId="27" borderId="33" xfId="202" applyFont="1" applyFill="1" applyBorder="1" applyAlignment="1">
      <alignment horizontal="center" vertical="center" wrapText="1"/>
    </xf>
    <xf numFmtId="2" fontId="98" fillId="0" borderId="0" xfId="202" applyNumberFormat="1" applyFont="1" applyAlignment="1">
      <alignment horizontal="center" vertical="center" wrapText="1" readingOrder="1"/>
    </xf>
    <xf numFmtId="0" fontId="109" fillId="0" borderId="0" xfId="202"/>
    <xf numFmtId="1" fontId="98" fillId="0" borderId="0" xfId="202" applyNumberFormat="1" applyFont="1" applyAlignment="1">
      <alignment horizontal="center" vertical="center" wrapText="1" readingOrder="1"/>
    </xf>
    <xf numFmtId="0" fontId="98" fillId="27" borderId="0" xfId="202" applyFont="1" applyFill="1" applyAlignment="1">
      <alignment horizontal="left" vertical="center" wrapText="1"/>
    </xf>
    <xf numFmtId="0" fontId="101" fillId="0" borderId="0" xfId="202" applyFont="1"/>
    <xf numFmtId="0" fontId="99" fillId="27" borderId="30" xfId="202" applyFont="1" applyFill="1" applyBorder="1" applyAlignment="1">
      <alignment horizontal="center" vertical="center" wrapText="1"/>
    </xf>
    <xf numFmtId="0" fontId="101" fillId="0" borderId="31" xfId="202" applyFont="1" applyBorder="1"/>
    <xf numFmtId="0" fontId="101" fillId="0" borderId="32" xfId="202" applyFont="1" applyBorder="1"/>
    <xf numFmtId="0" fontId="100" fillId="0" borderId="0" xfId="202" applyFont="1" applyAlignment="1">
      <alignment horizontal="left" vertical="center" wrapText="1"/>
    </xf>
    <xf numFmtId="0" fontId="75" fillId="8" borderId="8" xfId="1" applyFont="1" applyFill="1" applyBorder="1" applyAlignment="1">
      <alignment horizontal="center" vertical="center" wrapText="1"/>
    </xf>
    <xf numFmtId="0" fontId="75" fillId="11" borderId="8" xfId="1" applyFont="1" applyFill="1" applyBorder="1" applyAlignment="1">
      <alignment horizontal="center" vertical="center" wrapText="1"/>
    </xf>
    <xf numFmtId="0" fontId="75" fillId="11" borderId="8" xfId="205" applyFont="1" applyFill="1" applyBorder="1" applyAlignment="1">
      <alignment horizontal="center" vertical="center" wrapText="1"/>
    </xf>
    <xf numFmtId="2" fontId="88" fillId="0" borderId="0" xfId="1" applyNumberFormat="1" applyFont="1" applyAlignment="1">
      <alignment horizontal="center" vertical="center" wrapText="1" readingOrder="1"/>
    </xf>
    <xf numFmtId="1" fontId="88" fillId="0" borderId="0" xfId="1" applyNumberFormat="1" applyFont="1" applyAlignment="1">
      <alignment horizontal="center" vertical="center" wrapText="1" readingOrder="1"/>
    </xf>
    <xf numFmtId="0" fontId="88" fillId="11" borderId="0" xfId="205" applyFont="1" applyFill="1" applyAlignment="1">
      <alignment horizontal="left" vertical="center" wrapText="1"/>
    </xf>
    <xf numFmtId="0" fontId="67" fillId="0" borderId="0" xfId="201" applyFont="1" applyAlignment="1">
      <alignment horizontal="left" vertical="center" wrapText="1"/>
    </xf>
    <xf numFmtId="0" fontId="90" fillId="11" borderId="0" xfId="201" applyFont="1" applyFill="1" applyAlignment="1">
      <alignment horizontal="left" vertical="center" wrapText="1"/>
    </xf>
    <xf numFmtId="0" fontId="75" fillId="11" borderId="8" xfId="201" applyFont="1" applyFill="1" applyBorder="1" applyAlignment="1">
      <alignment horizontal="center" vertical="center" wrapText="1"/>
    </xf>
    <xf numFmtId="2" fontId="70" fillId="0" borderId="0" xfId="1" applyNumberFormat="1" applyFont="1" applyAlignment="1">
      <alignment horizontal="center" vertical="center" wrapText="1" readingOrder="1"/>
    </xf>
    <xf numFmtId="1" fontId="70" fillId="0" borderId="0" xfId="1" applyNumberFormat="1" applyFont="1" applyAlignment="1">
      <alignment horizontal="center" vertical="center" wrapText="1" readingOrder="1"/>
    </xf>
    <xf numFmtId="0" fontId="77" fillId="7" borderId="8" xfId="1" applyFont="1" applyFill="1" applyBorder="1" applyAlignment="1">
      <alignment horizontal="center" vertical="center" wrapText="1"/>
    </xf>
    <xf numFmtId="0" fontId="75" fillId="2" borderId="8" xfId="1" applyFont="1" applyFill="1" applyBorder="1" applyAlignment="1">
      <alignment horizontal="center" vertical="center" wrapText="1"/>
    </xf>
    <xf numFmtId="0" fontId="78" fillId="2" borderId="8" xfId="205" applyFont="1" applyFill="1" applyBorder="1" applyAlignment="1">
      <alignment horizontal="center" vertical="center" wrapText="1"/>
    </xf>
    <xf numFmtId="0" fontId="77" fillId="11" borderId="8" xfId="1" applyFont="1" applyFill="1" applyBorder="1" applyAlignment="1">
      <alignment horizontal="center" vertical="center" wrapText="1"/>
    </xf>
    <xf numFmtId="0" fontId="78" fillId="19" borderId="8" xfId="205" applyFont="1" applyFill="1" applyBorder="1" applyAlignment="1">
      <alignment horizontal="center" vertical="center" wrapText="1"/>
    </xf>
    <xf numFmtId="0" fontId="75" fillId="19" borderId="8" xfId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4" fontId="73" fillId="22" borderId="8" xfId="0" applyNumberFormat="1" applyFont="1" applyFill="1" applyBorder="1" applyAlignment="1">
      <alignment horizontal="center" vertical="center" wrapText="1"/>
    </xf>
    <xf numFmtId="1" fontId="73" fillId="11" borderId="8" xfId="0" applyNumberFormat="1" applyFont="1" applyFill="1" applyBorder="1" applyAlignment="1">
      <alignment horizontal="center" vertical="center" wrapText="1"/>
    </xf>
    <xf numFmtId="1" fontId="73" fillId="7" borderId="8" xfId="0" applyNumberFormat="1" applyFont="1" applyFill="1" applyBorder="1" applyAlignment="1">
      <alignment horizontal="center" vertical="center" wrapText="1"/>
    </xf>
    <xf numFmtId="0" fontId="88" fillId="21" borderId="8" xfId="90" applyFont="1" applyFill="1" applyBorder="1" applyAlignment="1">
      <alignment horizontal="center" vertical="center" wrapText="1"/>
    </xf>
    <xf numFmtId="0" fontId="70" fillId="23" borderId="8" xfId="90" applyFont="1" applyFill="1" applyBorder="1" applyAlignment="1">
      <alignment horizontal="center" vertical="center" wrapText="1"/>
    </xf>
    <xf numFmtId="0" fontId="70" fillId="19" borderId="8" xfId="90" applyFont="1" applyFill="1" applyBorder="1" applyAlignment="1">
      <alignment horizontal="center" vertical="center" wrapText="1"/>
    </xf>
    <xf numFmtId="0" fontId="70" fillId="19" borderId="7" xfId="90" applyFont="1" applyFill="1" applyBorder="1" applyAlignment="1">
      <alignment horizontal="center" vertical="center" wrapText="1"/>
    </xf>
    <xf numFmtId="0" fontId="70" fillId="19" borderId="6" xfId="90" applyFont="1" applyFill="1" applyBorder="1" applyAlignment="1">
      <alignment horizontal="center" vertical="center" wrapText="1"/>
    </xf>
    <xf numFmtId="0" fontId="87" fillId="0" borderId="0" xfId="90" applyFont="1" applyAlignment="1">
      <alignment horizontal="center" vertical="center" wrapText="1"/>
    </xf>
    <xf numFmtId="0" fontId="87" fillId="0" borderId="0" xfId="93" applyFont="1" applyAlignment="1">
      <alignment horizontal="center" vertical="center" wrapText="1"/>
    </xf>
    <xf numFmtId="0" fontId="70" fillId="4" borderId="10" xfId="93" applyFont="1" applyFill="1" applyBorder="1" applyAlignment="1">
      <alignment horizontal="center" vertical="center" wrapText="1"/>
    </xf>
    <xf numFmtId="0" fontId="70" fillId="4" borderId="5" xfId="93" applyFont="1" applyFill="1" applyBorder="1" applyAlignment="1">
      <alignment horizontal="center" vertical="center" wrapText="1"/>
    </xf>
    <xf numFmtId="0" fontId="70" fillId="4" borderId="11" xfId="93" applyFont="1" applyFill="1" applyBorder="1" applyAlignment="1">
      <alignment horizontal="center" vertical="center" wrapText="1"/>
    </xf>
    <xf numFmtId="0" fontId="70" fillId="24" borderId="8" xfId="93" applyFont="1" applyFill="1" applyBorder="1" applyAlignment="1">
      <alignment horizontal="center" vertical="center" wrapText="1"/>
    </xf>
    <xf numFmtId="0" fontId="70" fillId="2" borderId="10" xfId="93" applyFont="1" applyFill="1" applyBorder="1" applyAlignment="1">
      <alignment horizontal="center" vertical="center" wrapText="1"/>
    </xf>
    <xf numFmtId="0" fontId="70" fillId="2" borderId="5" xfId="93" applyFont="1" applyFill="1" applyBorder="1" applyAlignment="1">
      <alignment horizontal="center" vertical="center" wrapText="1"/>
    </xf>
    <xf numFmtId="0" fontId="70" fillId="2" borderId="11" xfId="93" applyFont="1" applyFill="1" applyBorder="1" applyAlignment="1">
      <alignment horizontal="center" vertical="center" wrapText="1"/>
    </xf>
    <xf numFmtId="0" fontId="70" fillId="2" borderId="8" xfId="93" applyFont="1" applyFill="1" applyBorder="1" applyAlignment="1">
      <alignment horizontal="center" vertical="center" wrapText="1"/>
    </xf>
    <xf numFmtId="0" fontId="70" fillId="2" borderId="7" xfId="93" applyFont="1" applyFill="1" applyBorder="1" applyAlignment="1">
      <alignment horizontal="center" vertical="center" wrapText="1"/>
    </xf>
    <xf numFmtId="0" fontId="70" fillId="2" borderId="9" xfId="93" applyFont="1" applyFill="1" applyBorder="1" applyAlignment="1">
      <alignment horizontal="center" vertical="center" wrapText="1"/>
    </xf>
    <xf numFmtId="0" fontId="70" fillId="2" borderId="6" xfId="93" applyFont="1" applyFill="1" applyBorder="1" applyAlignment="1">
      <alignment horizontal="center" vertical="center" wrapText="1"/>
    </xf>
    <xf numFmtId="0" fontId="70" fillId="2" borderId="2" xfId="93" applyFont="1" applyFill="1" applyBorder="1" applyAlignment="1">
      <alignment horizontal="center" vertical="center" wrapText="1"/>
    </xf>
    <xf numFmtId="0" fontId="70" fillId="2" borderId="3" xfId="93" applyFont="1" applyFill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67" fillId="0" borderId="0" xfId="208" applyFont="1" applyAlignment="1">
      <alignment vertical="center" wrapText="1"/>
    </xf>
    <xf numFmtId="0" fontId="88" fillId="11" borderId="0" xfId="208" applyFont="1" applyFill="1" applyAlignment="1">
      <alignment horizontal="left" vertical="center" wrapText="1"/>
    </xf>
    <xf numFmtId="0" fontId="75" fillId="11" borderId="8" xfId="208" applyFont="1" applyFill="1" applyBorder="1" applyAlignment="1">
      <alignment horizontal="center" vertical="center" wrapText="1"/>
    </xf>
    <xf numFmtId="0" fontId="75" fillId="11" borderId="8" xfId="208" applyFont="1" applyFill="1" applyBorder="1" applyAlignment="1">
      <alignment horizontal="center" vertical="center" wrapText="1"/>
    </xf>
    <xf numFmtId="0" fontId="74" fillId="11" borderId="8" xfId="208" applyFont="1" applyFill="1" applyBorder="1" applyAlignment="1">
      <alignment horizontal="center" vertical="center" wrapText="1"/>
    </xf>
    <xf numFmtId="49" fontId="75" fillId="11" borderId="8" xfId="208" applyNumberFormat="1" applyFont="1" applyFill="1" applyBorder="1" applyAlignment="1">
      <alignment horizontal="center" vertical="center" wrapText="1"/>
    </xf>
    <xf numFmtId="4" fontId="74" fillId="0" borderId="8" xfId="209" applyNumberFormat="1" applyFont="1" applyFill="1" applyBorder="1" applyAlignment="1" applyProtection="1">
      <alignment vertical="center" wrapText="1"/>
    </xf>
    <xf numFmtId="4" fontId="75" fillId="0" borderId="8" xfId="209" applyNumberFormat="1" applyFont="1" applyFill="1" applyBorder="1" applyAlignment="1" applyProtection="1">
      <alignment vertical="center" wrapText="1"/>
    </xf>
    <xf numFmtId="0" fontId="79" fillId="0" borderId="0" xfId="208" applyFont="1" applyAlignment="1" applyProtection="1">
      <alignment vertical="center" wrapText="1"/>
      <protection hidden="1"/>
    </xf>
    <xf numFmtId="0" fontId="74" fillId="0" borderId="0" xfId="208" applyFont="1" applyAlignment="1">
      <alignment vertical="center" wrapText="1"/>
    </xf>
    <xf numFmtId="0" fontId="89" fillId="11" borderId="0" xfId="208" applyFont="1" applyFill="1" applyAlignment="1">
      <alignment vertical="center" wrapText="1"/>
    </xf>
    <xf numFmtId="0" fontId="74" fillId="0" borderId="0" xfId="208" applyFont="1" applyAlignment="1">
      <alignment horizontal="right" vertical="center" wrapText="1"/>
    </xf>
    <xf numFmtId="0" fontId="79" fillId="0" borderId="8" xfId="208" applyFont="1" applyBorder="1" applyAlignment="1">
      <alignment vertical="center" wrapText="1"/>
    </xf>
    <xf numFmtId="0" fontId="75" fillId="10" borderId="8" xfId="208" applyFont="1" applyFill="1" applyBorder="1" applyAlignment="1">
      <alignment horizontal="left" vertical="center" wrapText="1"/>
    </xf>
    <xf numFmtId="4" fontId="78" fillId="10" borderId="8" xfId="208" applyNumberFormat="1" applyFont="1" applyFill="1" applyBorder="1"/>
    <xf numFmtId="4" fontId="75" fillId="10" borderId="8" xfId="208" applyNumberFormat="1" applyFont="1" applyFill="1" applyBorder="1" applyAlignment="1">
      <alignment vertical="center" wrapText="1"/>
    </xf>
    <xf numFmtId="10" fontId="75" fillId="10" borderId="8" xfId="208" applyNumberFormat="1" applyFont="1" applyFill="1" applyBorder="1" applyAlignment="1">
      <alignment horizontal="right" vertical="center" wrapText="1"/>
    </xf>
    <xf numFmtId="0" fontId="79" fillId="0" borderId="0" xfId="208" applyFont="1"/>
    <xf numFmtId="0" fontId="75" fillId="0" borderId="8" xfId="208" applyFont="1" applyBorder="1" applyAlignment="1">
      <alignment vertical="center" wrapText="1"/>
    </xf>
    <xf numFmtId="4" fontId="78" fillId="0" borderId="8" xfId="208" applyNumberFormat="1" applyFont="1" applyBorder="1"/>
    <xf numFmtId="4" fontId="75" fillId="0" borderId="8" xfId="208" applyNumberFormat="1" applyFont="1" applyBorder="1" applyAlignment="1">
      <alignment vertical="center" wrapText="1"/>
    </xf>
    <xf numFmtId="10" fontId="75" fillId="0" borderId="8" xfId="208" applyNumberFormat="1" applyFont="1" applyBorder="1" applyAlignment="1">
      <alignment horizontal="right" vertical="center" wrapText="1"/>
    </xf>
    <xf numFmtId="0" fontId="78" fillId="0" borderId="0" xfId="208" applyFont="1"/>
    <xf numFmtId="0" fontId="74" fillId="0" borderId="8" xfId="208" applyFont="1" applyBorder="1" applyAlignment="1">
      <alignment horizontal="left" vertical="center" wrapText="1"/>
    </xf>
    <xf numFmtId="4" fontId="74" fillId="0" borderId="8" xfId="208" applyNumberFormat="1" applyFont="1" applyBorder="1" applyAlignment="1">
      <alignment vertical="center" wrapText="1"/>
    </xf>
    <xf numFmtId="10" fontId="74" fillId="0" borderId="8" xfId="208" applyNumberFormat="1" applyFont="1" applyBorder="1" applyAlignment="1">
      <alignment horizontal="right" vertical="center" wrapText="1"/>
    </xf>
    <xf numFmtId="0" fontId="74" fillId="0" borderId="8" xfId="208" applyFont="1" applyBorder="1" applyAlignment="1">
      <alignment vertical="center" wrapText="1"/>
    </xf>
    <xf numFmtId="4" fontId="79" fillId="0" borderId="8" xfId="208" applyNumberFormat="1" applyFont="1" applyBorder="1"/>
    <xf numFmtId="0" fontId="74" fillId="0" borderId="8" xfId="208" applyFont="1" applyBorder="1" applyAlignment="1">
      <alignment horizontal="left" vertical="center" wrapText="1" indent="1"/>
    </xf>
    <xf numFmtId="0" fontId="80" fillId="0" borderId="8" xfId="208" applyFont="1" applyBorder="1" applyAlignment="1">
      <alignment horizontal="left" vertical="center" wrapText="1" indent="2"/>
    </xf>
    <xf numFmtId="0" fontId="75" fillId="14" borderId="8" xfId="208" applyFont="1" applyFill="1" applyBorder="1" applyAlignment="1">
      <alignment horizontal="left" vertical="center" wrapText="1"/>
    </xf>
    <xf numFmtId="4" fontId="78" fillId="14" borderId="8" xfId="208" applyNumberFormat="1" applyFont="1" applyFill="1" applyBorder="1"/>
    <xf numFmtId="4" fontId="75" fillId="14" borderId="8" xfId="208" applyNumberFormat="1" applyFont="1" applyFill="1" applyBorder="1" applyAlignment="1">
      <alignment vertical="center" wrapText="1"/>
    </xf>
    <xf numFmtId="10" fontId="75" fillId="14" borderId="8" xfId="208" applyNumberFormat="1" applyFont="1" applyFill="1" applyBorder="1" applyAlignment="1">
      <alignment horizontal="right" vertical="center" wrapText="1"/>
    </xf>
    <xf numFmtId="0" fontId="78" fillId="0" borderId="8" xfId="208" applyFont="1" applyBorder="1" applyAlignment="1">
      <alignment vertical="center" wrapText="1"/>
    </xf>
    <xf numFmtId="0" fontId="77" fillId="35" borderId="8" xfId="208" applyFont="1" applyFill="1" applyBorder="1" applyAlignment="1">
      <alignment vertical="center" wrapText="1"/>
    </xf>
    <xf numFmtId="4" fontId="77" fillId="35" borderId="8" xfId="208" applyNumberFormat="1" applyFont="1" applyFill="1" applyBorder="1"/>
    <xf numFmtId="4" fontId="77" fillId="35" borderId="8" xfId="208" applyNumberFormat="1" applyFont="1" applyFill="1" applyBorder="1" applyAlignment="1">
      <alignment vertical="center" wrapText="1"/>
    </xf>
    <xf numFmtId="10" fontId="77" fillId="35" borderId="8" xfId="208" applyNumberFormat="1" applyFont="1" applyFill="1" applyBorder="1" applyAlignment="1">
      <alignment horizontal="right" vertical="center" wrapText="1"/>
    </xf>
    <xf numFmtId="0" fontId="75" fillId="11" borderId="8" xfId="208" applyFont="1" applyFill="1" applyBorder="1" applyAlignment="1">
      <alignment vertical="center" wrapText="1"/>
    </xf>
    <xf numFmtId="4" fontId="78" fillId="11" borderId="8" xfId="208" applyNumberFormat="1" applyFont="1" applyFill="1" applyBorder="1"/>
    <xf numFmtId="4" fontId="75" fillId="11" borderId="8" xfId="208" applyNumberFormat="1" applyFont="1" applyFill="1" applyBorder="1" applyAlignment="1">
      <alignment vertical="center" wrapText="1"/>
    </xf>
    <xf numFmtId="10" fontId="75" fillId="11" borderId="8" xfId="208" applyNumberFormat="1" applyFont="1" applyFill="1" applyBorder="1" applyAlignment="1">
      <alignment horizontal="right" vertical="center" wrapText="1"/>
    </xf>
    <xf numFmtId="0" fontId="75" fillId="19" borderId="8" xfId="208" applyFont="1" applyFill="1" applyBorder="1" applyAlignment="1">
      <alignment horizontal="left" vertical="center" wrapText="1" indent="1"/>
    </xf>
    <xf numFmtId="4" fontId="78" fillId="19" borderId="8" xfId="208" applyNumberFormat="1" applyFont="1" applyFill="1" applyBorder="1"/>
    <xf numFmtId="4" fontId="75" fillId="19" borderId="8" xfId="208" applyNumberFormat="1" applyFont="1" applyFill="1" applyBorder="1" applyAlignment="1">
      <alignment vertical="center" wrapText="1"/>
    </xf>
    <xf numFmtId="10" fontId="75" fillId="19" borderId="8" xfId="208" applyNumberFormat="1" applyFont="1" applyFill="1" applyBorder="1" applyAlignment="1">
      <alignment horizontal="right" vertical="center" wrapText="1"/>
    </xf>
    <xf numFmtId="0" fontId="79" fillId="0" borderId="8" xfId="208" applyFont="1" applyFill="1" applyBorder="1" applyAlignment="1">
      <alignment vertical="center" wrapText="1"/>
    </xf>
    <xf numFmtId="0" fontId="74" fillId="0" borderId="8" xfId="208" applyFont="1" applyFill="1" applyBorder="1" applyAlignment="1">
      <alignment vertical="center" wrapText="1"/>
    </xf>
    <xf numFmtId="4" fontId="74" fillId="0" borderId="8" xfId="208" applyNumberFormat="1" applyFont="1" applyFill="1" applyBorder="1" applyAlignment="1">
      <alignment vertical="center" wrapText="1"/>
    </xf>
    <xf numFmtId="10" fontId="74" fillId="0" borderId="8" xfId="208" applyNumberFormat="1" applyFont="1" applyFill="1" applyBorder="1" applyAlignment="1">
      <alignment horizontal="right" vertical="center" wrapText="1"/>
    </xf>
    <xf numFmtId="0" fontId="79" fillId="0" borderId="0" xfId="208" applyFont="1" applyFill="1"/>
    <xf numFmtId="0" fontId="75" fillId="0" borderId="8" xfId="208" applyFont="1" applyFill="1" applyBorder="1" applyAlignment="1">
      <alignment vertical="center" wrapText="1"/>
    </xf>
    <xf numFmtId="4" fontId="78" fillId="0" borderId="8" xfId="208" applyNumberFormat="1" applyFont="1" applyFill="1" applyBorder="1"/>
    <xf numFmtId="4" fontId="75" fillId="0" borderId="8" xfId="208" applyNumberFormat="1" applyFont="1" applyFill="1" applyBorder="1" applyAlignment="1">
      <alignment vertical="center" wrapText="1"/>
    </xf>
    <xf numFmtId="10" fontId="75" fillId="0" borderId="8" xfId="208" applyNumberFormat="1" applyFont="1" applyFill="1" applyBorder="1" applyAlignment="1">
      <alignment horizontal="right" vertical="center" wrapText="1"/>
    </xf>
    <xf numFmtId="0" fontId="74" fillId="0" borderId="8" xfId="208" applyFont="1" applyFill="1" applyBorder="1" applyAlignment="1">
      <alignment horizontal="left" vertical="center" wrapText="1"/>
    </xf>
    <xf numFmtId="0" fontId="78" fillId="0" borderId="0" xfId="208" applyFont="1" applyFill="1"/>
    <xf numFmtId="4" fontId="69" fillId="0" borderId="0" xfId="208" applyNumberFormat="1" applyFont="1" applyAlignment="1">
      <alignment vertical="center" wrapText="1"/>
    </xf>
    <xf numFmtId="0" fontId="69" fillId="0" borderId="0" xfId="208" applyFont="1" applyAlignment="1">
      <alignment vertical="center" wrapText="1"/>
    </xf>
    <xf numFmtId="4" fontId="74" fillId="0" borderId="0" xfId="208" applyNumberFormat="1" applyFont="1" applyAlignment="1">
      <alignment vertical="center" wrapText="1"/>
    </xf>
    <xf numFmtId="4" fontId="107" fillId="0" borderId="0" xfId="208" applyNumberFormat="1" applyFont="1" applyAlignment="1">
      <alignment vertical="center" wrapText="1"/>
    </xf>
    <xf numFmtId="0" fontId="78" fillId="2" borderId="8" xfId="208" applyFont="1" applyFill="1" applyBorder="1" applyAlignment="1">
      <alignment horizontal="center" vertical="center" wrapText="1"/>
    </xf>
    <xf numFmtId="0" fontId="78" fillId="3" borderId="8" xfId="208" applyFont="1" applyFill="1" applyBorder="1" applyAlignment="1">
      <alignment horizontal="center" vertical="center" wrapText="1"/>
    </xf>
    <xf numFmtId="0" fontId="78" fillId="2" borderId="8" xfId="208" applyFont="1" applyFill="1" applyBorder="1" applyAlignment="1">
      <alignment horizontal="center" vertical="center" wrapText="1"/>
    </xf>
    <xf numFmtId="0" fontId="79" fillId="2" borderId="8" xfId="208" applyFont="1" applyFill="1" applyBorder="1" applyAlignment="1">
      <alignment horizontal="center" vertical="center" wrapText="1"/>
    </xf>
    <xf numFmtId="0" fontId="79" fillId="3" borderId="8" xfId="208" applyFont="1" applyFill="1" applyBorder="1" applyAlignment="1">
      <alignment horizontal="center" vertical="center" wrapText="1"/>
    </xf>
    <xf numFmtId="49" fontId="78" fillId="2" borderId="8" xfId="208" applyNumberFormat="1" applyFont="1" applyFill="1" applyBorder="1" applyAlignment="1">
      <alignment horizontal="center" vertical="center" wrapText="1"/>
    </xf>
    <xf numFmtId="49" fontId="78" fillId="3" borderId="8" xfId="208" applyNumberFormat="1" applyFont="1" applyFill="1" applyBorder="1" applyAlignment="1">
      <alignment horizontal="center" vertical="center" wrapText="1"/>
    </xf>
    <xf numFmtId="0" fontId="75" fillId="5" borderId="8" xfId="208" applyFont="1" applyFill="1" applyBorder="1" applyAlignment="1">
      <alignment horizontal="left" vertical="center" wrapText="1"/>
    </xf>
    <xf numFmtId="4" fontId="78" fillId="5" borderId="8" xfId="208" applyNumberFormat="1" applyFont="1" applyFill="1" applyBorder="1" applyAlignment="1">
      <alignment vertical="center" wrapText="1"/>
    </xf>
    <xf numFmtId="4" fontId="78" fillId="3" borderId="8" xfId="208" applyNumberFormat="1" applyFont="1" applyFill="1" applyBorder="1" applyAlignment="1">
      <alignment vertical="center" wrapText="1"/>
    </xf>
    <xf numFmtId="10" fontId="75" fillId="5" borderId="8" xfId="208" applyNumberFormat="1" applyFont="1" applyFill="1" applyBorder="1" applyAlignment="1">
      <alignment horizontal="right" vertical="center" wrapText="1"/>
    </xf>
    <xf numFmtId="4" fontId="75" fillId="5" borderId="8" xfId="208" applyNumberFormat="1" applyFont="1" applyFill="1" applyBorder="1" applyAlignment="1">
      <alignment horizontal="right" vertical="center" wrapText="1"/>
    </xf>
    <xf numFmtId="0" fontId="79" fillId="3" borderId="8" xfId="208" applyFont="1" applyFill="1" applyBorder="1" applyAlignment="1">
      <alignment vertical="center" wrapText="1"/>
    </xf>
    <xf numFmtId="0" fontId="79" fillId="0" borderId="0" xfId="208" applyFont="1" applyAlignment="1">
      <alignment vertical="center" wrapText="1"/>
    </xf>
    <xf numFmtId="4" fontId="78" fillId="0" borderId="8" xfId="208" applyNumberFormat="1" applyFont="1" applyBorder="1" applyAlignment="1">
      <alignment vertical="center" wrapText="1"/>
    </xf>
    <xf numFmtId="4" fontId="75" fillId="0" borderId="8" xfId="208" applyNumberFormat="1" applyFont="1" applyBorder="1" applyAlignment="1">
      <alignment horizontal="right" vertical="center" wrapText="1"/>
    </xf>
    <xf numFmtId="4" fontId="79" fillId="0" borderId="8" xfId="209" applyNumberFormat="1" applyFont="1" applyBorder="1" applyAlignment="1" applyProtection="1">
      <alignment vertical="center" wrapText="1"/>
    </xf>
    <xf numFmtId="4" fontId="74" fillId="0" borderId="8" xfId="208" applyNumberFormat="1" applyFont="1" applyBorder="1" applyAlignment="1">
      <alignment horizontal="right" vertical="center" wrapText="1"/>
    </xf>
    <xf numFmtId="4" fontId="78" fillId="0" borderId="8" xfId="209" applyNumberFormat="1" applyFont="1" applyBorder="1" applyAlignment="1" applyProtection="1">
      <alignment vertical="center" wrapText="1"/>
    </xf>
    <xf numFmtId="0" fontId="78" fillId="3" borderId="8" xfId="208" applyFont="1" applyFill="1" applyBorder="1" applyAlignment="1">
      <alignment vertical="center" wrapText="1"/>
    </xf>
    <xf numFmtId="0" fontId="78" fillId="0" borderId="0" xfId="208" applyFont="1" applyAlignment="1">
      <alignment vertical="center" wrapText="1"/>
    </xf>
    <xf numFmtId="0" fontId="75" fillId="0" borderId="8" xfId="208" applyFont="1" applyBorder="1" applyAlignment="1">
      <alignment horizontal="left" vertical="center" wrapText="1"/>
    </xf>
    <xf numFmtId="4" fontId="79" fillId="0" borderId="8" xfId="208" applyNumberFormat="1" applyFont="1" applyBorder="1" applyAlignment="1">
      <alignment vertical="center" wrapText="1"/>
    </xf>
    <xf numFmtId="4" fontId="79" fillId="3" borderId="8" xfId="208" applyNumberFormat="1" applyFont="1" applyFill="1" applyBorder="1" applyAlignment="1">
      <alignment vertical="center" wrapText="1"/>
    </xf>
    <xf numFmtId="4" fontId="79" fillId="0" borderId="8" xfId="209" applyNumberFormat="1" applyFont="1" applyFill="1" applyBorder="1" applyAlignment="1" applyProtection="1">
      <alignment vertical="center" wrapText="1"/>
    </xf>
    <xf numFmtId="4" fontId="78" fillId="5" borderId="8" xfId="209" applyNumberFormat="1" applyFont="1" applyFill="1" applyBorder="1" applyAlignment="1" applyProtection="1">
      <alignment vertical="center" wrapText="1"/>
    </xf>
    <xf numFmtId="0" fontId="75" fillId="5" borderId="8" xfId="208" applyFont="1" applyFill="1" applyBorder="1" applyAlignment="1">
      <alignment vertical="center" wrapText="1"/>
    </xf>
    <xf numFmtId="0" fontId="75" fillId="14" borderId="8" xfId="208" applyFont="1" applyFill="1" applyBorder="1" applyAlignment="1">
      <alignment vertical="center" wrapText="1"/>
    </xf>
    <xf numFmtId="4" fontId="78" fillId="14" borderId="8" xfId="208" applyNumberFormat="1" applyFont="1" applyFill="1" applyBorder="1" applyAlignment="1">
      <alignment vertical="center" wrapText="1"/>
    </xf>
    <xf numFmtId="4" fontId="75" fillId="14" borderId="8" xfId="208" applyNumberFormat="1" applyFont="1" applyFill="1" applyBorder="1" applyAlignment="1">
      <alignment horizontal="right" vertical="center" wrapText="1"/>
    </xf>
    <xf numFmtId="0" fontId="75" fillId="7" borderId="8" xfId="208" applyFont="1" applyFill="1" applyBorder="1" applyAlignment="1">
      <alignment vertical="center" wrapText="1"/>
    </xf>
    <xf numFmtId="4" fontId="78" fillId="7" borderId="8" xfId="208" applyNumberFormat="1" applyFont="1" applyFill="1" applyBorder="1" applyAlignment="1">
      <alignment vertical="center" wrapText="1"/>
    </xf>
    <xf numFmtId="10" fontId="75" fillId="7" borderId="8" xfId="208" applyNumberFormat="1" applyFont="1" applyFill="1" applyBorder="1" applyAlignment="1">
      <alignment horizontal="right" vertical="center" wrapText="1"/>
    </xf>
    <xf numFmtId="4" fontId="75" fillId="7" borderId="8" xfId="208" applyNumberFormat="1" applyFont="1" applyFill="1" applyBorder="1" applyAlignment="1">
      <alignment horizontal="right" vertical="center" wrapText="1"/>
    </xf>
    <xf numFmtId="0" fontId="75" fillId="2" borderId="8" xfId="208" applyFont="1" applyFill="1" applyBorder="1" applyAlignment="1">
      <alignment horizontal="left" vertical="center" wrapText="1" indent="1"/>
    </xf>
    <xf numFmtId="4" fontId="78" fillId="2" borderId="8" xfId="208" applyNumberFormat="1" applyFont="1" applyFill="1" applyBorder="1" applyAlignment="1">
      <alignment vertical="center" wrapText="1"/>
    </xf>
    <xf numFmtId="10" fontId="75" fillId="2" borderId="8" xfId="208" applyNumberFormat="1" applyFont="1" applyFill="1" applyBorder="1" applyAlignment="1">
      <alignment horizontal="right" vertical="center" wrapText="1"/>
    </xf>
    <xf numFmtId="4" fontId="75" fillId="2" borderId="8" xfId="208" applyNumberFormat="1" applyFont="1" applyFill="1" applyBorder="1" applyAlignment="1">
      <alignment horizontal="right" vertical="center" wrapText="1"/>
    </xf>
    <xf numFmtId="0" fontId="78" fillId="19" borderId="8" xfId="208" applyFont="1" applyFill="1" applyBorder="1" applyAlignment="1">
      <alignment horizontal="center" vertical="center" wrapText="1"/>
    </xf>
    <xf numFmtId="0" fontId="78" fillId="19" borderId="8" xfId="208" applyFont="1" applyFill="1" applyBorder="1" applyAlignment="1">
      <alignment horizontal="center" vertical="center" wrapText="1"/>
    </xf>
    <xf numFmtId="0" fontId="79" fillId="19" borderId="8" xfId="208" applyFont="1" applyFill="1" applyBorder="1" applyAlignment="1">
      <alignment horizontal="center" vertical="center" wrapText="1"/>
    </xf>
    <xf numFmtId="49" fontId="78" fillId="19" borderId="8" xfId="208" applyNumberFormat="1" applyFont="1" applyFill="1" applyBorder="1" applyAlignment="1">
      <alignment horizontal="center" vertical="center" wrapText="1"/>
    </xf>
    <xf numFmtId="4" fontId="78" fillId="10" borderId="8" xfId="208" applyNumberFormat="1" applyFont="1" applyFill="1" applyBorder="1" applyAlignment="1">
      <alignment vertical="center" wrapText="1"/>
    </xf>
    <xf numFmtId="4" fontId="79" fillId="0" borderId="0" xfId="208" applyNumberFormat="1" applyFont="1" applyAlignment="1">
      <alignment vertical="center" wrapText="1"/>
    </xf>
    <xf numFmtId="4" fontId="78" fillId="0" borderId="8" xfId="209" applyNumberFormat="1" applyFont="1" applyFill="1" applyBorder="1" applyAlignment="1" applyProtection="1">
      <alignment vertical="center" wrapText="1"/>
    </xf>
    <xf numFmtId="4" fontId="78" fillId="11" borderId="8" xfId="208" applyNumberFormat="1" applyFont="1" applyFill="1" applyBorder="1" applyAlignment="1">
      <alignment vertical="center" wrapText="1"/>
    </xf>
    <xf numFmtId="4" fontId="78" fillId="19" borderId="8" xfId="208" applyNumberFormat="1" applyFont="1" applyFill="1" applyBorder="1" applyAlignment="1">
      <alignment vertical="center" wrapText="1"/>
    </xf>
    <xf numFmtId="0" fontId="75" fillId="20" borderId="8" xfId="208" applyFont="1" applyFill="1" applyBorder="1" applyAlignment="1">
      <alignment vertical="center" wrapText="1"/>
    </xf>
    <xf numFmtId="4" fontId="78" fillId="20" borderId="8" xfId="208" applyNumberFormat="1" applyFont="1" applyFill="1" applyBorder="1" applyAlignment="1">
      <alignment vertical="center" wrapText="1"/>
    </xf>
    <xf numFmtId="10" fontId="75" fillId="20" borderId="8" xfId="208" applyNumberFormat="1" applyFont="1" applyFill="1" applyBorder="1" applyAlignment="1">
      <alignment horizontal="right" vertical="center" wrapText="1"/>
    </xf>
    <xf numFmtId="4" fontId="75" fillId="20" borderId="8" xfId="208" applyNumberFormat="1" applyFont="1" applyFill="1" applyBorder="1" applyAlignment="1">
      <alignment vertical="center" wrapText="1"/>
    </xf>
    <xf numFmtId="0" fontId="75" fillId="20" borderId="8" xfId="208" applyFont="1" applyFill="1" applyBorder="1" applyAlignment="1">
      <alignment horizontal="left" vertical="center" wrapText="1" indent="1"/>
    </xf>
    <xf numFmtId="4" fontId="78" fillId="0" borderId="8" xfId="208" applyNumberFormat="1" applyFont="1" applyFill="1" applyBorder="1" applyAlignment="1">
      <alignment vertical="center" wrapText="1"/>
    </xf>
    <xf numFmtId="4" fontId="78" fillId="14" borderId="8" xfId="209" applyNumberFormat="1" applyFont="1" applyFill="1" applyBorder="1" applyAlignment="1" applyProtection="1">
      <alignment vertical="center" wrapText="1"/>
    </xf>
    <xf numFmtId="0" fontId="70" fillId="0" borderId="8" xfId="93" applyFont="1" applyFill="1" applyBorder="1" applyAlignment="1">
      <alignment horizontal="left" vertical="center" wrapText="1"/>
    </xf>
    <xf numFmtId="0" fontId="70" fillId="0" borderId="8" xfId="93" applyFont="1" applyFill="1" applyBorder="1" applyAlignment="1">
      <alignment vertical="center" wrapText="1"/>
    </xf>
    <xf numFmtId="4" fontId="70" fillId="0" borderId="8" xfId="93" applyNumberFormat="1" applyFont="1" applyFill="1" applyBorder="1" applyAlignment="1">
      <alignment vertical="center" wrapText="1"/>
    </xf>
    <xf numFmtId="10" fontId="70" fillId="0" borderId="8" xfId="93" applyNumberFormat="1" applyFont="1" applyFill="1" applyBorder="1" applyAlignment="1">
      <alignment horizontal="center" vertical="center" wrapText="1"/>
    </xf>
    <xf numFmtId="0" fontId="70" fillId="0" borderId="0" xfId="93" applyFont="1" applyFill="1" applyAlignment="1">
      <alignment vertical="center" wrapText="1"/>
    </xf>
    <xf numFmtId="4" fontId="69" fillId="0" borderId="0" xfId="93" applyNumberFormat="1" applyFont="1" applyFill="1" applyAlignment="1">
      <alignment vertical="center" wrapText="1"/>
    </xf>
    <xf numFmtId="0" fontId="69" fillId="0" borderId="0" xfId="93" applyFont="1" applyFill="1" applyAlignment="1">
      <alignment vertical="center" wrapText="1"/>
    </xf>
    <xf numFmtId="10" fontId="69" fillId="0" borderId="8" xfId="93" applyNumberFormat="1" applyFont="1" applyFill="1" applyBorder="1" applyAlignment="1">
      <alignment horizontal="center" vertical="center" wrapText="1"/>
    </xf>
    <xf numFmtId="10" fontId="74" fillId="0" borderId="0" xfId="205" applyNumberFormat="1" applyFont="1" applyAlignment="1">
      <alignment vertical="center" wrapText="1"/>
    </xf>
    <xf numFmtId="10" fontId="75" fillId="37" borderId="8" xfId="208" applyNumberFormat="1" applyFont="1" applyFill="1" applyBorder="1" applyAlignment="1">
      <alignment horizontal="right" vertical="center" wrapText="1"/>
    </xf>
    <xf numFmtId="10" fontId="74" fillId="38" borderId="8" xfId="208" applyNumberFormat="1" applyFont="1" applyFill="1" applyBorder="1" applyAlignment="1">
      <alignment horizontal="right" vertical="center" wrapText="1"/>
    </xf>
    <xf numFmtId="10" fontId="75" fillId="39" borderId="8" xfId="208" applyNumberFormat="1" applyFont="1" applyFill="1" applyBorder="1" applyAlignment="1">
      <alignment horizontal="right" vertical="center" wrapText="1"/>
    </xf>
    <xf numFmtId="10" fontId="74" fillId="39" borderId="8" xfId="208" applyNumberFormat="1" applyFont="1" applyFill="1" applyBorder="1" applyAlignment="1">
      <alignment horizontal="right" vertical="center" wrapText="1"/>
    </xf>
    <xf numFmtId="10" fontId="75" fillId="38" borderId="8" xfId="208" applyNumberFormat="1" applyFont="1" applyFill="1" applyBorder="1" applyAlignment="1">
      <alignment horizontal="right" vertical="center" wrapText="1"/>
    </xf>
    <xf numFmtId="10" fontId="74" fillId="0" borderId="0" xfId="208" applyNumberFormat="1" applyFont="1" applyAlignment="1">
      <alignment vertical="center" wrapText="1"/>
    </xf>
  </cellXfs>
  <cellStyles count="210">
    <cellStyle name="Comma 2" xfId="39" xr:uid="{00000000-0005-0000-0000-000000000000}"/>
    <cellStyle name="Currency 2" xfId="25" xr:uid="{00000000-0005-0000-0000-000001000000}"/>
    <cellStyle name="Currency 2 2" xfId="40" xr:uid="{00000000-0005-0000-0000-000002000000}"/>
    <cellStyle name="Currency 2 3" xfId="41" xr:uid="{00000000-0005-0000-0000-000003000000}"/>
    <cellStyle name="Currency 2 4" xfId="42" xr:uid="{00000000-0005-0000-0000-000004000000}"/>
    <cellStyle name="Currency 3" xfId="26" xr:uid="{00000000-0005-0000-0000-000005000000}"/>
    <cellStyle name="Currency 3 2" xfId="43" xr:uid="{00000000-0005-0000-0000-000006000000}"/>
    <cellStyle name="Currency 3 3" xfId="44" xr:uid="{00000000-0005-0000-0000-000007000000}"/>
    <cellStyle name="Currency 4" xfId="45" xr:uid="{00000000-0005-0000-0000-000008000000}"/>
    <cellStyle name="Moeda 2" xfId="27" xr:uid="{00000000-0005-0000-0000-000009000000}"/>
    <cellStyle name="Normal" xfId="0" builtinId="0"/>
    <cellStyle name="Normal 10" xfId="28" xr:uid="{00000000-0005-0000-0000-00000B000000}"/>
    <cellStyle name="Normal 10 2" xfId="46" xr:uid="{00000000-0005-0000-0000-00000C000000}"/>
    <cellStyle name="Normal 10 3" xfId="47" xr:uid="{00000000-0005-0000-0000-00000D000000}"/>
    <cellStyle name="Normal 10 4" xfId="80" xr:uid="{F99BEE8C-1FAA-4815-9E9F-964BE0AC8BA9}"/>
    <cellStyle name="Normal 11" xfId="48" xr:uid="{00000000-0005-0000-0000-00000E000000}"/>
    <cellStyle name="Normal 12" xfId="49" xr:uid="{00000000-0005-0000-0000-00000F000000}"/>
    <cellStyle name="Normal 13" xfId="90" xr:uid="{D1DF34D2-47EA-4B59-914C-A387ADFD9242}"/>
    <cellStyle name="Normal 14" xfId="93" xr:uid="{341074FE-0516-44E2-A644-870C5C9D6E72}"/>
    <cellStyle name="Normal 15" xfId="96" xr:uid="{80BAEDAE-303F-428C-93BE-21BE2C794902}"/>
    <cellStyle name="Normal 16" xfId="99" xr:uid="{6E3BD215-0C25-4701-AF2A-74398B2AB85B}"/>
    <cellStyle name="Normal 16 2" xfId="141" xr:uid="{E143D463-9511-42AE-930F-A9A0D8AE7001}"/>
    <cellStyle name="Normal 17" xfId="102" xr:uid="{0CB70D2B-113C-420B-BF69-EBD200548E8C}"/>
    <cellStyle name="Normal 17 2" xfId="145" xr:uid="{DEA3D05C-9D8E-4B14-A443-DC5C1FD46CED}"/>
    <cellStyle name="Normal 18" xfId="105" xr:uid="{45E74014-331B-479E-81F6-9A4AAE88B6C9}"/>
    <cellStyle name="Normal 19" xfId="108" xr:uid="{BE5946AE-E5B1-43EC-A853-54F29C5C0395}"/>
    <cellStyle name="Normal 2" xfId="2" xr:uid="{00000000-0005-0000-0000-000010000000}"/>
    <cellStyle name="Normal 2 10" xfId="12" xr:uid="{00000000-0005-0000-0000-000011000000}"/>
    <cellStyle name="Normal 2 11" xfId="13" xr:uid="{00000000-0005-0000-0000-000012000000}"/>
    <cellStyle name="Normal 2 12" xfId="14" xr:uid="{00000000-0005-0000-0000-000013000000}"/>
    <cellStyle name="Normal 2 13" xfId="15" xr:uid="{00000000-0005-0000-0000-000014000000}"/>
    <cellStyle name="Normal 2 14" xfId="16" xr:uid="{00000000-0005-0000-0000-000015000000}"/>
    <cellStyle name="Normal 2 15" xfId="17" xr:uid="{00000000-0005-0000-0000-000016000000}"/>
    <cellStyle name="Normal 2 16" xfId="18" xr:uid="{00000000-0005-0000-0000-000017000000}"/>
    <cellStyle name="Normal 2 17" xfId="19" xr:uid="{00000000-0005-0000-0000-000018000000}"/>
    <cellStyle name="Normal 2 18" xfId="20" xr:uid="{00000000-0005-0000-0000-000019000000}"/>
    <cellStyle name="Normal 2 19" xfId="21" xr:uid="{00000000-0005-0000-0000-00001A000000}"/>
    <cellStyle name="Normal 2 2" xfId="3" xr:uid="{00000000-0005-0000-0000-00001B000000}"/>
    <cellStyle name="Normal 2 2 2" xfId="50" xr:uid="{00000000-0005-0000-0000-00001C000000}"/>
    <cellStyle name="Normal 2 2 3" xfId="51" xr:uid="{00000000-0005-0000-0000-00001D000000}"/>
    <cellStyle name="Normal 2 20" xfId="22" xr:uid="{00000000-0005-0000-0000-00001E000000}"/>
    <cellStyle name="Normal 2 21" xfId="23" xr:uid="{00000000-0005-0000-0000-00001F000000}"/>
    <cellStyle name="Normal 2 22" xfId="38" xr:uid="{00000000-0005-0000-0000-000020000000}"/>
    <cellStyle name="Normal 2 23" xfId="77" xr:uid="{3D0CAFA2-0C18-4114-8BFD-8950703CB904}"/>
    <cellStyle name="Normal 2 24" xfId="79" xr:uid="{EABB4549-05AF-44FE-B996-F03BC9F04B91}"/>
    <cellStyle name="Normal 2 25" xfId="83" xr:uid="{9C112487-99AE-47A1-BC6F-ED8DE028A4C2}"/>
    <cellStyle name="Normal 2 26" xfId="85" xr:uid="{AEF0E555-5312-434A-959E-A37426FC90C2}"/>
    <cellStyle name="Normal 2 27" xfId="87" xr:uid="{9A3BD680-32C1-428D-BD17-227289CB042A}"/>
    <cellStyle name="Normal 2 28" xfId="89" xr:uid="{1A147A83-ED83-4F29-A2B6-238D86FF5C2F}"/>
    <cellStyle name="Normal 2 29" xfId="92" xr:uid="{C09CABAF-0574-42D3-AF2A-697ED583B159}"/>
    <cellStyle name="Normal 2 3" xfId="4" xr:uid="{00000000-0005-0000-0000-000021000000}"/>
    <cellStyle name="Normal 2 3 2" xfId="52" xr:uid="{00000000-0005-0000-0000-000022000000}"/>
    <cellStyle name="Normal 2 3 3" xfId="53" xr:uid="{00000000-0005-0000-0000-000023000000}"/>
    <cellStyle name="Normal 2 30" xfId="94" xr:uid="{C25C936A-0FBF-4488-B030-D69711ABC4DC}"/>
    <cellStyle name="Normal 2 31" xfId="97" xr:uid="{9414B16C-159E-4586-B137-840E4E6BC80F}"/>
    <cellStyle name="Normal 2 32" xfId="101" xr:uid="{07ED52B4-CF4E-4E31-80E1-473261319316}"/>
    <cellStyle name="Normal 2 33" xfId="104" xr:uid="{CA93F53E-B187-47DD-9A87-7C8644948FD1}"/>
    <cellStyle name="Normal 2 34" xfId="107" xr:uid="{9A24073E-DCAC-4203-940A-BE178F6CFD22}"/>
    <cellStyle name="Normal 2 35" xfId="110" xr:uid="{3E89A058-6FA4-4D57-914C-8F4D6AB1698A}"/>
    <cellStyle name="Normal 2 36" xfId="113" xr:uid="{5A4DB3CF-0250-4CA4-8017-C9B1D6900215}"/>
    <cellStyle name="Normal 2 37" xfId="116" xr:uid="{9D0BD10F-53FF-45F2-ADC2-8678E21799D5}"/>
    <cellStyle name="Normal 2 38" xfId="119" xr:uid="{21B3B7C1-FB24-41F9-A1E7-3CD03D7CBDB4}"/>
    <cellStyle name="Normal 2 39" xfId="122" xr:uid="{119B10A1-3E52-4A18-BC52-BACBC71F571F}"/>
    <cellStyle name="Normal 2 39 2" xfId="146" xr:uid="{CEF066A5-B2EF-4DC1-B980-259C7FEBFDDD}"/>
    <cellStyle name="Normal 2 4" xfId="5" xr:uid="{00000000-0005-0000-0000-000024000000}"/>
    <cellStyle name="Normal 2 40" xfId="125" xr:uid="{1F5AB7E4-70A5-4010-88C1-CB9312BFB89B}"/>
    <cellStyle name="Normal 2 41" xfId="128" xr:uid="{AF0C02FE-8E5A-4C92-9461-17E560597C1D}"/>
    <cellStyle name="Normal 2 42" xfId="131" xr:uid="{175CF4B8-45DF-4045-853D-4B7753D36FC3}"/>
    <cellStyle name="Normal 2 43" xfId="134" xr:uid="{1384FFDB-377F-4749-B64F-BD3262751CF5}"/>
    <cellStyle name="Normal 2 44" xfId="137" xr:uid="{B4A62E56-02E3-4BE9-BB2D-EC89D67F809E}"/>
    <cellStyle name="Normal 2 45" xfId="140" xr:uid="{47115C93-0899-4BDB-BDC9-887396706048}"/>
    <cellStyle name="Normal 2 46" xfId="149" xr:uid="{32B7AE15-B1F7-4D38-95AB-0B24FA82FEEF}"/>
    <cellStyle name="Normal 2 47" xfId="152" xr:uid="{FD8FEC8B-7606-40E7-8A0F-4EAE46E0BB9A}"/>
    <cellStyle name="Normal 2 48" xfId="155" xr:uid="{CAF5D54A-14E6-4879-81E9-91D907A1557B}"/>
    <cellStyle name="Normal 2 49" xfId="158" xr:uid="{6D40E1B5-66A5-4A70-BEBC-D137677D5E93}"/>
    <cellStyle name="Normal 2 5" xfId="6" xr:uid="{00000000-0005-0000-0000-000025000000}"/>
    <cellStyle name="Normal 2 50" xfId="161" xr:uid="{ECCD5181-3059-4650-9577-99075769DCE8}"/>
    <cellStyle name="Normal 2 51" xfId="164" xr:uid="{E4D94C2B-53B8-491C-AFFD-F95F03931307}"/>
    <cellStyle name="Normal 2 52" xfId="167" xr:uid="{B5B31E6C-4BA7-45B2-832E-FBA9479AF095}"/>
    <cellStyle name="Normal 2 53" xfId="170" xr:uid="{57F9D58A-E16E-4653-84B4-1AE53C200C9D}"/>
    <cellStyle name="Normal 2 54" xfId="173" xr:uid="{6609D757-972C-48F7-B0BF-63EA59E5E360}"/>
    <cellStyle name="Normal 2 55" xfId="176" xr:uid="{58E31D49-37A6-490A-8D93-ADD58839972C}"/>
    <cellStyle name="Normal 2 56" xfId="179" xr:uid="{62ADB8F3-6FF2-418A-9269-3B4058A2736D}"/>
    <cellStyle name="Normal 2 57" xfId="182" xr:uid="{E59985B2-3E98-406F-8223-E2AE64AFF411}"/>
    <cellStyle name="Normal 2 58" xfId="185" xr:uid="{F6843EAC-A723-4356-AB71-760339FF3F98}"/>
    <cellStyle name="Normal 2 59" xfId="187" xr:uid="{6ED0FEB6-7B45-4905-B00B-90746FA55DD8}"/>
    <cellStyle name="Normal 2 6" xfId="8" xr:uid="{00000000-0005-0000-0000-000026000000}"/>
    <cellStyle name="Normal 2 60" xfId="191" xr:uid="{4EDB2718-125D-4E1F-9C5A-38634CF2F5B7}"/>
    <cellStyle name="Normal 2 61" xfId="195" xr:uid="{857550CD-8E25-4B8D-A9C7-16D9C64BAA6A}"/>
    <cellStyle name="Normal 2 62" xfId="198" xr:uid="{8BE11097-19D7-49BC-A1F8-8DE973CC9185}"/>
    <cellStyle name="Normal 2 63" xfId="201" xr:uid="{A1C1CBAB-D9EC-4474-B28D-9C9AE9F234C5}"/>
    <cellStyle name="Normal 2 64" xfId="205" xr:uid="{E8F71CFE-1D11-4801-9799-848F81CCF821}"/>
    <cellStyle name="Normal 2 65" xfId="208" xr:uid="{16111885-D294-45D4-8F90-5660BD28D30C}"/>
    <cellStyle name="Normal 2 7" xfId="9" xr:uid="{00000000-0005-0000-0000-000027000000}"/>
    <cellStyle name="Normal 2 8" xfId="10" xr:uid="{00000000-0005-0000-0000-000028000000}"/>
    <cellStyle name="Normal 2 9" xfId="11" xr:uid="{00000000-0005-0000-0000-000029000000}"/>
    <cellStyle name="Normal 20" xfId="111" xr:uid="{E9D57494-2DAB-4406-9BFF-4ADDF1563584}"/>
    <cellStyle name="Normal 21" xfId="114" xr:uid="{BBEED114-38FB-411A-83B3-E1B737D08345}"/>
    <cellStyle name="Normal 22" xfId="117" xr:uid="{7EC44984-25E9-4FFA-940D-5ABC2F30E8A6}"/>
    <cellStyle name="Normal 23" xfId="120" xr:uid="{84DF6AA4-BB77-432A-9CC8-3C046D552BAA}"/>
    <cellStyle name="Normal 24" xfId="123" xr:uid="{9C07F4AB-2CB7-4223-A672-65B83A7A22EA}"/>
    <cellStyle name="Normal 25" xfId="126" xr:uid="{82AEAAEC-A0BF-4B58-AFB9-9719D1534D4A}"/>
    <cellStyle name="Normal 26" xfId="129" xr:uid="{DEE7AC7D-E837-4FE9-BDE0-41395758FB56}"/>
    <cellStyle name="Normal 27" xfId="132" xr:uid="{22407E65-C2C2-4D50-BD82-8E0E07AD572A}"/>
    <cellStyle name="Normal 28" xfId="135" xr:uid="{813785C0-B609-4260-A967-CC99DF8BF0B7}"/>
    <cellStyle name="Normal 29" xfId="138" xr:uid="{7FB7E804-401F-4F10-99BA-E8AB8F8D6609}"/>
    <cellStyle name="Normal 3" xfId="1" xr:uid="{00000000-0005-0000-0000-00002A000000}"/>
    <cellStyle name="Normal 30" xfId="147" xr:uid="{30B5DD61-FFCC-480E-A748-1006FDEAD42B}"/>
    <cellStyle name="Normal 31" xfId="150" xr:uid="{6E89E19B-4CB1-4F8A-9895-8EA0D479FB54}"/>
    <cellStyle name="Normal 32" xfId="153" xr:uid="{37231B9F-07D7-429D-BDBC-A284B13A893E}"/>
    <cellStyle name="Normal 33" xfId="156" xr:uid="{A1084599-7354-46A6-9B41-D96502EEC691}"/>
    <cellStyle name="Normal 34" xfId="159" xr:uid="{5C7B175A-8343-47EC-B71E-59ADE1BD3D9B}"/>
    <cellStyle name="Normal 35" xfId="162" xr:uid="{9B4DAD06-5FC4-4884-B3A0-00CB806D1102}"/>
    <cellStyle name="Normal 36" xfId="165" xr:uid="{4692675E-0C04-49A3-88CE-730F6151E3FE}"/>
    <cellStyle name="Normal 37" xfId="168" xr:uid="{18E5D57E-19A2-4E67-945B-FDDC8F589B0A}"/>
    <cellStyle name="Normal 38" xfId="171" xr:uid="{32E3072B-E610-4264-BC9D-0E1C55BC396A}"/>
    <cellStyle name="Normal 39" xfId="174" xr:uid="{1A401177-B4F2-4B5A-9382-9BEC8A2F52FC}"/>
    <cellStyle name="Normal 4" xfId="7" xr:uid="{00000000-0005-0000-0000-00002B000000}"/>
    <cellStyle name="Normal 4 2" xfId="29" xr:uid="{00000000-0005-0000-0000-00002C000000}"/>
    <cellStyle name="Normal 4 2 2" xfId="54" xr:uid="{00000000-0005-0000-0000-00002D000000}"/>
    <cellStyle name="Normal 4 2 3" xfId="55" xr:uid="{00000000-0005-0000-0000-00002E000000}"/>
    <cellStyle name="Normal 4 3" xfId="56" xr:uid="{00000000-0005-0000-0000-00002F000000}"/>
    <cellStyle name="Normal 4 4" xfId="57" xr:uid="{00000000-0005-0000-0000-000030000000}"/>
    <cellStyle name="Normal 40" xfId="177" xr:uid="{DEE35FFD-D677-4FB1-8F79-53C99C39500F}"/>
    <cellStyle name="Normal 41" xfId="180" xr:uid="{B148BA26-3F7B-4176-B1F9-93578157C24F}"/>
    <cellStyle name="Normal 42" xfId="183" xr:uid="{A0BD550B-8E29-459F-9613-7CEAAE26C5E0}"/>
    <cellStyle name="Normal 43" xfId="186" xr:uid="{0F057478-180E-4717-85AA-2E5F5CC52425}"/>
    <cellStyle name="Normal 44" xfId="189" xr:uid="{C46A3517-EB0C-4A94-966E-DA86C3119C09}"/>
    <cellStyle name="Normal 45" xfId="192" xr:uid="{4B476F94-B79A-4037-9F0B-0B8BB76BB1A2}"/>
    <cellStyle name="Normal 46" xfId="193" xr:uid="{885EFA16-125F-4B17-8716-21DBBF51D2E4}"/>
    <cellStyle name="Normal 47" xfId="196" xr:uid="{B5B9FC74-9AC9-41E1-B504-8828B07A6857}"/>
    <cellStyle name="Normal 48" xfId="199" xr:uid="{67235556-657F-4364-8182-3EF1636DBE08}"/>
    <cellStyle name="Normal 49" xfId="202" xr:uid="{C269DF45-DB2D-4C1D-B0E1-F9D5259FA4F9}"/>
    <cellStyle name="Normal 5" xfId="30" xr:uid="{00000000-0005-0000-0000-000031000000}"/>
    <cellStyle name="Normal 5 2" xfId="58" xr:uid="{00000000-0005-0000-0000-000032000000}"/>
    <cellStyle name="Normal 5 3" xfId="59" xr:uid="{00000000-0005-0000-0000-000033000000}"/>
    <cellStyle name="Normal 50" xfId="203" xr:uid="{6EFE3F1A-03D1-479D-87C1-9DA61199676B}"/>
    <cellStyle name="Normal 51" xfId="206" xr:uid="{D2C973EA-AA95-4FE4-B405-773CFD6346E6}"/>
    <cellStyle name="Normal 52" xfId="207" xr:uid="{C61F8D13-897C-4C18-943E-21D16D71E5F3}"/>
    <cellStyle name="Normal 6" xfId="31" xr:uid="{00000000-0005-0000-0000-000034000000}"/>
    <cellStyle name="Normal 6 2" xfId="32" xr:uid="{00000000-0005-0000-0000-000035000000}"/>
    <cellStyle name="Normal 6 2 2" xfId="60" xr:uid="{00000000-0005-0000-0000-000036000000}"/>
    <cellStyle name="Normal 6 2 3" xfId="61" xr:uid="{00000000-0005-0000-0000-000037000000}"/>
    <cellStyle name="Normal 6 3" xfId="62" xr:uid="{00000000-0005-0000-0000-000038000000}"/>
    <cellStyle name="Normal 6 4" xfId="63" xr:uid="{00000000-0005-0000-0000-000039000000}"/>
    <cellStyle name="Normal 7" xfId="33" xr:uid="{00000000-0005-0000-0000-00003A000000}"/>
    <cellStyle name="Normal 7 2" xfId="64" xr:uid="{00000000-0005-0000-0000-00003B000000}"/>
    <cellStyle name="Normal 7 3" xfId="65" xr:uid="{00000000-0005-0000-0000-00003C000000}"/>
    <cellStyle name="Normal 8" xfId="34" xr:uid="{00000000-0005-0000-0000-00003D000000}"/>
    <cellStyle name="Normal 8 2" xfId="66" xr:uid="{00000000-0005-0000-0000-00003E000000}"/>
    <cellStyle name="Normal 8 3" xfId="67" xr:uid="{00000000-0005-0000-0000-00003F000000}"/>
    <cellStyle name="Normal 9" xfId="35" xr:uid="{00000000-0005-0000-0000-000040000000}"/>
    <cellStyle name="Normal 9 2" xfId="68" xr:uid="{00000000-0005-0000-0000-000041000000}"/>
    <cellStyle name="Normal 9 3" xfId="69" xr:uid="{00000000-0005-0000-0000-000042000000}"/>
    <cellStyle name="Percent 2" xfId="70" xr:uid="{00000000-0005-0000-0000-000043000000}"/>
    <cellStyle name="Total 2" xfId="71" xr:uid="{00000000-0005-0000-0000-000044000000}"/>
    <cellStyle name="Total 3" xfId="72" xr:uid="{00000000-0005-0000-0000-000045000000}"/>
    <cellStyle name="Vírgula 2" xfId="24" xr:uid="{00000000-0005-0000-0000-000046000000}"/>
    <cellStyle name="Vírgula 2 10" xfId="86" xr:uid="{1CDE7F60-ACE4-4EC3-9ECA-2FD80CB8A8D1}"/>
    <cellStyle name="Vírgula 2 11" xfId="88" xr:uid="{810274DA-E576-4A56-9C5C-D663E50823DA}"/>
    <cellStyle name="Vírgula 2 12" xfId="91" xr:uid="{39E1988B-4E86-4DDE-B9A7-53510410E50A}"/>
    <cellStyle name="Vírgula 2 13" xfId="95" xr:uid="{A51EB6F2-FA39-4EE3-A24D-C376F5E36CD0}"/>
    <cellStyle name="Vírgula 2 14" xfId="98" xr:uid="{BECA3E30-E6D2-45B7-8D1E-A27F44558DFA}"/>
    <cellStyle name="Vírgula 2 15" xfId="100" xr:uid="{61D05FB3-C9ED-4BF7-83BB-440A3F513FB2}"/>
    <cellStyle name="Vírgula 2 15 2" xfId="144" xr:uid="{4620A158-C961-48A7-967D-384DFDC5214F}"/>
    <cellStyle name="Vírgula 2 16" xfId="103" xr:uid="{B222AC64-D4EA-41FE-842E-90D24C6C171B}"/>
    <cellStyle name="Vírgula 2 16 2" xfId="142" xr:uid="{80F4E412-800B-46EE-98EF-FC44FB4D4200}"/>
    <cellStyle name="Vírgula 2 17" xfId="106" xr:uid="{DA9D0580-D268-45C9-A4CA-E92DF2A091AA}"/>
    <cellStyle name="Vírgula 2 18" xfId="109" xr:uid="{49A6E8BD-39BD-4C72-AB8C-418DAE74C668}"/>
    <cellStyle name="Vírgula 2 19" xfId="112" xr:uid="{BC57C7C3-F0D0-40D8-8D23-C662488C72DA}"/>
    <cellStyle name="Vírgula 2 2" xfId="36" xr:uid="{00000000-0005-0000-0000-000047000000}"/>
    <cellStyle name="Vírgula 2 2 2" xfId="73" xr:uid="{00000000-0005-0000-0000-000048000000}"/>
    <cellStyle name="Vírgula 2 2 3" xfId="74" xr:uid="{00000000-0005-0000-0000-000049000000}"/>
    <cellStyle name="Vírgula 2 20" xfId="115" xr:uid="{E3B782F7-8EF3-4F1D-9264-B364B63BAC27}"/>
    <cellStyle name="Vírgula 2 21" xfId="118" xr:uid="{1A4E7F19-9149-43EA-B9C8-653323292FBA}"/>
    <cellStyle name="Vírgula 2 22" xfId="121" xr:uid="{A69A1DEE-19EA-4C0D-9062-54ACC559E4AA}"/>
    <cellStyle name="Vírgula 2 22 2" xfId="143" xr:uid="{31D0DB5B-5C06-4121-8271-E4450FA58EFF}"/>
    <cellStyle name="Vírgula 2 23" xfId="124" xr:uid="{BC2174D2-0EDB-4CD1-AFF4-C2E5F4EC62B8}"/>
    <cellStyle name="Vírgula 2 24" xfId="127" xr:uid="{D92B7B92-F92C-447A-BB97-3F04CC3EA329}"/>
    <cellStyle name="Vírgula 2 25" xfId="130" xr:uid="{CF403003-C82F-4E73-94CE-FA9EA9B6FA2C}"/>
    <cellStyle name="Vírgula 2 26" xfId="133" xr:uid="{E63BECBD-6BFA-48CB-A456-453B4AB767C3}"/>
    <cellStyle name="Vírgula 2 27" xfId="136" xr:uid="{5CC2432B-AB48-4D0B-9814-EFBE83226710}"/>
    <cellStyle name="Vírgula 2 28" xfId="139" xr:uid="{75CF8AC9-38F1-408F-9D1E-687804BBE9CD}"/>
    <cellStyle name="Vírgula 2 29" xfId="148" xr:uid="{7E0C40F5-AA69-411D-9AD9-A50C15D8174B}"/>
    <cellStyle name="Vírgula 2 3" xfId="37" xr:uid="{00000000-0005-0000-0000-00004A000000}"/>
    <cellStyle name="Vírgula 2 30" xfId="151" xr:uid="{9C7514F9-135A-44E1-B7E8-A2640DCA2CEE}"/>
    <cellStyle name="Vírgula 2 31" xfId="154" xr:uid="{D24ABCF5-E738-48AF-B623-1D67BB9A5FA0}"/>
    <cellStyle name="Vírgula 2 32" xfId="157" xr:uid="{95C0BC42-1CC1-4417-BEA3-313A8D735883}"/>
    <cellStyle name="Vírgula 2 33" xfId="160" xr:uid="{2E4EC2D4-566F-404F-B57E-FF60DA693E4F}"/>
    <cellStyle name="Vírgula 2 34" xfId="163" xr:uid="{BF8D2513-3375-44C4-B932-9AD2C1B251AF}"/>
    <cellStyle name="Vírgula 2 35" xfId="166" xr:uid="{1E497363-F502-4981-A228-82FA5EF56D6D}"/>
    <cellStyle name="Vírgula 2 36" xfId="169" xr:uid="{AE5E29C4-1306-4EA9-8F6B-7DB568573348}"/>
    <cellStyle name="Vírgula 2 37" xfId="172" xr:uid="{45A715A7-4FF7-4D2F-9076-26886555E696}"/>
    <cellStyle name="Vírgula 2 38" xfId="175" xr:uid="{FB0DE0F3-1799-4923-970E-5D88289F1D99}"/>
    <cellStyle name="Vírgula 2 39" xfId="178" xr:uid="{8B06982C-8223-447B-A1DD-53C8A474F040}"/>
    <cellStyle name="Vírgula 2 4" xfId="75" xr:uid="{00000000-0005-0000-0000-00004B000000}"/>
    <cellStyle name="Vírgula 2 40" xfId="181" xr:uid="{C548D86A-6397-4037-BA5F-DD040A3F3563}"/>
    <cellStyle name="Vírgula 2 41" xfId="184" xr:uid="{BDAAFB47-9884-4176-B062-3988B1187B85}"/>
    <cellStyle name="Vírgula 2 42" xfId="188" xr:uid="{4193C5BF-62AC-4056-8CCF-983A4488913F}"/>
    <cellStyle name="Vírgula 2 43" xfId="190" xr:uid="{D0B66CDE-0E48-4BE4-888D-652F1D62E026}"/>
    <cellStyle name="Vírgula 2 44" xfId="194" xr:uid="{25F5E8D7-BFA1-43B7-90D7-B3F6B6CAEFCE}"/>
    <cellStyle name="Vírgula 2 45" xfId="197" xr:uid="{1B76C73B-1EC6-4E85-8855-B4A4FEB3579F}"/>
    <cellStyle name="Vírgula 2 46" xfId="200" xr:uid="{A8F855FC-92C9-416F-BDBE-EC2F40AEC628}"/>
    <cellStyle name="Vírgula 2 47" xfId="204" xr:uid="{E7E9CBA8-CE9B-43F2-805E-8843CBCC4889}"/>
    <cellStyle name="Vírgula 2 48" xfId="209" xr:uid="{150C0C58-F291-44E2-AE13-6D9313B7E27F}"/>
    <cellStyle name="Vírgula 2 5" xfId="76" xr:uid="{19C0784B-C25D-4E38-83B3-319308310A33}"/>
    <cellStyle name="Vírgula 2 6" xfId="78" xr:uid="{4108E5B3-9BC6-4867-8395-C44269A3775A}"/>
    <cellStyle name="Vírgula 2 7" xfId="81" xr:uid="{B7F2D8F4-E614-4C43-99F4-22E0A231A3BF}"/>
    <cellStyle name="Vírgula 2 8" xfId="82" xr:uid="{637E0D08-DF68-4430-86AC-5617117A9260}"/>
    <cellStyle name="Vírgula 2 9" xfId="84" xr:uid="{F4956D16-D35B-405C-9BC0-E9A816419BF7}"/>
  </cellStyles>
  <dxfs count="0"/>
  <tableStyles count="0" defaultTableStyle="TableStyleMedium2" defaultPivotStyle="PivotStyleLight16"/>
  <colors>
    <mruColors>
      <color rgb="FFFFFFFF"/>
      <color rgb="FF2153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9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9.xml"/><Relationship Id="rId42" Type="http://schemas.openxmlformats.org/officeDocument/2006/relationships/externalLink" Target="externalLinks/externalLink17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7.xml"/><Relationship Id="rId37" Type="http://schemas.openxmlformats.org/officeDocument/2006/relationships/externalLink" Target="externalLinks/externalLink12.xml"/><Relationship Id="rId40" Type="http://schemas.openxmlformats.org/officeDocument/2006/relationships/externalLink" Target="externalLinks/externalLink15.xml"/><Relationship Id="rId45" Type="http://schemas.openxmlformats.org/officeDocument/2006/relationships/externalLink" Target="externalLinks/externalLink2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36" Type="http://schemas.openxmlformats.org/officeDocument/2006/relationships/externalLink" Target="externalLinks/externalLink11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6.xml"/><Relationship Id="rId44" Type="http://schemas.openxmlformats.org/officeDocument/2006/relationships/externalLink" Target="externalLinks/externalLink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35" Type="http://schemas.openxmlformats.org/officeDocument/2006/relationships/externalLink" Target="externalLinks/externalLink10.xml"/><Relationship Id="rId43" Type="http://schemas.openxmlformats.org/officeDocument/2006/relationships/externalLink" Target="externalLinks/externalLink18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8.xml"/><Relationship Id="rId38" Type="http://schemas.openxmlformats.org/officeDocument/2006/relationships/externalLink" Target="externalLinks/externalLink13.xml"/><Relationship Id="rId46" Type="http://schemas.openxmlformats.org/officeDocument/2006/relationships/externalLink" Target="externalLinks/externalLink2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1\Departamento\DOConta\DOr&#231;amento\OSS%202014\Retificativo%2001\OSS2014_Ret_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2\Dados\Unidades%20Organicas\DOC-DO\Execu&#231;&#227;o\201605\Subsistema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2\Dados\Unidades%20Organicas\DOC-DO\Execu&#231;&#227;o\201605\2015\2015_12\Subsistema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2\Dados\Documents%20and%20Settings\nuno.santos\Local%20Settings\Temporary%20Internet%20Files\Content.Outlook\MTCVKID9\201012\Abril\2008_12_31\Subsistema%20Dezembro%2020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2\Dados\Unidades%20Organicas\DOC-DO\Execu&#231;&#227;o\201605\2015\2015_12\2008_12_31\Subsistema%20Dezembro%202008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eresa.coelho\Desktop\Seguran&#231;aSocial\Anos_PlanoeContas\2026\8_ContasMensais\9_setembro\INSS_2026_setembroVF.xlsx" TargetMode="External"/><Relationship Id="rId1" Type="http://schemas.openxmlformats.org/officeDocument/2006/relationships/externalLinkPath" Target="INSS_2026_setembroVF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../6_junho/INSS_2026_junhoVF.xlsx" TargetMode="External"/><Relationship Id="rId2" Type="http://schemas.openxmlformats.org/officeDocument/2006/relationships/externalLinkPath" Target="file:///C:\Users\teresa.coelho\Desktop\Seguran&#231;aSocial\Anos_PlanoeContas\2026\8_ContasMensais\6_junho\INSS_2026_junhoVF.xlsx" TargetMode="External"/><Relationship Id="rId1" Type="http://schemas.openxmlformats.org/officeDocument/2006/relationships/externalLinkPath" Target="/Users/teresa.coelho/Desktop/Seguran&#231;aSocial/Anos_PlanoeContas/2026/8_ContasMensais/6_junho/INSS_2026_junhoVF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MapasOSS_2024\INSS2.xlsx" TargetMode="External"/><Relationship Id="rId1" Type="http://schemas.openxmlformats.org/officeDocument/2006/relationships/externalLinkPath" Target="file:///X:\MapasOSS_2024\INSS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rocedimentosFinanceiro2023\2_Execu&#231;&#227;oOr&#231;amental_2023_Fevereiro_CONSULTA.xlsx" TargetMode="External"/></Relationships>
</file>

<file path=xl/externalLinks/_rels/externalLink1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Anos_PlanoContas/2023/2_ContasMensais2023/12_dezembro2023/12_Execu&#231;&#227;oOr&#231;amental_Dezembro2023_revistoVFF.xlsx" TargetMode="External"/><Relationship Id="rId2" Type="http://schemas.openxmlformats.org/officeDocument/2006/relationships/externalLinkPath" Target="file:///C:\Users\teresa.coelho\Desktop\Seguran&#231;aSocial\Anos_PlanoContas\2023\2_ContasMensais2023\12_dezembro2023\12_Execu&#231;&#227;oOr&#231;amental_Dezembro2023_revistoVFF.xlsx" TargetMode="External"/><Relationship Id="rId1" Type="http://schemas.openxmlformats.org/officeDocument/2006/relationships/externalLinkPath" Target="/Users/teresa.coelho/Desktop/Seguran&#231;aSocial/Anos_PlanoContas/2023/2_ContasMensais2023/12_dezembro2023/12_Execu&#231;&#227;oOr&#231;amental_Dezembro2023_revistoVFF.xlsx" TargetMode="External"/></Relationships>
</file>

<file path=xl/externalLinks/_rels/externalLink1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2025/10_ContasMensais/12_dezembro_2025/MapasFinais/INSS_dezembro_VF.xlsx" TargetMode="External"/><Relationship Id="rId2" Type="http://schemas.openxmlformats.org/officeDocument/2006/relationships/externalLinkPath" Target="file:///C:\Users\teresa.coelho\Desktop\Seguran&#231;aSocial\Anos_PlanoeContas\2025\10_ContasMensais\12_dezembro_2025\MapasFinais\INSS_dezembro_VF.xlsx" TargetMode="External"/><Relationship Id="rId1" Type="http://schemas.openxmlformats.org/officeDocument/2006/relationships/externalLinkPath" Target="/Users/teresa.coelho/Desktop/Seguran&#231;aSocial/Anos_PlanoeContas/2025/10_ContasMensais/12_dezembro_2025/MapasFinais/INSS_dezembro_VF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epartamento%20Financeiro\Unidade%20Contabiliza&#231;&#227;o%20e%20Controlo%20Or&#231;amental\ContasJan2021\Execu&#231;&#227;oOr&#231;amental_2021_Janeiro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hp/Desktop/Trabalho/Maio_Casa/2021/FINAL2021/Contas2021/4_Abril/Execu&#231;&#227;oOr&#231;amental2021_Abr_VF2.xlsx" TargetMode="External"/><Relationship Id="rId1" Type="http://schemas.openxmlformats.org/officeDocument/2006/relationships/externalLinkPath" Target="/Users/hp/Desktop/Trabalho/Maio_Casa/2021/FINAL2021/Contas2021/4_Abril/Execu&#231;&#227;oOr&#231;amental2021_Abr_VF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eresa.coelho\Desktop\Seguran&#231;aSocial\Anos_PlanoeContas\2026\8_ContasMensais\9_setembro\FRSS_2026_setembroVF.xlsx" TargetMode="External"/><Relationship Id="rId1" Type="http://schemas.openxmlformats.org/officeDocument/2006/relationships/externalLinkPath" Target="FRSS_2026_setembroVF.xlsx" TargetMode="External"/></Relationships>
</file>

<file path=xl/externalLinks/_rels/externalLink15.xml.rels><?xml version="1.0" encoding="UTF-8" standalone="yes"?>
<Relationships xmlns="http://schemas.openxmlformats.org/package/2006/relationships"><Relationship Id="rId3" Type="http://schemas.openxmlformats.org/officeDocument/2006/relationships/externalLinkPath" Target="../6_junho/FRSS_2026_junhoVF.xlsx" TargetMode="External"/><Relationship Id="rId2" Type="http://schemas.openxmlformats.org/officeDocument/2006/relationships/externalLinkPath" Target="file:///C:\Users\teresa.coelho\Desktop\Seguran&#231;aSocial\Anos_PlanoeContas\2026\8_ContasMensais\6_junho\FRSS_2026_junhoVF.xlsx" TargetMode="External"/><Relationship Id="rId1" Type="http://schemas.openxmlformats.org/officeDocument/2006/relationships/externalLinkPath" Target="/Users/teresa.coelho/Desktop/Seguran&#231;aSocial/Anos_PlanoeContas/2026/8_ContasMensais/6_junho/FRSS_2026_junhoVF.xlsx" TargetMode="External"/></Relationships>
</file>

<file path=xl/externalLinks/_rels/externalLink16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Teresa/Desktop/TrabalhoTL_2024/2024/ContasMensais2024/1_Janeiro_2024/Mapas/Iniciais/FRSS_janeiro24.xlsx" TargetMode="External"/><Relationship Id="rId2" Type="http://schemas.openxmlformats.org/officeDocument/2006/relationships/externalLinkPath" Target="file:///C:\Users\teresa.coelho\Desktop\Seguran&#231;aSocial\Anos_PlanoContas\2024\ContasMensais2024\1_JANEIRO_2024\Mapas\FRSS_janeiro24.xlsx" TargetMode="External"/><Relationship Id="rId1" Type="http://schemas.openxmlformats.org/officeDocument/2006/relationships/externalLinkPath" Target="/Users/Teresa/Desktop/TrabalhoTL_2024/2024/ContasMensais2024/1_Janeiro_2024/Mapas/Iniciais/FRSS_janeiro24.xlsx" TargetMode="External"/></Relationships>
</file>

<file path=xl/externalLinks/_rels/externalLink17.xml.rels><?xml version="1.0" encoding="UTF-8" standalone="yes"?>
<Relationships xmlns="http://schemas.openxmlformats.org/package/2006/relationships"><Relationship Id="rId3" Type="http://schemas.openxmlformats.org/officeDocument/2006/relationships/externalLinkPath" Target="../Janeiro/INSS_2026_janeiro.xlsx" TargetMode="External"/><Relationship Id="rId2" Type="http://schemas.openxmlformats.org/officeDocument/2006/relationships/externalLinkPath" Target="file:///C:\Users\teresa.coelho\Desktop\Seguran&#231;aSocial\Anos_PlanoeContas\2026\8_ContasMensais\Janeiro\INSS_2026_janeiro.xlsx" TargetMode="External"/><Relationship Id="rId1" Type="http://schemas.openxmlformats.org/officeDocument/2006/relationships/externalLinkPath" Target="/Users/teresa.coelho/Desktop/Seguran&#231;aSocial/Anos_PlanoeContas/2026/8_ContasMensais/Janeiro/INSS_2026_janeiro.xlsx" TargetMode="External"/></Relationships>
</file>

<file path=xl/externalLinks/_rels/externalLink18.xml.rels><?xml version="1.0" encoding="UTF-8" standalone="yes"?>
<Relationships xmlns="http://schemas.openxmlformats.org/package/2006/relationships"><Relationship Id="rId3" Type="http://schemas.openxmlformats.org/officeDocument/2006/relationships/externalLinkPath" Target="../Janeiro/FRSS_2026_janeiro.xlsx" TargetMode="External"/><Relationship Id="rId2" Type="http://schemas.openxmlformats.org/officeDocument/2006/relationships/externalLinkPath" Target="file:///C:\Users\teresa.coelho\Desktop\Seguran&#231;aSocial\Anos_PlanoeContas\2026\8_ContasMensais\Janeiro\FRSS_2026_janeiro.xlsx" TargetMode="External"/><Relationship Id="rId1" Type="http://schemas.openxmlformats.org/officeDocument/2006/relationships/externalLinkPath" Target="/Users/teresa.coelho/Desktop/Seguran&#231;aSocial/Anos_PlanoeContas/2026/8_ContasMensais/Janeiro/FRSS_2026_janeiro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gfserv02\Dados\Unidades%20Organicas\DOC-DO\Execu&#231;&#227;o\201605\2015\2015_12\2014_12\2012_12\Subsistema%202012.xls" TargetMode="External"/></Relationships>
</file>

<file path=xl/externalLinks/_rels/externalLink20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Teresa/Desktop/TrabalhoTL_2024/2024/ContasMensais2024/1_Janeiro_2024/Mapas/Iniciais/INSS_janeiro24.xlsx" TargetMode="External"/><Relationship Id="rId2" Type="http://schemas.openxmlformats.org/officeDocument/2006/relationships/externalLinkPath" Target="file:///C:\Users\teresa.coelho\Desktop\Seguran&#231;aSocial\Anos_PlanoContas\2024\ContasMensais2024\1_JANEIRO_2024\Mapas\INSS_janeiro24.xlsx" TargetMode="External"/><Relationship Id="rId1" Type="http://schemas.openxmlformats.org/officeDocument/2006/relationships/externalLinkPath" Target="/Users/Teresa/Desktop/TrabalhoTL_2024/2024/ContasMensais2024/1_Janeiro_2024/Mapas/Iniciais/INSS_janeiro24.xlsx" TargetMode="External"/></Relationships>
</file>

<file path=xl/externalLinks/_rels/externalLink2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eresa.coelho\Desktop\Seguran&#231;aSocial\Anos_PlanoeContas\2026\8_ContasMensais\9_setembro\OSS_Global_2026_setembroVF.xlsx" TargetMode="External"/><Relationship Id="rId1" Type="http://schemas.openxmlformats.org/officeDocument/2006/relationships/externalLinkPath" Target="OSS_Global_2026_setembro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"/>
      <sheetName val="1029"/>
      <sheetName val="CEDIC"/>
      <sheetName val="Transferência OE 2014"/>
      <sheetName val="Versão Incremental (com CGA)"/>
      <sheetName val="2014 (Vs Anterior)"/>
      <sheetName val="Mapa IX Analitico (Vs anterior)"/>
      <sheetName val="Mapa Relatório"/>
      <sheetName val="Mapa IX Sintetico CGA"/>
      <sheetName val="Mapa IX Sintetico "/>
      <sheetName val="Mapa IX Analitico (2014)"/>
      <sheetName val="Mapa IX Analitico"/>
      <sheetName val="Mapa IX Analitico CGA"/>
      <sheetName val="AS Fontes Financiamento"/>
      <sheetName val="2014"/>
      <sheetName val="Saldos Globais"/>
      <sheetName val="Op. Intra Ss"/>
      <sheetName val="Consolidado"/>
      <sheetName val="Op. Intra Rendas"/>
      <sheetName val="Administração"/>
      <sheetName val="Dot-Admin_2013"/>
      <sheetName val="Dot-Auxiliar-D"/>
      <sheetName val="Dot-Auxiliar-R"/>
      <sheetName val="OSS-Admin_2014"/>
      <sheetName val="OSS-Auxiliar-D"/>
      <sheetName val="OSS-Auxiliar-R"/>
      <sheetName val="RET-Admin_2014"/>
      <sheetName val="RET-Auxiliar-D"/>
      <sheetName val="RET-Auxiliar-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51">
          <cell r="O1051">
            <v>4400000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"/>
      <sheetName val="9999"/>
      <sheetName val="7777"/>
      <sheetName val="4070"/>
      <sheetName val="3016"/>
      <sheetName val="3015"/>
      <sheetName val="3014"/>
      <sheetName val="3012"/>
      <sheetName val="3011"/>
      <sheetName val="3001"/>
      <sheetName val="2001"/>
      <sheetName val="1029"/>
      <sheetName val="1001"/>
      <sheetName val="Consolidado"/>
      <sheetName val="Verbetes"/>
      <sheetName val="Op. Intra Rendas"/>
      <sheetName val="Op. Intra PAS_P_F_RA311_AFP"/>
      <sheetName val="Administração"/>
      <sheetName val="Saldos de Gerência"/>
      <sheetName val="Saldos Globais"/>
      <sheetName val="2016"/>
      <sheetName val="Mapa IX Sintetico"/>
      <sheetName val="Mapa IX Analitico"/>
      <sheetName val="Sintético"/>
      <sheetName val="OSS2016-Auxiliar-D"/>
      <sheetName val="OSS2016-Auxiliar-R"/>
      <sheetName val="OSS-Admin_2016"/>
      <sheetName val="Exec-Admin_2016"/>
      <sheetName val="Exec2016-Auxiliar-R"/>
      <sheetName val="Exec2016-Auxiliar-D"/>
      <sheetName val="R-X"/>
      <sheetName val="D-XI"/>
      <sheetName val="D-XII"/>
      <sheetName val="R-XIII"/>
      <sheetName val="D-XIV"/>
      <sheetName val="XXI"/>
      <sheetName val="XXII"/>
      <sheetName val="DGO - 10 - SS"/>
      <sheetName val="SS1Relatorio"/>
      <sheetName val="DGO - 15 SG"/>
      <sheetName val="DGO - 11 - SS Eco"/>
      <sheetName val="SS1"/>
      <sheetName val="DGO - detalhe R.05.03.01"/>
      <sheetName val="Transferências Economicas"/>
      <sheetName val="Serviço por Económicas"/>
      <sheetName val="AS"/>
      <sheetName val="AS_Fin"/>
      <sheetName val="AS_resumo"/>
      <sheetName val="Prestações Subsidio Desemprego"/>
      <sheetName val="TRF IGFCSS"/>
      <sheetName val="Contribuições e Iva"/>
      <sheetName val="Pensões Consolidada"/>
      <sheetName val="Administração (2)"/>
      <sheetName val="Transferências"/>
      <sheetName val="SO"/>
      <sheetName val="Mapa Relatório"/>
      <sheetName val="Folha2"/>
      <sheetName val="PES+ASECE"/>
      <sheetName val="mapa PES"/>
      <sheetName val="D-XI Subsistem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008">
          <cell r="N3008">
            <v>1488737</v>
          </cell>
        </row>
        <row r="3012">
          <cell r="N3012">
            <v>511263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"/>
      <sheetName val="7777"/>
      <sheetName val="9999"/>
      <sheetName val="1000"/>
      <sheetName val="1029"/>
      <sheetName val="2001"/>
      <sheetName val="3001"/>
      <sheetName val="3005"/>
      <sheetName val="3011"/>
      <sheetName val="3012"/>
      <sheetName val="3014"/>
      <sheetName val="3015"/>
      <sheetName val="0003"/>
      <sheetName val="3016"/>
      <sheetName val="0004"/>
      <sheetName val="4050"/>
      <sheetName val="4060"/>
      <sheetName val="Consolidado"/>
      <sheetName val="2013"/>
      <sheetName val="Mapa IX Analitico"/>
      <sheetName val="Mapa IX Sintetico"/>
      <sheetName val="Op. Intra Ss"/>
      <sheetName val="Op. Intra Rendas"/>
      <sheetName val="Administração"/>
      <sheetName val="Dot-Admin_2013"/>
      <sheetName val="Exec-Admin_2013"/>
      <sheetName val="Dot-Auxiliar-D"/>
      <sheetName val="Exec-Auxiliar-D"/>
      <sheetName val="Dot-Auxiliar-R"/>
      <sheetName val="Exec-Auxiliar-R"/>
      <sheetName val="R-X"/>
      <sheetName val="XXII"/>
      <sheetName val="R-XIII"/>
      <sheetName val="D-XII"/>
      <sheetName val="D-XIV"/>
      <sheetName val="D-XI"/>
      <sheetName val="Relatorio"/>
      <sheetName val="Venda AF(DGO)"/>
      <sheetName val="PES+ASECE"/>
      <sheetName val="SS1"/>
      <sheetName val="SS1Relatorio (+mapa PES )"/>
      <sheetName val="SS1Relatorio"/>
      <sheetName val="Transferências Economicas"/>
      <sheetName val="Serviço por Económ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051">
          <cell r="Y1051">
            <v>1720834.1099999999</v>
          </cell>
        </row>
        <row r="1065">
          <cell r="Y1065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9999"/>
      <sheetName val="1001-8888"/>
      <sheetName val="1029"/>
      <sheetName val="2001"/>
      <sheetName val="3001"/>
      <sheetName val="3002"/>
      <sheetName val="3003"/>
      <sheetName val="3004"/>
      <sheetName val="3005"/>
      <sheetName val="3006"/>
      <sheetName val="3007"/>
      <sheetName val="3008"/>
      <sheetName val="3009"/>
      <sheetName val="3010"/>
      <sheetName val="3011"/>
      <sheetName val="3012"/>
      <sheetName val="3013"/>
      <sheetName val="3014"/>
      <sheetName val="4000"/>
      <sheetName val="Consolidado"/>
      <sheetName val="Saldos Globais"/>
      <sheetName val="2008"/>
      <sheetName val="Mapa IX Analitico"/>
      <sheetName val="Mapa IX Sintetico"/>
      <sheetName val="Exec Auxiliar-D"/>
      <sheetName val="Exec Auxiliar-R"/>
      <sheetName val="Administração"/>
      <sheetName val="Exec-Admin_2008"/>
      <sheetName val="Dot-Admin_2008"/>
      <sheetName val="OR Rend"/>
      <sheetName val="AE"/>
      <sheetName val="27-07-Pensões"/>
      <sheetName val="Pensões-I"/>
      <sheetName val="Pensões-ISS"/>
      <sheetName val="SO1"/>
      <sheetName val="SO"/>
      <sheetName val="Decomposição Saldo"/>
      <sheetName val="Cativos"/>
      <sheetName val="AS"/>
      <sheetName val="Cál. Contrib."/>
      <sheetName val="Dot Auxiliar-D"/>
      <sheetName val="Dot-Auxiliar-R"/>
      <sheetName val="R-XIII"/>
      <sheetName val="R-X"/>
      <sheetName val="D-XIV"/>
      <sheetName val="D-XII"/>
      <sheetName val="D-XI"/>
      <sheetName val="R-XIII (2)"/>
      <sheetName val="D-XIV (2)"/>
      <sheetName val="Total"/>
      <sheetName val="TC-d"/>
      <sheetName val="TC-r"/>
      <sheetName val="Exec Auxiliar-R Mensal"/>
      <sheetName val="MIX-Anal. Dr Nuno"/>
      <sheetName val="Controlo_R"/>
      <sheetName val="Controlo_D"/>
      <sheetName val="Despesa"/>
      <sheetName val="Receita"/>
      <sheetName val="Subsistema Dezembro 2008"/>
      <sheetName val="estimativa CE 20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36">
          <cell r="B36">
            <v>9680204.2100000009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9999"/>
      <sheetName val="1001-8888"/>
      <sheetName val="1029"/>
      <sheetName val="2001"/>
      <sheetName val="3001"/>
      <sheetName val="3002"/>
      <sheetName val="3003"/>
      <sheetName val="3004"/>
      <sheetName val="3005"/>
      <sheetName val="3006"/>
      <sheetName val="3007"/>
      <sheetName val="3008"/>
      <sheetName val="3009"/>
      <sheetName val="3010"/>
      <sheetName val="3011"/>
      <sheetName val="3012"/>
      <sheetName val="3013"/>
      <sheetName val="3014"/>
      <sheetName val="4000"/>
      <sheetName val="Consolidado"/>
      <sheetName val="Saldos Globais"/>
      <sheetName val="2008"/>
      <sheetName val="Mapa IX Analitico"/>
      <sheetName val="Mapa IX Sintetico"/>
      <sheetName val="Exec Auxiliar-D"/>
      <sheetName val="Exec Auxiliar-R"/>
      <sheetName val="Administração"/>
      <sheetName val="Exec-Admin_2008"/>
      <sheetName val="Dot-Admin_2008"/>
      <sheetName val="OR Rend"/>
      <sheetName val="AE"/>
      <sheetName val="27-07-Pensões"/>
      <sheetName val="Pensões-I"/>
      <sheetName val="Pensões-ISS"/>
      <sheetName val="SO1"/>
      <sheetName val="SO"/>
      <sheetName val="Decomposição Saldo"/>
      <sheetName val="Cativos"/>
      <sheetName val="AS"/>
      <sheetName val="Cál. Contrib."/>
      <sheetName val="Dot Auxiliar-D"/>
      <sheetName val="Dot-Auxiliar-R"/>
      <sheetName val="R-XIII"/>
      <sheetName val="R-X"/>
      <sheetName val="D-XIV"/>
      <sheetName val="D-XII"/>
      <sheetName val="D-XI"/>
      <sheetName val="R-XIII (2)"/>
      <sheetName val="D-XIV (2)"/>
      <sheetName val="Total"/>
      <sheetName val="TC-d"/>
      <sheetName val="TC-r"/>
      <sheetName val="Exec Auxiliar-R Mensal"/>
      <sheetName val="MIX-Anal. Dr Nuno"/>
      <sheetName val="Controlo_R"/>
      <sheetName val="Controlo_D"/>
      <sheetName val="Despesa"/>
      <sheetName val="Receita"/>
      <sheetName val="Subsistema Dezembro 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0">
          <cell r="H10">
            <v>20124352.520000041</v>
          </cell>
        </row>
        <row r="36">
          <cell r="B36">
            <v>9680204.2100000009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OT"/>
      <sheetName val="CONTA CAIXA"/>
      <sheetName val="CONTA BNU"/>
      <sheetName val="CONTA BNCTL"/>
      <sheetName val="CONTA BRI"/>
      <sheetName val="CONTA MANDIRI"/>
      <sheetName val="CONTA ANZ"/>
      <sheetName val="CONTA BANCO2"/>
      <sheetName val="CE_RegimeNaoContributivo"/>
      <sheetName val="CE_RegimeContributivo"/>
      <sheetName val="CE_AdministraçãoINSS"/>
      <sheetName val="CE_INSS_Global"/>
      <sheetName val="Atividade_A040101"/>
      <sheetName val="SubPrograma_A0401"/>
      <sheetName val="Atividade_A040201"/>
      <sheetName val="Atividade_A040202"/>
      <sheetName val="SubPrograma_A0402"/>
      <sheetName val="Programa_RegimeContributivo_A04"/>
      <sheetName val="Atividade_A050101"/>
      <sheetName val="SubPrograma_A0501"/>
      <sheetName val="Programa_RegNaoContributivo_A05"/>
      <sheetName val="Atividade_A060101"/>
      <sheetName val="Atividade_A060102"/>
      <sheetName val="Atividade_A060103"/>
      <sheetName val="Atividade_A060104"/>
      <sheetName val="SubPrograma_A0601"/>
      <sheetName val="Atividade_A060201"/>
      <sheetName val="Atividade_A060202"/>
      <sheetName val="Atividade_A060203"/>
      <sheetName val="SubPrograma_A0602"/>
      <sheetName val="Programa_AdministracaoINSS_A06"/>
      <sheetName val="Sintese_Programas_CE"/>
      <sheetName val="ClassificacaoFuncional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">
          <cell r="D3" t="str">
            <v>501.01.01 - SALÁRIOS E VENCIMENTOS - Salários e abonos regulares e permanentes - Salários de titulares de cargos políticos</v>
          </cell>
          <cell r="G3" t="str">
            <v>Regime não Contributivo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A04 - Regime Contributivo de Repartição</v>
          </cell>
          <cell r="U3" t="str">
            <v>A0401 - Regime transitório de segurança social</v>
          </cell>
          <cell r="V3" t="str">
            <v>A040101 - Pagamento de prestações sociais de direito - RTSS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Regime Contributivo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>A05 - Regime Não Contributivo</v>
          </cell>
          <cell r="U4" t="str">
            <v>A0402 - Regime geral de segurança social</v>
          </cell>
          <cell r="V4" t="str">
            <v>A040201 - Pagamento de prestações sociais de direito - RGSS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G5" t="str">
            <v>Administração INSS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T5" t="str">
            <v>A06 - Administração do INSS</v>
          </cell>
          <cell r="U5" t="str">
            <v>A0501 - Proteção Social de Cidadania</v>
          </cell>
          <cell r="V5" t="str">
            <v>A040202 - Contribuições para o Regime de Capitalização</v>
          </cell>
        </row>
        <row r="6">
          <cell r="D6" t="str">
            <v>501.01.04 - SALÁRIOS E VENCIMENTOS - Salários e abonos regulares e permanentes - Salários de funcionários e agentes</v>
          </cell>
          <cell r="G6" t="str">
            <v>Administração FRSS</v>
          </cell>
          <cell r="R6" t="str">
            <v>01.04 - Serviços gerais da administração pública - Investigação básica</v>
          </cell>
          <cell r="U6" t="str">
            <v>A0601 - Coordenação, gestão e funcionamento do INSS</v>
          </cell>
          <cell r="V6" t="str">
            <v>A050101 - Pagamento de prestações sociais não contributivas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  <cell r="U7" t="str">
            <v>A0602- Investimento Estratégico do INSS</v>
          </cell>
          <cell r="V7" t="str">
            <v>A060101 -Coordenação, gestão e funcionamento de todos os serviços do INSS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  <cell r="V8" t="str">
            <v>A060102 - Formação em exercício dos Recursos Humanos do INSS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  <cell r="V9" t="str">
            <v>A060103 - Elaboração de estudos e propostas técnicas visando a melhoria, alargamento, eficácia e sustentabilidade do sistema de segurança social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  <cell r="V10" t="str">
            <v>A060104 - Extensão da cobertura do sistema de segurança social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  <cell r="V11" t="str">
            <v>A060201 - Construção do Sistema de Informação da Segurança Social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  <cell r="V12" t="str">
            <v>A060202 - Apetrechamento das instalações do INSS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  <cell r="V13" t="str">
            <v>A060203 - Construção  do Novo Edificio  da Segurança Social</v>
          </cell>
        </row>
        <row r="14">
          <cell r="D14" t="str">
            <v>501.01.12 - SALÁRIOS E VENCIMENTOS - Salários e abonos regulares e permanentes - Outros abonos regulares e permanentes</v>
          </cell>
          <cell r="G14" t="str">
            <v>Regime não Contributivo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G15" t="str">
            <v>Regime Contributivo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G16" t="str">
            <v>Administração - Central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G17" t="str">
            <v>Administração - Aileu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G18" t="str">
            <v>Administração - Ainaro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G19" t="str">
            <v>Administração - Baucau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G20" t="str">
            <v>Administração - Bobonaro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G21" t="str">
            <v>Administração - Dili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G22" t="str">
            <v>Administração - Ermera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G23" t="str">
            <v>Administração - Lautem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G24" t="str">
            <v>Administração - Liquiçá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G25" t="str">
            <v>Administração - Manatuto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G26" t="str">
            <v>Administração - Manufahi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G27" t="str">
            <v>Administração - Liquiçá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G28" t="str">
            <v>Administração - Viqueque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G29" t="str">
            <v>Administração - RAEOA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NU"/>
      <sheetName val="CONTA BNCTL"/>
      <sheetName val="CONTA BRI"/>
      <sheetName val="CONTA MANDIRI"/>
      <sheetName val="CONTA ANZ"/>
      <sheetName val="CONTA BANCO1"/>
      <sheetName val="CONTA BANCO2"/>
      <sheetName val="CE_RegimeNaoContributivo"/>
      <sheetName val="CE_RegimeContributivo"/>
      <sheetName val="CE_AdministraçãoINSS"/>
      <sheetName val="CE_INSS_Global"/>
      <sheetName val="Atividade_A040101"/>
      <sheetName val="SubPrograma_A0401"/>
      <sheetName val="Atividade_A040201"/>
      <sheetName val="Atividade_A040202"/>
      <sheetName val="SubPrograma_A0402"/>
      <sheetName val="Programa_RegimeContributivo_A04"/>
      <sheetName val="Atividade_A050101"/>
      <sheetName val="SubPrograma_A0501"/>
      <sheetName val="Programa_RegNaoContributivo_A05"/>
      <sheetName val="Atividade_A060101"/>
      <sheetName val="Atividade_A060102"/>
      <sheetName val="Atividade_A060103"/>
      <sheetName val="Atividade_A060104"/>
      <sheetName val="SubPrograma_A0601"/>
      <sheetName val="Atividade_A060201"/>
      <sheetName val="Atividade_A060202"/>
      <sheetName val="Atividade_A060203"/>
      <sheetName val="SubPrograma_A0602"/>
      <sheetName val="Programa_AdministracaoINSS_A06"/>
      <sheetName val="Sintese_Programas_CE"/>
      <sheetName val="ClassificacaoFuncional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>
        <row r="3">
          <cell r="D3" t="str">
            <v>501.01.01 - SALÁRIOS E VENCIMENTOS - Salários e abonos regulares e permanentes - Salários de titulares de cargos políticos</v>
          </cell>
          <cell r="G3" t="str">
            <v>Regime não Contributivo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A04 - Regime Contributivo de Repartição</v>
          </cell>
          <cell r="U3" t="str">
            <v>A0401 - Regime transitório de segurança social</v>
          </cell>
          <cell r="V3" t="str">
            <v>A040101 - Pagamento de prestações sociais de direito - RTSS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Regime Contributivo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>A05 - Regime Não Contributivo</v>
          </cell>
          <cell r="U4" t="str">
            <v>A0402 - Regime geral de segurança social</v>
          </cell>
          <cell r="V4" t="str">
            <v>A040201 - Pagamento de prestações sociais de direito - RGSS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G5" t="str">
            <v>Administração INSS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T5" t="str">
            <v>A06 - Administração do INSS</v>
          </cell>
          <cell r="U5" t="str">
            <v>A0501 - Proteção Social de Cidadania</v>
          </cell>
          <cell r="V5" t="str">
            <v>A040202 - Contribuições para o Regime de Capitalização</v>
          </cell>
        </row>
        <row r="6">
          <cell r="D6" t="str">
            <v>501.01.04 - SALÁRIOS E VENCIMENTOS - Salários e abonos regulares e permanentes - Salários de funcionários e agentes</v>
          </cell>
          <cell r="G6" t="str">
            <v>Administração FRSS</v>
          </cell>
          <cell r="R6" t="str">
            <v>01.04 - Serviços gerais da administração pública - Investigação básica</v>
          </cell>
          <cell r="U6" t="str">
            <v>A0601 - Coordenação, gestão e funcionamento do INSS</v>
          </cell>
          <cell r="V6" t="str">
            <v>A050101 - Pagamento de prestações sociais não contributivas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  <cell r="U7" t="str">
            <v>A0602- Investimento Estratégico do INSS</v>
          </cell>
          <cell r="V7" t="str">
            <v>A060101 -Coordenação, gestão e funcionamento de todos os serviços do INSS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  <cell r="V8" t="str">
            <v>A060102 - Formação em exercício dos Recursos Humanos do INSS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  <cell r="V9" t="str">
            <v>A060103 - Elaboração de estudos e propostas técnicas visando a melhoria, alargamento, eficácia e sustentabilidade do sistema de segurança social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  <cell r="V10" t="str">
            <v>A060104 - Extensão da cobertura do sistema de segurança social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  <cell r="V11" t="str">
            <v>A060201 - Construção do Sistema de Informação da Segurança Social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  <cell r="V12" t="str">
            <v>A060202 - Apetrechamento das instalações do INSS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  <cell r="V13" t="str">
            <v>A060203 - Construção  do Novo Edificio  da Segurança Social</v>
          </cell>
        </row>
        <row r="14">
          <cell r="D14" t="str">
            <v>501.01.12 - SALÁRIOS E VENCIMENTOS - Salários e abonos regulares e permanentes - Outros abonos regulares e permanentes</v>
          </cell>
          <cell r="G14" t="str">
            <v>Regime não Contributivo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G15" t="str">
            <v>Regime Contributivo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G16" t="str">
            <v>Administração - Central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G17" t="str">
            <v>Administração - Aileu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G18" t="str">
            <v>Administração - Ainaro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G19" t="str">
            <v>Administração - Baucau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G20" t="str">
            <v>Administração - Bobonaro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G21" t="str">
            <v>Administração - Dili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G22" t="str">
            <v>Administração - Ermera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G23" t="str">
            <v>Administração - Lautem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G24" t="str">
            <v>Administração - Liquiçá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G25" t="str">
            <v>Administração - Manatuto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G26" t="str">
            <v>Administração - Manufahi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G27" t="str">
            <v>Administração - Liquiçá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G28" t="str">
            <v>Administração - Viqueque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G29" t="str">
            <v>Administração - RAEOA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NU"/>
      <sheetName val="CONTA BNCTL"/>
      <sheetName val="CONTA BRI"/>
      <sheetName val="CONTA MANDIRI"/>
      <sheetName val="CONTA ANZ"/>
      <sheetName val="CONTA BANCO1"/>
      <sheetName val="CONTA BANCO2"/>
      <sheetName val="CE_RegimeNaoContributivo"/>
      <sheetName val="CE_RegimeContributivo"/>
      <sheetName val="CE_AdministraçãoINSS"/>
      <sheetName val="CE_INSS_Global"/>
      <sheetName val="Prog_RegimeContributivo"/>
      <sheetName val="Prog_RegimeNaoContributivo"/>
      <sheetName val="Prog_AdministracaoINSS"/>
      <sheetName val="Programas"/>
      <sheetName val="ClassificacaoFuncional"/>
      <sheetName val="Classificadores_Lis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">
          <cell r="D3" t="str">
            <v>501.01.01 - SALÁRIOS E VENCIMENTOS - Salários e abonos regulares e permanentes - Salários de titulares de cargos políticos</v>
          </cell>
          <cell r="G3" t="str">
            <v>Regime não Contributivo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A04 - Regime Contributivo de Repartição</v>
          </cell>
          <cell r="U3" t="str">
            <v>A0401 - Regime transitório de segurança social</v>
          </cell>
          <cell r="V3" t="str">
            <v>A040101 - Pagamento de prestações sociais de direito - RTSS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Regime Contributivo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>A05 - Regime Não Contributivo</v>
          </cell>
          <cell r="U4" t="str">
            <v>A0402 - Regime geral de segurança social</v>
          </cell>
          <cell r="V4" t="str">
            <v>A040201 - Pagamento de prestações sociais de direito - RGSS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G5" t="str">
            <v>Administração_INSS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T5" t="str">
            <v>A06 - Administração da Segurança Social</v>
          </cell>
          <cell r="U5" t="str">
            <v>A0501 - Proteção Social de Cidadania</v>
          </cell>
          <cell r="V5" t="str">
            <v>A050101 - Pagamento de pensões sociais</v>
          </cell>
        </row>
        <row r="6">
          <cell r="D6" t="str">
            <v>501.01.04 - SALÁRIOS E VENCIMENTOS - Salários e abonos regulares e permanentes - Salários de funcionários e agentes</v>
          </cell>
          <cell r="R6" t="str">
            <v>01.04 - Serviços gerais da administração pública - Investigação básica</v>
          </cell>
          <cell r="U6" t="str">
            <v>A0601 - Coordenação, gestão e funcionamento do INSS</v>
          </cell>
          <cell r="V6" t="str">
            <v>A050102 - Pagamento de complementos sociais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  <cell r="U7" t="str">
            <v>A0603- Investimento Estratégico das Instituições da Segurança Social</v>
          </cell>
          <cell r="V7" t="str">
            <v>A060101 -Coordenação, gestão e funcionamento de todos os serviços do INSS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  <cell r="V8" t="str">
            <v>A060102 - Formação em exercício dos Recursos Humanos do INSS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  <cell r="V9" t="str">
            <v>A060103 - Elaboração de estudos e propostas técnicas visando a melhoria, alargamento, eficácia e sustentabilidade do sistema de segurança social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  <cell r="V10" t="str">
            <v>A060104 - Extensão da cobertura do sistema de segurança social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  <cell r="V11" t="str">
            <v>A060301 - Criação de serviços desconcentrados do INSS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  <cell r="V12" t="str">
            <v>A060302 - Construção do Sistema de Informação da Segurança Social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  <cell r="V13" t="str">
            <v>A060303 - Apetrechamento dos Serviços Centrais do INSS e do FRSS</v>
          </cell>
        </row>
        <row r="14">
          <cell r="D14" t="str">
            <v>501.01.12 - SALÁRIOS E VENCIMENTOS - Salários e abonos regulares e permanentes - Outros abonos regulares e permanentes</v>
          </cell>
          <cell r="G14" t="str">
            <v>Regime não Contributivo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G15" t="str">
            <v>Regime Contributivo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G16" t="str">
            <v>Administração - Central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G17" t="str">
            <v>Administração - Aileu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G18" t="str">
            <v>Administração - Ainaro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G19" t="str">
            <v>Administração - Baucau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G20" t="str">
            <v>Administração - Bobonaro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G21" t="str">
            <v>Administração - Dili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G22" t="str">
            <v>Administração - Ermera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G23" t="str">
            <v>Administração - Lautem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G24" t="str">
            <v>Administração - Liquiçá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G25" t="str">
            <v>Administração - Manatuto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G26" t="str">
            <v>Administração - Manufahi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G27" t="str">
            <v>Administração - Liquiçá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G28" t="str">
            <v>Administração - Viqueque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G29" t="str">
            <v>Administração - RAEOA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503.01.02 - TRANSFERÊNCIAS PÚBLICAS - Transferências correntes para o Setor Público Administrativo -Transferências correntes para a Segurança Social (entre regimes)</v>
          </cell>
        </row>
        <row r="141">
          <cell r="D141" t="str">
            <v>503.01.03 - TRANSFERÊNCIAS PÚBLICAS - Transferências correntes para o Setor Público Administrativo -Transferências correntes para a RAEOA</v>
          </cell>
        </row>
        <row r="142">
          <cell r="D142" t="str">
            <v>503.01.04 - TRANSFERÊNCIAS PÚBLICAS - Transferências correntes para o Setor Público Administrativo -Transferências correntes para os municípios</v>
          </cell>
        </row>
        <row r="143">
          <cell r="D143" t="str">
            <v>503.02.01 - TRANSFERÊNCIAS PÚBLICAS - Transferências correntes para sociedades -Transferências correntes para empresas públicas</v>
          </cell>
        </row>
        <row r="144">
          <cell r="D144" t="str">
            <v>503.02.02 - TRANSFERÊNCIAS PÚBLICAS - Transferências correntes para sociedades -Transferências correntes para sociedades financeiras</v>
          </cell>
        </row>
        <row r="145">
          <cell r="D145" t="str">
            <v>503.02.03 - TRANSFERÊNCIAS PÚBLICAS - Transferências correntes para sociedades -Transferências correntes para sociedades não-financeiras</v>
          </cell>
        </row>
        <row r="146">
          <cell r="D146" t="str">
            <v>503.03.01 - TRANSFERÊNCIAS PÚBLICAS - Transferências correntes para famílias -Pensão Social de invalidez do regime não contributivo</v>
          </cell>
        </row>
        <row r="147">
          <cell r="D147" t="str">
            <v>503.03.02 - TRANSFERÊNCIAS PÚBLICAS - Transferências correntes para famílias -Pensão Social de velhice do regime não contributivo</v>
          </cell>
        </row>
        <row r="148">
          <cell r="D148" t="str">
            <v>503.03.03 - TRANSFERÊNCIAS PÚBLICAS - Transferências correntes para famílias -Complemento de pensão de invalidez</v>
          </cell>
        </row>
        <row r="149">
          <cell r="D149" t="str">
            <v>503.03.04 - TRANSFERÊNCIAS PÚBLICAS - Transferências correntes para famílias -Complemento de pensão de velhice</v>
          </cell>
        </row>
        <row r="150">
          <cell r="D150" t="str">
            <v>503.03.05 - TRANSFERÊNCIAS PÚBLICAS - Transferências correntes para famílias -Complemento de pensão de sobrevivência</v>
          </cell>
        </row>
        <row r="151">
          <cell r="D151" t="str">
            <v>503.03.06 - TRANSFERÊNCIAS PÚBLICAS - Transferências correntes para famílias -Outras prestações do regime não contributivo de segurança social</v>
          </cell>
        </row>
        <row r="152">
          <cell r="D152" t="str">
            <v>503.03.07 - TRANSFERÊNCIAS PÚBLICAS - Transferências correntes para famílias -Pensão de invalidez do regime transitório</v>
          </cell>
        </row>
        <row r="153">
          <cell r="D153" t="str">
            <v>503.03.08 - TRANSFERÊNCIAS PÚBLICAS - Transferências correntes para famílias -Pensão de velhice do regime transitório</v>
          </cell>
        </row>
        <row r="154">
          <cell r="D154" t="str">
            <v>503.03.09 - TRANSFERÊNCIAS PÚBLICAS - Transferências correntes para famílias -Pensão de sobrevivência do regime transitório</v>
          </cell>
        </row>
        <row r="155">
          <cell r="D155" t="str">
            <v>503.03.10 - TRANSFERÊNCIAS PÚBLICAS - Transferências correntes para famílias -Pensão de invalidez do regime geral</v>
          </cell>
        </row>
        <row r="156">
          <cell r="D156" t="str">
            <v>503.03.11 - TRANSFERÊNCIAS PÚBLICAS - Transferências correntes para famílias -Pensão de velhice do regime geral</v>
          </cell>
        </row>
        <row r="157">
          <cell r="D157" t="str">
            <v>503.03.12 - TRANSFERÊNCIAS PÚBLICAS - Transferências correntes para famílias -Pensão de sobrevivência do regime geral</v>
          </cell>
        </row>
        <row r="158">
          <cell r="D158" t="str">
            <v>503.03.13 - TRANSFERÊNCIAS PÚBLICAS - Transferências correntes para famílias -Subsídio por risco clínico durante a gravidez</v>
          </cell>
        </row>
        <row r="159">
          <cell r="D159" t="str">
            <v>503.03.14 - TRANSFERÊNCIAS PÚBLICAS - Transferências correntes para famílias -Subsídio por interrupção de gravidez</v>
          </cell>
        </row>
        <row r="160">
          <cell r="D160" t="str">
            <v>503.03.15 - TRANSFERÊNCIAS PÚBLICAS - Transferências correntes para famílias -Subsídio por maternidade</v>
          </cell>
        </row>
        <row r="161">
          <cell r="D161" t="str">
            <v>503.03.16 - TRANSFERÊNCIAS PÚBLICAS - Transferências correntes para famílias -Subsídio por paternidade</v>
          </cell>
        </row>
        <row r="162">
          <cell r="D162" t="str">
            <v>503.03.17 - TRANSFERÊNCIAS PÚBLICAS - Transferências correntes para famílias -Subsídio por adoção</v>
          </cell>
        </row>
        <row r="163">
          <cell r="D163" t="str">
            <v>503.03.18 - TRANSFERÊNCIAS PÚBLICAS - Transferências correntes para famílias -Subsídio por morte</v>
          </cell>
        </row>
        <row r="164">
          <cell r="D164" t="str">
            <v>503.03.19 - TRANSFERÊNCIAS PÚBLICAS - Transferências correntes para famílias -Reembolso e ou apoio para despesas de funeral</v>
          </cell>
        </row>
        <row r="165">
          <cell r="D165" t="str">
            <v>503.03.20 - TRANSFERÊNCIAS PÚBLICAS - Transferências correntes para famílias -Subsídio de doença</v>
          </cell>
        </row>
        <row r="166">
          <cell r="D166" t="str">
            <v>503.03.21 - TRANSFERÊNCIAS PÚBLICAS - Transferências correntes para famílias -Subsídio de desemprego</v>
          </cell>
        </row>
        <row r="167">
          <cell r="D167" t="str">
            <v>503.03.22 - TRANSFERÊNCIAS PÚBLICAS - Transferências correntes para famílias -Abono de família</v>
          </cell>
        </row>
        <row r="168">
          <cell r="D168" t="str">
            <v>503.03.23 - TRANSFERÊNCIAS PÚBLICAS - Transferências correntes para famílias -Outras prestações do regime contributivo de segurança social</v>
          </cell>
        </row>
        <row r="169">
          <cell r="D169" t="str">
            <v>503.03.24 - TRANSFERÊNCIAS PÚBLICAS - Transferências correntes para famílias -Pensão para ex-titulares de cargos políticos</v>
          </cell>
        </row>
        <row r="170">
          <cell r="D170" t="str">
            <v>503.03.25 - TRANSFERÊNCIAS PÚBLICAS - Transferências correntes para famílias -Pensão dos combatentes e Mártires da Libertação Nacional</v>
          </cell>
        </row>
        <row r="171">
          <cell r="D171" t="str">
            <v>503.03.26 - TRANSFERÊNCIAS PÚBLICAS - Transferências correntes para famílias -Bolsa da Mãe</v>
          </cell>
        </row>
        <row r="172">
          <cell r="D172" t="str">
            <v>503.03.27 - TRANSFERÊNCIAS PÚBLICAS - Transferências correntes para famílias -Bolsas de estudo aos filhos dos Combatentes e Mártires da Libertação Nacional</v>
          </cell>
        </row>
        <row r="173">
          <cell r="D173" t="str">
            <v>503.03.28 - TRANSFERÊNCIAS PÚBLICAS - Transferências correntes para famílias -Outras bolsas de estudo no território nacional</v>
          </cell>
        </row>
        <row r="174">
          <cell r="D174" t="str">
            <v>503.03.29 - TRANSFERÊNCIAS PÚBLICAS - Transferências correntes para famílias -Outras bolsas de estudo no estrangeiro</v>
          </cell>
        </row>
        <row r="175">
          <cell r="D175" t="str">
            <v>503.03.30 - TRANSFERÊNCIAS PÚBLICAS - Transferências correntes para famílias -Outras prestações sociais</v>
          </cell>
        </row>
        <row r="176">
          <cell r="D176" t="str">
            <v>503.03.31 - TRANSFERÊNCIAS PÚBLICAS - Transferências correntes para famílias -Outras transferências correntes para famílias</v>
          </cell>
        </row>
        <row r="177">
          <cell r="D177" t="str">
            <v>503.04.01 - TRANSFERÊNCIAS PÚBLICAS - Transferências correntes para instituições sem fins lucrativos -Transferências correntes para fundações públicas</v>
          </cell>
        </row>
        <row r="178">
          <cell r="D178" t="str">
            <v>503.04.02 - TRANSFERÊNCIAS PÚBLICAS - Transferências correntes para instituições sem fins lucrativos -Transferências correntes para associações públicas</v>
          </cell>
        </row>
        <row r="179">
          <cell r="D179" t="str">
            <v>503.04.03 - TRANSFERÊNCIAS PÚBLICAS - Transferências correntes para instituições sem fins lucrativos -Outras transferências correntes para instituições sem fins lucrativos</v>
          </cell>
        </row>
        <row r="180">
          <cell r="D180" t="str">
            <v>503.05.01 - TRANSFERÊNCIAS PÚBLICAS - Transferências correntes para o exterior -Transferências correntes para países terceiros</v>
          </cell>
        </row>
        <row r="181">
          <cell r="D181" t="str">
            <v>503.05.02 - TRANSFERÊNCIAS PÚBLICAS - Transferências correntes para o exterior -Transferências correntes para organizações internacionais</v>
          </cell>
        </row>
        <row r="182">
          <cell r="D182" t="str">
            <v>503.05.03 - TRANSFERÊNCIAS PÚBLICAS - Transferências correntes para o exterior -Outras transferências correntes para o exterior</v>
          </cell>
        </row>
        <row r="183">
          <cell r="D183" t="str">
            <v>503.06.01 - TRANSFERÊNCIAS PÚBLICAS - Juros -Juros e taxa de compromisso do Banco Mundial</v>
          </cell>
        </row>
        <row r="184">
          <cell r="D184" t="str">
            <v>503.06.02 - TRANSFERÊNCIAS PÚBLICAS - Juros -Juros e taxa de compromisso do ADB</v>
          </cell>
        </row>
        <row r="185">
          <cell r="D185" t="str">
            <v>503.06.03 - TRANSFERÊNCIAS PÚBLICAS - Juros -Juros e taxa de compromisso da JICA</v>
          </cell>
        </row>
        <row r="186">
          <cell r="D186" t="str">
            <v>503.06.04 - TRANSFERÊNCIAS PÚBLICAS - Juros -Juros e taxa de compromisso do AIFFP</v>
          </cell>
        </row>
        <row r="187">
          <cell r="D187" t="str">
            <v>503.06.05 - TRANSFERÊNCIAS PÚBLICAS - Juros -Juros de títulos do Tesouro</v>
          </cell>
        </row>
        <row r="188">
          <cell r="D188" t="str">
            <v>503.06.06 - TRANSFERÊNCIAS PÚBLICAS - Juros -Outros juros da dívida pública</v>
          </cell>
        </row>
        <row r="189">
          <cell r="D189" t="str">
            <v>503.06.07 - TRANSFERÊNCIAS PÚBLICAS - Juros -Outros juros</v>
          </cell>
        </row>
        <row r="190">
          <cell r="D190" t="str">
            <v>503.07 - TRANSFERÊNCIAS PÚBLICAS - Impostos</v>
          </cell>
        </row>
        <row r="191">
          <cell r="D191" t="str">
            <v>503.08 - TRANSFERÊNCIAS PÚBLICAS - Taxas</v>
          </cell>
        </row>
        <row r="192">
          <cell r="D192" t="str">
            <v>503.09 - TRANSFERÊNCIAS PÚBLICAS - Coimas e outras penalidades</v>
          </cell>
        </row>
        <row r="193">
          <cell r="D193" t="str">
            <v>503.10 - TRANSFERÊNCIAS PÚBLICAS - Restituições não abatidas na receita</v>
          </cell>
        </row>
        <row r="194">
          <cell r="D194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5">
          <cell r="D195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6">
          <cell r="D196" t="str">
            <v>503.11.01.02 - TRANSFERÊNCIAS PÚBLICAS - Transferências de Capital - Transferências para o Setor Público Administrativo - Transferências para a Segurança Social (entre regimes)</v>
          </cell>
        </row>
        <row r="197">
          <cell r="D197" t="str">
            <v>503.11.01.03 - TRANSFERÊNCIAS PÚBLICAS - Transferências de Capital - Transferências para o Setor Público Administrativo - Transferências para a RAEOA</v>
          </cell>
        </row>
        <row r="198">
          <cell r="D198" t="str">
            <v>503.11.01.04 - TRANSFERÊNCIAS PÚBLICAS - Transferências de Capital - Transferências para o Setor Público Administrativo - Transferências para os municípios</v>
          </cell>
        </row>
        <row r="199">
          <cell r="D199" t="str">
            <v>503.11.02 - TRANSFERÊNCIAS PÚBLICAS - Transferências de Capital - Transferências para sociedades</v>
          </cell>
        </row>
        <row r="200">
          <cell r="D200" t="str">
            <v>503.11.03 - TRANSFERÊNCIAS PÚBLICAS - Transferências de Capital - Transferências para famílias</v>
          </cell>
        </row>
        <row r="201">
          <cell r="D201" t="str">
            <v>503.11.04 - TRANSFERÊNCIAS PÚBLICAS - Transferências de Capital - Transferências para instituições sem fins lucrativos</v>
          </cell>
        </row>
        <row r="202">
          <cell r="D202" t="str">
            <v>503.11.05 - TRANSFERÊNCIAS PÚBLICAS - Transferências de Capital - Transferências para o exterior</v>
          </cell>
        </row>
        <row r="203">
          <cell r="D203" t="str">
            <v>503.11.06 - TRANSFERÊNCIAS PÚBLICAS - Transferências de Capital - Outras transferências de capital</v>
          </cell>
        </row>
        <row r="204">
          <cell r="D204" t="str">
            <v>503.12.01 - TRANSFERÊNCIAS PÚBLICAS - Ativos Financeiros - Concessão de empréstimos</v>
          </cell>
        </row>
        <row r="205">
          <cell r="D205" t="str">
            <v>503.12.02 - TRANSFERÊNCIAS PÚBLICAS - Ativos Financeiros - Aquisição de títulos</v>
          </cell>
        </row>
        <row r="206">
          <cell r="D206" t="str">
            <v>503.12.03 - TRANSFERÊNCIAS PÚBLICAS - Ativos Financeiros - Outros ativos financeiros</v>
          </cell>
        </row>
        <row r="207">
          <cell r="D207" t="str">
            <v>503.13.01 - TRANSFERÊNCIAS PÚBLICAS - Passivos Financeiros - Amortização de empréstimos do Banco Mundial</v>
          </cell>
        </row>
        <row r="208">
          <cell r="D208" t="str">
            <v>503.13.02 - TRANSFERÊNCIAS PÚBLICAS - Passivos Financeiros - Amortização de empréstimos do ADB</v>
          </cell>
        </row>
        <row r="209">
          <cell r="D209" t="str">
            <v>503.13.03 - TRANSFERÊNCIAS PÚBLICAS - Passivos Financeiros - Amortização de empréstimos da JICA</v>
          </cell>
        </row>
        <row r="210">
          <cell r="D210" t="str">
            <v>503.13.04 - TRANSFERÊNCIAS PÚBLICAS - Passivos Financeiros - Amortização de empréstimos do AIFFP</v>
          </cell>
        </row>
        <row r="211">
          <cell r="D211" t="str">
            <v>503.13.05 - TRANSFERÊNCIAS PÚBLICAS - Passivos Financeiros - Amortização de títulos do Tesouro</v>
          </cell>
        </row>
        <row r="212">
          <cell r="D212" t="str">
            <v>503.13.06 - TRANSFERÊNCIAS PÚBLICAS - Passivos Financeiros - Outros passivos financeiros</v>
          </cell>
        </row>
        <row r="213">
          <cell r="D213" t="str">
            <v>504.01.01 - CAPITAL MENOR - Aquisição de bens de capital móvel - Veículos civis</v>
          </cell>
        </row>
        <row r="214">
          <cell r="D214" t="str">
            <v>504.01.02 - CAPITAL MENOR - Aquisição de bens de capital móvel - Veículos militares</v>
          </cell>
        </row>
        <row r="215">
          <cell r="D215" t="str">
            <v>504.01.03 - CAPITAL MENOR - Aquisição de bens de capital móvel - Equipamento de informática</v>
          </cell>
        </row>
        <row r="216">
          <cell r="D216" t="str">
            <v>504.01.04 - CAPITAL MENOR - Aquisição de bens de capital móvel - Equipamento de água</v>
          </cell>
        </row>
        <row r="217">
          <cell r="D217" t="str">
            <v>504.01.05 - CAPITAL MENOR - Aquisição de bens de capital móvel - Equipamento de eletricidade</v>
          </cell>
        </row>
        <row r="218">
          <cell r="D218" t="str">
            <v>504.01.06 - CAPITAL MENOR - Aquisição de bens de capital móvel - Equipamento de comunicações</v>
          </cell>
        </row>
        <row r="219">
          <cell r="D219" t="str">
            <v>504.01.07 - CAPITAL MENOR - Aquisição de bens de capital móvel - Equipamento de segurança</v>
          </cell>
        </row>
        <row r="220">
          <cell r="D220" t="str">
            <v>504.01.08 - CAPITAL MENOR - Aquisição de bens de capital móvel - Equipamento de construção</v>
          </cell>
        </row>
        <row r="221">
          <cell r="D221" t="str">
            <v>504.01.09 - CAPITAL MENOR - Aquisição de bens de capital móvel - Equipamento de transporte</v>
          </cell>
        </row>
        <row r="222">
          <cell r="D222" t="str">
            <v>504.01.10 - CAPITAL MENOR - Aquisição de bens de capital móvel - Geradores</v>
          </cell>
        </row>
        <row r="223">
          <cell r="D223" t="str">
            <v>504.01.11 - CAPITAL MENOR - Aquisição de bens de capital móvel - Equipamento de ar condicionado</v>
          </cell>
        </row>
        <row r="224">
          <cell r="D224" t="str">
            <v>504.01.12 - CAPITAL MENOR - Aquisição de bens de capital móvel - Outro equipamento</v>
          </cell>
        </row>
        <row r="225">
          <cell r="D225" t="str">
            <v>504.01.13 - CAPITAL MENOR - Aquisição de bens de capital móvel - Mobiliário</v>
          </cell>
        </row>
        <row r="226">
          <cell r="D226" t="str">
            <v>504.01.14 - CAPITAL MENOR - Aquisição de bens de capital móvel - Outros bens de capital móvel</v>
          </cell>
        </row>
        <row r="227">
          <cell r="D227" t="str">
            <v>504.02 - CAPITAL MENOR - Aquisição de serviços de capital</v>
          </cell>
        </row>
        <row r="228">
          <cell r="D228" t="str">
            <v>505.01.01 - CAPITAL DE DESENVOLVIMENTO - Aquisição de bens de capital fixo - Terrenos</v>
          </cell>
        </row>
        <row r="229">
          <cell r="D229" t="str">
            <v>505.01.02 - CAPITAL DE DESENVOLVIMENTO - Aquisição de bens de capital fixo - Edifícios administrativos</v>
          </cell>
        </row>
        <row r="230">
          <cell r="D230" t="str">
            <v>505.01.03 - CAPITAL DE DESENVOLVIMENTO - Aquisição de bens de capital fixo - Edifícios residenciais</v>
          </cell>
        </row>
        <row r="231">
          <cell r="D231" t="str">
            <v>505.01.04 - CAPITAL DE DESENVOLVIMENTO - Aquisição de bens de capital fixo - Edifícios escolares e universitários</v>
          </cell>
        </row>
        <row r="232">
          <cell r="D232" t="str">
            <v>505.01.05 - CAPITAL DE DESENVOLVIMENTO - Aquisição de bens de capital fixo - Edifícios médico-hospitalares</v>
          </cell>
        </row>
        <row r="233">
          <cell r="D233" t="str">
            <v>505.01.06 - CAPITAL DE DESENVOLVIMENTO - Aquisição de bens de capital fixo - Armazéns</v>
          </cell>
        </row>
        <row r="234">
          <cell r="D234" t="str">
            <v>505.01.07 - CAPITAL DE DESENVOLVIMENTO - Aquisição de bens de capital fixo - Outros edifícios</v>
          </cell>
        </row>
        <row r="235">
          <cell r="D235" t="str">
            <v>505.01.08 - CAPITAL DE DESENVOLVIMENTO - Aquisição de bens de capital fixo - Estradas</v>
          </cell>
        </row>
        <row r="236">
          <cell r="D236" t="str">
            <v>505.01.09 - CAPITAL DE DESENVOLVIMENTO - Aquisição de bens de capital fixo - Pontes</v>
          </cell>
        </row>
        <row r="237">
          <cell r="D237" t="str">
            <v>505.01.10 - CAPITAL DE DESENVOLVIMENTO - Aquisição de bens de capital fixo - Portos</v>
          </cell>
        </row>
        <row r="238">
          <cell r="D238" t="str">
            <v>505.01.11 - CAPITAL DE DESENVOLVIMENTO - Aquisição de bens de capital fixo - Aeroportos</v>
          </cell>
        </row>
        <row r="239">
          <cell r="D239" t="str">
            <v>505.01.12 - CAPITAL DE DESENVOLVIMENTO - Aquisição de bens de capital fixo - Infraestruturas agrícolas e de irrigação</v>
          </cell>
        </row>
        <row r="240">
          <cell r="D240" t="str">
            <v>505.01.13 - CAPITAL DE DESENVOLVIMENTO - Aquisição de bens de capital fixo - Infraestruturas de comunicações</v>
          </cell>
        </row>
        <row r="241">
          <cell r="D241" t="str">
            <v>505.01.14 - CAPITAL DE DESENVOLVIMENTO - Aquisição de bens de capital fixo - Infraestruturas energéticas</v>
          </cell>
        </row>
        <row r="242">
          <cell r="D242" t="str">
            <v>505.01.15 - CAPITAL DE DESENVOLVIMENTO - Aquisição de bens de capital fixo - Infraestruturas de água e saneamento</v>
          </cell>
        </row>
        <row r="243">
          <cell r="D243" t="str">
            <v>505.01.16 - CAPITAL DE DESENVOLVIMENTO - Aquisição de bens de capital fixo - Infraestruturas turísticas, de recreio e desporto</v>
          </cell>
        </row>
        <row r="244">
          <cell r="D244" t="str">
            <v>505.01.17 - CAPITAL DE DESENVOLVIMENTO - Aquisição de bens de capital fixo - Outras infraestruturas</v>
          </cell>
        </row>
        <row r="245">
          <cell r="D245" t="str">
            <v>505.01.18 - CAPITAL DE DESENVOLVIMENTO - Aquisição de bens de capital fixo - Outros imóveis</v>
          </cell>
        </row>
        <row r="246">
          <cell r="D246" t="str">
            <v>506.01 - OPERAÇÕES EXTRAORÇAMENTAIS - Adiantamentos de caixa</v>
          </cell>
        </row>
        <row r="247">
          <cell r="D247" t="str">
            <v>506.02.01 - OPERAÇÕES EXTRAORÇAMENTAIS - Transferência de impostos e cotizações retidos - Transferência para a Autoridade Tributária de impostos retidos</v>
          </cell>
        </row>
        <row r="248">
          <cell r="D248" t="str">
            <v>506.02.02 - OPERAÇÕES EXTRAORÇAMENTAIS - Transferência de impostos e cotizações retidos - Transferência para a Segurança Social de cotizações retidas</v>
          </cell>
        </row>
        <row r="249">
          <cell r="D249" t="str">
            <v>506.02.03 - OPERAÇÕES EXTRAORÇAMENTAIS - Transferência de impostos e cotizações retidos - Outras transferências de impostos e cotizações retidos</v>
          </cell>
        </row>
        <row r="250">
          <cell r="D250" t="str">
            <v>506.03.01 - OPERAÇÕES EXTRAORÇAMENTAIS - Devolução de cauções e garantias - Devolução de caução de execução</v>
          </cell>
        </row>
        <row r="251">
          <cell r="D251" t="str">
            <v>506.03.02 - OPERAÇÕES EXTRAORÇAMENTAIS - Devolução de cauções e garantias - Devolução de caução de qualidade</v>
          </cell>
        </row>
        <row r="252">
          <cell r="D252" t="str">
            <v>506.03.03 - OPERAÇÕES EXTRAORÇAMENTAIS - Devolução de cauções e garantias - Devolução de garantia de pagamento adiantado</v>
          </cell>
        </row>
        <row r="253">
          <cell r="D253" t="str">
            <v>506.04 - OPERAÇÕES EXTRAORÇAMENTAIS - Outras operações extraorçamentais</v>
          </cell>
        </row>
        <row r="254">
          <cell r="D254" t="str">
            <v>401.01.01 - Impostos e contribuições para a Segurança Social - Impostos - Imposto sobre serviços</v>
          </cell>
        </row>
        <row r="255">
          <cell r="D255" t="str">
            <v>401.01.02 - Impostos e contribuições para a Segurança Social - Impostos - Imposto seletivo de consumo</v>
          </cell>
        </row>
        <row r="256">
          <cell r="D256" t="str">
            <v>401.01.03 - Impostos e contribuições para a Segurança Social - Impostos - Imposto sobre vendas</v>
          </cell>
        </row>
        <row r="257">
          <cell r="D257" t="str">
            <v>401.01.04 - Impostos e contribuições para a Segurança Social - Impostos - Imposto sobre salários</v>
          </cell>
        </row>
        <row r="258">
          <cell r="D258" t="str">
            <v>401.01.05 - Impostos e contribuições para a Segurança Social - Impostos - Imposto sobre o rendimento</v>
          </cell>
        </row>
        <row r="259">
          <cell r="D259" t="str">
            <v>401.01.06 - Impostos e contribuições para a Segurança Social - Impostos - Imposto sobre o valor acrescentado</v>
          </cell>
        </row>
        <row r="260">
          <cell r="D260" t="str">
            <v>401.01.07 - Impostos e contribuições para a Segurança Social - Impostos - Imposto sobre o Petróleo Suplementar</v>
          </cell>
        </row>
        <row r="261">
          <cell r="D261" t="str">
            <v>401.01.08 - Impostos e contribuições para a Segurança Social - Impostos - Lucros partilhados do Petróleo e Gás</v>
          </cell>
        </row>
        <row r="262">
          <cell r="D262" t="str">
            <v>401.01.09 - Impostos e contribuições para a Segurança Social - Impostos - Timor Sea First Tranche Petroleum (FTP) Royalties</v>
          </cell>
        </row>
        <row r="263">
          <cell r="D263" t="str">
            <v>401.01.10 - Impostos e contribuições para a Segurança Social - Impostos - Impostos abolidos</v>
          </cell>
        </row>
        <row r="264">
          <cell r="D264" t="str">
            <v>401.01.11 - Impostos e contribuições para a Segurança Social - Impostos - Outros impostos</v>
          </cell>
        </row>
        <row r="265">
          <cell r="D265" t="str">
            <v>401.02 - Impostos e contribuições para a Segurança Social - Direitos aduaneiros de importação</v>
          </cell>
        </row>
        <row r="266">
          <cell r="D266" t="str">
            <v>401.03.01 - Impostos e contribuições para a Segurança Social - Contribuições e cotizações para a Segurança Social - Contribuições de entidade empregadora do Setor Público</v>
          </cell>
        </row>
        <row r="267">
          <cell r="D267" t="str">
            <v>401.03.02 - Impostos e contribuições para a Segurança Social - Contribuições e cotizações para a Segurança Social - Contribuições de entidade empregadora do Setor Privado</v>
          </cell>
        </row>
        <row r="268">
          <cell r="D268" t="str">
            <v>401.03.03 - Impostos e contribuições para a Segurança Social - Contribuições e cotizações para a Segurança Social - Cotizações de trabalhador do Setor Público</v>
          </cell>
        </row>
        <row r="269">
          <cell r="D269" t="str">
            <v>401.03.04 - Impostos e contribuições para a Segurança Social - Contribuições e cotizações para a Segurança Social - Cotizações de trabalhador do Setor Privado</v>
          </cell>
        </row>
        <row r="270">
          <cell r="D270" t="str">
            <v>402.01.01 - Taxas, coimas e outras penalidades - Taxas - Taxas aeroportuárias</v>
          </cell>
        </row>
        <row r="271">
          <cell r="D271" t="str">
            <v>402.01.02 - Taxas, coimas e outras penalidades - Taxas - Taxas ambientais</v>
          </cell>
        </row>
        <row r="272">
          <cell r="D272" t="str">
            <v>402.01.03 - Taxas, coimas e outras penalidades - Taxas - Taxas de estacionamento</v>
          </cell>
        </row>
        <row r="273">
          <cell r="D273" t="str">
            <v>402.01.04 - Taxas, coimas e outras penalidades - Taxas - Taxas de justiça</v>
          </cell>
        </row>
        <row r="274">
          <cell r="D274" t="str">
            <v>402.01.05 - Taxas, coimas e outras penalidades - Taxas - Taxas de publicidade</v>
          </cell>
        </row>
        <row r="275">
          <cell r="D275" t="str">
            <v>402.01.06 - Taxas, coimas e outras penalidades - Taxas - Taxas de passaporte</v>
          </cell>
        </row>
        <row r="276">
          <cell r="D276" t="str">
            <v>402.01.07 - Taxas, coimas e outras penalidades - Taxas - Taxas de entrada e vistos</v>
          </cell>
        </row>
        <row r="277">
          <cell r="D277" t="str">
            <v>402.01.08 - Taxas, coimas e outras penalidades - Taxas - Taxas de registo</v>
          </cell>
        </row>
        <row r="278">
          <cell r="D278" t="str">
            <v>402.01.09 - Taxas, coimas e outras penalidades - Taxas - Taxas de pesca</v>
          </cell>
        </row>
        <row r="279">
          <cell r="D279" t="str">
            <v>402.01.10 - Taxas, coimas e outras penalidades - Taxas - Taxas portuárias</v>
          </cell>
        </row>
        <row r="280">
          <cell r="D280" t="str">
            <v>402.01.11 - Taxas, coimas e outras penalidades - Taxas - Taxas sobre atividade florestal</v>
          </cell>
        </row>
        <row r="281">
          <cell r="D281" t="str">
            <v>402.01.12 - Taxas, coimas e outras penalidades - Taxas - Taxas sobre atividades extrativas</v>
          </cell>
        </row>
        <row r="282">
          <cell r="D282" t="str">
            <v>402.01.13 - Taxas, coimas e outras penalidades - Taxas - Taxas sobre atividade petrolífera</v>
          </cell>
        </row>
        <row r="283">
          <cell r="D283" t="str">
            <v>402.01.14 - Taxas, coimas e outras penalidades - Taxas - Taxas sobre telecomunicações</v>
          </cell>
        </row>
        <row r="284">
          <cell r="D284" t="str">
            <v>402.01.15 - Taxas, coimas e outras penalidades - Taxas - Taxas sobre transportes</v>
          </cell>
        </row>
        <row r="285">
          <cell r="D285" t="str">
            <v>402.01.16 - Taxas, coimas e outras penalidades - Taxas - Taxas sobre jogos sociais</v>
          </cell>
        </row>
        <row r="286">
          <cell r="D286" t="str">
            <v>402.01.17 - Taxas, coimas e outras penalidades - Taxas - Propinas</v>
          </cell>
        </row>
        <row r="287">
          <cell r="D287" t="str">
            <v>402.01.18 - Taxas, coimas e outras penalidades - Taxas - Outras taxas</v>
          </cell>
        </row>
        <row r="288">
          <cell r="D288" t="str">
            <v>402.02.01 - Taxas, coimas e outras penalidades - Coimas e outras penalidades - Juros de mora</v>
          </cell>
        </row>
        <row r="289">
          <cell r="D289" t="str">
            <v>402.02.02 - Taxas, coimas e outras penalidades - Coimas e outras penalidades - Juros compensatórios</v>
          </cell>
        </row>
        <row r="290">
          <cell r="D290" t="str">
            <v>402.02.03 - Taxas, coimas e outras penalidades - Coimas e outras penalidades - Coimas decorrentes do Código da Estrada</v>
          </cell>
        </row>
        <row r="291">
          <cell r="D291" t="str">
            <v>402.02.04 - Taxas, coimas e outras penalidades - Coimas e outras penalidades - Sanções e coimas da Segurança Social</v>
          </cell>
        </row>
        <row r="292">
          <cell r="D292" t="str">
            <v>402.02.05 - Taxas, coimas e outras penalidades - Coimas e outras penalidades - Coimas laborais</v>
          </cell>
        </row>
        <row r="293">
          <cell r="D293" t="str">
            <v>402.02.06 - Taxas, coimas e outras penalidades - Coimas e outras penalidades - Multas decorrentes de processo-crime</v>
          </cell>
        </row>
        <row r="294">
          <cell r="D294" t="str">
            <v>402.02.07 - Taxas, coimas e outras penalidades - Coimas e outras penalidades - Outras coimas e penalidades</v>
          </cell>
        </row>
        <row r="295">
          <cell r="D295" t="str">
            <v>403.01.01 - Rendimentos - Rendas - Arrendamento de bens imóveis de média e longa duração</v>
          </cell>
        </row>
        <row r="296">
          <cell r="D296" t="str">
            <v>403.01.02 - Rendimentos - Rendas - Arrendamento de bens imóveis de curta duração</v>
          </cell>
        </row>
        <row r="297">
          <cell r="D297" t="str">
            <v>403.01.03 - Rendimentos - Rendas - Arrendamento de bens móveis de média e longa duração</v>
          </cell>
        </row>
        <row r="298">
          <cell r="D298" t="str">
            <v>403.01.04 - Rendimentos - Rendas - Arrendamento de bens móveis de curta duração</v>
          </cell>
        </row>
        <row r="299">
          <cell r="D299" t="str">
            <v>403.01.05 - Rendimentos - Rendas - Outras rendas</v>
          </cell>
        </row>
        <row r="300">
          <cell r="D300" t="str">
            <v>403.02 - Rendimentos - Ativos incorpóreos</v>
          </cell>
        </row>
        <row r="301">
          <cell r="D301" t="str">
            <v>403.03 - Rendimentos - Juros</v>
          </cell>
        </row>
        <row r="302">
          <cell r="D302" t="str">
            <v>403.04.01 - Rendimentos - Dividendos e participações nos lucros - Dividendos do Banco Central de Timor-Leste</v>
          </cell>
        </row>
        <row r="303">
          <cell r="D303" t="str">
            <v>403.04.02 - Rendimentos - Dividendos e participações nos lucros - Dividendos do Banco Nacional de Comércio de Timor-Leste</v>
          </cell>
        </row>
        <row r="304">
          <cell r="D304" t="str">
            <v>403.04.03 - Rendimentos - Dividendos e participações nos lucros - Outros dividendos e participações nos lucros</v>
          </cell>
        </row>
        <row r="305">
          <cell r="D305" t="str">
            <v>403.05 - Rendimentos - Outros rendimentos</v>
          </cell>
        </row>
        <row r="306">
          <cell r="D306" t="str">
            <v>404.01 - Transferências - Transferências correntes do Fundo Petrolífero relativas ao Rendimento Sustentável Estimado</v>
          </cell>
        </row>
        <row r="307">
          <cell r="D307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08">
          <cell r="D308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09">
          <cell r="D309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0">
          <cell r="D310" t="str">
            <v>404.02.01.01.04-Transferências-Transferências correntes do Setor Público Administrativo -Transferências correntes da Administração Central-Transferências correntes do Ministério das Finanças-Para financiamento da garantia de valores mínimos de Pensão</v>
          </cell>
        </row>
        <row r="311">
          <cell r="D311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2">
          <cell r="D312" t="str">
            <v>404.02.02 - Transferências - Transferências correntes do Setor Público Administrativo  - Transferências correntes da Segurança Social (entre regimes)</v>
          </cell>
        </row>
        <row r="313">
          <cell r="D313" t="str">
            <v>404.02.03 - Transferências - Transferências correntes do Setor Público Administrativo  - Transferências correntes da RAEOA</v>
          </cell>
        </row>
        <row r="314">
          <cell r="D314" t="str">
            <v>404.02.04 - Transferências - Transferências correntes do Setor Público Administrativo  - Transferências correntes dos municípios</v>
          </cell>
        </row>
        <row r="315">
          <cell r="D315" t="str">
            <v>404.03 - Transferências - Transferências correntes de sociedades</v>
          </cell>
        </row>
        <row r="316">
          <cell r="D316" t="str">
            <v>404.04 - Transferências - Transferências correntes das famílias</v>
          </cell>
        </row>
        <row r="317">
          <cell r="D317" t="str">
            <v>404.05.01 - Transferências - Transferências correntes de instituições sem fins lucrativos - Transferências correntes de fundações públicas</v>
          </cell>
        </row>
        <row r="318">
          <cell r="D318" t="str">
            <v>404.05.02 - Transferências - Transferências correntes de instituições sem fins lucrativos - Transferências correntes de associações públicas</v>
          </cell>
        </row>
        <row r="319">
          <cell r="D319" t="str">
            <v>404.05.03 - Transferências - Transferências correntes de instituições sem fins lucrativos - Transferências correntes de outras instituições sem fins lucrativos</v>
          </cell>
        </row>
        <row r="320">
          <cell r="D320" t="str">
            <v>404.06.01 - Transferências - Transferências correntes do Exterior - Transferências correntes de países terceiros</v>
          </cell>
        </row>
        <row r="321">
          <cell r="D321" t="str">
            <v>404.06.02 - Transferências - Transferências correntes do Exterior - Transferências correntes de organizações internacionais</v>
          </cell>
        </row>
        <row r="322">
          <cell r="D322" t="str">
            <v>404.06.03 - Transferências - Transferências correntes do Exterior - Outras transferências correntes do exterior</v>
          </cell>
        </row>
        <row r="323">
          <cell r="D323" t="str">
            <v>404.07 - Transferências - Outras transferências correntes</v>
          </cell>
        </row>
        <row r="324">
          <cell r="D324" t="str">
            <v>404.08 - Transferências - Transferências de capital do Fundo Petrolífero acima do Rendimento Sustentável Estimado</v>
          </cell>
        </row>
        <row r="325">
          <cell r="D325" t="str">
            <v>404.09.01 - Transferências - Transferências de capital do Setor Público Administrativo  - Transferências de capital da Administração Central</v>
          </cell>
        </row>
        <row r="326">
          <cell r="D326" t="str">
            <v>404.09.02 - Transferências - Transferências de capital do Setor Público Administrativo  - Transferências de capital da Segurança Social (entre regimes)</v>
          </cell>
        </row>
        <row r="327">
          <cell r="D327" t="str">
            <v>404.09.03 - Transferências - Transferências de capital do Setor Público Administrativo  - Transferências de capital da RAEOA</v>
          </cell>
        </row>
        <row r="328">
          <cell r="D328" t="str">
            <v>404.09.04 - Transferências - Transferências de capital do Setor Público Administrativo  - Transferências de capital dos municípios</v>
          </cell>
        </row>
        <row r="329">
          <cell r="D329" t="str">
            <v>404.10 - Transferências - Outras transferências de capital</v>
          </cell>
        </row>
        <row r="330">
          <cell r="D330" t="str">
            <v>405.01.01 - Venda de bens e serviços - Vendas de bens correntes - Livros e Publicações</v>
          </cell>
        </row>
        <row r="331">
          <cell r="D331" t="str">
            <v>405.01.02 - Venda de bens e serviços - Vendas de bens correntes - Formulários e impressos</v>
          </cell>
        </row>
        <row r="332">
          <cell r="D332" t="str">
            <v>405.01.03 - Venda de bens e serviços - Vendas de bens correntes - Material de escritório</v>
          </cell>
        </row>
        <row r="333">
          <cell r="D333" t="str">
            <v>405.01.04 - Venda de bens e serviços - Vendas de bens correntes - Fardamentos e artigos pessoais</v>
          </cell>
        </row>
        <row r="334">
          <cell r="D334" t="str">
            <v>405.01.05 - Venda de bens e serviços - Vendas de bens correntes - Produtos agrícolas e pecuários</v>
          </cell>
        </row>
        <row r="335">
          <cell r="D335" t="str">
            <v>405.01.06 - Venda de bens e serviços - Vendas de bens correntes - Produtos alimentares e bebidas</v>
          </cell>
        </row>
        <row r="336">
          <cell r="D336" t="str">
            <v>405.01.07 - Venda de bens e serviços - Vendas de bens correntes - Bens públicos</v>
          </cell>
        </row>
        <row r="337">
          <cell r="D337" t="str">
            <v>405.01.08 - Venda de bens e serviços - Vendas de bens correntes - Bens inutilizados</v>
          </cell>
        </row>
        <row r="338">
          <cell r="D338" t="str">
            <v>405.01.09 - Venda de bens e serviços - Vendas de bens correntes - Desperdícios e resíduos</v>
          </cell>
        </row>
        <row r="339">
          <cell r="D339" t="str">
            <v>405.01.10 - Venda de bens e serviços - Vendas de bens correntes - Outros bens correntes</v>
          </cell>
        </row>
        <row r="340">
          <cell r="D340" t="str">
            <v>405.02.01 - Venda de bens e serviços - Vendas de bens de capital - Terrenos</v>
          </cell>
        </row>
        <row r="341">
          <cell r="D341" t="str">
            <v>405.02.02 - Venda de bens e serviços - Vendas de bens de capital - Edifícios</v>
          </cell>
        </row>
        <row r="342">
          <cell r="D342" t="str">
            <v>405.02.03 - Venda de bens e serviços - Vendas de bens de capital - Infraestruturas</v>
          </cell>
        </row>
        <row r="343">
          <cell r="D343" t="str">
            <v>405.02.04 - Venda de bens e serviços - Vendas de bens de capital - Outros imóveis</v>
          </cell>
        </row>
        <row r="344">
          <cell r="D344" t="str">
            <v>405.02.05 - Venda de bens e serviços - Vendas de bens de capital - Veículos civis</v>
          </cell>
        </row>
        <row r="345">
          <cell r="D345" t="str">
            <v>405.02.06 - Venda de bens e serviços - Vendas de bens de capital - Veículos militares</v>
          </cell>
        </row>
        <row r="346">
          <cell r="D346" t="str">
            <v>405.02.07 - Venda de bens e serviços - Vendas de bens de capital - Equipamento de informática</v>
          </cell>
        </row>
        <row r="347">
          <cell r="D347" t="str">
            <v>405.02.08 - Venda de bens e serviços - Vendas de bens de capital - Equipamento de água</v>
          </cell>
        </row>
        <row r="348">
          <cell r="D348" t="str">
            <v>405.02.09 - Venda de bens e serviços - Vendas de bens de capital - Equipamento de eletricidade</v>
          </cell>
        </row>
        <row r="349">
          <cell r="D349" t="str">
            <v>405.02.10 - Venda de bens e serviços - Vendas de bens de capital - Equipamento de comunicações</v>
          </cell>
        </row>
        <row r="350">
          <cell r="D350" t="str">
            <v>405.02.11 - Venda de bens e serviços - Vendas de bens de capital - Equipamento de segurança</v>
          </cell>
        </row>
        <row r="351">
          <cell r="D351" t="str">
            <v>405.02.12 - Venda de bens e serviços - Vendas de bens de capital - Equipamento de construção</v>
          </cell>
        </row>
        <row r="352">
          <cell r="D352" t="str">
            <v>405.02.13 - Venda de bens e serviços - Vendas de bens de capital - Equipamento de transporte</v>
          </cell>
        </row>
        <row r="353">
          <cell r="D353" t="str">
            <v>405.02.14 - Venda de bens e serviços - Vendas de bens de capital - Outro equipamento</v>
          </cell>
        </row>
        <row r="354">
          <cell r="D354" t="str">
            <v>405.02.15 - Venda de bens e serviços - Vendas de bens de capital - Mobiliário</v>
          </cell>
        </row>
        <row r="355">
          <cell r="D355" t="str">
            <v>405.02.16 - Venda de bens e serviços - Vendas de bens de capital - Ativos incorpóreos</v>
          </cell>
        </row>
        <row r="356">
          <cell r="D356" t="str">
            <v>405.02.17 - Venda de bens e serviços - Vendas de bens de capital - Outros bens de capital</v>
          </cell>
        </row>
        <row r="357">
          <cell r="D357" t="str">
            <v>405.03.01 - Venda de bens e serviços - Serviços correntes - Estudos, pareceres, projetos e consultadoria</v>
          </cell>
        </row>
        <row r="358">
          <cell r="D358" t="str">
            <v>405.03.02 - Venda de bens e serviços - Serviços correntes - Vistorias e ensaios</v>
          </cell>
        </row>
        <row r="359">
          <cell r="D359" t="str">
            <v>405.03.03 - Venda de bens e serviços - Serviços correntes - Serviços de laboratórios</v>
          </cell>
        </row>
        <row r="360">
          <cell r="D360" t="str">
            <v>405.03.04 - Venda de bens e serviços - Serviços correntes - Atividades de saúde</v>
          </cell>
        </row>
        <row r="361">
          <cell r="D361" t="str">
            <v>405.03.05 - Venda de bens e serviços - Serviços correntes - Reparações</v>
          </cell>
        </row>
        <row r="362">
          <cell r="D362" t="str">
            <v>405.03.06 - Venda de bens e serviços - Serviços correntes - Alimentação e alojamento</v>
          </cell>
        </row>
        <row r="363">
          <cell r="D363" t="str">
            <v>405.03.07 - Venda de bens e serviços - Serviços correntes - Serviços públicos</v>
          </cell>
        </row>
        <row r="364">
          <cell r="D364" t="str">
            <v>405.03.08 - Venda de bens e serviços - Serviços correntes - Serviços sociais, recreativos, culturais e desporto</v>
          </cell>
        </row>
        <row r="365">
          <cell r="D365" t="str">
            <v>405.03.09 - Venda de bens e serviços - Serviços correntes - Serviços de correio</v>
          </cell>
        </row>
        <row r="366">
          <cell r="D366" t="str">
            <v>405.03.10 - Venda de bens e serviços - Serviços correntes - Outros serviços correntes</v>
          </cell>
        </row>
        <row r="367">
          <cell r="D367" t="str">
            <v>405.04 - Venda de bens e serviços - Serviços de capital</v>
          </cell>
        </row>
        <row r="368">
          <cell r="D368" t="str">
            <v>406.01.01 - Ativos e passivos financeiros - Ativos financeiros - Levantamento de depósitos e investimentos</v>
          </cell>
        </row>
        <row r="369">
          <cell r="D369" t="str">
            <v>406.01.02 - Ativos e passivos financeiros - Ativos financeiros - Alienação de títulos</v>
          </cell>
        </row>
        <row r="370">
          <cell r="D370" t="str">
            <v>406.01.03 - Ativos e passivos financeiros - Ativos financeiros - Alienação de partes sociais</v>
          </cell>
        </row>
        <row r="371">
          <cell r="D371" t="str">
            <v>406.01.04 - Ativos e passivos financeiros - Ativos financeiros - Reembolso de empréstimos feitos pelo Estado</v>
          </cell>
        </row>
        <row r="372">
          <cell r="D372" t="str">
            <v>406.01.05 - Ativos e passivos financeiros - Ativos financeiros - Recuperação de créditos</v>
          </cell>
        </row>
        <row r="373">
          <cell r="D373" t="str">
            <v>406.01.06 - Ativos e passivos financeiros - Ativos financeiros - Outros ativos financeiros</v>
          </cell>
        </row>
        <row r="374">
          <cell r="D374" t="str">
            <v>406.02.01 - Ativos e passivos financeiros - Passivos Financeiros - Contração de empréstimos</v>
          </cell>
        </row>
        <row r="375">
          <cell r="D375" t="str">
            <v>406.02.02 - Ativos e passivos financeiros - Passivos Financeiros - Emissão de títulos do tesouro</v>
          </cell>
        </row>
        <row r="376">
          <cell r="D376" t="str">
            <v>406.02.03 - Ativos e passivos financeiros - Passivos Financeiros - Outros passivos financeiros</v>
          </cell>
        </row>
        <row r="377">
          <cell r="D377" t="str">
            <v>407 - Reposições não abatidas nos pagamentos</v>
          </cell>
        </row>
        <row r="378">
          <cell r="D378" t="str">
            <v>408 - Saldo de Gerência</v>
          </cell>
        </row>
        <row r="379">
          <cell r="D379" t="str">
            <v>409.01 - Operações extraorçamentais - Adiantamentos de caixa</v>
          </cell>
        </row>
        <row r="380">
          <cell r="D380" t="str">
            <v>409.02 - Operações extraorçamentais - Retenção de impostos e cotizações</v>
          </cell>
        </row>
        <row r="381">
          <cell r="D381" t="str">
            <v>409.03.01 - Operações extraorçamentais - Cauções e garantias - Caução de execução</v>
          </cell>
        </row>
        <row r="382">
          <cell r="D382" t="str">
            <v>409.03.02 - Operações extraorçamentais - Cauções e garantias - Caução de qualidade</v>
          </cell>
        </row>
        <row r="383">
          <cell r="D383" t="str">
            <v>409.03.03 - Operações extraorçamentais - Cauções e garantias - Garantia de pagamento adiantado</v>
          </cell>
        </row>
        <row r="384">
          <cell r="D384" t="str">
            <v>409.04 - Operações extraorçamentais - Outras operações extraorçamentais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ANCO_CENTRAL"/>
      <sheetName val="CONTA BNCTL_OFICIAL"/>
      <sheetName val="CONTA BNU"/>
      <sheetName val="CONTA BNCTL"/>
      <sheetName val="CONTA BRI"/>
      <sheetName val="CONTA MANDIRI"/>
      <sheetName val="CONTA ANZ"/>
      <sheetName val="CE_RegimeNaoContributivo"/>
      <sheetName val="CE_RegimeContributivo"/>
      <sheetName val="CE_Administracao"/>
      <sheetName val="CE_FRSS"/>
      <sheetName val="CE_OSS_Global"/>
      <sheetName val="Prog_RegimeContributivo"/>
      <sheetName val="Prog_RegimeNaoContributivo"/>
      <sheetName val="Prog_Administracao"/>
      <sheetName val="Prog_FRSS"/>
      <sheetName val="Programas"/>
      <sheetName val="ClassificacaoFuncional"/>
      <sheetName val="MAPA_TransfOE"/>
      <sheetName val="Classificadores_Listas"/>
    </sheetNames>
    <sheetDataSet>
      <sheetData sheetId="0" refreshError="1"/>
      <sheetData sheetId="1"/>
      <sheetData sheetId="2" refreshError="1"/>
      <sheetData sheetId="3"/>
      <sheetData sheetId="4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3">
          <cell r="G3" t="str">
            <v>Regime não Contributivo</v>
          </cell>
          <cell r="X3" t="str">
            <v>01.01 - Serviços gerais da administração pública - Órgãos executivos e legislativos, assuntos financeiros e fiscais, assuntos externos</v>
          </cell>
          <cell r="AA3" t="str">
            <v>A04 - Regime Contributivo de Repartição</v>
          </cell>
          <cell r="AB3" t="str">
            <v>A0401 - Regime transitório de segurança social</v>
          </cell>
          <cell r="AC3" t="str">
            <v>A040101 - Pagamento de prestações sociais de direito - RTSS</v>
          </cell>
        </row>
        <row r="4">
          <cell r="G4" t="str">
            <v>Regime Contributivo</v>
          </cell>
          <cell r="X4" t="str">
            <v>01.02 - Serviços gerais da administração pública - Ajuda económica externa</v>
          </cell>
          <cell r="AA4" t="str">
            <v>A05 - Regime Não Contributivo</v>
          </cell>
          <cell r="AB4" t="str">
            <v>A0402 - Regime geral de segurança social</v>
          </cell>
          <cell r="AC4" t="str">
            <v>A040201 - Pagamento de prestações sociais de direito - RGSS</v>
          </cell>
        </row>
        <row r="5">
          <cell r="E5" t="str">
            <v>D.01.01.01 - Despesas com pessoal - Salários e abonos regulares e permanentes - Salário de titulares de cargos políticos</v>
          </cell>
          <cell r="G5" t="str">
            <v>Capitalização FRSS</v>
          </cell>
          <cell r="X5" t="str">
            <v>01.03 - Serviços gerais da administração pública - Serviços gerais da administração pública</v>
          </cell>
          <cell r="AA5" t="str">
            <v>A06 - Administração da Segurança Social</v>
          </cell>
          <cell r="AB5" t="str">
            <v>A0501 - Proteção Social de Cidadania</v>
          </cell>
          <cell r="AC5" t="str">
            <v>A050101 - Pagamento de pensões sociais</v>
          </cell>
        </row>
        <row r="6">
          <cell r="E6" t="str">
            <v>D.01.01.02 - Despesas com pessoal - Salários e abonos regulares e permanentes - Salário de membros de órgãos de direção</v>
          </cell>
          <cell r="G6" t="str">
            <v>Administração</v>
          </cell>
          <cell r="X6" t="str">
            <v>01.04 - Serviços gerais da administração pública - Investigação básica</v>
          </cell>
          <cell r="AA6" t="str">
            <v>A07 - Regime Contributivo de Capitalização (FRSS)</v>
          </cell>
          <cell r="AB6" t="str">
            <v>A0601 - Coordenação, gestão e funcionamento do INSS</v>
          </cell>
          <cell r="AC6" t="str">
            <v>A050102 - Pagamento de complementos sociais</v>
          </cell>
        </row>
        <row r="7">
          <cell r="E7" t="str">
            <v>D.01.01.03 - Despesas com pessoal - Salários e abonos regulares e permanentes - Salário de titulares de cargos de direção e chefia</v>
          </cell>
          <cell r="X7" t="str">
            <v>01.05 - Serviços gerais da administração pública - Serviços públicos gerais de investigação e desenvolvimento</v>
          </cell>
          <cell r="AB7" t="str">
            <v>A0602- Coordenação, gestão e funcionamento do FRSS</v>
          </cell>
          <cell r="AC7" t="str">
            <v>A060101 -Coordenação, gestão e funcionamento de todos os serviços do INSS</v>
          </cell>
        </row>
        <row r="8">
          <cell r="E8" t="str">
            <v>D.01.01.04 - Despesas com pessoal - Salários e abonos regulares e permanentes - Salário de funcionários e agentes</v>
          </cell>
          <cell r="X8" t="str">
            <v>01.06 - Serviços gerais da administração pública - Serviços públicos gerais não especificados</v>
          </cell>
          <cell r="AB8" t="str">
            <v>A0603- Investimento Estratégico das Instituições da Segurança Social</v>
          </cell>
          <cell r="AC8" t="str">
            <v>A060102 - Formação em exercício dos Recursos Humanos do INSS</v>
          </cell>
        </row>
        <row r="9">
          <cell r="E9" t="str">
            <v>D.01.01.05 - Despesas com pessoal - Salários e abonos regulares e permanentes - Salário de contratados nacionais</v>
          </cell>
          <cell r="X9" t="str">
            <v>01.07 - Serviços gerais da administração pública - Operações de dívida pública</v>
          </cell>
          <cell r="AB9" t="str">
            <v>A0701 - Constituição e gestão do FRSS</v>
          </cell>
          <cell r="AC9" t="str">
            <v>A060103 - Elaboração de estudos e propostas técnicas visando a melhoria, alargamento, eficácia e sustentabilidade do sistema de segurança social</v>
          </cell>
        </row>
        <row r="10">
          <cell r="E10" t="str">
            <v>D.01.01.06 - Despesas com pessoal - Salários e abonos regulares e permanentes - Salário de contratados internacionais</v>
          </cell>
          <cell r="X10" t="str">
            <v>01.08 - Serviços gerais da administração pública - Transferências de caráter geral entre diferentes níveis da administração pública</v>
          </cell>
          <cell r="AC10" t="str">
            <v>A060104 - Extensão da cobertura do sistema de segurança social</v>
          </cell>
        </row>
        <row r="11">
          <cell r="E11" t="str">
            <v>D.01.01.07 - Despesas com pessoal - Salários e abonos regulares e permanentes - Salário de estagiários</v>
          </cell>
          <cell r="X11" t="str">
            <v>02.01 - Defesa - Defesa militar</v>
          </cell>
          <cell r="AC11" t="str">
            <v>A060201 -Coordenação, gestão e funcionamento de todos os serviços do FRSS</v>
          </cell>
        </row>
        <row r="12">
          <cell r="E12" t="str">
            <v>D.01.01.08 - Despesas com pessoal - Salários e abonos regulares e permanentes - Salário de outros beneficiários</v>
          </cell>
          <cell r="X12" t="str">
            <v>02.02 - Defesa - Defesa civil</v>
          </cell>
          <cell r="AC12" t="str">
            <v>A060202 - Formação em exercício dos Recursos Humanos do FRSS</v>
          </cell>
        </row>
        <row r="13">
          <cell r="E13" t="str">
            <v>D.01.01.09 - Despesas com pessoal - Salários e abonos regulares e permanentes - Abono para despesas de representação</v>
          </cell>
          <cell r="X13" t="str">
            <v>02.03 - Defesa - Ajuda militar ao estrangeiro</v>
          </cell>
          <cell r="AC13" t="str">
            <v>A060301 - Criação de serviços desconcentrados do INSS</v>
          </cell>
        </row>
        <row r="14">
          <cell r="E14" t="str">
            <v>D.01.01.10 - Despesas com pessoal - Salários e abonos regulares e permanentes - Décimo terceiro mês</v>
          </cell>
          <cell r="X14" t="str">
            <v>02.04 - Defesa - Investigação e desenvolvimento em defesa</v>
          </cell>
          <cell r="AC14" t="str">
            <v>A060302 - Construção do Sistema de Informação da Segurança Social</v>
          </cell>
        </row>
        <row r="15">
          <cell r="E15" t="str">
            <v>D.01.01.11 - Despesas com pessoal - Salários e abonos regulares e permanentes - Outros abonos regulares e permanentes</v>
          </cell>
          <cell r="X15" t="str">
            <v>02.05 - Defesa - Serviços de defesa não especificados</v>
          </cell>
          <cell r="AC15" t="str">
            <v>A060303 - Apetrechamento dos Serviços Centrais do INSS e do FRSS</v>
          </cell>
        </row>
        <row r="16">
          <cell r="E16" t="str">
            <v>D.01.02.01 - Despesas com pessoal - Abonos variáveis ou eventuais - Horas extraordinárias</v>
          </cell>
          <cell r="X16" t="str">
            <v>03.01 - Segurança e ordem pública - Segurança pública</v>
          </cell>
          <cell r="AC16" t="str">
            <v>A070101 - Gestão do património do FRSS</v>
          </cell>
        </row>
        <row r="17">
          <cell r="E17" t="str">
            <v>D.01.02.02 - Despesas com pessoal - Abonos variáveis ou eventuais - Ajudas de custo por deslocações em serviço no país</v>
          </cell>
          <cell r="X17" t="str">
            <v>03.02 - Segurança e ordem pública - Serviços de bombeiros</v>
          </cell>
        </row>
        <row r="18">
          <cell r="E18" t="str">
            <v>D.01.02.03 - Despesas com pessoal - Abonos variáveis ou eventuais - Ajudas de custo por deslocações em serviço ao estrangeiro</v>
          </cell>
          <cell r="X18" t="str">
            <v>03.03 - Segurança e ordem pública - Tribunais</v>
          </cell>
        </row>
        <row r="19">
          <cell r="E19" t="str">
            <v>D.01.02.04 - Despesas com pessoal - Abonos variáveis ou eventuais - Ajudas de custo por deslocações ao estrangeiro para fins de estudo</v>
          </cell>
          <cell r="X19" t="str">
            <v>03.04 - Segurança e ordem pública - Prisões</v>
          </cell>
        </row>
        <row r="20">
          <cell r="E20" t="str">
            <v>D.01.02.05 - Despesas com pessoal - Abonos variáveis ou eventuais - Subsídio mensal de transporte</v>
          </cell>
          <cell r="X20" t="str">
            <v>03.05 - Segurança e ordem pública - Investigação e desenvolvimento em segurança e ordem pública</v>
          </cell>
        </row>
        <row r="21">
          <cell r="E21" t="str">
            <v>D.01.02.06 - Despesas com pessoal - Abonos variáveis ou eventuais - Ajudas de custo por recolocação</v>
          </cell>
          <cell r="X21" t="str">
            <v>03.06 - Segurança e ordem pública - Serviços de segurança e ordem pública não especificados</v>
          </cell>
        </row>
        <row r="22">
          <cell r="E22" t="str">
            <v>D.01.02.07 - Despesas com pessoal - Abonos variáveis ou eventuais - Suplemento de turno</v>
          </cell>
          <cell r="X22" t="str">
            <v>04.01 - Assuntos económicos - Assuntos económicos gerais, comerciais e laborais</v>
          </cell>
        </row>
        <row r="23">
          <cell r="E23" t="str">
            <v>D.01.02.08 - Despesas com pessoal - Abonos variáveis ou eventuais - Suplemento por trabalho em local remoto ou de difícil acesso</v>
          </cell>
          <cell r="X23" t="str">
            <v>04.02 - Assuntos económicos - Agricultura, silvicultura, pesca e caça</v>
          </cell>
        </row>
        <row r="24">
          <cell r="E24" t="str">
            <v>D.01.02.09 - Despesas com pessoal - Abonos variáveis ou eventuais - Subsídio de alojamento</v>
          </cell>
          <cell r="X24" t="str">
            <v>04.03 - Assuntos económicos - Combustíveis e energia</v>
          </cell>
        </row>
        <row r="25">
          <cell r="E25" t="str">
            <v>D.01.02.10 - Despesas com pessoal - Abonos variáveis ou eventuais - Subsídio de alimentação</v>
          </cell>
          <cell r="X25" t="str">
            <v>04.04 - Assuntos económicos - Indústrias extrativas, indústria transformadora e construção</v>
          </cell>
        </row>
        <row r="26">
          <cell r="E26" t="str">
            <v>D.01.02.11 - Despesas com pessoal - Abonos variáveis ou eventuais - Subsídio de risco</v>
          </cell>
          <cell r="X26" t="str">
            <v>04.05 - Assuntos económicos - Transportes</v>
          </cell>
        </row>
        <row r="27">
          <cell r="E27" t="str">
            <v>D.01.02.12 - Despesas com pessoal - Abonos variáveis ou eventuais - Outros abonos variáveis ou eventuais</v>
          </cell>
          <cell r="X27" t="str">
            <v>04.06 - Assuntos económicos - Comunicações</v>
          </cell>
        </row>
        <row r="28">
          <cell r="E28" t="str">
            <v>D.01.03 - Despesas com pessoal - Contribuição para a Segurança social como entidade empregadora</v>
          </cell>
          <cell r="X28" t="str">
            <v>04.07 - Assuntos económicos - Outras atividades</v>
          </cell>
        </row>
        <row r="29">
          <cell r="E29" t="str">
            <v>D.01.04 - Despesas com pessoal - Outras despesas com pessoal</v>
          </cell>
          <cell r="X29" t="str">
            <v>04.08 - Assuntos económicos - Investigação e desenvolvimento em assuntos económicos</v>
          </cell>
        </row>
        <row r="30">
          <cell r="E30" t="str">
            <v>D.02.01 - Aquisição de bens correntes - Matérias-primas e subsidiárias</v>
          </cell>
          <cell r="X30" t="str">
            <v>04.09 - Assuntos económicos - Assuntos económicos não especificados</v>
          </cell>
        </row>
        <row r="31">
          <cell r="E31" t="str">
            <v>D.02.02 - Aquisição de bens correntes - Mercadorias para venda</v>
          </cell>
          <cell r="X31" t="str">
            <v>05.01 - Proteção do ambiente - Gestão de resíduos</v>
          </cell>
        </row>
        <row r="32">
          <cell r="E32" t="str">
            <v>D.02.03.01 - Aquisição de bens correntes - Vestuário e artigos pessoais - Fardamento</v>
          </cell>
          <cell r="X32" t="str">
            <v>05.02 - Proteção do ambiente - Gestão de águas residuais</v>
          </cell>
        </row>
        <row r="33">
          <cell r="E33" t="str">
            <v>D.02.03.02 - Aquisição de bens correntes - Vestuário e artigos pessoais - Outro vestuário e artigos pessoais</v>
          </cell>
          <cell r="X33" t="str">
            <v>05.03 - Proteção do ambiente - Redução da poluição</v>
          </cell>
        </row>
        <row r="34">
          <cell r="E34" t="str">
            <v>D.02.04.01 - Aquisição de bens correntes - Bens públicos - Água</v>
          </cell>
          <cell r="X34" t="str">
            <v>05.04 - Proteção do ambiente - Proteção da biodiversidade biológica e da paisagem</v>
          </cell>
        </row>
        <row r="35">
          <cell r="E35" t="str">
            <v>D.02.04.02 - Aquisição de bens correntes - Bens públicos - Eletricidade</v>
          </cell>
          <cell r="X35" t="str">
            <v>05.05 - Proteção do ambiente - Investigação e desenvolvimento em proteção do ambiente</v>
          </cell>
        </row>
        <row r="36">
          <cell r="E36" t="str">
            <v>D.02.04.03 - Aquisição de bens correntes - Bens públicos - Gás</v>
          </cell>
          <cell r="X36" t="str">
            <v>05.06 - Proteção do ambiente - Serviços de proteção do ambiente não especificados</v>
          </cell>
        </row>
        <row r="37">
          <cell r="E37" t="str">
            <v>D.02.04.04 - Aquisição de bens correntes - Bens públicos - Outros bens públicos</v>
          </cell>
          <cell r="X37" t="str">
            <v>06.01 - Habitação e infraestruturas coletivas - Desenvolvimento habitacional</v>
          </cell>
        </row>
        <row r="38">
          <cell r="E38" t="str">
            <v>D.02.05.01 - Aquisição de bens correntes - Alimentação - Produtos alimentares não confecionados</v>
          </cell>
          <cell r="X38" t="str">
            <v>06.02 - Habitação e infraestruturas coletivas - Desenvolvimento coletivo</v>
          </cell>
        </row>
        <row r="39">
          <cell r="E39" t="str">
            <v>D.02.05.02 - Aquisição de bens correntes - Alimentação - Refeições confecionadas</v>
          </cell>
          <cell r="X39" t="str">
            <v>06.03 - Habitação e infraestruturas coletivas - Abastecimento de água</v>
          </cell>
        </row>
        <row r="40">
          <cell r="E40" t="str">
            <v>D.02.05.03 - Aquisição de bens correntes - Alimentação - Bebidas</v>
          </cell>
          <cell r="X40" t="str">
            <v>06.04 - Habitação e infraestruturas coletivas - Iluminação das vias públicas</v>
          </cell>
        </row>
        <row r="41">
          <cell r="E41" t="str">
            <v>D.02.05.04 - Aquisição de bens correntes - Alimentação - Outras alimentação</v>
          </cell>
          <cell r="X41" t="str">
            <v>06.05 - Habitação e infraestruturas coletivas - Investigação e desenvolvimento em habitação e infraestruturas coletivas</v>
          </cell>
        </row>
        <row r="42">
          <cell r="E42" t="str">
            <v>D.02.06 - Aquisição de bens correntes - Material médico e hospitalar</v>
          </cell>
          <cell r="X42" t="str">
            <v>06.06 - Habitação e infraestruturas coletivas - Serviços de habitação e infraestruturas coletivas não especificados</v>
          </cell>
        </row>
        <row r="43">
          <cell r="E43" t="str">
            <v>D.02.07 - Aquisição de bens correntes - Material escolar</v>
          </cell>
          <cell r="X43" t="str">
            <v>07.01 - Saúde - Produtos, instrumentos e equipamentos médicos</v>
          </cell>
        </row>
        <row r="44">
          <cell r="E44" t="str">
            <v>D.02.08 - Aquisição de bens correntes - Material agrícola</v>
          </cell>
          <cell r="X44" t="str">
            <v>07.02 - Saúde - Serviços de saúde ambulatórios</v>
          </cell>
        </row>
        <row r="45">
          <cell r="E45" t="str">
            <v>D.02.09 - Aquisição de bens correntes - Material de escritório</v>
          </cell>
          <cell r="X45" t="str">
            <v>07.03 - Saúde - Serviços dos hospitais</v>
          </cell>
        </row>
        <row r="46">
          <cell r="E46" t="str">
            <v>D.02.10.01 - Aquisição de bens correntes - Combustível - Combustiveis para geradores</v>
          </cell>
          <cell r="X46" t="str">
            <v>07.04 - Saúde - Serviços de saúde pública</v>
          </cell>
        </row>
        <row r="47">
          <cell r="E47" t="str">
            <v>D.02.10.02 - Aquisição de bens correntes - Combustível - Combustiveis para veículos</v>
          </cell>
          <cell r="X47" t="str">
            <v>07.05 - Saúde - Investigação e desenvolvimento em saúde</v>
          </cell>
        </row>
        <row r="48">
          <cell r="E48" t="str">
            <v>D.02.10.03 - Aquisição de bens correntes - Combustível - Outros combustíveis</v>
          </cell>
          <cell r="X48" t="str">
            <v>07.06 - Saúde - Serviços de saúde não especificados</v>
          </cell>
        </row>
        <row r="49">
          <cell r="E49" t="str">
            <v>D.02.11.01 - Aquisição de bens correntes - Produtos químicos - Produtos farmaceuticos</v>
          </cell>
          <cell r="X49" t="str">
            <v>08.01 - Desporto, recreação, cultura e religião - Serviços recreativos e desportivos</v>
          </cell>
        </row>
        <row r="50">
          <cell r="E50" t="str">
            <v>D.02.11.02 - Aquisição de bens correntes - Produtos químicos - Artigos de limpeza e higiene</v>
          </cell>
          <cell r="X50" t="str">
            <v>08.02 - Desporto, recreação, cultura e religião - Serviços culturais</v>
          </cell>
        </row>
        <row r="51">
          <cell r="E51" t="str">
            <v>D.02.11.03 - Aquisição de bens correntes - Produtos químicos - Munições, explosivos e artifícios</v>
          </cell>
          <cell r="X51" t="str">
            <v>08.03 - Desporto, recreação, cultura e religião - Serviços de difusão e publicação</v>
          </cell>
        </row>
        <row r="52">
          <cell r="E52" t="str">
            <v>D.02.11.04 - Aquisição de bens correntes - Produtos químicos - Petróleo</v>
          </cell>
          <cell r="X52" t="str">
            <v>08.04 - Desporto, recreação, cultura e religião - Serviços religiosos e outros serviços prestados à comunidade</v>
          </cell>
        </row>
        <row r="53">
          <cell r="E53" t="str">
            <v>D.02.11.05 - Aquisição de bens correntes - Produtos químicos - Lubrificantes</v>
          </cell>
          <cell r="X53" t="str">
            <v>08.05 - Desporto, recreação, cultura e religião - Investigação e desenvolvimento em serviços recreativos, culturais e religiosos</v>
          </cell>
        </row>
        <row r="54">
          <cell r="E54" t="str">
            <v>D.02.11.06 - Aquisição de bens correntes - Produtos químicos - Outros produtos químicos</v>
          </cell>
          <cell r="X54" t="str">
            <v>08.06 - Desporto, recreação, cultura e religião - Assuntos e serviços recreativos, culturais e religiosos não especificados</v>
          </cell>
        </row>
        <row r="55">
          <cell r="E55" t="str">
            <v>D.02.12.01 - Aquisição de bens correntes - Peças e ferramentas - Peças</v>
          </cell>
          <cell r="X55" t="str">
            <v>09.01 - Educação - Ensino primário e pré-primário</v>
          </cell>
        </row>
        <row r="56">
          <cell r="E56" t="str">
            <v>D.02.12.02 - Aquisição de bens correntes - Peças e ferramentas - Ferramentas e utensílios</v>
          </cell>
          <cell r="X56" t="str">
            <v>09.02 - Educação - Ensino secundário</v>
          </cell>
        </row>
        <row r="57">
          <cell r="E57" t="str">
            <v>D.02.13 - Aquisição de bens correntes - Prémios, condecorações e ofertas</v>
          </cell>
          <cell r="X57" t="str">
            <v>09.03 - Educação - Ensino pós-secundário não superior</v>
          </cell>
        </row>
        <row r="58">
          <cell r="E58" t="str">
            <v>D.02.14 - Aquisição de bens correntes - Livros e documentação técnica</v>
          </cell>
          <cell r="X58" t="str">
            <v>09.04 - Educação - Ensino superior</v>
          </cell>
        </row>
        <row r="59">
          <cell r="E59" t="str">
            <v>D.02.15 - Aquisição de bens correntes - Outros bens correntes</v>
          </cell>
          <cell r="X59" t="str">
            <v>09.05 - Educação - Ensino não definido por níveis</v>
          </cell>
        </row>
        <row r="60">
          <cell r="E60" t="str">
            <v>D.03.01.01 - Aquisição de serviços correntes - Manutenção, limpeza e segurança - Manutenção</v>
          </cell>
          <cell r="X60" t="str">
            <v>09.06 - Educação - Serviços anexos â educação</v>
          </cell>
        </row>
        <row r="61">
          <cell r="E61" t="str">
            <v>D.03.01.02 - Aquisição de serviços correntes - Manutenção, limpeza e segurança - Assistência técnica</v>
          </cell>
          <cell r="X61" t="str">
            <v>09.07 - Educação - Investigação e desenvolvimento em educação</v>
          </cell>
        </row>
        <row r="62">
          <cell r="E62" t="str">
            <v>D.03.01.03 - Aquisição de serviços correntes - Manutenção, limpeza e segurança - Limpeza e higiene</v>
          </cell>
          <cell r="X62" t="str">
            <v>09.08 - Educação - Serviços de educação não especificados</v>
          </cell>
        </row>
        <row r="63">
          <cell r="E63" t="str">
            <v>D.03.01.04 - Aquisição de serviços correntes - Manutenção, limpeza e segurança - Vigilância e segurança</v>
          </cell>
          <cell r="X63" t="str">
            <v>10.01 - Proteção Social - Doença, incapacidade e deficiência</v>
          </cell>
        </row>
        <row r="64">
          <cell r="E64" t="str">
            <v>D.03.02.01 - Aquisição de serviços correntes - Serviços públicos - Fornecimento de água</v>
          </cell>
          <cell r="X64" t="str">
            <v>10.02 - Proteção Social - Velhice</v>
          </cell>
        </row>
        <row r="65">
          <cell r="E65" t="str">
            <v>D.03.02.02 - Aquisição de serviços correntes - Serviços públicos - Fornecimento de eletricidade</v>
          </cell>
          <cell r="X65" t="str">
            <v>10.03 - Proteção Social - Morte e sobrevivência</v>
          </cell>
        </row>
        <row r="66">
          <cell r="E66" t="str">
            <v>D.03.02.03 - Aquisição de serviços correntes - Serviços públicos - Fornecimento de gás</v>
          </cell>
          <cell r="X66" t="str">
            <v>10.04 - Proteção Social - Família e infância</v>
          </cell>
        </row>
        <row r="67">
          <cell r="E67" t="str">
            <v>D.03.02.04 - Aquisição de serviços correntes - Serviços públicos - Outros serviços públicos</v>
          </cell>
          <cell r="X67" t="str">
            <v>10.05 - Proteção Social - Desemprego</v>
          </cell>
        </row>
        <row r="68">
          <cell r="E68" t="str">
            <v>D.03.03.01 - Aquisição de serviços correntes - Comunicações - Comunicações fixas</v>
          </cell>
          <cell r="X68" t="str">
            <v xml:space="preserve">10.06 - Proteção Social - Habitação </v>
          </cell>
        </row>
        <row r="69">
          <cell r="E69" t="str">
            <v>D.03.03.02 - Aquisição de serviços correntes - Comunicações - Comunicações móveis</v>
          </cell>
          <cell r="X69" t="str">
            <v>10.07 - Proteção Social - Pobreza e exclusão social não especificada</v>
          </cell>
        </row>
        <row r="70">
          <cell r="E70" t="str">
            <v>D.03.03.03 - Aquisição de serviços correntes - Comunicações - Comunicações de dados</v>
          </cell>
          <cell r="X70" t="str">
            <v>10.08 - Proteção Social - Investigação e desenvolvimento em proteção social</v>
          </cell>
        </row>
        <row r="71">
          <cell r="E71" t="str">
            <v>D.03.03.04 - Aquisição de serviços correntes - Comunicações - Comunicações em pacote</v>
          </cell>
          <cell r="X71" t="str">
            <v>10.09 - Proteção Social - Serviços de proteção social não especificados</v>
          </cell>
        </row>
        <row r="72">
          <cell r="E72" t="str">
            <v>D.03.03.05 - Aquisição de serviços correntes - Comunicações - Correios, encomendas e estafetas</v>
          </cell>
        </row>
        <row r="73">
          <cell r="E73" t="str">
            <v>D.03.03.06 - Aquisição de serviços correntes - Comunicações - Outras comunicações</v>
          </cell>
        </row>
        <row r="74">
          <cell r="E74" t="str">
            <v>D.03.04.01 - Aquisição de serviços correntes - Transportes - Transportes nacionais</v>
          </cell>
        </row>
        <row r="75">
          <cell r="E75" t="str">
            <v>D.03.04.02 - Aquisição de serviços correntes - Transportes - Transportes internacionais</v>
          </cell>
        </row>
        <row r="76">
          <cell r="E76" t="str">
            <v>D.03.05 - Aquisição de serviços correntes - Catering</v>
          </cell>
        </row>
        <row r="77">
          <cell r="E77" t="str">
            <v>D.03.06.01 - Aquisição de serviços correntes - Assistência técnica e conservação - Assistência técnica</v>
          </cell>
        </row>
        <row r="78">
          <cell r="E78" t="str">
            <v>D.03.06.02 - Aquisição de serviços correntes - Assistência técnica e conservação - Conservação</v>
          </cell>
        </row>
        <row r="79">
          <cell r="E79" t="str">
            <v>D.03.07.01 - Aquisição de serviços correntes - Alojamento - Alojamento nacional</v>
          </cell>
        </row>
        <row r="80">
          <cell r="E80" t="str">
            <v>D.03.07.02 - Aquisição de serviços correntes - Alojamento - Alojamento internacional</v>
          </cell>
        </row>
        <row r="81">
          <cell r="E81" t="str">
            <v>D.03.08.01 - Aquisição de serviços correntes - Serviços profissionais - Estudos, pareceres, projetos e consultadoria</v>
          </cell>
        </row>
        <row r="82">
          <cell r="E82" t="str">
            <v>D.03.08.02 - Aquisição de serviços correntes - Serviços profissionais - Formação e palestras</v>
          </cell>
        </row>
        <row r="83">
          <cell r="E83" t="str">
            <v>D.03.08.03 - Aquisição de serviços correntes - Serviços profissionais - Serviços de tradução</v>
          </cell>
        </row>
        <row r="84">
          <cell r="E84" t="str">
            <v>D.03.08.04 - Aquisição de serviços correntes - Serviços profissionais - Informática</v>
          </cell>
        </row>
        <row r="85">
          <cell r="E85" t="str">
            <v>D.03.08.05 - Aquisição de serviços correntes - Serviços profissionais - Auditoria</v>
          </cell>
        </row>
        <row r="86">
          <cell r="E86" t="str">
            <v>D.03.08.06 - Aquisição de serviços correntes - Serviços profissionais - Publicidade</v>
          </cell>
        </row>
        <row r="87">
          <cell r="E87" t="str">
            <v>D.03.08.07 - Aquisição de serviços correntes - Serviços profissionais - Outros serviços profissionais</v>
          </cell>
        </row>
        <row r="88">
          <cell r="E88" t="str">
            <v>D.03.09 - Aquisição de serviços correntes - Representação</v>
          </cell>
        </row>
        <row r="89">
          <cell r="E89" t="str">
            <v>D.03.10 - Aquisição de serviços correntes - Publicação, cópia e impressão</v>
          </cell>
        </row>
        <row r="90">
          <cell r="E90" t="str">
            <v>D.03.11.01 - Aquisição de serviços correntes - Serviços financeiros - Depósitos, transferências e levantamentos</v>
          </cell>
        </row>
        <row r="91">
          <cell r="E91" t="str">
            <v>D.03.11.02 - Aquisição de serviços correntes - Serviços financeiros - Pagamentos</v>
          </cell>
        </row>
        <row r="92">
          <cell r="E92" t="str">
            <v>D.03.11.03 - Aquisição de serviços correntes - Serviços financeiros - Cobranças</v>
          </cell>
        </row>
        <row r="93">
          <cell r="E93" t="str">
            <v>D.03.11.04 - Aquisição de serviços correntes - Serviços financeiros - Outros serviços bancários</v>
          </cell>
        </row>
        <row r="94">
          <cell r="E94" t="str">
            <v>D.03.11.05 - Aquisição de serviços correntes - Serviços financeiros - Seguros</v>
          </cell>
        </row>
        <row r="95">
          <cell r="E95" t="str">
            <v>D.03.11.06 - Aquisição de serviços correntes - Serviços financeiros - Outros serviços financeiros</v>
          </cell>
        </row>
        <row r="96">
          <cell r="E96" t="str">
            <v>D.03.12 - Aquisição de serviços correntes - Serviços de saúde</v>
          </cell>
        </row>
        <row r="97">
          <cell r="E97" t="str">
            <v>D.03.13 - Aquisição de serviços correntes - Outros serviços correntes</v>
          </cell>
        </row>
        <row r="98">
          <cell r="E98" t="str">
            <v>D.04.01.01 - Rendas - Imóveis - Arrendamento de bens imóveis de média e longa duração</v>
          </cell>
        </row>
        <row r="99">
          <cell r="E99" t="str">
            <v>D.04.01.02 - Rendas - Imóveis - Arrendamento de bens imóveis de curta duração</v>
          </cell>
        </row>
        <row r="100">
          <cell r="E100" t="str">
            <v>D.04.02.01 - Rendas - Móveis - Veículos</v>
          </cell>
        </row>
        <row r="101">
          <cell r="E101" t="str">
            <v>D.04.02.02 - Rendas - Móveis - Navios</v>
          </cell>
        </row>
        <row r="102">
          <cell r="E102" t="str">
            <v>D.04.02.03 - Rendas - Móveis - Aviões</v>
          </cell>
        </row>
        <row r="103">
          <cell r="E103" t="str">
            <v>D.04.02.04 - Rendas - Móveis - Material de informática</v>
          </cell>
        </row>
        <row r="104">
          <cell r="E104" t="str">
            <v>D.04.02.05 - Rendas - Móveis - Material de decoração</v>
          </cell>
        </row>
        <row r="105">
          <cell r="E105" t="str">
            <v>D.04.02.06 - Rendas - Móveis - Material pesado</v>
          </cell>
        </row>
        <row r="106">
          <cell r="E106" t="str">
            <v>D.04.02.07 - Rendas - Móveis - Ferramentas</v>
          </cell>
        </row>
        <row r="107">
          <cell r="E107" t="str">
            <v>D.04.02.08 - Rendas - Móveis - Outros móveis</v>
          </cell>
        </row>
        <row r="108">
          <cell r="E108" t="str">
            <v>D.04.03 - Rendas - Locação financeira</v>
          </cell>
        </row>
        <row r="109">
          <cell r="E109" t="str">
            <v>D.04.04 - Rendas - Outras rendas</v>
          </cell>
        </row>
        <row r="110">
          <cell r="E110" t="str">
            <v>D.05.01 - Ativos incorpóreos - Direitos de propriedade intelectual</v>
          </cell>
        </row>
        <row r="111">
          <cell r="E111" t="str">
            <v>D.05.02 - Ativos incorpóreos - Direitos de propriedade industrial</v>
          </cell>
        </row>
        <row r="112">
          <cell r="E112" t="str">
            <v>D.05.03 - Ativos incorpóreos - Outros ativos incorpóreos</v>
          </cell>
        </row>
        <row r="113">
          <cell r="E113" t="str">
            <v>D.06.01 - Juros - Juros da dívida pública</v>
          </cell>
        </row>
        <row r="114">
          <cell r="E114" t="str">
            <v>D.06.02 - Juros - Juros de mora</v>
          </cell>
        </row>
        <row r="115">
          <cell r="E115" t="str">
            <v>D.06.03 - Juros - Juros compensatórios</v>
          </cell>
        </row>
        <row r="116">
          <cell r="E116" t="str">
            <v>D.06.04 - Juros - Outros juros</v>
          </cell>
        </row>
        <row r="117">
          <cell r="E117" t="str">
            <v>D.07 - Impostos</v>
          </cell>
        </row>
        <row r="118">
          <cell r="E118" t="str">
            <v>D.08 - Taxas</v>
          </cell>
        </row>
        <row r="119">
          <cell r="E119" t="str">
            <v>D.09 - Coimas e outras penalidades</v>
          </cell>
        </row>
        <row r="120">
          <cell r="E120" t="str">
            <v>D.10.01.01.01 - Transferências correntes - Transferências para o Setor Público Administrativo - Transferências para a Administração Central - Transferências para o Ministério das Finanças</v>
          </cell>
        </row>
        <row r="121">
          <cell r="E121" t="str">
            <v>D.10.01.01.02 - Transferências correntes - Transferências para o Setor Público Administrativo - Transferências para a Administração Central - Transferências para outros Ministérios</v>
          </cell>
        </row>
        <row r="122">
          <cell r="E122" t="str">
            <v>D.10.01.02.01 - Transferências correntes - Transferências para o Setor Público Administrativo - Transferências para a Segurança Social - Transferências  entre regimes do SSS</v>
          </cell>
        </row>
        <row r="123">
          <cell r="E123" t="str">
            <v>D.10.01.03 - Transferências correntes - Transferências para o Setor Público Administrativo - Transferências para a RAEOA</v>
          </cell>
        </row>
        <row r="124">
          <cell r="E124" t="str">
            <v>D.10.01.04 - Transferências correntes - Transferências para o Setor Público Administrativo - Transferências para os municípios</v>
          </cell>
        </row>
        <row r="125">
          <cell r="E125" t="str">
            <v>D.10.02.01 - Transferências correntes - Transferências para sociedades - Transferências para empresas públicas</v>
          </cell>
        </row>
        <row r="126">
          <cell r="E126" t="str">
            <v>D.10.02.02 - Transferências correntes - Transferências para sociedades - Transferências para sociedades financeiras</v>
          </cell>
        </row>
        <row r="127">
          <cell r="E127" t="str">
            <v>D.10.02.03 - Transferências correntes - Transferências para sociedades - Transferências para sociedades não financeiras</v>
          </cell>
        </row>
        <row r="128">
          <cell r="E128" t="str">
            <v>D.10.03.01 - Transferências correntes - Transferências para famílias - Pensão Social de invalidez do regime não contributivo</v>
          </cell>
        </row>
        <row r="129">
          <cell r="E129" t="str">
            <v>D.10.03.02 - Transferências correntes - Transferências para famílias - Pensão Social de velhice do regime não contributivo</v>
          </cell>
        </row>
        <row r="130">
          <cell r="E130" t="str">
            <v>D.10.03.03 - Transferências correntes - Transferências para famílias - Complemento de pensão de invalidez</v>
          </cell>
        </row>
        <row r="131">
          <cell r="E131" t="str">
            <v>D.10.03.04 - Transferências correntes - Transferências para famílias - Complemento de pensão de velhice</v>
          </cell>
        </row>
        <row r="132">
          <cell r="E132" t="str">
            <v>D.10.03.05 - Transferências correntes - Transferências para famílias - Complemento de pensão de sobrevivência</v>
          </cell>
        </row>
        <row r="133">
          <cell r="E133" t="str">
            <v>D.10.03.06 - Transferências correntes - Transferências para famílias - Outras prestações do regime náo contributivo da Segurança Social</v>
          </cell>
        </row>
        <row r="134">
          <cell r="E134" t="str">
            <v>D.10.03.07 - Transferências correntes - Transferências para famílias - Pensão de invalidez do regime transitório</v>
          </cell>
        </row>
        <row r="135">
          <cell r="E135" t="str">
            <v>D.10.03.08 - Transferências correntes - Transferências para famílias - Pensão de velhice do regime transitório</v>
          </cell>
        </row>
        <row r="136">
          <cell r="E136" t="str">
            <v>D.10.03.09 - Transferências correntes - Transferências para famílias - Pensão de sobrevivência do regime transitório</v>
          </cell>
        </row>
        <row r="137">
          <cell r="E137" t="str">
            <v>D.10.03.10 - Transferências correntes - Transferências para famílias - Pensão de invalidez do regime geral</v>
          </cell>
        </row>
        <row r="138">
          <cell r="E138" t="str">
            <v>D.10.03.11 - Transferências correntes - Transferências para famílias - Pensão de velhice do regime geral</v>
          </cell>
        </row>
        <row r="139">
          <cell r="E139" t="str">
            <v>D.10.03.12 - Transferências correntes - Transferências para famílias - Pensão de sobrevivência do regime geral</v>
          </cell>
        </row>
        <row r="140">
          <cell r="E140" t="str">
            <v>D.10.03.13 - Transferências correntes - Transferências para famílias - Subsídio de risco clínico durante a gravidez</v>
          </cell>
        </row>
        <row r="141">
          <cell r="E141" t="str">
            <v>D.10.03.14 - Transferências correntes - Transferências para famílias - Subsídio de interrupção da gravidez</v>
          </cell>
        </row>
        <row r="142">
          <cell r="E142" t="str">
            <v>D.10.03.15 - Transferências correntes - Transferências para famílias - Subsídio por maternidade</v>
          </cell>
        </row>
        <row r="143">
          <cell r="E143" t="str">
            <v>D.10.03.16 - Transferências correntes - Transferências para famílias - Subsídio por paternidade</v>
          </cell>
        </row>
        <row r="144">
          <cell r="E144" t="str">
            <v>D.10.03.17 - Transferências correntes - Transferências para famílias - Subsídio por adoção</v>
          </cell>
        </row>
        <row r="145">
          <cell r="E145" t="str">
            <v>D.10.03.18 - Transferências correntes - Transferências para famílias - Subsídio por morte</v>
          </cell>
        </row>
        <row r="146">
          <cell r="E146" t="str">
            <v>D.10.03.19 - Transferências correntes - Transferências para famílias - Reembolso e ou apoio para despesas de funeral</v>
          </cell>
        </row>
        <row r="147">
          <cell r="E147" t="str">
            <v>D.10.03.20 - Transferências correntes - Transferências para famílias - Subsídio de doença</v>
          </cell>
        </row>
        <row r="148">
          <cell r="E148" t="str">
            <v>D.10.03.21 - Transferências correntes - Transferências para famílias - Subsídio de desemprego</v>
          </cell>
        </row>
        <row r="149">
          <cell r="E149" t="str">
            <v>D.10.03.22 - Transferências correntes - Transferências para famílias - Abono de família</v>
          </cell>
        </row>
        <row r="150">
          <cell r="E150" t="str">
            <v>D.10.03.23 - Transferências correntes - Transferências para famílias - Outras prestações do regime contributivo da Segurança Social</v>
          </cell>
        </row>
        <row r="151">
          <cell r="E151" t="str">
            <v>D.10.03.24 - Transferências correntes - Transferências para famílias - Pensão para ex-titulares de cargos políticos</v>
          </cell>
        </row>
        <row r="152">
          <cell r="E152" t="str">
            <v>D.10.03.25 - Transferências correntes - Transferências para famílias - Pensão dos Combatentes e Mártires da Libertação Nacional</v>
          </cell>
        </row>
        <row r="153">
          <cell r="E153" t="str">
            <v>D.10.03.26 - Transferências correntes - Transferências para famílias - Bolsa da Mãe</v>
          </cell>
        </row>
        <row r="154">
          <cell r="E154" t="str">
            <v>D.10.03.27 - Transferências correntes - Transferências para famílias - Bolsas de estudo aos filhos dos Combatentes e Mártires da Libertação Nacional</v>
          </cell>
        </row>
        <row r="155">
          <cell r="E155" t="str">
            <v>D.10.03.28 - Transferências correntes - Transferências para famílias - Outras bolsas de estudo no território nacional</v>
          </cell>
        </row>
        <row r="156">
          <cell r="E156" t="str">
            <v>D.10.03.29 - Transferências correntes - Transferências para famílias - Outras bolsas de estudo no estrangeiro</v>
          </cell>
        </row>
        <row r="157">
          <cell r="E157" t="str">
            <v>D.10.03.30 - Transferências correntes - Transferências para famílias - Outras prestações sociais</v>
          </cell>
        </row>
        <row r="158">
          <cell r="E158" t="str">
            <v>D.10.03.31 - Transferências correntes - Transferências para famílias - Outras transferências correntes para famílias</v>
          </cell>
        </row>
        <row r="159">
          <cell r="E159" t="str">
            <v>D.10.04.01 - Transferências correntes - Transferências para instituições sem fins lucrativos - Transferências para fundações públicas</v>
          </cell>
        </row>
        <row r="160">
          <cell r="E160" t="str">
            <v>D.10.04.02 - Transferências correntes - Transferências para instituições sem fins lucrativos - Transferências para associações públicas</v>
          </cell>
        </row>
        <row r="161">
          <cell r="E161" t="str">
            <v>D.10.04.03 - Transferências correntes - Transferências para instituições sem fins lucrativos - Outras transferências para instituições sem fins lucrativos</v>
          </cell>
        </row>
        <row r="162">
          <cell r="E162" t="str">
            <v>D.10.05.01 - Transferências correntes - Transferências para o exterior - Transferências para países terceiros</v>
          </cell>
        </row>
        <row r="163">
          <cell r="E163" t="str">
            <v>D.10.05.02 - Transferências correntes - Transferências para o exterior - Transferências para organizações internacionais</v>
          </cell>
        </row>
        <row r="164">
          <cell r="E164" t="str">
            <v>D.10.05.03 - Transferências correntes - Transferências para o exterior - Outras transferências para o exterior</v>
          </cell>
        </row>
        <row r="165">
          <cell r="E165" t="str">
            <v>D.11 - Restituições não abatidas na receita</v>
          </cell>
        </row>
        <row r="166">
          <cell r="E166" t="str">
            <v>D.12 - Outras despesas correntes</v>
          </cell>
        </row>
        <row r="167">
          <cell r="E167" t="str">
            <v>D.13.01.01 - Aquisição de bens de capital - Imóveis - Terrenos</v>
          </cell>
        </row>
        <row r="168">
          <cell r="E168" t="str">
            <v>D.13.01.02 - Aquisição de bens de capital - Imóveis - Edifícios</v>
          </cell>
        </row>
        <row r="169">
          <cell r="E169" t="str">
            <v>D.13.01.03 - Aquisição de bens de capital - Imóveis - Infraestruturas</v>
          </cell>
        </row>
        <row r="170">
          <cell r="E170" t="str">
            <v>D.13.01.04 - Aquisição de bens de capital - Imóveis - Outros imóveis</v>
          </cell>
        </row>
        <row r="171">
          <cell r="E171" t="str">
            <v>D.13.02.01 - Aquisição de bens de capital - Veículos - Veículos civis</v>
          </cell>
        </row>
        <row r="172">
          <cell r="E172" t="str">
            <v>D.13.02.02 - Aquisição de bens de capital - Veículos - Veículos militares</v>
          </cell>
        </row>
        <row r="173">
          <cell r="E173" t="str">
            <v>D.13.01.01 - Aquisição de bens de capital - Equipamento - Equipamento de informática</v>
          </cell>
        </row>
        <row r="174">
          <cell r="E174" t="str">
            <v>D.13.01.02 - Aquisição de bens de capital - Equipamento - Equipamento de água</v>
          </cell>
        </row>
        <row r="175">
          <cell r="E175" t="str">
            <v>D.13.01.03 - Aquisição de bens de capital - Equipamento - Equipamento de eletricidade</v>
          </cell>
        </row>
        <row r="176">
          <cell r="E176" t="str">
            <v>D.13.01.04 - Aquisição de bens de capital - Equipamento - Equipamento de comunicações</v>
          </cell>
        </row>
        <row r="177">
          <cell r="E177" t="str">
            <v>D.13.01.05 - Aquisição de bens de capital - Equipamento - Equipamento de segurança</v>
          </cell>
        </row>
        <row r="178">
          <cell r="E178" t="str">
            <v>D.13.01.06 - Aquisição de bens de capital - Equipamento - Equipamento de construção</v>
          </cell>
        </row>
        <row r="179">
          <cell r="E179" t="str">
            <v>D.13.01.07 - Aquisição de bens de capital - Equipamento - Equipamento de transporte</v>
          </cell>
        </row>
        <row r="180">
          <cell r="E180" t="str">
            <v>D.13.01.08 - Aquisição de bens de capital - Equipamento - Geradores</v>
          </cell>
        </row>
        <row r="181">
          <cell r="E181" t="str">
            <v>D.13.01.09 - Aquisição de bens de capital - Equipamento - Equipamento de ar condicionado</v>
          </cell>
        </row>
        <row r="182">
          <cell r="E182" t="str">
            <v>D.13.01.10 - Aquisição de bens de capital - Equipamento - Outro equipamento</v>
          </cell>
        </row>
        <row r="183">
          <cell r="E183" t="str">
            <v>D.13.04 - Aquisição de bens de capital - Mobiliário</v>
          </cell>
        </row>
        <row r="184">
          <cell r="E184" t="str">
            <v>D.13.05 - Aquisição de bens de capital - Outros bens de capital</v>
          </cell>
        </row>
        <row r="185">
          <cell r="E185" t="str">
            <v>D.14 - Aquisição de serviços de capital</v>
          </cell>
        </row>
        <row r="186">
          <cell r="E186" t="str">
            <v>D.15.01.01.01 - Transferências de capital - Transferências para o Setor Público Administrativo - Transferências para a Administração Central - Transferências para o Ministério das Finanças</v>
          </cell>
        </row>
        <row r="187">
          <cell r="E187" t="str">
            <v>D.15.01.01.02 - Transferências de capital - Transferências para o Setor Público Administrativo - Transferências para a Administração Central - Transferências para outros Ministérios</v>
          </cell>
        </row>
        <row r="188">
          <cell r="E188" t="str">
            <v>D.15.01.02.01.01 - Transferências de capital - Transferências para o Setor Público Administrativo - Transferências para a Segurança Social - Transferências  entre regimes do SSS - Transferências para o FRSS de Saldos anuais dos regimes de SS</v>
          </cell>
        </row>
        <row r="189">
          <cell r="E189" t="str">
            <v xml:space="preserve">D.15.01.02.01.02 - Transferências de capital - Transferências para o Setor Público Administrativo - Transferências para a Segurança Social - Transferências  entre regimes do SSS - Transferências para o FRSS de Produto da alienação de imóveis </v>
          </cell>
        </row>
        <row r="190">
          <cell r="E190" t="str">
            <v>D.15.01.03 - Transferências de capital - Transferências para o Setor Público Administrativo- Transferências para a RAEOA</v>
          </cell>
        </row>
        <row r="191">
          <cell r="E191" t="str">
            <v>D.15.01.04 - Transferências de capital - Transferências para o Setor Público Administrativo- Transferências para os municípios</v>
          </cell>
        </row>
        <row r="192">
          <cell r="E192" t="str">
            <v>D.15.02.01 - Transferências de capital - Transferências para sociedades- Capitalização de empresas públicas</v>
          </cell>
        </row>
        <row r="193">
          <cell r="E193" t="str">
            <v>D.15.02.02 - Transferências de capital - Transferências para sociedades- Outras transferências para sociedades</v>
          </cell>
        </row>
        <row r="194">
          <cell r="E194" t="str">
            <v>D.15.03 - Transferências de capital - Transferências para famílias</v>
          </cell>
        </row>
        <row r="195">
          <cell r="E195" t="str">
            <v>D.15.04 - Transferências de capital - Transferências para instituições sem fins lucrativos</v>
          </cell>
        </row>
        <row r="196">
          <cell r="E196" t="str">
            <v>D.15.05 - Transferências de capital - Transferências para o exterior</v>
          </cell>
        </row>
        <row r="197">
          <cell r="E197" t="str">
            <v>D.15.06 - Transferências de capital - Outras transferências de capital</v>
          </cell>
        </row>
        <row r="198">
          <cell r="E198" t="str">
            <v>D.16.01 - Ativos financeiros - Concessão de empréstimos</v>
          </cell>
        </row>
        <row r="199">
          <cell r="E199" t="str">
            <v>D.16.02 - Ativos financeiros - Aquisição de títulos</v>
          </cell>
        </row>
        <row r="200">
          <cell r="E200" t="str">
            <v>D.16.03 - Ativos financeiros - Outros ativos financeiros</v>
          </cell>
        </row>
        <row r="201">
          <cell r="E201" t="str">
            <v>D.17.01 - Passivos financeiros - Amortização de empréstimos</v>
          </cell>
        </row>
        <row r="202">
          <cell r="E202" t="str">
            <v>D.17.02 - Passivos financeiros - Outros passivos financeiros</v>
          </cell>
        </row>
        <row r="203">
          <cell r="E203" t="str">
            <v>D.18 - Outras despesas de capital</v>
          </cell>
        </row>
        <row r="204">
          <cell r="E204" t="str">
            <v>D.19 - Operações extraorçamentais</v>
          </cell>
        </row>
        <row r="205">
          <cell r="E205" t="str">
            <v>R.01.01 - Impostos - Imposto sobre serviços</v>
          </cell>
        </row>
        <row r="206">
          <cell r="E206" t="str">
            <v>R.01.02 - Impostos - Imposto seletivo de consumo</v>
          </cell>
        </row>
        <row r="207">
          <cell r="E207" t="str">
            <v>R.01.03 - Impostos - Imposto sobre vendas</v>
          </cell>
        </row>
        <row r="208">
          <cell r="E208" t="str">
            <v>R.01.04 - Impostos - Imposto sobre salários</v>
          </cell>
        </row>
        <row r="209">
          <cell r="E209" t="str">
            <v>R.01.05 - Impostos - Imposto sobre o rendimento</v>
          </cell>
        </row>
        <row r="210">
          <cell r="E210" t="str">
            <v>R.01.06 - Impostos - Imposto sobre o valor acrescentado</v>
          </cell>
        </row>
        <row r="211">
          <cell r="E211" t="str">
            <v>R.01.07 - Impostos - Imposto sobre o petróleo suplementar</v>
          </cell>
        </row>
        <row r="212">
          <cell r="E212" t="str">
            <v>R.01.08 - Impostos - Lucros partilhados do petróleo e gás</v>
          </cell>
        </row>
        <row r="213">
          <cell r="E213" t="str">
            <v>R.01.09 - Impostos - Timor Sea First Tranche Petroleum (FTP) Royalties</v>
          </cell>
        </row>
        <row r="214">
          <cell r="E214" t="str">
            <v>R.01.10 - Impostos - Impostos abolidos</v>
          </cell>
        </row>
        <row r="215">
          <cell r="E215" t="str">
            <v>R.01.11 - Impostos - Outros impostos</v>
          </cell>
        </row>
        <row r="216">
          <cell r="E216" t="str">
            <v>R.02 - Direitos aduaneiros de importação</v>
          </cell>
        </row>
        <row r="217">
          <cell r="E217" t="str">
            <v>R.03.01.01 - Contribuições de entidade empregadora do Setor Público</v>
          </cell>
        </row>
        <row r="218">
          <cell r="E218" t="str">
            <v>R.03.01.02 - Contribuições de entidade empregadora do Setor Privado</v>
          </cell>
        </row>
        <row r="219">
          <cell r="E219" t="str">
            <v>R.03.01.03 - Cotizações de trabalhador do Setor Público</v>
          </cell>
        </row>
        <row r="220">
          <cell r="E220" t="str">
            <v>R.03.01.04 - Cotizações de trabalhador do Setor Privado</v>
          </cell>
        </row>
        <row r="221">
          <cell r="E221" t="str">
            <v>R.03.02 - Contribuições para a SS - Regimes Complementares e Especiais</v>
          </cell>
        </row>
        <row r="222">
          <cell r="E222" t="str">
            <v>R.04.01 - Taxas - Taxas aeroportuárias</v>
          </cell>
        </row>
        <row r="223">
          <cell r="E223" t="str">
            <v>R.04.02 - Taxas - Taxas ambientais</v>
          </cell>
        </row>
        <row r="224">
          <cell r="E224" t="str">
            <v>R.04.03 - Taxas - Taxa de estacionamento</v>
          </cell>
        </row>
        <row r="225">
          <cell r="E225" t="str">
            <v>R.04.04 - Taxas - Taxa de justiça</v>
          </cell>
        </row>
        <row r="226">
          <cell r="E226" t="str">
            <v>R.04.05 - Taxas - Taxa de publicidade</v>
          </cell>
        </row>
        <row r="227">
          <cell r="E227" t="str">
            <v>R.04.06 - Taxas - Taxas de entrada e vistos</v>
          </cell>
        </row>
        <row r="228">
          <cell r="E228" t="str">
            <v>R.04.07 - Taxas - Taxas de pesca</v>
          </cell>
        </row>
        <row r="229">
          <cell r="E229" t="str">
            <v>R.04.08 - Taxas - Taxas de registo</v>
          </cell>
        </row>
        <row r="230">
          <cell r="E230" t="str">
            <v>R.04.09 - Taxas - Taxas portuárias</v>
          </cell>
        </row>
        <row r="231">
          <cell r="E231" t="str">
            <v>R.04.10 - Taxas - Taxas sobre atividade florestal</v>
          </cell>
        </row>
        <row r="232">
          <cell r="E232" t="str">
            <v>R.04.11 - Taxas - Taxas sobre atividades extrativas</v>
          </cell>
        </row>
        <row r="233">
          <cell r="E233" t="str">
            <v>R.04.12 - Taxas - Taxas sobre atividade petrolífera</v>
          </cell>
        </row>
        <row r="234">
          <cell r="E234" t="str">
            <v>R.04.13 - Taxas - Taxas sobre telecomunicações</v>
          </cell>
        </row>
        <row r="235">
          <cell r="E235" t="str">
            <v>R.04.14 - Taxas - Taxas sobre transportes</v>
          </cell>
        </row>
        <row r="236">
          <cell r="E236" t="str">
            <v>R.04.15 - Taxas - Taxas sobre jogos sociais</v>
          </cell>
        </row>
        <row r="237">
          <cell r="E237" t="str">
            <v>R.04.16 - Taxas - Propinas</v>
          </cell>
        </row>
        <row r="238">
          <cell r="E238" t="str">
            <v>R.04.17 - Taxas - Outras taxas</v>
          </cell>
        </row>
        <row r="239">
          <cell r="E239" t="str">
            <v>R.05.01 - Coimas e outras penalidades - Juros de mora</v>
          </cell>
        </row>
        <row r="240">
          <cell r="E240" t="str">
            <v>R.05.02 - Coimas e outras penalidades - Juros compensatórios</v>
          </cell>
        </row>
        <row r="241">
          <cell r="E241" t="str">
            <v>R.05.03 - Coimas e outras penalidades - Coimas decorrentes do Código da Estrada</v>
          </cell>
        </row>
        <row r="242">
          <cell r="E242" t="str">
            <v>R.05.04 - Coimas e outras penalidades - Sanções e coimas da Segurança Social</v>
          </cell>
        </row>
        <row r="243">
          <cell r="E243" t="str">
            <v>R.05.05 - Coimas e outras penalidades - Coimas laborais</v>
          </cell>
        </row>
        <row r="244">
          <cell r="E244" t="str">
            <v>R.05.06 - Coimas e outras penalidades - Multas decorrentes de processo-crime</v>
          </cell>
        </row>
        <row r="245">
          <cell r="E245" t="str">
            <v>R.05.07 - Coimas e outras penalidades - Outras coimas e penalidades</v>
          </cell>
        </row>
        <row r="246">
          <cell r="E246" t="str">
            <v>R.06.01.01 - Rendimentos  - Rendas - Arrendamento de bens imóveis de média e longa duração</v>
          </cell>
        </row>
        <row r="247">
          <cell r="E247" t="str">
            <v>R.06.01.02 - Rendimentos  - Rendas - Arrendamento de bens imóveis de curta duração</v>
          </cell>
        </row>
        <row r="248">
          <cell r="E248" t="str">
            <v>R.06.01.03 - Rendimentos  - Rendas - Aluguer de bens móveis de média e longa duração</v>
          </cell>
        </row>
        <row r="249">
          <cell r="E249" t="str">
            <v>R.06.01.04 - Rendimentos  - Rendas - Aluguer de bens móveis de curta duração</v>
          </cell>
        </row>
        <row r="250">
          <cell r="E250" t="str">
            <v>R.06.01.05 - Rendimentos  - Rendas - Outras rendas</v>
          </cell>
        </row>
        <row r="251">
          <cell r="E251" t="str">
            <v>R.06.02 - Rendimentos  - Ativos incorpóreos</v>
          </cell>
        </row>
        <row r="252">
          <cell r="E252" t="str">
            <v>R.06.03 - Rendimentos  - Juros</v>
          </cell>
        </row>
        <row r="253">
          <cell r="E253" t="str">
            <v>R.06.04 - Rendimentos  - Dividendos e participações nos lucros</v>
          </cell>
        </row>
        <row r="254">
          <cell r="E254" t="str">
            <v>R.06.05 - Rendimentos  - Outros rendimentos</v>
          </cell>
        </row>
        <row r="255">
          <cell r="E255" t="str">
            <v>R.07.01 - Transferências Correntes - Transferências do Fundo Petrolífero relativas ao Rendimento Sustentável Estimado</v>
          </cell>
        </row>
        <row r="256">
          <cell r="E256" t="str">
            <v>R.07.02.01.01.01 - Transferências Correntes - Transferências do Setor Público Administrativo - Transferências da Administração Central  - Transferências correntes do MF - Para financiamento da Pensão Social</v>
          </cell>
        </row>
        <row r="257">
          <cell r="E257" t="str">
            <v>R.07.02.01.01.02 - Transferências Correntes - Transferências do Setor Público Administrativo - Transferências da Administração Central  - Transferências correntes do MF - Para financiamento  do regime transitório</v>
          </cell>
        </row>
        <row r="258">
          <cell r="E258" t="str">
            <v>R.07.02.01.01.03 - Transferências Correntes - Transferências do Setor Público Administrativo - Transferências da Administração Central  - Transferências correntes do MF - Para financiamento  das despesas de administração</v>
          </cell>
        </row>
        <row r="259">
          <cell r="E259" t="str">
            <v>R.07.02.01.01.04 - Transferências Correntes - Transferências do Setor Público Administrativo - Transferências da Administração Central  - Transferências correntes do MF - Para financiamento  da garantia de valores minimos de pensão</v>
          </cell>
        </row>
        <row r="260">
          <cell r="E260" t="str">
            <v>R.07.02.01.02 - Transferências Correntes - Transferências do Setor Público Administrativo - Transferências da Administração Central  - Transferências de outros Ministérios</v>
          </cell>
        </row>
        <row r="261">
          <cell r="E261" t="str">
            <v>R.07.02.02.01 - Transferências Correntes - Transferências do Setor Público Administrativo - Transferências da Segurança Social  - Transferências  entre regimes do SSS</v>
          </cell>
        </row>
        <row r="262">
          <cell r="E262" t="str">
            <v>R.07.02.03 - Transferências Correntes - Transferências do Setor Público Administrativo  - Transferências da RAEOA</v>
          </cell>
        </row>
        <row r="263">
          <cell r="E263" t="str">
            <v>R.07.02.04 - Transferências Correntes - Transferências do Setor Público Administrativo  - Transferências dos municípios</v>
          </cell>
        </row>
        <row r="264">
          <cell r="E264" t="str">
            <v>R.07.03.01 - Transferências Correntes - Transferências de sociedades  - Transferências de empresas públicas</v>
          </cell>
        </row>
        <row r="265">
          <cell r="E265" t="str">
            <v>R.07.03.02 - Transferências Correntes - Transferências de sociedades  - Transferências de sociedades financeiras</v>
          </cell>
        </row>
        <row r="266">
          <cell r="E266" t="str">
            <v>R.07.03.03 - Transferências Correntes - Transferências de sociedades  - Transferências de sociedades não financeiras</v>
          </cell>
        </row>
        <row r="267">
          <cell r="E267" t="str">
            <v>R.07.04 - Transferências Correntes - Transferências das famílias</v>
          </cell>
        </row>
        <row r="268">
          <cell r="E268" t="str">
            <v>R.07.05.01 - Transferências Correntes - Transferências de instituições sem fins lucrativos  - Transferências de fundações públicas</v>
          </cell>
        </row>
        <row r="269">
          <cell r="E269" t="str">
            <v>R.07.05.02 - Transferências Correntes - Transferências de instituições sem fins lucrativos  - Transferências de associações públicas</v>
          </cell>
        </row>
        <row r="270">
          <cell r="E270" t="str">
            <v>R.07.05.03 - Transferências Correntes - Transferências de instituições sem fins lucrativos  - Transferências de outras instituições sem fins lucrativos</v>
          </cell>
        </row>
        <row r="271">
          <cell r="E271" t="str">
            <v>R.07.06.01 - Transferências Correntes - Transferências do exterior  - Transferências de países terceiros</v>
          </cell>
        </row>
        <row r="272">
          <cell r="E272" t="str">
            <v>R.07.06.02 - Transferências Correntes - Transferências do exterior  - Transferências de organizações internacionais</v>
          </cell>
        </row>
        <row r="273">
          <cell r="E273" t="str">
            <v>R.07.06.03 - Transferências Correntes - Transferências do exterior  - Outras transferências do exterior</v>
          </cell>
        </row>
        <row r="274">
          <cell r="E274" t="str">
            <v>R.07.07 - Transferências Correntes - Outras transferências correntes</v>
          </cell>
        </row>
        <row r="275">
          <cell r="E275" t="str">
            <v>R.08.01.01 - Venda de bens e serviços correntes - Venda de bens correntes  - Livros e publicações</v>
          </cell>
        </row>
        <row r="276">
          <cell r="E276" t="str">
            <v>R.08.01.02 - Venda de bens e serviços correntes - Venda de bens correntes  - Formulários e impressos</v>
          </cell>
        </row>
        <row r="277">
          <cell r="E277" t="str">
            <v>R.08.01.03 - Venda de bens e serviços correntes - Venda de bens correntes  - Material de escritório</v>
          </cell>
        </row>
        <row r="278">
          <cell r="E278" t="str">
            <v>R.08.01.04 - Venda de bens e serviços correntes - Venda de bens correntes  - Fardamentos e artigos pessoais</v>
          </cell>
        </row>
        <row r="279">
          <cell r="E279" t="str">
            <v>R.08.01.05 - Venda de bens e serviços correntes - Venda de bens correntes  - Produtos agrícolas e pecuários</v>
          </cell>
        </row>
        <row r="280">
          <cell r="E280" t="str">
            <v>R.08.01.06 - Venda de bens e serviços correntes - Venda de bens correntes  - Produtos alimentares e bebidas</v>
          </cell>
        </row>
        <row r="281">
          <cell r="E281" t="str">
            <v>R.08.01.07 - Venda de bens e serviços correntes - Venda de bens correntes  - Bens inutilizados</v>
          </cell>
        </row>
        <row r="282">
          <cell r="E282" t="str">
            <v>R.08.01.08 - Venda de bens e serviços correntes - Venda de bens correntes  - Desperdícios e resíduos</v>
          </cell>
        </row>
        <row r="283">
          <cell r="E283" t="str">
            <v>R.08.01.09 - Venda de bens e serviços correntes - Venda de bens correntes  - Outros bens correntes</v>
          </cell>
        </row>
        <row r="284">
          <cell r="E284" t="str">
            <v>R.08.02.01 - Venda de bens e serviços correntes - Serviços correntes  - Estudos, pareceres, projetos e consultadoria</v>
          </cell>
        </row>
        <row r="285">
          <cell r="E285" t="str">
            <v>R.08.02.02 - Venda de bens e serviços correntes - Serviços correntes  - Vistorias e ensaios</v>
          </cell>
        </row>
        <row r="286">
          <cell r="E286" t="str">
            <v>R.08.02.03 - Venda de bens e serviços correntes - Serviços correntes  - Serviços de laboratórios</v>
          </cell>
        </row>
        <row r="287">
          <cell r="E287" t="str">
            <v>R.08.02.04 - Venda de bens e serviços correntes - Serviços correntes  - Atividades de saúde</v>
          </cell>
        </row>
        <row r="288">
          <cell r="E288" t="str">
            <v>R.08.02.05 - Venda de bens e serviços correntes - Serviços correntes  - Reparações</v>
          </cell>
        </row>
        <row r="289">
          <cell r="E289" t="str">
            <v>R.08.02.06 - Venda de bens e serviços correntes - Serviços correntes  - Alimentação e alojamento</v>
          </cell>
        </row>
        <row r="290">
          <cell r="E290" t="str">
            <v>R.08.02.07 - Venda de bens e serviços correntes - Serviços correntes  - Serviços sociais, recreativos, culturais e desporto</v>
          </cell>
        </row>
        <row r="291">
          <cell r="E291" t="str">
            <v>R.08.02.08 - Venda de bens e serviços correntes - Serviços correntes  - Outros serviços correntes</v>
          </cell>
        </row>
        <row r="292">
          <cell r="E292" t="str">
            <v>R.09 - Outras receitas correntes</v>
          </cell>
        </row>
        <row r="293">
          <cell r="E293" t="str">
            <v>R.10.01.01 - Venda de bens de capital - Imóveis  - Terrenos</v>
          </cell>
        </row>
        <row r="294">
          <cell r="E294" t="str">
            <v>R.10.01.02 - Venda de bens de capital - Imóveis  - Edifícios</v>
          </cell>
        </row>
        <row r="295">
          <cell r="E295" t="str">
            <v>R.10.01.03 - Venda de bens de capital - Imóveis  - Infraestruturas</v>
          </cell>
        </row>
        <row r="296">
          <cell r="E296" t="str">
            <v>R.10.01.04 - Venda de bens de capital - Imóveis  - Outros imóveis</v>
          </cell>
        </row>
        <row r="297">
          <cell r="E297" t="str">
            <v>R.10.02.01 - Venda de bens de capital - Veículos  - Veículos civis</v>
          </cell>
        </row>
        <row r="298">
          <cell r="E298" t="str">
            <v>R.10.02.02 - Venda de bens de capital - Veículos  - Veículos militares</v>
          </cell>
        </row>
        <row r="299">
          <cell r="E299" t="str">
            <v>R.10.03.01 - Venda de bens de capital - Equipamentos   - Equipamento de informática</v>
          </cell>
        </row>
        <row r="300">
          <cell r="E300" t="str">
            <v>R.10.03.02 - Venda de bens de capital - Equipamentos   - Equipamento de água</v>
          </cell>
        </row>
        <row r="301">
          <cell r="E301" t="str">
            <v>R.10.03.03 - Venda de bens de capital - Equipamentos   - Equipamento de eletricidade</v>
          </cell>
        </row>
        <row r="302">
          <cell r="E302" t="str">
            <v>R.10.03.04 - Venda de bens de capital - Equipamentos   - Equipamento de comunicações</v>
          </cell>
        </row>
        <row r="303">
          <cell r="E303" t="str">
            <v>R.10.03.05 - Venda de bens de capital - Equipamentos   - Equipamento de segurança</v>
          </cell>
        </row>
        <row r="304">
          <cell r="E304" t="str">
            <v xml:space="preserve">R.10.03.06 - Venda de bens de capital - Equipamentos   - Equipamento de construção </v>
          </cell>
        </row>
        <row r="305">
          <cell r="E305" t="str">
            <v>R.10.03.07 - Venda de bens de capital - Equipamentos   - Equipamento de transporte</v>
          </cell>
        </row>
        <row r="306">
          <cell r="E306" t="str">
            <v>R.10.03.08 - Venda de bens de capital - Equipamentos   - Outro Equipamento</v>
          </cell>
        </row>
        <row r="307">
          <cell r="E307" t="str">
            <v>R.10.04 - Venda de bens de capital - Mobiliário</v>
          </cell>
        </row>
        <row r="308">
          <cell r="E308" t="str">
            <v>R.10.05 - Venda de bens de capital - Ativos incorpóreos</v>
          </cell>
        </row>
        <row r="309">
          <cell r="E309" t="str">
            <v>R.10.06 - Venda de bens de capital - Outros bens de capital</v>
          </cell>
        </row>
        <row r="310">
          <cell r="E310" t="str">
            <v>R.11.01 - Transferências de capital - Transferências do Fundo Petrolífero acima do Rendimento Sustentável Estimado</v>
          </cell>
        </row>
        <row r="311">
          <cell r="E311" t="str">
            <v>R.11.02.01.01 - Transferências de capital - Transferências do Setor Público Administrativo  - Transferências da Administração Central - Transferências do Ministério das Finanças</v>
          </cell>
        </row>
        <row r="312">
          <cell r="E312" t="str">
            <v>R.11.02.01.02 - Transferências de capital - Transferências do Setor Público Administrativo  - Transferências da Administração Central - Transferências de outros Ministérios</v>
          </cell>
        </row>
        <row r="313">
          <cell r="E313" t="str">
            <v xml:space="preserve">R.11.02.02.01.01 - Transferências de capital - Transferências do Setor Público Administrativo  - Transferências da Segurança Social - Transferências  entre regimes do SSS - Transferências do regime contributivo de repartição para o FRSS - saldos anuais </v>
          </cell>
        </row>
        <row r="314">
          <cell r="E314" t="str">
            <v xml:space="preserve">R.11.02.02.01.02 - Transferências de capital - Transferências do Setor Público Administrativo  - Transferências da Segurança Social - Transferências  entre regimes do SSS - Transferências de outros regimes para o FRSS - saldos anuais </v>
          </cell>
        </row>
        <row r="315">
          <cell r="E315" t="str">
            <v>R.11.02.03 - Transferências de capital - Transferências do Setor Público Administrativo  - Transferências da RAEOA</v>
          </cell>
        </row>
        <row r="316">
          <cell r="E316" t="str">
            <v>R.11.02.04 - Transferências de capital - Transferências do Setor Público Administrativo  - Transferências dos municípios</v>
          </cell>
        </row>
        <row r="317">
          <cell r="E317" t="str">
            <v>R.11.03 - Transferências de capital - Outras transferências de capital</v>
          </cell>
        </row>
        <row r="318">
          <cell r="E318" t="str">
            <v>R.12.01 - Ativos Financeiros - Levantamento de depósitos e investimentos</v>
          </cell>
        </row>
        <row r="319">
          <cell r="E319" t="str">
            <v>R.12.02 - Ativos Financeiros - Alienação de títulos</v>
          </cell>
        </row>
        <row r="320">
          <cell r="E320" t="str">
            <v>R.12.03 - Ativos Financeiros - Alienação de partes sociais</v>
          </cell>
        </row>
        <row r="321">
          <cell r="E321" t="str">
            <v>R.12.04 - Ativos Financeiros - Reembolso de empréstimos feitos pelo Estado</v>
          </cell>
        </row>
        <row r="322">
          <cell r="E322" t="str">
            <v>R.12.05 - Ativos Financeiros - Recuperação de créditos</v>
          </cell>
        </row>
        <row r="323">
          <cell r="E323" t="str">
            <v>R.12.06 - Ativos Financeiros - Outros ativos financeiros</v>
          </cell>
        </row>
        <row r="324">
          <cell r="E324" t="str">
            <v>R.13.01 - Passivos Financeiros - Contração de empréstimos</v>
          </cell>
        </row>
        <row r="325">
          <cell r="E325" t="str">
            <v>R.13.02 - Passivos Financeiros - Outros passivos financeiros</v>
          </cell>
        </row>
        <row r="326">
          <cell r="E326" t="str">
            <v>R.14 - Outras receitas de capital</v>
          </cell>
        </row>
        <row r="327">
          <cell r="E327" t="str">
            <v>R.15 - Reposições não abatidas aos pagamentos</v>
          </cell>
        </row>
        <row r="328">
          <cell r="E328" t="str">
            <v>R.16 - Saldo de gerência</v>
          </cell>
        </row>
        <row r="329">
          <cell r="E329" t="str">
            <v>R.17 - Operações extraorçamentais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ANCO_CENTRAL"/>
      <sheetName val="CONTA BNCTL_OFICIAL"/>
      <sheetName val="CONTA BNU"/>
      <sheetName val="CONTA BNCTL"/>
      <sheetName val="CONTA BRI"/>
      <sheetName val="CONTA MANDIRI"/>
      <sheetName val="CONTA ANZ"/>
      <sheetName val="BNCTL_FRSS"/>
      <sheetName val="BNU_FRSS"/>
      <sheetName val="MANDIRI_FRSS"/>
      <sheetName val="CE_RegimeNaoContributivo"/>
      <sheetName val="CE_RegimeContributivo"/>
      <sheetName val="CE_Administracao"/>
      <sheetName val="CE_FRSS"/>
      <sheetName val="CE_OSS_Global"/>
      <sheetName val="Prog_RegimeContributivo"/>
      <sheetName val="Prog_RegimeNaoContributivo"/>
      <sheetName val="Prog_Administracao"/>
      <sheetName val="Prog_FRSS"/>
      <sheetName val="Programas"/>
      <sheetName val="ClassificacaoFuncional"/>
      <sheetName val="MAPA_TransfOE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G3" t="str">
            <v>Regime não Contributivo</v>
          </cell>
          <cell r="AC3" t="str">
            <v>A040101 - Pagamento de prestações sociais de direito - RTSS</v>
          </cell>
        </row>
        <row r="4">
          <cell r="AC4" t="str">
            <v>A040201 - Pagamento de prestações sociais de direito - RGSS</v>
          </cell>
        </row>
        <row r="5">
          <cell r="AC5" t="str">
            <v>A050101 - Pagamento de pensões sociais</v>
          </cell>
        </row>
        <row r="6">
          <cell r="AC6" t="str">
            <v>A050102 - Pagamento de complementos sociais</v>
          </cell>
        </row>
        <row r="7">
          <cell r="AC7" t="str">
            <v>A060101 -Coordenação, gestão e funcionamento de todos os serviços do INSS</v>
          </cell>
        </row>
        <row r="8">
          <cell r="AC8" t="str">
            <v>A060102 - Formação em exercício dos Recursos Humanos do INSS</v>
          </cell>
        </row>
        <row r="9">
          <cell r="AC9" t="str">
            <v>A060103 - Elaboração de estudos e propostas técnicas visando a melhoria, alargamento, eficácia e sustentabilidade do sistema de segurança social</v>
          </cell>
        </row>
        <row r="10">
          <cell r="AC10" t="str">
            <v>A060104 - Extensão da cobertura do sistema de segurança social</v>
          </cell>
        </row>
        <row r="11">
          <cell r="AC11" t="str">
            <v>A060201 -Coordenação, gestão e funcionamento de todos os serviços do FRSS</v>
          </cell>
        </row>
        <row r="12">
          <cell r="AC12" t="str">
            <v>A060202 - Formação em exercício dos Recursos Humanos do FRSS</v>
          </cell>
        </row>
        <row r="13">
          <cell r="AC13" t="str">
            <v>A060301 - Criação de serviços desconcentrados do INSS</v>
          </cell>
        </row>
        <row r="14">
          <cell r="AC14" t="str">
            <v>A060302 - Construção do Sistema de Informação da Segurança Social</v>
          </cell>
        </row>
        <row r="15">
          <cell r="AC15" t="str">
            <v>A060303 - Apetrechamento dos Serviços Centrais do INSS e do FRSS</v>
          </cell>
        </row>
        <row r="16">
          <cell r="AC16" t="str">
            <v>A070101 - Gestão do património do FRSS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NU"/>
      <sheetName val="CONTA BNCTL"/>
      <sheetName val="CONTA BRI"/>
      <sheetName val="CONTA MANDIRI"/>
      <sheetName val="CONTA ANZ"/>
      <sheetName val="CONTA BANCO1"/>
      <sheetName val="CONTA DP"/>
      <sheetName val="CE_RegimeNaoContributivo"/>
      <sheetName val="CE_RegimeContributivo"/>
      <sheetName val="CE_AdministraçãoINSS"/>
      <sheetName val="CE_INSS_Global"/>
      <sheetName val="Prog_RegimeContributivo"/>
      <sheetName val="Prog_RegimeNaoContributivo"/>
      <sheetName val="Prog_AdministracaoINSS"/>
      <sheetName val="Programas"/>
      <sheetName val="ClassificacaoFuncional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D3" t="str">
            <v>501.01.01 - SALÁRIOS E VENCIMENTOS - Salários e abonos regulares e permanentes - Salários de titulares de cargos políticos</v>
          </cell>
          <cell r="U3" t="str">
            <v>A0401 - Regime transitório de segurança social</v>
          </cell>
          <cell r="V3" t="str">
            <v>A040101 - Pagamento de prestações sociais de direito - RTSS</v>
          </cell>
        </row>
        <row r="4">
          <cell r="U4" t="str">
            <v>A0402 - Regime geral de segurança social</v>
          </cell>
          <cell r="V4" t="str">
            <v>A040201 - Pagamento de prestações sociais de direito - RGSS</v>
          </cell>
        </row>
        <row r="5">
          <cell r="U5" t="str">
            <v>A0501 - Proteção Social de Cidadania</v>
          </cell>
          <cell r="V5" t="str">
            <v>A050101 - Pagamento de prestações sociais não contributivas</v>
          </cell>
        </row>
        <row r="6">
          <cell r="U6" t="str">
            <v>A0601 - Coordenação, gestão e funcionamento do INSS</v>
          </cell>
        </row>
        <row r="7">
          <cell r="U7" t="str">
            <v>A0603- Investimento Estratégico das Instituições da Segurança Social</v>
          </cell>
          <cell r="V7" t="str">
            <v>A060101 -Coordenação, gestão e funcionamento de todos os serviços do INSS</v>
          </cell>
        </row>
        <row r="8">
          <cell r="U8" t="str">
            <v>A0602- Coordenação, gestão e funcionamento do FRSS</v>
          </cell>
          <cell r="V8" t="str">
            <v>A060102 - Formação em exercício dos Recursos Humanos do INSS</v>
          </cell>
        </row>
        <row r="9">
          <cell r="V9" t="str">
            <v>A060103 - Elaboração de estudos e propostas técnicas visando a melhoria, alargamento, eficácia e sustentabilidade do sistema de segurança social</v>
          </cell>
        </row>
        <row r="10">
          <cell r="V10" t="str">
            <v>A060104 - Extensão da cobertura do sistema de segurança social</v>
          </cell>
        </row>
        <row r="11">
          <cell r="V11" t="str">
            <v>A060301 - Criação de serviços desconcentrados do INSS</v>
          </cell>
        </row>
        <row r="12">
          <cell r="V12" t="str">
            <v>A060302 - Construção do Sistema de Informação da Segurança Social</v>
          </cell>
        </row>
        <row r="13">
          <cell r="V13" t="str">
            <v>A060303 - Apetrechamento dos Serviços Centrais do INSS e do FRSS</v>
          </cell>
        </row>
        <row r="14">
          <cell r="V14" t="str">
            <v>A060201 -Coordenação, gestão e funcionamento de todos os serviços do FRSS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PAS_INDICE"/>
      <sheetName val="controlo"/>
      <sheetName val="INTERFACE"/>
      <sheetName val="SubExtra"/>
      <sheetName val="PRE_Subsidio"/>
      <sheetName val="PRE_Dispensa"/>
      <sheetName val="PRE_Operacional"/>
      <sheetName val="CABIMENTOS"/>
      <sheetName val="COMPROMISSOS"/>
      <sheetName val="RECEITAS_GP"/>
      <sheetName val="RECEITAS_PAC"/>
      <sheetName val="CONTA CAIXA"/>
      <sheetName val="CONTA BANCO_CENTRAL"/>
      <sheetName val="CONTA BNCTL"/>
      <sheetName val="CONTA BNU"/>
      <sheetName val="CONTA MANDIRI"/>
      <sheetName val="CONTA BRI"/>
      <sheetName val="CONTA ANZ"/>
      <sheetName val="MAPA1_ORÇAMENTO_Regimes"/>
      <sheetName val="MAPA2_Orçamento_Resumo"/>
      <sheetName val="MAPA3_EXECUÇÃO_Regimes"/>
      <sheetName val="MAPA4_EXECUÇÃO_Resumo"/>
      <sheetName val="MAPA_TransfOE"/>
      <sheetName val="RELATORIO"/>
      <sheetName val="ClassificadorReceitas"/>
      <sheetName val="ClassificadorDespesas"/>
      <sheetName val="ClassificadorEconomico"/>
      <sheetName val="plano de contas Tim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E3" t="str">
            <v>D.01.01.01 - Salários pessoais permanentes</v>
          </cell>
          <cell r="G3" t="str">
            <v>Regime não Contributivo</v>
          </cell>
          <cell r="I3" t="str">
            <v>Orçamento</v>
          </cell>
          <cell r="K3" t="str">
            <v>Receita</v>
          </cell>
          <cell r="P3" t="str">
            <v>R.03.01.01.01 - Cotizações dos Trabalhadores do setor público</v>
          </cell>
          <cell r="R3" t="str">
            <v>Sim</v>
          </cell>
        </row>
        <row r="4">
          <cell r="E4" t="str">
            <v>D.01.01.02 - Salários pessoais temporários</v>
          </cell>
          <cell r="G4" t="str">
            <v>Regime Contributivo</v>
          </cell>
          <cell r="I4" t="str">
            <v>Retificação</v>
          </cell>
          <cell r="K4" t="str">
            <v>Despesa</v>
          </cell>
          <cell r="P4" t="str">
            <v>R.03.01.01.02 - Cotizações dos Trabalhadores do setor privado</v>
          </cell>
        </row>
        <row r="5">
          <cell r="E5" t="str">
            <v>D.01.01.03 - Salários pessoais estrangeiros</v>
          </cell>
          <cell r="G5" t="str">
            <v>Capitalização FRSS</v>
          </cell>
          <cell r="I5" t="str">
            <v>Transferência entre rúbricas</v>
          </cell>
          <cell r="P5" t="str">
            <v>R.03.01.02.01 - Contribuições do Setor público (Estado)</v>
          </cell>
        </row>
        <row r="6">
          <cell r="E6" t="str">
            <v>D.01.01.04 - Salários nomeações politicos</v>
          </cell>
          <cell r="G6" t="str">
            <v>Administração</v>
          </cell>
          <cell r="P6" t="str">
            <v>R.03.01.02.02 - Contribuições do Setor privado</v>
          </cell>
        </row>
        <row r="7">
          <cell r="E7" t="str">
            <v>D.01.01.05 - Honorários dos consultores estrangeiros</v>
          </cell>
          <cell r="P7" t="str">
            <v>R.03.02 - Contribuições para a SS - Regimes Complementares e Especiais</v>
          </cell>
        </row>
        <row r="8">
          <cell r="E8" t="str">
            <v>D.01.01.06 - Honorários dos consultores locais</v>
          </cell>
          <cell r="P8" t="str">
            <v>R.04.01.01 - Juros de mora de contribuições</v>
          </cell>
        </row>
        <row r="9">
          <cell r="E9" t="str">
            <v>D.01.02.01 - Abonos especiais</v>
          </cell>
          <cell r="P9" t="str">
            <v>R.04.02 - Sanções/Coimas</v>
          </cell>
        </row>
        <row r="10">
          <cell r="E10" t="str">
            <v>D.01.02.02 - Horas extraordinárias</v>
          </cell>
        </row>
        <row r="11">
          <cell r="E11" t="str">
            <v>D.01.03.02 - Contribuições para a segurança social</v>
          </cell>
        </row>
        <row r="12">
          <cell r="E12" t="str">
            <v>D.02.01.01 - Combustiveis para operação de veiculos</v>
          </cell>
        </row>
        <row r="13">
          <cell r="E13" t="str">
            <v>D.02.01.02 - Combustiveis para geradores</v>
          </cell>
        </row>
        <row r="14">
          <cell r="E14" t="str">
            <v>D.02.01.03 - Bens consumiveis</v>
          </cell>
        </row>
        <row r="15">
          <cell r="E15" t="str">
            <v>D.02.01.04 - Equipamento fixo e material de escritório</v>
          </cell>
        </row>
        <row r="16">
          <cell r="E16" t="str">
            <v>D.02.02.01 - Encargos das instalações</v>
          </cell>
        </row>
        <row r="17">
          <cell r="E17" t="str">
            <v>D.02.02.02 - Manutenção de equipamentos e edificios</v>
          </cell>
        </row>
        <row r="18">
          <cell r="E18" t="str">
            <v>D.02.02.03 - Rendas de propriedade</v>
          </cell>
        </row>
        <row r="19">
          <cell r="E19" t="str">
            <v>D.02.02.04 - Manutenção de veiculos</v>
          </cell>
        </row>
        <row r="20">
          <cell r="E20" t="str">
            <v>D.02.02.05 - Seguros (carros/motorizadas)</v>
          </cell>
        </row>
        <row r="21">
          <cell r="E21" t="str">
            <v>D.02.02.06 - Viagens locais</v>
          </cell>
        </row>
        <row r="22">
          <cell r="E22" t="str">
            <v>D.02.02.07 - Viagens ao estrangeiro</v>
          </cell>
        </row>
        <row r="23">
          <cell r="E23" t="str">
            <v>D.02.02.08 - Formação</v>
          </cell>
        </row>
        <row r="24">
          <cell r="E24" t="str">
            <v>D.02.02.09 - Assistência técnica</v>
          </cell>
        </row>
        <row r="25">
          <cell r="E25" t="str">
            <v>D.02.02.10 - Serviços de tradução</v>
          </cell>
        </row>
        <row r="26">
          <cell r="E26" t="str">
            <v>D.02.02.11.01 - Publicidade</v>
          </cell>
        </row>
        <row r="27">
          <cell r="E27" t="str">
            <v>D.02.02.11.02 - Serviços de catering</v>
          </cell>
        </row>
        <row r="28">
          <cell r="E28" t="str">
            <v>D.02.02.11.03 - Serviços sanitários e de limpeza</v>
          </cell>
        </row>
        <row r="29">
          <cell r="E29" t="str">
            <v>D.02.02.11.04 - Serviços de informática</v>
          </cell>
        </row>
        <row r="30">
          <cell r="E30" t="str">
            <v>D.02.02.11.06 - Serviços de fotocópias</v>
          </cell>
        </row>
        <row r="31">
          <cell r="E31" t="str">
            <v>D.02.02.11.07 - Serviços de impressão</v>
          </cell>
        </row>
        <row r="32">
          <cell r="E32" t="str">
            <v>D.03.01 - Juros</v>
          </cell>
        </row>
        <row r="33">
          <cell r="E33" t="str">
            <v>D.03.02 - outros encargos financeiros</v>
          </cell>
        </row>
        <row r="34">
          <cell r="E34" t="str">
            <v>D.04.01.01 - Transferências correntes para o Estado - MF</v>
          </cell>
        </row>
        <row r="35">
          <cell r="E35" t="str">
            <v>D.04.02.01.01.01 - Pensão de  Invalidez RT</v>
          </cell>
        </row>
        <row r="36">
          <cell r="E36" t="str">
            <v>D.04.02.01.01.02 - Pensão de Velhice RT</v>
          </cell>
        </row>
        <row r="37">
          <cell r="E37" t="str">
            <v>D.04.02.01.01.03 - Pensão de Sobrevivência RT</v>
          </cell>
        </row>
        <row r="38">
          <cell r="E38" t="str">
            <v>D.04.02.01.02.01 - Pensão de Invalidez RG</v>
          </cell>
        </row>
        <row r="39">
          <cell r="E39" t="str">
            <v>D.04.02.01.02.02 - Pensão de Velhice RG</v>
          </cell>
        </row>
        <row r="40">
          <cell r="E40" t="str">
            <v>D.04.02.01.02.03 - Pensão de Sobrevivência RG</v>
          </cell>
        </row>
        <row r="41">
          <cell r="E41" t="str">
            <v>D.04.02.01.02.04 - Subsídio por morte</v>
          </cell>
        </row>
        <row r="42">
          <cell r="E42" t="str">
            <v>D.04.02.01.02.05 - Subsídios de maternidade, risco clínico e interrupção gravidez</v>
          </cell>
        </row>
        <row r="43">
          <cell r="E43" t="str">
            <v>D.04.02.01.02.06 - Subsídios de paternidade</v>
          </cell>
        </row>
        <row r="44">
          <cell r="E44" t="str">
            <v>D.04.02.01.02.07 - Subsídios de adopção</v>
          </cell>
        </row>
        <row r="45">
          <cell r="E45" t="str">
            <v>D.04.02.02.01.01 - Subsídio de apoio a idosos e inválidos (SAII)</v>
          </cell>
        </row>
        <row r="46">
          <cell r="E46" t="str">
            <v>D.04.02.02.01.02 - Complemento de pensão - invalidez</v>
          </cell>
        </row>
        <row r="47">
          <cell r="E47" t="str">
            <v>D.04.02.02.01.03 - Complemento de pensão - velhice</v>
          </cell>
        </row>
        <row r="48">
          <cell r="E48" t="str">
            <v>D.04.02.02.01.04 - Complemento de pensão - sobrevivência</v>
          </cell>
        </row>
        <row r="49">
          <cell r="E49" t="str">
            <v>D.04.03.01 -  Transferências correntes entre Regimes do SSS</v>
          </cell>
        </row>
        <row r="50">
          <cell r="E50" t="str">
            <v>D.04.05 - Outras prestações</v>
          </cell>
        </row>
        <row r="51">
          <cell r="E51" t="str">
            <v>D.06.01.02 - Encargos bancários</v>
          </cell>
        </row>
        <row r="52">
          <cell r="E52" t="str">
            <v>D.06.01.05 - Aluguer de equipamento de escritório</v>
          </cell>
        </row>
        <row r="53">
          <cell r="E53" t="str">
            <v>D.06.01.11 - Manutenção de geradores</v>
          </cell>
        </row>
        <row r="54">
          <cell r="E54" t="str">
            <v>D.06.01.14 - Outras despesas operacionais</v>
          </cell>
        </row>
        <row r="55">
          <cell r="E55" t="str">
            <v>D.06.01.15 - Outras despesas</v>
          </cell>
        </row>
        <row r="56">
          <cell r="E56" t="str">
            <v>D.07.01.01.01 - Motorizadas</v>
          </cell>
        </row>
        <row r="57">
          <cell r="E57" t="str">
            <v>D.07.01.01.02 - Veiculos</v>
          </cell>
        </row>
        <row r="58">
          <cell r="E58" t="str">
            <v>D.07.01.02 - Equipamento de informática</v>
          </cell>
        </row>
        <row r="59">
          <cell r="E59" t="str">
            <v>D.07.01.03 - Equipamento de segurança</v>
          </cell>
        </row>
        <row r="60">
          <cell r="E60" t="str">
            <v>D.07.01.04 - Equipamento de comunicações</v>
          </cell>
        </row>
        <row r="61">
          <cell r="E61" t="str">
            <v>D.07.01.05 - Equipamentos diversos</v>
          </cell>
        </row>
        <row r="62">
          <cell r="E62" t="str">
            <v>D.07.01.06 - Mobiliário</v>
          </cell>
        </row>
        <row r="63">
          <cell r="E63" t="str">
            <v>D.07.01.07 - Outro equipamento de escritório</v>
          </cell>
        </row>
        <row r="64">
          <cell r="E64" t="str">
            <v>D.07.01.08 - Geradores</v>
          </cell>
        </row>
        <row r="65">
          <cell r="E65" t="str">
            <v>D.07.01.09 - Equipamento de água</v>
          </cell>
        </row>
        <row r="66">
          <cell r="E66" t="str">
            <v>D.07.02.01 - Aquisição de edificios</v>
          </cell>
        </row>
        <row r="67">
          <cell r="E67" t="str">
            <v>D.08.02.02.01 - Transferências para o FRSS de Saldos anuais do Regime Contributivo</v>
          </cell>
        </row>
        <row r="68">
          <cell r="E68" t="str">
            <v>D.09 - Ativos Financeiros</v>
          </cell>
        </row>
        <row r="69">
          <cell r="E69" t="str">
            <v>D.11 - Outras despesas de capital</v>
          </cell>
        </row>
        <row r="70">
          <cell r="E70" t="str">
            <v>R.03.01.01.01 - Cotizações dos Trabalhadores do setor público</v>
          </cell>
        </row>
        <row r="71">
          <cell r="E71" t="str">
            <v>R.03.01.01.02 - Cotizações dos Trabalhadores do setor privado</v>
          </cell>
        </row>
        <row r="72">
          <cell r="E72" t="str">
            <v>R.03.01.02.01 - Contribuições do Setor público (Estado)</v>
          </cell>
        </row>
        <row r="73">
          <cell r="E73" t="str">
            <v>R.03.01.02.02 - Contribuições do Setor privado</v>
          </cell>
        </row>
        <row r="74">
          <cell r="E74" t="str">
            <v>R.03.02 - Contribuições para a SS - Regimes Complementares e Especiais</v>
          </cell>
        </row>
        <row r="75">
          <cell r="E75" t="str">
            <v>R.04.01.01 - Juros de mora de contribuições</v>
          </cell>
        </row>
        <row r="76">
          <cell r="E76" t="str">
            <v>R.04.02 - Sanções/Coimas</v>
          </cell>
        </row>
        <row r="77">
          <cell r="E77" t="str">
            <v>R.05.01 - Juros provenientes da aplicação dos excedentes de tesouraria</v>
          </cell>
        </row>
        <row r="78">
          <cell r="E78" t="str">
            <v>R.05.02 - Rendas</v>
          </cell>
        </row>
        <row r="79">
          <cell r="E79" t="str">
            <v>R.05.03 - Outros rendimentos</v>
          </cell>
        </row>
        <row r="80">
          <cell r="E80" t="str">
            <v>R.06.01.01.01 - Transferências correntes do MF - Para financiamento do SAII</v>
          </cell>
        </row>
        <row r="81">
          <cell r="E81" t="str">
            <v>R.06.01.01.02 - Transferências correntes do MF -Para financiamento do regime transitório</v>
          </cell>
        </row>
        <row r="82">
          <cell r="E82" t="str">
            <v>R.06.01.01.03 - Transferências correntes do MF - Para financiamento das despesas de administração</v>
          </cell>
        </row>
        <row r="83">
          <cell r="E83" t="str">
            <v>R.06.01.01.04 - Transferências correntes do MF - Para financiamento da garantia de valores minimos de pensão</v>
          </cell>
        </row>
        <row r="84">
          <cell r="E84" t="str">
            <v>R.06.01.02 - Transferências correntes de outros Ministérios</v>
          </cell>
        </row>
        <row r="85">
          <cell r="E85" t="str">
            <v>R.06.02.01 - Transferências correntes entre regimes do SSS</v>
          </cell>
        </row>
        <row r="86">
          <cell r="E86" t="str">
            <v>R.06.03 - Transferências correntes do Resto do Mundo</v>
          </cell>
        </row>
        <row r="87">
          <cell r="E87" t="str">
            <v>R.07.01 - Venda de bens</v>
          </cell>
        </row>
        <row r="88">
          <cell r="E88" t="str">
            <v>R.07.02 - Venda de serviços</v>
          </cell>
        </row>
        <row r="89">
          <cell r="E89" t="str">
            <v>R.08.01 - Outras receitas correntes</v>
          </cell>
        </row>
        <row r="90">
          <cell r="E90" t="str">
            <v>R.08.02 - Subsídios</v>
          </cell>
        </row>
        <row r="91">
          <cell r="E91" t="str">
            <v>R.10.01.01 - Transferências de capital do Estado - MF</v>
          </cell>
        </row>
        <row r="92">
          <cell r="E92" t="str">
            <v>R.10.02.02.01 - Transferências de capital do Regime Contributivo - saldos anuais do Regime Contributivo</v>
          </cell>
        </row>
        <row r="93">
          <cell r="E93" t="str">
            <v>R.10.03 - Outras transferências de capital</v>
          </cell>
        </row>
        <row r="94">
          <cell r="E94" t="str">
            <v>R.11 - Ativos Financeiros</v>
          </cell>
        </row>
        <row r="95">
          <cell r="E95" t="str">
            <v>R.13.01 - Outras receitas de capital</v>
          </cell>
        </row>
        <row r="96">
          <cell r="E96" t="str">
            <v>R.15.01 - Reposições não abatidas nos pagamentos</v>
          </cell>
        </row>
        <row r="97">
          <cell r="E97" t="str">
            <v>R.16.01.01.01 - Saldo orçamental na posse do setor da SS - com aplicação em despesa</v>
          </cell>
        </row>
        <row r="98">
          <cell r="E98" t="str">
            <v>R.16.01.02.01 - Saldo orçamental na posse do serviço - com aplicação em despesa</v>
          </cell>
        </row>
      </sheetData>
      <sheetData sheetId="2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PAS_INDICE"/>
      <sheetName val="controlo"/>
      <sheetName val="INTERFACE"/>
      <sheetName val="SubExtra"/>
      <sheetName val="PRE_Subsidio"/>
      <sheetName val="PRE_Dispensa"/>
      <sheetName val="PRE_Operacional"/>
      <sheetName val="CABIMENTOS"/>
      <sheetName val="COMPROMISSOS"/>
      <sheetName val="RECEITAS_GP"/>
      <sheetName val="RECEITAS_PAC"/>
      <sheetName val="CONTA CAIXA"/>
      <sheetName val="CONTA BANCO_CENTRAL"/>
      <sheetName val="CONTA BNCTL"/>
      <sheetName val="CONTA BNU"/>
      <sheetName val="CONTA MANDIRI"/>
      <sheetName val="CONTA BRI"/>
      <sheetName val="CONTA ANZ"/>
      <sheetName val="MAPA1_ORÇAMENTO_Regimes"/>
      <sheetName val="MAPA2_Orçamento_Resumo"/>
      <sheetName val="MAPA3_EXECUÇÃO_Regimes"/>
      <sheetName val="MAPA4_EXECUÇÃO_Resumo"/>
      <sheetName val="MAPA_TransfOE"/>
      <sheetName val="RELATORIO"/>
      <sheetName val="ClassificadorReceitas"/>
      <sheetName val="ClassificadorDespesas"/>
      <sheetName val="ClassificadorEconomico"/>
      <sheetName val="plano de contas Tim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E3" t="str">
            <v>D.01.01.01 - Salários pessoais permanentes</v>
          </cell>
          <cell r="G3" t="str">
            <v>Regime não Contributivo</v>
          </cell>
          <cell r="I3" t="str">
            <v>Orçamento</v>
          </cell>
          <cell r="K3" t="str">
            <v>Receita</v>
          </cell>
          <cell r="P3" t="str">
            <v>R.03.01.01.01 - Cotizações dos Trabalhadores do setor público</v>
          </cell>
          <cell r="R3" t="str">
            <v>Sim</v>
          </cell>
        </row>
        <row r="4">
          <cell r="E4" t="str">
            <v>D.01.01.02 - Salários pessoais temporários</v>
          </cell>
          <cell r="G4" t="str">
            <v>Regime Contributivo</v>
          </cell>
          <cell r="I4" t="str">
            <v>Retificação</v>
          </cell>
          <cell r="K4" t="str">
            <v>Despesa</v>
          </cell>
          <cell r="P4" t="str">
            <v>R.03.01.01.02 - Cotizações dos Trabalhadores do setor privado</v>
          </cell>
        </row>
        <row r="5">
          <cell r="E5" t="str">
            <v>D.01.01.03 - Salários pessoais estrangeiros</v>
          </cell>
          <cell r="G5" t="str">
            <v>Capitalização FRSS</v>
          </cell>
          <cell r="I5" t="str">
            <v>Transferência entre rúbricas</v>
          </cell>
          <cell r="P5" t="str">
            <v>R.03.01.02.01 - Contribuições do Setor público (Estado)</v>
          </cell>
        </row>
        <row r="6">
          <cell r="E6" t="str">
            <v>D.01.01.04 - Salários nomeações politicos</v>
          </cell>
          <cell r="G6" t="str">
            <v>Administração</v>
          </cell>
          <cell r="P6" t="str">
            <v>R.03.01.02.02 - Contribuições do Setor privado</v>
          </cell>
        </row>
        <row r="7">
          <cell r="E7" t="str">
            <v>D.01.01.05 - Honorários dos consultores estrangeiros</v>
          </cell>
          <cell r="P7" t="str">
            <v>R.03.02 - Contribuições para a SS - Regimes Complementares e Especiais</v>
          </cell>
        </row>
        <row r="8">
          <cell r="E8" t="str">
            <v>D.01.01.06 - Honorários dos consultores locais</v>
          </cell>
          <cell r="P8" t="str">
            <v>R.04.01.01 - Juros de mora de contribuições</v>
          </cell>
        </row>
        <row r="9">
          <cell r="E9" t="str">
            <v>D.01.02.01 - Abonos especiais</v>
          </cell>
          <cell r="P9" t="str">
            <v>R.04.02 - Sanções/Coimas</v>
          </cell>
        </row>
        <row r="10">
          <cell r="E10" t="str">
            <v>D.01.02.02 - Horas extraordinárias</v>
          </cell>
        </row>
        <row r="11">
          <cell r="E11" t="str">
            <v>D.01.03.02 - Contribuições para a segurança social</v>
          </cell>
        </row>
        <row r="12">
          <cell r="E12" t="str">
            <v>D.02.01.01 - Combustiveis para operação de veiculos</v>
          </cell>
        </row>
        <row r="13">
          <cell r="E13" t="str">
            <v>D.02.01.02 - Combustiveis para geradores</v>
          </cell>
        </row>
        <row r="14">
          <cell r="E14" t="str">
            <v>D.02.01.03 - Bens consumiveis</v>
          </cell>
        </row>
        <row r="15">
          <cell r="E15" t="str">
            <v>D.02.01.04 - Equipamento fixo e material de escritório</v>
          </cell>
        </row>
        <row r="16">
          <cell r="E16" t="str">
            <v>D.02.02.01 - Encargos das instalações</v>
          </cell>
        </row>
        <row r="17">
          <cell r="E17" t="str">
            <v>D.02.02.02 - Manutenção de equipamentos e edificios</v>
          </cell>
        </row>
        <row r="18">
          <cell r="E18" t="str">
            <v>D.02.02.03 - Rendas de propriedade</v>
          </cell>
        </row>
        <row r="19">
          <cell r="E19" t="str">
            <v>D.02.02.04 - Manutenção de veiculos</v>
          </cell>
        </row>
        <row r="20">
          <cell r="E20" t="str">
            <v>D.02.02.05 - Seguros (carros/motorizadas)</v>
          </cell>
        </row>
        <row r="21">
          <cell r="E21" t="str">
            <v>D.02.02.06 - Viagens locais</v>
          </cell>
        </row>
        <row r="22">
          <cell r="E22" t="str">
            <v>D.02.02.07 - Viagens ao estrangeiro</v>
          </cell>
        </row>
        <row r="23">
          <cell r="E23" t="str">
            <v>D.02.02.08 - Formação</v>
          </cell>
        </row>
        <row r="24">
          <cell r="E24" t="str">
            <v>D.02.02.09 - Assistência técnica</v>
          </cell>
        </row>
        <row r="25">
          <cell r="E25" t="str">
            <v>D.02.02.10 - Serviços de tradução</v>
          </cell>
        </row>
        <row r="26">
          <cell r="E26" t="str">
            <v>D.02.02.11.01 - Publicidade</v>
          </cell>
        </row>
        <row r="27">
          <cell r="E27" t="str">
            <v>D.02.02.11.02 - Serviços de catering</v>
          </cell>
        </row>
        <row r="28">
          <cell r="E28" t="str">
            <v>D.02.02.11.03 - Serviços sanitários e de limpeza</v>
          </cell>
        </row>
        <row r="29">
          <cell r="E29" t="str">
            <v>D.02.02.11.04 - Serviços de informática</v>
          </cell>
        </row>
        <row r="30">
          <cell r="E30" t="str">
            <v>D.02.02.11.06 - Serviços de fotocópias</v>
          </cell>
        </row>
        <row r="31">
          <cell r="E31" t="str">
            <v>D.02.02.11.07 - Serviços de impressão</v>
          </cell>
        </row>
        <row r="32">
          <cell r="E32" t="str">
            <v>D.03.01 - Juros</v>
          </cell>
        </row>
        <row r="33">
          <cell r="E33" t="str">
            <v>D.03.02 - outros encargos financeiros</v>
          </cell>
        </row>
        <row r="34">
          <cell r="E34" t="str">
            <v>D.04.01.01 - Transferências correntes para o Estado - MF</v>
          </cell>
        </row>
        <row r="35">
          <cell r="E35" t="str">
            <v>D.04.02.01.01.01 - Pensão de  Invalidez RT</v>
          </cell>
        </row>
        <row r="36">
          <cell r="E36" t="str">
            <v>D.04.02.01.01.02 - Pensão de Velhice RT</v>
          </cell>
        </row>
        <row r="37">
          <cell r="E37" t="str">
            <v>D.04.02.01.01.03 - Pensão de Sobrevivência RT</v>
          </cell>
        </row>
        <row r="38">
          <cell r="E38" t="str">
            <v>D.04.02.01.02.01 - Pensão de Invalidez RG</v>
          </cell>
        </row>
        <row r="39">
          <cell r="E39" t="str">
            <v>D.04.02.01.02.02 - Pensão de Velhice RG</v>
          </cell>
        </row>
        <row r="40">
          <cell r="E40" t="str">
            <v>D.04.02.01.02.03 - Pensão de Sobrevivência RG</v>
          </cell>
        </row>
        <row r="41">
          <cell r="E41" t="str">
            <v>D.04.02.01.02.04 - Subsídio por morte</v>
          </cell>
        </row>
        <row r="42">
          <cell r="E42" t="str">
            <v>D.04.02.01.02.05 - Subsídios de maternidade, risco clínico e interrupção gravidez</v>
          </cell>
        </row>
        <row r="43">
          <cell r="E43" t="str">
            <v>D.04.02.01.02.06 - Subsídios de paternidade</v>
          </cell>
        </row>
        <row r="44">
          <cell r="E44" t="str">
            <v>D.04.02.01.02.07 - Subsídios de adopção</v>
          </cell>
        </row>
        <row r="45">
          <cell r="E45" t="str">
            <v>D.04.02.02.01.01 - Subsídio de apoio a idosos e inválidos (SAII)</v>
          </cell>
        </row>
        <row r="46">
          <cell r="E46" t="str">
            <v>D.04.02.02.01.02 - Complemento de pensão - invalidez</v>
          </cell>
        </row>
        <row r="47">
          <cell r="E47" t="str">
            <v>D.04.02.02.01.03 - Complemento de pensão - velhice</v>
          </cell>
        </row>
        <row r="48">
          <cell r="E48" t="str">
            <v>D.04.02.02.01.04 - Complemento de pensão - sobrevivência</v>
          </cell>
        </row>
        <row r="49">
          <cell r="E49" t="str">
            <v>D.04.03.01 -  Transferências correntes entre Regimes do SSS</v>
          </cell>
        </row>
        <row r="50">
          <cell r="E50" t="str">
            <v>D.04.05 - Outras prestações</v>
          </cell>
        </row>
        <row r="51">
          <cell r="E51" t="str">
            <v>D.06.01.02 - Encargos bancários</v>
          </cell>
        </row>
        <row r="52">
          <cell r="E52" t="str">
            <v>D.06.01.05 - Aluguer de equipamento de escritório</v>
          </cell>
        </row>
        <row r="53">
          <cell r="E53" t="str">
            <v>D.06.01.11 - Manutenção de geradores</v>
          </cell>
        </row>
        <row r="54">
          <cell r="E54" t="str">
            <v>D.06.01.14 - Outras despesas operacionais</v>
          </cell>
        </row>
        <row r="55">
          <cell r="E55" t="str">
            <v>D.06.01.15 - Outras despesas</v>
          </cell>
        </row>
        <row r="56">
          <cell r="E56" t="str">
            <v>D.07.01.01.01 - Motorizadas</v>
          </cell>
        </row>
        <row r="57">
          <cell r="E57" t="str">
            <v>D.07.01.01.02 - Veiculos</v>
          </cell>
        </row>
        <row r="58">
          <cell r="E58" t="str">
            <v>D.07.01.02 - Equipamento de informática</v>
          </cell>
        </row>
        <row r="59">
          <cell r="E59" t="str">
            <v>D.07.01.03 - Equipamento de segurança</v>
          </cell>
        </row>
        <row r="60">
          <cell r="E60" t="str">
            <v>D.07.01.04 - Equipamento de comunicações</v>
          </cell>
        </row>
        <row r="61">
          <cell r="E61" t="str">
            <v>D.07.01.05 - Equipamentos diversos</v>
          </cell>
        </row>
        <row r="62">
          <cell r="E62" t="str">
            <v>D.07.01.06 - Mobiliário</v>
          </cell>
        </row>
        <row r="63">
          <cell r="E63" t="str">
            <v>D.07.01.07 - Outro equipamento de escritório</v>
          </cell>
        </row>
        <row r="64">
          <cell r="E64" t="str">
            <v>D.07.01.08 - Geradores</v>
          </cell>
        </row>
        <row r="65">
          <cell r="E65" t="str">
            <v>D.07.01.09 - Equipamento de água</v>
          </cell>
        </row>
        <row r="66">
          <cell r="E66" t="str">
            <v>D.07.02.01 - Aquisição de edificios</v>
          </cell>
        </row>
        <row r="67">
          <cell r="E67" t="str">
            <v>D.08.02.02.01 - Transferências para o FRSS de Saldos anuais do Regime Contributivo</v>
          </cell>
        </row>
        <row r="68">
          <cell r="E68" t="str">
            <v>D.09 - Ativos Financeiros</v>
          </cell>
        </row>
        <row r="69">
          <cell r="E69" t="str">
            <v>D.11 - Outras despesas de capital</v>
          </cell>
        </row>
        <row r="70">
          <cell r="E70" t="str">
            <v>R.03.01.01.01 - Cotizações dos Trabalhadores do setor público</v>
          </cell>
        </row>
        <row r="71">
          <cell r="E71" t="str">
            <v>R.03.01.01.02 - Cotizações dos Trabalhadores do setor privado</v>
          </cell>
        </row>
        <row r="72">
          <cell r="E72" t="str">
            <v>R.03.01.02.01 - Contribuições do Setor público (Estado)</v>
          </cell>
        </row>
        <row r="73">
          <cell r="E73" t="str">
            <v>R.03.01.02.02 - Contribuições do Setor privado</v>
          </cell>
        </row>
        <row r="74">
          <cell r="E74" t="str">
            <v>R.03.02 - Contribuições para a SS - Regimes Complementares e Especiais</v>
          </cell>
        </row>
        <row r="75">
          <cell r="E75" t="str">
            <v>R.04.01.01 - Juros de mora de contribuições</v>
          </cell>
        </row>
        <row r="76">
          <cell r="E76" t="str">
            <v>R.04.02 - Sanções/Coimas</v>
          </cell>
        </row>
        <row r="77">
          <cell r="E77" t="str">
            <v>R.05.01 - Juros provenientes da aplicação dos excedentes de tesouraria</v>
          </cell>
        </row>
        <row r="78">
          <cell r="E78" t="str">
            <v>R.05.02 - Rendas</v>
          </cell>
        </row>
        <row r="79">
          <cell r="E79" t="str">
            <v>R.05.03 - Outros rendimentos</v>
          </cell>
        </row>
        <row r="80">
          <cell r="E80" t="str">
            <v>R.06.01.01.01 - Transferências correntes do MF - Para financiamento do SAII</v>
          </cell>
        </row>
        <row r="81">
          <cell r="E81" t="str">
            <v>R.06.01.01.02 - Transferências correntes do MF -Para financiamento do regime transitório</v>
          </cell>
        </row>
        <row r="82">
          <cell r="E82" t="str">
            <v>R.06.01.01.03 - Transferências correntes do MF - Para financiamento das despesas de administração</v>
          </cell>
        </row>
        <row r="83">
          <cell r="E83" t="str">
            <v>R.06.01.01.04 - Transferências correntes do MF - Para financiamento da garantia de valores minimos de pensão</v>
          </cell>
        </row>
        <row r="84">
          <cell r="E84" t="str">
            <v>R.06.01.02 - Transferências correntes de outros Ministérios</v>
          </cell>
        </row>
        <row r="85">
          <cell r="E85" t="str">
            <v>R.06.02.01 - Transferências correntes entre regimes do SSS</v>
          </cell>
        </row>
        <row r="86">
          <cell r="E86" t="str">
            <v>R.06.03 - Transferências correntes do Resto do Mundo</v>
          </cell>
        </row>
        <row r="87">
          <cell r="E87" t="str">
            <v>R.07.01 - Venda de bens</v>
          </cell>
        </row>
        <row r="88">
          <cell r="E88" t="str">
            <v>R.07.02 - Venda de serviços</v>
          </cell>
        </row>
        <row r="89">
          <cell r="E89" t="str">
            <v>R.08.01 - Outras receitas correntes</v>
          </cell>
        </row>
        <row r="90">
          <cell r="E90" t="str">
            <v>R.08.02 - Subsídios</v>
          </cell>
        </row>
        <row r="91">
          <cell r="E91" t="str">
            <v>R.10.01.01 - Transferências de capital do Estado - MF</v>
          </cell>
        </row>
        <row r="92">
          <cell r="E92" t="str">
            <v>R.10.02.02.01 - Transferências de capital do Regime Contributivo - saldos anuais do Regime Contributivo</v>
          </cell>
        </row>
        <row r="93">
          <cell r="E93" t="str">
            <v>R.10.03 - Outras transferências de capital</v>
          </cell>
        </row>
        <row r="94">
          <cell r="E94" t="str">
            <v>R.11 - Ativos Financeiros</v>
          </cell>
        </row>
        <row r="95">
          <cell r="E95" t="str">
            <v>R.13.01 - Outras receitas de capital</v>
          </cell>
        </row>
        <row r="96">
          <cell r="E96" t="str">
            <v>R.15.01 - Reposições não abatidas nos pagamentos</v>
          </cell>
        </row>
        <row r="97">
          <cell r="E97" t="str">
            <v>R.16.01.01.01 - Saldo orçamental na posse do setor da SS - com aplicação em despesa</v>
          </cell>
        </row>
        <row r="98">
          <cell r="E98" t="str">
            <v>R.16.01.02.01 - Saldo orçamental na posse do serviço - com aplicação em despesa</v>
          </cell>
        </row>
      </sheetData>
      <sheetData sheetId="2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"/>
      <sheetName val="CONTA CAIXA"/>
      <sheetName val="CONTA ADMINISTRAÇÃO_BRI"/>
      <sheetName val="CONTA ADMINISTRAÇÃO_BNU"/>
      <sheetName val="CONTA BNU"/>
      <sheetName val="CONTA BNCTL"/>
      <sheetName val="CONTA BRI"/>
      <sheetName val="CONTA MANDIRI"/>
      <sheetName val="CONTA ANZ"/>
      <sheetName val="CONTA PORTUGAL"/>
      <sheetName val="CONTA BCTL"/>
      <sheetName val="CONTA ESTRANGEIRO2"/>
      <sheetName val="CONTAS DP"/>
      <sheetName val="CE_AdministraçãoFRSS"/>
      <sheetName val="Atividade_A070101"/>
      <sheetName val="Atividade_A070102"/>
      <sheetName val="SubPrograma_A0701"/>
      <sheetName val="Atividade_A070201"/>
      <sheetName val="SubPrograma_A0702"/>
      <sheetName val="Programa_AdministracaoFRSS_A07"/>
      <sheetName val="Sintese_Programas_CE"/>
      <sheetName val="ClassificacaoFuncional_Adm"/>
      <sheetName val="CE_CapitalizaçãoFRSS"/>
      <sheetName val="Atividade_A080101"/>
      <sheetName val="SubPrograma_A0801"/>
      <sheetName val="Programa_CapitalizacaoFRSS_A08"/>
      <sheetName val="CE_FRSS_Adm+Capit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">
          <cell r="D3" t="str">
            <v>501.01.01 - SALÁRIOS E VENCIMENTOS - Salários e abonos regulares e permanentes - Salários de titulares de cargos políticos</v>
          </cell>
          <cell r="G3" t="str">
            <v>Administração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A07 - Administração do FRSS</v>
          </cell>
          <cell r="U3" t="str">
            <v>A0701- Coordenação, gestão e funcionamento do FRSS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Capitalização FRSS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 xml:space="preserve">A08 - Regime Contributivo de Capitalização </v>
          </cell>
          <cell r="U4" t="str">
            <v>A0702- Investimento Estratégico do FRSS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U5" t="str">
            <v>A0801 - Constituição e gestão do FRSS</v>
          </cell>
        </row>
        <row r="6">
          <cell r="D6" t="str">
            <v>501.01.04 - SALÁRIOS E VENCIMENTOS - Salários e abonos regulares e permanentes - Salários de funcionários e agentes</v>
          </cell>
          <cell r="R6" t="str">
            <v>01.04 - Serviços gerais da administração pública - Investigação básica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</row>
        <row r="14">
          <cell r="D14" t="str">
            <v>501.01.12 - SALÁRIOS E VENCIMENTOS - Salários e abonos regulares e permanentes - Outros abonos regulares e permanentes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"/>
      <sheetName val="CONTA CAIXA"/>
      <sheetName val="CONTA ADMINISTRAÇÃO_BRI"/>
      <sheetName val="CONTA ADMINISTRAÇÃO_BNU"/>
      <sheetName val="CONTA BNU"/>
      <sheetName val="CONTA BNCTL"/>
      <sheetName val="CONTA BRI"/>
      <sheetName val="CONTA MANDIRI"/>
      <sheetName val="CONTA ANZ"/>
      <sheetName val="CONTA PORTUGAL"/>
      <sheetName val="CONTA BCTL"/>
      <sheetName val="CONTA ESTRANGEIRO2"/>
      <sheetName val="CONTAS DP"/>
      <sheetName val="CE_AdministraçãoFRSS"/>
      <sheetName val="Atividade_A070101"/>
      <sheetName val="Atividade_A070102"/>
      <sheetName val="SubPrograma_A0701"/>
      <sheetName val="Atividade_A070201"/>
      <sheetName val="SubPrograma_A0702"/>
      <sheetName val="Programa_AdministracaoFRSS_A07"/>
      <sheetName val="Sintese_Programas_CE"/>
      <sheetName val="ClassificacaoFuncional_Adm"/>
      <sheetName val="CE_CapitalizaçãoFRSS"/>
      <sheetName val="Atividade_A080101"/>
      <sheetName val="SubPrograma_A0801"/>
      <sheetName val="Programa_CapitalizacaoFRSS_A08"/>
      <sheetName val="CE_FRSS_Adm+Capit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3">
          <cell r="D3" t="str">
            <v>501.01.01 - SALÁRIOS E VENCIMENTOS - Salários e abonos regulares e permanentes - Salários de titulares de cargos políticos</v>
          </cell>
          <cell r="G3" t="str">
            <v>Administração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A07 - Administração do FRSS</v>
          </cell>
          <cell r="U3" t="str">
            <v>A0701- Coordenação, gestão e funcionamento do FRSS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Capitalização FRSS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 xml:space="preserve">A08 - Regime Contributivo de Capitalização </v>
          </cell>
          <cell r="U4" t="str">
            <v>A0702- Investimento Estratégico do FRSS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U5" t="str">
            <v>A0801 - Constituição e gestão do FRSS</v>
          </cell>
        </row>
        <row r="6">
          <cell r="D6" t="str">
            <v>501.01.04 - SALÁRIOS E VENCIMENTOS - Salários e abonos regulares e permanentes - Salários de funcionários e agentes</v>
          </cell>
          <cell r="R6" t="str">
            <v>01.04 - Serviços gerais da administração pública - Investigação básica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</row>
        <row r="14">
          <cell r="D14" t="str">
            <v>501.01.12 - SALÁRIOS E VENCIMENTOS - Salários e abonos regulares e permanentes - Outros abonos regulares e permanentes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FACE"/>
      <sheetName val="AD"/>
      <sheetName val="CABIMENTOS"/>
      <sheetName val="COMPROMISSOS"/>
      <sheetName val="OBRIGAÇÃO"/>
      <sheetName val="Ciclo_Despesa"/>
      <sheetName val="RECEITAS"/>
      <sheetName val="CONTA CAIXA"/>
      <sheetName val="CONTA ADMINISTRAÇÃO"/>
      <sheetName val="CONTA BNU"/>
      <sheetName val="CONTA BNCTL"/>
      <sheetName val="CONTA BRI"/>
      <sheetName val="CONTA MANDIRI"/>
      <sheetName val="CONTA ANZ"/>
      <sheetName val="CONTA PORTUGAL"/>
      <sheetName val="CONTA SINGAPURA"/>
      <sheetName val="CONTA ESTRANGEIRO1"/>
      <sheetName val="CONTA ESTRANGEIRO2"/>
      <sheetName val="CONTAS DP"/>
      <sheetName val="CE_AdministraçãoFRSS"/>
      <sheetName val="CE_CapitalizaçãoFRSS"/>
      <sheetName val="CE_FRSS_Global"/>
      <sheetName val="Prog_AdministracaoFRSS"/>
      <sheetName val="Prog_CapitalizacaoFRSS"/>
      <sheetName val="Programas"/>
      <sheetName val="ClassificacaoFuncional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D3" t="str">
            <v>501.01.01 - SALÁRIOS E VENCIMENTOS - Salários e abonos regulares e permanentes - Salários de titulares de cargos políticos</v>
          </cell>
          <cell r="G3" t="str">
            <v>Administração</v>
          </cell>
          <cell r="I3" t="str">
            <v>Orçamento</v>
          </cell>
          <cell r="K3" t="str">
            <v>Receita</v>
          </cell>
          <cell r="M3" t="str">
            <v>Sim</v>
          </cell>
          <cell r="R3" t="str">
            <v>01.01 - Serviços gerais da administração pública - Órgãos executivos e legislativos, assuntos financeiros e fiscais, assuntos externos</v>
          </cell>
          <cell r="T3" t="str">
            <v>A06 - Administração da Segurança Social</v>
          </cell>
          <cell r="U3" t="str">
            <v>A0602- Coordenação, gestão e funcionamento do FRSS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Capitalização FRSS</v>
          </cell>
          <cell r="I4" t="str">
            <v>Retificação</v>
          </cell>
          <cell r="K4" t="str">
            <v>Despesa</v>
          </cell>
          <cell r="R4" t="str">
            <v>01.02 - Serviços gerais da administração pública - Ajuda económica externa</v>
          </cell>
          <cell r="T4" t="str">
            <v>A07 - Regime Contributivo de Capitalização (FRSS)</v>
          </cell>
          <cell r="U4" t="str">
            <v>A0603- Investimento Estratégico das Instituições da Segurança Social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I5" t="str">
            <v>Transferência entre rúbricas</v>
          </cell>
          <cell r="R5" t="str">
            <v>01.03 - Serviços gerais da administração pública - Serviços gerais da administração pública</v>
          </cell>
          <cell r="U5" t="str">
            <v>A0701 - Constituição e gestão do FRSS</v>
          </cell>
        </row>
        <row r="6">
          <cell r="D6" t="str">
            <v>501.01.04 - SALÁRIOS E VENCIMENTOS - Salários e abonos regulares e permanentes - Salários de funcionários e agentes</v>
          </cell>
          <cell r="R6" t="str">
            <v>01.04 - Serviços gerais da administração pública - Investigação básica</v>
          </cell>
        </row>
        <row r="7">
          <cell r="D7" t="str">
            <v>501.01.05 - SALÁRIOS E VENCIMENTOS - Salários e abonos regulares e permanentes - Salários de contratados nacionais</v>
          </cell>
          <cell r="R7" t="str">
            <v>01.05 - Serviços gerais da administração pública - Serviços públicos gerais de investigação e desenvolvimento</v>
          </cell>
        </row>
        <row r="8">
          <cell r="D8" t="str">
            <v>501.01.06 - SALÁRIOS E VENCIMENTOS - Salários e abonos regulares e permanentes - Salários de contratados internacionais</v>
          </cell>
          <cell r="R8" t="str">
            <v>01.06 - Serviços gerais da administração pública - Serviços públicos gerais não especificados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  <cell r="G9" t="str">
            <v>Sim</v>
          </cell>
          <cell r="R9" t="str">
            <v>01.07 - Serviços gerais da administração pública - Operações de dívida pública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  <cell r="G10" t="str">
            <v>Não</v>
          </cell>
          <cell r="R10" t="str">
            <v>01.08 - Serviços gerais da administração pública - Transferências de caráter geral entre diferentes níveis da administração pública</v>
          </cell>
        </row>
        <row r="11">
          <cell r="D11" t="str">
            <v>501.01.09 - SALÁRIOS E VENCIMENTOS - Salários e abonos regulares e permanentes - Salários de outros beneficiários</v>
          </cell>
          <cell r="R11" t="str">
            <v>02.01 - Defesa - Defesa militar</v>
          </cell>
        </row>
        <row r="12">
          <cell r="D12" t="str">
            <v>501.01.10 - SALÁRIOS E VENCIMENTOS - Salários e abonos regulares e permanentes - Abono para despesas de representação</v>
          </cell>
          <cell r="R12" t="str">
            <v>02.02 - Defesa - Defesa civil</v>
          </cell>
        </row>
        <row r="13">
          <cell r="D13" t="str">
            <v>501.01.11 - SALÁRIOS E VENCIMENTOS - Salários e abonos regulares e permanentes - Décimo terceiro mês</v>
          </cell>
          <cell r="R13" t="str">
            <v>02.03 - Defesa - Ajuda militar ao estrangeiro</v>
          </cell>
        </row>
        <row r="14">
          <cell r="D14" t="str">
            <v>501.01.12 - SALÁRIOS E VENCIMENTOS - Salários e abonos regulares e permanentes - Outros abonos regulares e permanentes</v>
          </cell>
          <cell r="R14" t="str">
            <v>02.04 - Defesa - Investigação e desenvolvimento em defesa</v>
          </cell>
        </row>
        <row r="15">
          <cell r="D15" t="str">
            <v>501.02.01 - SALÁRIOS E VENCIMENTOS - Abonos variáveis ou eventuais - Horas extraordinárias</v>
          </cell>
          <cell r="R15" t="str">
            <v>02.05 - Defesa - Serviços de defesa não especificados</v>
          </cell>
        </row>
        <row r="16">
          <cell r="D16" t="str">
            <v>501.02.02 - SALÁRIOS E VENCIMENTOS - Abonos variáveis ou eventuais - Subsídio mensal de transporte</v>
          </cell>
          <cell r="R16" t="str">
            <v>03.01 - Segurança e ordem pública - Segurança pública</v>
          </cell>
        </row>
        <row r="17">
          <cell r="D17" t="str">
            <v>501.02.03 - SALÁRIOS E VENCIMENTOS - Abonos variáveis ou eventuais - Ajudas de custo por recolocação</v>
          </cell>
          <cell r="R17" t="str">
            <v>03.02 - Segurança e ordem pública - Serviços de bombeiros</v>
          </cell>
        </row>
        <row r="18">
          <cell r="D18" t="str">
            <v>501.02.04 - SALÁRIOS E VENCIMENTOS - Abonos variáveis ou eventuais - Suplemento de turno</v>
          </cell>
          <cell r="R18" t="str">
            <v>03.03 - Segurança e ordem pública - Tribunais</v>
          </cell>
        </row>
        <row r="19">
          <cell r="D19" t="str">
            <v>501.02.05 - SALÁRIOS E VENCIMENTOS - Abonos variáveis ou eventuais - Suplemento por trabalho em local remoto ou de difícil acesso</v>
          </cell>
          <cell r="R19" t="str">
            <v>03.04 - Segurança e ordem pública - Prisões</v>
          </cell>
        </row>
        <row r="20">
          <cell r="D20" t="str">
            <v>501.02.06 - SALÁRIOS E VENCIMENTOS - Abonos variáveis ou eventuais - Subsídio de alojamento</v>
          </cell>
          <cell r="R20" t="str">
            <v>03.05 - Segurança e ordem pública - Investigação e desenvolvimento em segurança e ordem pública</v>
          </cell>
        </row>
        <row r="21">
          <cell r="D21" t="str">
            <v>501.02.07 - SALÁRIOS E VENCIMENTOS - Abonos variáveis ou eventuais - Subsídio de alimentação</v>
          </cell>
          <cell r="R21" t="str">
            <v>03.06 - Segurança e ordem pública - Serviços de segurança e ordem pública não especificados</v>
          </cell>
        </row>
        <row r="22">
          <cell r="D22" t="str">
            <v>501.02.08 - SALÁRIOS E VENCIMENTOS - Abonos variáveis ou eventuais - Subsídio de risco</v>
          </cell>
          <cell r="R22" t="str">
            <v>04.01 - Assuntos económicos - Assuntos económicos gerais, comerciais e laborais</v>
          </cell>
        </row>
        <row r="23">
          <cell r="D23" t="str">
            <v>501.02.09 - SALÁRIOS E VENCIMENTOS - Abonos variáveis ou eventuais - Outros abonos variáveis ou eventuais</v>
          </cell>
          <cell r="R23" t="str">
            <v>04.02 - Assuntos económicos - Agricultura, silvicultura, pesca e caça</v>
          </cell>
        </row>
        <row r="24">
          <cell r="D24" t="str">
            <v>501.03 - SALÁRIOS E VENCIMENTOS - Contribuição para a Segurança Social como entidade empregadora</v>
          </cell>
          <cell r="R24" t="str">
            <v>04.03 - Assuntos económicos - Combustíveis e energia</v>
          </cell>
        </row>
        <row r="25">
          <cell r="D25" t="str">
            <v>501.04 - SALÁRIOS E VENCIMENTOS - Outras despesas com pessoal</v>
          </cell>
          <cell r="R25" t="str">
            <v>04.04 - Assuntos económicos - Indústrias extrativas, indústria transformadora e construção</v>
          </cell>
        </row>
        <row r="26">
          <cell r="D26" t="str">
            <v>502.01 - BENS E SERVIÇOS CORRENTES - Matérias-primas e subsidiárias</v>
          </cell>
          <cell r="R26" t="str">
            <v>04.05 - Assuntos económicos - Transportes</v>
          </cell>
        </row>
        <row r="27">
          <cell r="D27" t="str">
            <v>502.02 - BENS E SERVIÇOS CORRENTES - Mercadorias para venda</v>
          </cell>
          <cell r="R27" t="str">
            <v>04.06 - Assuntos económicos - Comunicações</v>
          </cell>
        </row>
        <row r="28">
          <cell r="D28" t="str">
            <v>502.03.01 - BENS E SERVIÇOS CORRENTES - Vestuário e artigos pessoais - Fardamento</v>
          </cell>
          <cell r="R28" t="str">
            <v>04.07 - Assuntos económicos - Outras atividades</v>
          </cell>
        </row>
        <row r="29">
          <cell r="D29" t="str">
            <v>502.03.02 - BENS E SERVIÇOS CORRENTES - Vestuário e artigos pessoais - Outro vestuário e artigos pessoais</v>
          </cell>
          <cell r="R29" t="str">
            <v>04.08 - Assuntos económicos - Investigação e desenvolvimento em assuntos económicos</v>
          </cell>
        </row>
        <row r="30">
          <cell r="D30" t="str">
            <v>502.04.01 - BENS E SERVIÇOS CORRENTES - Bens públicos - Água</v>
          </cell>
          <cell r="R30" t="str">
            <v>04.09 - Assuntos económicos - Assuntos económicos não especificados</v>
          </cell>
        </row>
        <row r="31">
          <cell r="D31" t="str">
            <v>502.04.02 - BENS E SERVIÇOS CORRENTES - Bens públicos - Eletricidade</v>
          </cell>
          <cell r="R31" t="str">
            <v>05.01 - Proteção do ambiente - Gestão de resíduos</v>
          </cell>
        </row>
        <row r="32">
          <cell r="D32" t="str">
            <v>502.04.03 - BENS E SERVIÇOS CORRENTES - Bens públicos - Gás</v>
          </cell>
          <cell r="R32" t="str">
            <v>05.02 - Proteção do ambiente - Gestão de águas residuais</v>
          </cell>
        </row>
        <row r="33">
          <cell r="D33" t="str">
            <v>502.04.04 - BENS E SERVIÇOS CORRENTES - Bens públicos - Outros bens públicos</v>
          </cell>
          <cell r="R33" t="str">
            <v>05.03 - Proteção do ambiente - Redução da poluição</v>
          </cell>
        </row>
        <row r="34">
          <cell r="D34" t="str">
            <v>502.05.01 - BENS E SERVIÇOS CORRENTES - Alimentação - Produtos alimentares não confecionados</v>
          </cell>
          <cell r="R34" t="str">
            <v>05.04 - Proteção do ambiente - Proteção da biodiversidade biológica e da paisagem</v>
          </cell>
        </row>
        <row r="35">
          <cell r="D35" t="str">
            <v>502.05.02 - BENS E SERVIÇOS CORRENTES - Alimentação - Refeições confecionadas</v>
          </cell>
          <cell r="R35" t="str">
            <v>05.05 - Proteção do ambiente - Investigação e desenvolvimento em proteção do ambiente</v>
          </cell>
        </row>
        <row r="36">
          <cell r="D36" t="str">
            <v>502.05.03 - BENS E SERVIÇOS CORRENTES - Alimentação - Bebidas</v>
          </cell>
          <cell r="R36" t="str">
            <v>05.06 - Proteção do ambiente - Serviços de proteção do ambiente não especificados</v>
          </cell>
        </row>
        <row r="37">
          <cell r="D37" t="str">
            <v>502.05.04 - BENS E SERVIÇOS CORRENTES - Alimentação - Outra alimentação</v>
          </cell>
          <cell r="R37" t="str">
            <v>06.01 - Habitação e infraestruturas coletivas - Desenvolvimento habitacional</v>
          </cell>
        </row>
        <row r="38">
          <cell r="D38" t="str">
            <v>502.06 - BENS E SERVIÇOS CORRENTES - Material médico e hospitalar</v>
          </cell>
          <cell r="R38" t="str">
            <v>06.02 - Habitação e infraestruturas coletivas - Desenvolvimento coletivo</v>
          </cell>
        </row>
        <row r="39">
          <cell r="D39" t="str">
            <v>502.07 - BENS E SERVIÇOS CORRENTES - Material escolar</v>
          </cell>
          <cell r="R39" t="str">
            <v>06.03 - Habitação e infraestruturas coletivas - Abastecimento de água</v>
          </cell>
        </row>
        <row r="40">
          <cell r="D40" t="str">
            <v>502.08 - BENS E SERVIÇOS CORRENTES - Material agrícola</v>
          </cell>
          <cell r="R40" t="str">
            <v>06.04 - Habitação e infraestruturas coletivas - Iluminação das vias públicas</v>
          </cell>
        </row>
        <row r="41">
          <cell r="D41" t="str">
            <v>502.09 - BENS E SERVIÇOS CORRENTES - Material de escritório</v>
          </cell>
          <cell r="R41" t="str">
            <v>06.05 - Habitação e infraestruturas coletivas - Investigação e desenvolvimento em habitação e infraestruturas coletivas</v>
          </cell>
        </row>
        <row r="42">
          <cell r="D42" t="str">
            <v>502.10.01 - BENS E SERVIÇOS CORRENTES - Combustível - Combustível para geradores</v>
          </cell>
          <cell r="R42" t="str">
            <v>06.06 - Habitação e infraestruturas coletivas - Serviços de habitação e infraestruturas coletivas não especificados</v>
          </cell>
        </row>
        <row r="43">
          <cell r="D43" t="str">
            <v>502.10.02 - BENS E SERVIÇOS CORRENTES - Combustível - Combustível para veículos</v>
          </cell>
          <cell r="R43" t="str">
            <v>07.01 - Saúde - Produtos, instrumentos e equipamentos médicos</v>
          </cell>
        </row>
        <row r="44">
          <cell r="D44" t="str">
            <v>502.10.03 - BENS E SERVIÇOS CORRENTES - Combustível - Combustível para navios</v>
          </cell>
          <cell r="R44" t="str">
            <v>07.02 - Saúde - Serviços de saúde ambulatórios</v>
          </cell>
        </row>
        <row r="45">
          <cell r="D45" t="str">
            <v>502.10.04 - BENS E SERVIÇOS CORRENTES - Combustível - Combustível para aviões</v>
          </cell>
          <cell r="R45" t="str">
            <v>07.03 - Saúde - Serviços dos hospitais</v>
          </cell>
        </row>
        <row r="46">
          <cell r="D46" t="str">
            <v>502.10.05 - BENS E SERVIÇOS CORRENTES - Combustível - Outros combustíveis</v>
          </cell>
          <cell r="R46" t="str">
            <v>07.04 - Saúde - Serviços de saúde pública</v>
          </cell>
        </row>
        <row r="47">
          <cell r="D47" t="str">
            <v>502.11.01 - BENS E SERVIÇOS CORRENTES - Produtos químicos - Produtos farmaceuticos</v>
          </cell>
          <cell r="R47" t="str">
            <v>07.05 - Saúde - Investigação e desenvolvimento em saúde</v>
          </cell>
        </row>
        <row r="48">
          <cell r="D48" t="str">
            <v>502.11.02 - BENS E SERVIÇOS CORRENTES - Produtos químicos - Artigos de limpeza e higiene</v>
          </cell>
          <cell r="R48" t="str">
            <v>07.06 - Saúde - Serviços de saúde não especificados</v>
          </cell>
        </row>
        <row r="49">
          <cell r="D49" t="str">
            <v>502.11.03 - BENS E SERVIÇOS CORRENTES - Produtos químicos - Munições, explosivos e artifícios</v>
          </cell>
          <cell r="R49" t="str">
            <v>08.01 - Desporto, recreação, cultura e religião - Serviços recreativos e desportivos</v>
          </cell>
        </row>
        <row r="50">
          <cell r="D50" t="str">
            <v>502.11.04 - BENS E SERVIÇOS CORRENTES - Produtos químicos - Petróleo</v>
          </cell>
          <cell r="R50" t="str">
            <v>08.02 - Desporto, recreação, cultura e religião - Serviços culturais</v>
          </cell>
        </row>
        <row r="51">
          <cell r="D51" t="str">
            <v>502.11.05 - BENS E SERVIÇOS CORRENTES - Produtos químicos - Lubrificantes</v>
          </cell>
          <cell r="R51" t="str">
            <v>08.03 - Desporto, recreação, cultura e religião - Serviços de difusão e publicação</v>
          </cell>
        </row>
        <row r="52">
          <cell r="D52" t="str">
            <v>502.11.06 - BENS E SERVIÇOS CORRENTES - Produtos químicos - Outros produtos químicos</v>
          </cell>
          <cell r="R52" t="str">
            <v>08.04 - Desporto, recreação, cultura e religião - Serviços religiosos e outros serviços prestados à comunidade</v>
          </cell>
        </row>
        <row r="53">
          <cell r="D53" t="str">
            <v xml:space="preserve">502.12.01 - BENS E SERVIÇOS CORRENTES - Peças e Ferramentas - Peças </v>
          </cell>
          <cell r="R53" t="str">
            <v>08.05 - Desporto, recreação, cultura e religião - Investigação e desenvolvimento em serviços recreativos, culturais e religiosos</v>
          </cell>
        </row>
        <row r="54">
          <cell r="D54" t="str">
            <v>502.12.02 - BENS E SERVIÇOS CORRENTES - Peças e Ferramentas - Ferramentas e utensílios</v>
          </cell>
          <cell r="R54" t="str">
            <v>08.06 - Desporto, recreação, cultura e religião - Assuntos e serviços recreativos, culturais e religiosos não especificados</v>
          </cell>
        </row>
        <row r="55">
          <cell r="D55" t="str">
            <v>502.13 - BENS E SERVIÇOS CORRENTES - Prémios, condecorações e ofertas</v>
          </cell>
          <cell r="R55" t="str">
            <v>09.01 - Educação - Ensino primário e pré-primário</v>
          </cell>
        </row>
        <row r="56">
          <cell r="D56" t="str">
            <v>502.14 - BENS E SERVIÇOS CORRENTES - Livros e documentação técnica</v>
          </cell>
          <cell r="R56" t="str">
            <v>09.02 - Educação - Ensino secundário</v>
          </cell>
        </row>
        <row r="57">
          <cell r="D57" t="str">
            <v>502.15 - BENS E SERVIÇOS CORRENTES - Outros bens correntes</v>
          </cell>
          <cell r="R57" t="str">
            <v>09.03 - Educação - Ensino pós-secundário não superior</v>
          </cell>
        </row>
        <row r="58">
          <cell r="D58" t="str">
            <v>502.16.01 - BENS E SERVIÇOS CORRENTES - Limpeza e segurança - Limpeza e higiene</v>
          </cell>
          <cell r="R58" t="str">
            <v>09.04 - Educação - Ensino superior</v>
          </cell>
        </row>
        <row r="59">
          <cell r="D59" t="str">
            <v>502.16.02 - BENS E SERVIÇOS CORRENTES - Limpeza e segurança - Vigilância e segurança</v>
          </cell>
          <cell r="R59" t="str">
            <v>09.05 - Educação - Ensino não definido por níveis</v>
          </cell>
        </row>
        <row r="60">
          <cell r="D60" t="str">
            <v>502.17.01 - BENS E SERVIÇOS CORRENTES - Manutenção - Manutenção de veículos</v>
          </cell>
          <cell r="R60" t="str">
            <v>09.06 - Educação - Serviços anexos à educação</v>
          </cell>
        </row>
        <row r="61">
          <cell r="D61" t="str">
            <v>502.17.02 - BENS E SERVIÇOS CORRENTES - Manutenção - Manutenção de navios</v>
          </cell>
          <cell r="R61" t="str">
            <v>09.07 - Educação - Investigação e desenvolvimento em educação</v>
          </cell>
        </row>
        <row r="62">
          <cell r="D62" t="str">
            <v>502.17.03 - BENS E SERVIÇOS CORRENTES - Manutenção - Manutenção de aviões</v>
          </cell>
          <cell r="R62" t="str">
            <v>09.08 - Educação - Serviços de educação não especificados</v>
          </cell>
        </row>
        <row r="63">
          <cell r="D63" t="str">
            <v>502.17.04 - BENS E SERVIÇOS CORRENTES - Manutenção - Manutenção de equipamento de eletricidade</v>
          </cell>
          <cell r="R63" t="str">
            <v>10.01 - Proteção Social - Doença, incapacidade e deficiência</v>
          </cell>
        </row>
        <row r="64">
          <cell r="D64" t="str">
            <v>502.17.05 - BENS E SERVIÇOS CORRENTES - Manutenção - Manutenção de equipamento de comunicação</v>
          </cell>
          <cell r="R64" t="str">
            <v>10.02 - Proteção Social - Velhice</v>
          </cell>
        </row>
        <row r="65">
          <cell r="D65" t="str">
            <v>502.17.06 - BENS E SERVIÇOS CORRENTES - Manutenção - Manutenção de equipamento de ar condicionado</v>
          </cell>
          <cell r="R65" t="str">
            <v>10.03 - Proteção Social - Morte e sobrevivência</v>
          </cell>
        </row>
        <row r="66">
          <cell r="D66" t="str">
            <v>502.17.07 - BENS E SERVIÇOS CORRENTES - Manutenção - Manutenção de geradores</v>
          </cell>
          <cell r="R66" t="str">
            <v>10.04 - Proteção Social - Família e infância</v>
          </cell>
        </row>
        <row r="67">
          <cell r="D67" t="str">
            <v>502.17.08 - BENS E SERVIÇOS CORRENTES - Manutenção - Manutenção de outro equipamento</v>
          </cell>
          <cell r="R67" t="str">
            <v>10.05 - Proteção Social - Desemprego</v>
          </cell>
        </row>
        <row r="68">
          <cell r="D68" t="str">
            <v>502.17.09 - BENS E SERVIÇOS CORRENTES - Manutenção - Manutenção de edifícios administrativos</v>
          </cell>
          <cell r="R68" t="str">
            <v xml:space="preserve">10.06 - Proteção Social - Habitação </v>
          </cell>
        </row>
        <row r="69">
          <cell r="D69" t="str">
            <v>502.17.10 - BENS E SERVIÇOS CORRENTES - Manutenção - Manutenção de efifícios residenciais</v>
          </cell>
          <cell r="R69" t="str">
            <v>10.07 - Proteção Social - Pobreza e exclusão social não especificada</v>
          </cell>
        </row>
        <row r="70">
          <cell r="D70" t="str">
            <v>502.17.11 - BENS E SERVIÇOS CORRENTES - Manutenção - Manutenção de edifícios escolares e universitários</v>
          </cell>
          <cell r="R70" t="str">
            <v>10.08 - Proteção Social - Investigação e desenvolvimento em proteção social</v>
          </cell>
        </row>
        <row r="71">
          <cell r="D71" t="str">
            <v>502.17.12 - BENS E SERVIÇOS CORRENTES - Manutenção - Manutenção de edifícios médico-hospitalares</v>
          </cell>
          <cell r="R71" t="str">
            <v>10.09 - Proteção Social - Serviços de proteção social não especificados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503.01.02 - TRANSFERÊNCIAS PÚBLICAS - Transferências correntes para o Setor Público Administrativo -Transferências correntes para a Segurança Social (entre regimes)</v>
          </cell>
        </row>
        <row r="141">
          <cell r="D141" t="str">
            <v>503.01.03 - TRANSFERÊNCIAS PÚBLICAS - Transferências correntes para o Setor Público Administrativo -Transferências correntes para a RAEOA</v>
          </cell>
        </row>
        <row r="142">
          <cell r="D142" t="str">
            <v>503.01.04 - TRANSFERÊNCIAS PÚBLICAS - Transferências correntes para o Setor Público Administrativo -Transferências correntes para os municípios</v>
          </cell>
        </row>
        <row r="143">
          <cell r="D143" t="str">
            <v>503.02.01 - TRANSFERÊNCIAS PÚBLICAS - Transferências correntes para sociedades -Transferências correntes para empresas públicas</v>
          </cell>
        </row>
        <row r="144">
          <cell r="D144" t="str">
            <v>503.02.02 - TRANSFERÊNCIAS PÚBLICAS - Transferências correntes para sociedades -Transferências correntes para sociedades financeiras</v>
          </cell>
        </row>
        <row r="145">
          <cell r="D145" t="str">
            <v>503.02.03 - TRANSFERÊNCIAS PÚBLICAS - Transferências correntes para sociedades -Transferências correntes para sociedades não-financeiras</v>
          </cell>
        </row>
        <row r="146">
          <cell r="D146" t="str">
            <v>503.03.01 - TRANSFERÊNCIAS PÚBLICAS - Transferências correntes para famílias -Pensão Social de invalidez do regime não contributivo</v>
          </cell>
        </row>
        <row r="147">
          <cell r="D147" t="str">
            <v>503.03.02 - TRANSFERÊNCIAS PÚBLICAS - Transferências correntes para famílias -Pensão Social de velhice do regime não contributivo</v>
          </cell>
        </row>
        <row r="148">
          <cell r="D148" t="str">
            <v>503.03.03 - TRANSFERÊNCIAS PÚBLICAS - Transferências correntes para famílias -Complemento de pensão de invalidez</v>
          </cell>
        </row>
        <row r="149">
          <cell r="D149" t="str">
            <v>503.03.04 - TRANSFERÊNCIAS PÚBLICAS - Transferências correntes para famílias -Complemento de pensão de velhice</v>
          </cell>
        </row>
        <row r="150">
          <cell r="D150" t="str">
            <v>503.03.05 - TRANSFERÊNCIAS PÚBLICAS - Transferências correntes para famílias -Complemento de pensão de sobrevivência</v>
          </cell>
        </row>
        <row r="151">
          <cell r="D151" t="str">
            <v>503.03.06 - TRANSFERÊNCIAS PÚBLICAS - Transferências correntes para famílias -Outras prestações do regime não contributivo de segurança social</v>
          </cell>
        </row>
        <row r="152">
          <cell r="D152" t="str">
            <v>503.03.07 - TRANSFERÊNCIAS PÚBLICAS - Transferências correntes para famílias -Pensão de invalidez do regime transitório</v>
          </cell>
        </row>
        <row r="153">
          <cell r="D153" t="str">
            <v>503.03.08 - TRANSFERÊNCIAS PÚBLICAS - Transferências correntes para famílias -Pensão de velhice do regime transitório</v>
          </cell>
        </row>
        <row r="154">
          <cell r="D154" t="str">
            <v>503.03.09 - TRANSFERÊNCIAS PÚBLICAS - Transferências correntes para famílias -Pensão de sobrevivência do regime transitório</v>
          </cell>
        </row>
        <row r="155">
          <cell r="D155" t="str">
            <v>503.03.10 - TRANSFERÊNCIAS PÚBLICAS - Transferências correntes para famílias -Pensão de invalidez do regime geral</v>
          </cell>
        </row>
        <row r="156">
          <cell r="D156" t="str">
            <v>503.03.11 - TRANSFERÊNCIAS PÚBLICAS - Transferências correntes para famílias -Pensão de velhice do regime geral</v>
          </cell>
        </row>
        <row r="157">
          <cell r="D157" t="str">
            <v>503.03.12 - TRANSFERÊNCIAS PÚBLICAS - Transferências correntes para famílias -Pensão de sobrevivência do regime geral</v>
          </cell>
        </row>
        <row r="158">
          <cell r="D158" t="str">
            <v>503.03.13 - TRANSFERÊNCIAS PÚBLICAS - Transferências correntes para famílias -Subsídio por risco clínico durante a gravidez</v>
          </cell>
        </row>
        <row r="159">
          <cell r="D159" t="str">
            <v>503.03.14 - TRANSFERÊNCIAS PÚBLICAS - Transferências correntes para famílias -Subsídio por interrupção de gravidez</v>
          </cell>
        </row>
        <row r="160">
          <cell r="D160" t="str">
            <v>503.03.15 - TRANSFERÊNCIAS PÚBLICAS - Transferências correntes para famílias -Subsídio por maternidade</v>
          </cell>
        </row>
        <row r="161">
          <cell r="D161" t="str">
            <v>503.03.16 - TRANSFERÊNCIAS PÚBLICAS - Transferências correntes para famílias -Subsídio por paternidade</v>
          </cell>
        </row>
        <row r="162">
          <cell r="D162" t="str">
            <v>503.03.17 - TRANSFERÊNCIAS PÚBLICAS - Transferências correntes para famílias -Subsídio por adoção</v>
          </cell>
        </row>
        <row r="163">
          <cell r="D163" t="str">
            <v>503.03.18 - TRANSFERÊNCIAS PÚBLICAS - Transferências correntes para famílias -Subsídio por morte</v>
          </cell>
        </row>
        <row r="164">
          <cell r="D164" t="str">
            <v>503.03.19 - TRANSFERÊNCIAS PÚBLICAS - Transferências correntes para famílias -Reembolso e ou apoio para despesas de funeral</v>
          </cell>
        </row>
        <row r="165">
          <cell r="D165" t="str">
            <v>503.03.20 - TRANSFERÊNCIAS PÚBLICAS - Transferências correntes para famílias -Subsídio de doença</v>
          </cell>
        </row>
        <row r="166">
          <cell r="D166" t="str">
            <v>503.03.21 - TRANSFERÊNCIAS PÚBLICAS - Transferências correntes para famílias -Subsídio de desemprego</v>
          </cell>
        </row>
        <row r="167">
          <cell r="D167" t="str">
            <v>503.03.22 - TRANSFERÊNCIAS PÚBLICAS - Transferências correntes para famílias -Abono de família</v>
          </cell>
        </row>
        <row r="168">
          <cell r="D168" t="str">
            <v>503.03.23 - TRANSFERÊNCIAS PÚBLICAS - Transferências correntes para famílias -Outras prestações do regime contributivo de segurança social</v>
          </cell>
        </row>
        <row r="169">
          <cell r="D169" t="str">
            <v>503.03.24 - TRANSFERÊNCIAS PÚBLICAS - Transferências correntes para famílias -Pensão para ex-titulares de cargos políticos</v>
          </cell>
        </row>
        <row r="170">
          <cell r="D170" t="str">
            <v>503.03.25 - TRANSFERÊNCIAS PÚBLICAS - Transferências correntes para famílias -Pensão dos combatentes e Mártires da Libertação Nacional</v>
          </cell>
        </row>
        <row r="171">
          <cell r="D171" t="str">
            <v>503.03.26 - TRANSFERÊNCIAS PÚBLICAS - Transferências correntes para famílias -Bolsa da Mãe</v>
          </cell>
        </row>
        <row r="172">
          <cell r="D172" t="str">
            <v>503.03.27 - TRANSFERÊNCIAS PÚBLICAS - Transferências correntes para famílias -Bolsas de estudo aos filhos dos Combatentes e Mártires da Libertação Nacional</v>
          </cell>
        </row>
        <row r="173">
          <cell r="D173" t="str">
            <v>503.03.28 - TRANSFERÊNCIAS PÚBLICAS - Transferências correntes para famílias -Outras bolsas de estudo no território nacional</v>
          </cell>
        </row>
        <row r="174">
          <cell r="D174" t="str">
            <v>503.03.29 - TRANSFERÊNCIAS PÚBLICAS - Transferências correntes para famílias -Outras bolsas de estudo no estrangeiro</v>
          </cell>
        </row>
        <row r="175">
          <cell r="D175" t="str">
            <v>503.03.30 - TRANSFERÊNCIAS PÚBLICAS - Transferências correntes para famílias -Outras prestações sociais</v>
          </cell>
        </row>
        <row r="176">
          <cell r="D176" t="str">
            <v>503.03.31 - TRANSFERÊNCIAS PÚBLICAS - Transferências correntes para famílias -Outras transferências correntes para famílias</v>
          </cell>
        </row>
        <row r="177">
          <cell r="D177" t="str">
            <v>503.04.01 - TRANSFERÊNCIAS PÚBLICAS - Transferências correntes para instituições sem fins lucrativos -Transferências correntes para fundações públicas</v>
          </cell>
        </row>
        <row r="178">
          <cell r="D178" t="str">
            <v>503.04.02 - TRANSFERÊNCIAS PÚBLICAS - Transferências correntes para instituições sem fins lucrativos -Transferências correntes para associações públicas</v>
          </cell>
        </row>
        <row r="179">
          <cell r="D179" t="str">
            <v>503.04.03 - TRANSFERÊNCIAS PÚBLICAS - Transferências correntes para instituições sem fins lucrativos -Outras transferências correntes para instituições sem fins lucrativos</v>
          </cell>
        </row>
        <row r="180">
          <cell r="D180" t="str">
            <v>503.05.01 - TRANSFERÊNCIAS PÚBLICAS - Transferências correntes para o exterior -Transferências correntes para países terceiros</v>
          </cell>
        </row>
        <row r="181">
          <cell r="D181" t="str">
            <v>503.05.02 - TRANSFERÊNCIAS PÚBLICAS - Transferências correntes para o exterior -Transferências correntes para organizações internacionais</v>
          </cell>
        </row>
        <row r="182">
          <cell r="D182" t="str">
            <v>503.05.03 - TRANSFERÊNCIAS PÚBLICAS - Transferências correntes para o exterior -Outras transferências correntes para o exterior</v>
          </cell>
        </row>
        <row r="183">
          <cell r="D183" t="str">
            <v>503.06.01 - TRANSFERÊNCIAS PÚBLICAS - Juros -Juros e taxa de compromisso do Banco Mundial</v>
          </cell>
        </row>
        <row r="184">
          <cell r="D184" t="str">
            <v>503.06.02 - TRANSFERÊNCIAS PÚBLICAS - Juros -Juros e taxa de compromisso do ADB</v>
          </cell>
        </row>
        <row r="185">
          <cell r="D185" t="str">
            <v>503.06.03 - TRANSFERÊNCIAS PÚBLICAS - Juros -Juros e taxa de compromisso da JICA</v>
          </cell>
        </row>
        <row r="186">
          <cell r="D186" t="str">
            <v>503.06.04 - TRANSFERÊNCIAS PÚBLICAS - Juros -Juros e taxa de compromisso do AIFFP</v>
          </cell>
        </row>
        <row r="187">
          <cell r="D187" t="str">
            <v>503.06.05 - TRANSFERÊNCIAS PÚBLICAS - Juros -Juros de títulos do Tesouro</v>
          </cell>
        </row>
        <row r="188">
          <cell r="D188" t="str">
            <v>503.06.06 - TRANSFERÊNCIAS PÚBLICAS - Juros -Outros juros da dívida pública</v>
          </cell>
        </row>
        <row r="189">
          <cell r="D189" t="str">
            <v>503.06.07 - TRANSFERÊNCIAS PÚBLICAS - Juros -Outros juros</v>
          </cell>
        </row>
        <row r="190">
          <cell r="D190" t="str">
            <v>503.07 - TRANSFERÊNCIAS PÚBLICAS - Impostos</v>
          </cell>
        </row>
        <row r="191">
          <cell r="D191" t="str">
            <v>503.08 - TRANSFERÊNCIAS PÚBLICAS - Taxas</v>
          </cell>
        </row>
        <row r="192">
          <cell r="D192" t="str">
            <v>503.09 - TRANSFERÊNCIAS PÚBLICAS - Coimas e outras penalidades</v>
          </cell>
        </row>
        <row r="193">
          <cell r="D193" t="str">
            <v>503.10 - TRANSFERÊNCIAS PÚBLICAS - Restituições não abatidas na receita</v>
          </cell>
        </row>
        <row r="194">
          <cell r="D194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5">
          <cell r="D195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6">
          <cell r="D196" t="str">
            <v>503.11.01.02 - TRANSFERÊNCIAS PÚBLICAS - Transferências de Capital - Transferências para o Setor Público Administrativo - Transferências para a Segurança Social (entre regimes)</v>
          </cell>
        </row>
        <row r="197">
          <cell r="D197" t="str">
            <v>503.11.01.03 - TRANSFERÊNCIAS PÚBLICAS - Transferências de Capital - Transferências para o Setor Público Administrativo - Transferências para a RAEOA</v>
          </cell>
        </row>
        <row r="198">
          <cell r="D198" t="str">
            <v>503.11.01.04 - TRANSFERÊNCIAS PÚBLICAS - Transferências de Capital - Transferências para o Setor Público Administrativo - Transferências para os municípios</v>
          </cell>
        </row>
        <row r="199">
          <cell r="D199" t="str">
            <v>503.11.02 - TRANSFERÊNCIAS PÚBLICAS - Transferências de Capital - Transferências para sociedades</v>
          </cell>
        </row>
        <row r="200">
          <cell r="D200" t="str">
            <v>503.11.03 - TRANSFERÊNCIAS PÚBLICAS - Transferências de Capital - Transferências para famílias</v>
          </cell>
        </row>
        <row r="201">
          <cell r="D201" t="str">
            <v>503.11.04 - TRANSFERÊNCIAS PÚBLICAS - Transferências de Capital - Transferências para instituições sem fins lucrativos</v>
          </cell>
        </row>
        <row r="202">
          <cell r="D202" t="str">
            <v>503.11.05 - TRANSFERÊNCIAS PÚBLICAS - Transferências de Capital - Transferências para o exterior</v>
          </cell>
        </row>
        <row r="203">
          <cell r="D203" t="str">
            <v>503.11.06 - TRANSFERÊNCIAS PÚBLICAS - Transferências de Capital - Outras transferências de capital</v>
          </cell>
        </row>
        <row r="204">
          <cell r="D204" t="str">
            <v>503.12.01 - TRANSFERÊNCIAS PÚBLICAS - Ativos Financeiros - Concessão de empréstimos</v>
          </cell>
        </row>
        <row r="205">
          <cell r="D205" t="str">
            <v>503.12.02 - TRANSFERÊNCIAS PÚBLICAS - Ativos Financeiros - Aquisição de títulos</v>
          </cell>
        </row>
        <row r="206">
          <cell r="D206" t="str">
            <v>503.12.03 - TRANSFERÊNCIAS PÚBLICAS - Ativos Financeiros - Outros ativos financeiros</v>
          </cell>
        </row>
        <row r="207">
          <cell r="D207" t="str">
            <v>503.13.01 - TRANSFERÊNCIAS PÚBLICAS - Passivos Financeiros - Amortização de empréstimos do Banco Mundial</v>
          </cell>
        </row>
        <row r="208">
          <cell r="D208" t="str">
            <v>503.13.02 - TRANSFERÊNCIAS PÚBLICAS - Passivos Financeiros - Amortização de empréstimos do ADB</v>
          </cell>
        </row>
        <row r="209">
          <cell r="D209" t="str">
            <v>503.13.03 - TRANSFERÊNCIAS PÚBLICAS - Passivos Financeiros - Amortização de empréstimos da JICA</v>
          </cell>
        </row>
        <row r="210">
          <cell r="D210" t="str">
            <v>503.13.04 - TRANSFERÊNCIAS PÚBLICAS - Passivos Financeiros - Amortização de empréstimos do AIFFP</v>
          </cell>
        </row>
        <row r="211">
          <cell r="D211" t="str">
            <v>503.13.05 - TRANSFERÊNCIAS PÚBLICAS - Passivos Financeiros - Amortização de títulos do Tesouro</v>
          </cell>
        </row>
        <row r="212">
          <cell r="D212" t="str">
            <v>503.13.06 - TRANSFERÊNCIAS PÚBLICAS - Passivos Financeiros - Outros passivos financeiros</v>
          </cell>
        </row>
        <row r="213">
          <cell r="D213" t="str">
            <v>504.01.01 - CAPITAL MENOR - Aquisição de bens de capital móvel - Veículos civis</v>
          </cell>
        </row>
        <row r="214">
          <cell r="D214" t="str">
            <v>504.01.02 - CAPITAL MENOR - Aquisição de bens de capital móvel - Veículos militares</v>
          </cell>
        </row>
        <row r="215">
          <cell r="D215" t="str">
            <v>504.01.03 - CAPITAL MENOR - Aquisição de bens de capital móvel - Equipamento de informática</v>
          </cell>
        </row>
        <row r="216">
          <cell r="D216" t="str">
            <v>504.01.04 - CAPITAL MENOR - Aquisição de bens de capital móvel - Equipamento de água</v>
          </cell>
        </row>
        <row r="217">
          <cell r="D217" t="str">
            <v>504.01.05 - CAPITAL MENOR - Aquisição de bens de capital móvel - Equipamento de eletricidade</v>
          </cell>
        </row>
        <row r="218">
          <cell r="D218" t="str">
            <v>504.01.06 - CAPITAL MENOR - Aquisição de bens de capital móvel - Equipamento de comunicações</v>
          </cell>
        </row>
        <row r="219">
          <cell r="D219" t="str">
            <v>504.01.07 - CAPITAL MENOR - Aquisição de bens de capital móvel - Equipamento de segurança</v>
          </cell>
        </row>
        <row r="220">
          <cell r="D220" t="str">
            <v>504.01.08 - CAPITAL MENOR - Aquisição de bens de capital móvel - Equipamento de construção</v>
          </cell>
        </row>
        <row r="221">
          <cell r="D221" t="str">
            <v>504.01.09 - CAPITAL MENOR - Aquisição de bens de capital móvel - Equipamento de transporte</v>
          </cell>
        </row>
        <row r="222">
          <cell r="D222" t="str">
            <v>504.01.10 - CAPITAL MENOR - Aquisição de bens de capital móvel - Geradores</v>
          </cell>
        </row>
        <row r="223">
          <cell r="D223" t="str">
            <v>504.01.11 - CAPITAL MENOR - Aquisição de bens de capital móvel - Equipamento de ar condicionado</v>
          </cell>
        </row>
        <row r="224">
          <cell r="D224" t="str">
            <v>504.01.12 - CAPITAL MENOR - Aquisição de bens de capital móvel - Outro equipamento</v>
          </cell>
        </row>
        <row r="225">
          <cell r="D225" t="str">
            <v>504.01.13 - CAPITAL MENOR - Aquisição de bens de capital móvel - Mobiliário</v>
          </cell>
        </row>
        <row r="226">
          <cell r="D226" t="str">
            <v>504.01.14 - CAPITAL MENOR - Aquisição de bens de capital móvel - Outros bens de capital móvel</v>
          </cell>
        </row>
        <row r="227">
          <cell r="D227" t="str">
            <v>504.02 - CAPITAL MENOR - Aquisição de serviços de capital</v>
          </cell>
        </row>
        <row r="228">
          <cell r="D228" t="str">
            <v>505.01.01 - CAPITAL DE DESENVOLVIMENTO - Aquisição de bens de capital fixo - Terrenos</v>
          </cell>
        </row>
        <row r="229">
          <cell r="D229" t="str">
            <v>505.01.02 - CAPITAL DE DESENVOLVIMENTO - Aquisição de bens de capital fixo - Edifícios administrativos</v>
          </cell>
        </row>
        <row r="230">
          <cell r="D230" t="str">
            <v>505.01.03 - CAPITAL DE DESENVOLVIMENTO - Aquisição de bens de capital fixo - Edifícios residenciais</v>
          </cell>
        </row>
        <row r="231">
          <cell r="D231" t="str">
            <v>505.01.04 - CAPITAL DE DESENVOLVIMENTO - Aquisição de bens de capital fixo - Edifícios escolares e universitários</v>
          </cell>
        </row>
        <row r="232">
          <cell r="D232" t="str">
            <v>505.01.05 - CAPITAL DE DESENVOLVIMENTO - Aquisição de bens de capital fixo - Edifícios médico-hospitalares</v>
          </cell>
        </row>
        <row r="233">
          <cell r="D233" t="str">
            <v>505.01.06 - CAPITAL DE DESENVOLVIMENTO - Aquisição de bens de capital fixo - Armazéns</v>
          </cell>
        </row>
        <row r="234">
          <cell r="D234" t="str">
            <v>505.01.07 - CAPITAL DE DESENVOLVIMENTO - Aquisição de bens de capital fixo - Outros edifícios</v>
          </cell>
        </row>
        <row r="235">
          <cell r="D235" t="str">
            <v>505.01.08 - CAPITAL DE DESENVOLVIMENTO - Aquisição de bens de capital fixo - Estradas</v>
          </cell>
        </row>
        <row r="236">
          <cell r="D236" t="str">
            <v>505.01.09 - CAPITAL DE DESENVOLVIMENTO - Aquisição de bens de capital fixo - Pontes</v>
          </cell>
        </row>
        <row r="237">
          <cell r="D237" t="str">
            <v>505.01.10 - CAPITAL DE DESENVOLVIMENTO - Aquisição de bens de capital fixo - Portos</v>
          </cell>
        </row>
        <row r="238">
          <cell r="D238" t="str">
            <v>505.01.11 - CAPITAL DE DESENVOLVIMENTO - Aquisição de bens de capital fixo - Aeroportos</v>
          </cell>
        </row>
        <row r="239">
          <cell r="D239" t="str">
            <v>505.01.12 - CAPITAL DE DESENVOLVIMENTO - Aquisição de bens de capital fixo - Infraestruturas agrícolas e de irrigação</v>
          </cell>
        </row>
        <row r="240">
          <cell r="D240" t="str">
            <v>505.01.13 - CAPITAL DE DESENVOLVIMENTO - Aquisição de bens de capital fixo - Infraestruturas de comunicações</v>
          </cell>
        </row>
        <row r="241">
          <cell r="D241" t="str">
            <v>505.01.14 - CAPITAL DE DESENVOLVIMENTO - Aquisição de bens de capital fixo - Infraestruturas energéticas</v>
          </cell>
        </row>
        <row r="242">
          <cell r="D242" t="str">
            <v>505.01.15 - CAPITAL DE DESENVOLVIMENTO - Aquisição de bens de capital fixo - Infraestruturas de água e saneamento</v>
          </cell>
        </row>
        <row r="243">
          <cell r="D243" t="str">
            <v>505.01.16 - CAPITAL DE DESENVOLVIMENTO - Aquisição de bens de capital fixo - Infraestruturas turísticas, de recreio e desporto</v>
          </cell>
        </row>
        <row r="244">
          <cell r="D244" t="str">
            <v>505.01.17 - CAPITAL DE DESENVOLVIMENTO - Aquisição de bens de capital fixo - Outras infraestruturas</v>
          </cell>
        </row>
        <row r="245">
          <cell r="D245" t="str">
            <v>505.01.18 - CAPITAL DE DESENVOLVIMENTO - Aquisição de bens de capital fixo - Outros imóveis</v>
          </cell>
        </row>
        <row r="246">
          <cell r="D246" t="str">
            <v>506.01 - OPERAÇÕES EXTRAORÇAMENTAIS - Adiantamentos de caixa</v>
          </cell>
        </row>
        <row r="247">
          <cell r="D247" t="str">
            <v>506.02.01 - OPERAÇÕES EXTRAORÇAMENTAIS - Transferência de impostos e cotizações retidos - Transferência para a Autoridade Tributária de impostos retidos</v>
          </cell>
        </row>
        <row r="248">
          <cell r="D248" t="str">
            <v>506.02.02 - OPERAÇÕES EXTRAORÇAMENTAIS - Transferência de impostos e cotizações retidos - Transferência para a Segurança Social de cotizações retidas</v>
          </cell>
        </row>
        <row r="249">
          <cell r="D249" t="str">
            <v>506.02.03 - OPERAÇÕES EXTRAORÇAMENTAIS - Transferência de impostos e cotizações retidos - Outras transferências de impostos e cotizações retidos</v>
          </cell>
        </row>
        <row r="250">
          <cell r="D250" t="str">
            <v>506.03.01 - OPERAÇÕES EXTRAORÇAMENTAIS - Devolução de cauções e garantias - Devolução de caução de execução</v>
          </cell>
        </row>
        <row r="251">
          <cell r="D251" t="str">
            <v>506.03.02 - OPERAÇÕES EXTRAORÇAMENTAIS - Devolução de cauções e garantias - Devolução de caução de qualidade</v>
          </cell>
        </row>
        <row r="252">
          <cell r="D252" t="str">
            <v>506.03.03 - OPERAÇÕES EXTRAORÇAMENTAIS - Devolução de cauções e garantias - Devolução de garantia de pagamento adiantado</v>
          </cell>
        </row>
        <row r="253">
          <cell r="D253" t="str">
            <v>506.04 - OPERAÇÕES EXTRAORÇAMENTAIS - Outras operações extraorçamentais</v>
          </cell>
        </row>
        <row r="254">
          <cell r="D254" t="str">
            <v>401.01.01 - Impostos e contribuições para a Segurança Social - Impostos - Imposto sobre serviços</v>
          </cell>
        </row>
        <row r="255">
          <cell r="D255" t="str">
            <v>401.01.02 - Impostos e contribuições para a Segurança Social - Impostos - Imposto seletivo de consumo</v>
          </cell>
        </row>
        <row r="256">
          <cell r="D256" t="str">
            <v>401.01.03 - Impostos e contribuições para a Segurança Social - Impostos - Imposto sobre vendas</v>
          </cell>
        </row>
        <row r="257">
          <cell r="D257" t="str">
            <v>401.01.04 - Impostos e contribuições para a Segurança Social - Impostos - Imposto sobre salários</v>
          </cell>
        </row>
        <row r="258">
          <cell r="D258" t="str">
            <v>401.01.05 - Impostos e contribuições para a Segurança Social - Impostos - Imposto sobre o rendimento</v>
          </cell>
        </row>
        <row r="259">
          <cell r="D259" t="str">
            <v>401.01.06 - Impostos e contribuições para a Segurança Social - Impostos - Imposto sobre o valor acrescentado</v>
          </cell>
        </row>
        <row r="260">
          <cell r="D260" t="str">
            <v>401.01.07 - Impostos e contribuições para a Segurança Social - Impostos - Imposto sobre o Petróleo Suplementar</v>
          </cell>
        </row>
        <row r="261">
          <cell r="D261" t="str">
            <v>401.01.08 - Impostos e contribuições para a Segurança Social - Impostos - Lucros partilhados do Petróleo e Gás</v>
          </cell>
        </row>
        <row r="262">
          <cell r="D262" t="str">
            <v>401.01.09 - Impostos e contribuições para a Segurança Social - Impostos - Timor Sea First Tranche Petroleum (FTP) Royalties</v>
          </cell>
        </row>
        <row r="263">
          <cell r="D263" t="str">
            <v>401.01.10 - Impostos e contribuições para a Segurança Social - Impostos - Impostos abolidos</v>
          </cell>
        </row>
        <row r="264">
          <cell r="D264" t="str">
            <v>401.01.11 - Impostos e contribuições para a Segurança Social - Impostos - Outros impostos</v>
          </cell>
        </row>
        <row r="265">
          <cell r="D265" t="str">
            <v>401.02 - Impostos e contribuições para a Segurança Social - Direitos aduaneiros de importação</v>
          </cell>
        </row>
        <row r="266">
          <cell r="D266" t="str">
            <v>401.03.01 - Impostos e contribuições para a Segurança Social - Contribuições e cotizações para a Segurança Social - Contribuições de entidade empregadora do Setor Público</v>
          </cell>
        </row>
        <row r="267">
          <cell r="D267" t="str">
            <v>401.03.02 - Impostos e contribuições para a Segurança Social - Contribuições e cotizações para a Segurança Social - Contribuições de entidade empregadora do Setor Privado</v>
          </cell>
        </row>
        <row r="268">
          <cell r="D268" t="str">
            <v>401.03.03 - Impostos e contribuições para a Segurança Social - Contribuições e cotizações para a Segurança Social - Cotizações de trabalhador do Setor Público</v>
          </cell>
        </row>
        <row r="269">
          <cell r="D269" t="str">
            <v>401.03.04 - Impostos e contribuições para a Segurança Social - Contribuições e cotizações para a Segurança Social - Cotizações de trabalhador do Setor Privado</v>
          </cell>
        </row>
        <row r="270">
          <cell r="D270" t="str">
            <v>402.01.01 - Taxas, coimas e outras penalidades - Taxas - Taxas aeroportuárias</v>
          </cell>
        </row>
        <row r="271">
          <cell r="D271" t="str">
            <v>402.01.02 - Taxas, coimas e outras penalidades - Taxas - Taxas ambientais</v>
          </cell>
        </row>
        <row r="272">
          <cell r="D272" t="str">
            <v>402.01.03 - Taxas, coimas e outras penalidades - Taxas - Taxas de estacionamento</v>
          </cell>
        </row>
        <row r="273">
          <cell r="D273" t="str">
            <v>402.01.04 - Taxas, coimas e outras penalidades - Taxas - Taxas de justiça</v>
          </cell>
        </row>
        <row r="274">
          <cell r="D274" t="str">
            <v>402.01.05 - Taxas, coimas e outras penalidades - Taxas - Taxas de publicidade</v>
          </cell>
        </row>
        <row r="275">
          <cell r="D275" t="str">
            <v>402.01.06 - Taxas, coimas e outras penalidades - Taxas - Taxas de passaporte</v>
          </cell>
        </row>
        <row r="276">
          <cell r="D276" t="str">
            <v>402.01.07 - Taxas, coimas e outras penalidades - Taxas - Taxas de entrada e vistos</v>
          </cell>
        </row>
        <row r="277">
          <cell r="D277" t="str">
            <v>402.01.08 - Taxas, coimas e outras penalidades - Taxas - Taxas de registo</v>
          </cell>
        </row>
        <row r="278">
          <cell r="D278" t="str">
            <v>402.01.09 - Taxas, coimas e outras penalidades - Taxas - Taxas de pesca</v>
          </cell>
        </row>
        <row r="279">
          <cell r="D279" t="str">
            <v>402.01.10 - Taxas, coimas e outras penalidades - Taxas - Taxas portuárias</v>
          </cell>
        </row>
        <row r="280">
          <cell r="D280" t="str">
            <v>402.01.11 - Taxas, coimas e outras penalidades - Taxas - Taxas sobre atividade florestal</v>
          </cell>
        </row>
        <row r="281">
          <cell r="D281" t="str">
            <v>402.01.12 - Taxas, coimas e outras penalidades - Taxas - Taxas sobre atividades extrativas</v>
          </cell>
        </row>
        <row r="282">
          <cell r="D282" t="str">
            <v>402.01.13 - Taxas, coimas e outras penalidades - Taxas - Taxas sobre atividade petrolífera</v>
          </cell>
        </row>
        <row r="283">
          <cell r="D283" t="str">
            <v>402.01.14 - Taxas, coimas e outras penalidades - Taxas - Taxas sobre telecomunicações</v>
          </cell>
        </row>
        <row r="284">
          <cell r="D284" t="str">
            <v>402.01.15 - Taxas, coimas e outras penalidades - Taxas - Taxas sobre transportes</v>
          </cell>
        </row>
        <row r="285">
          <cell r="D285" t="str">
            <v>402.01.16 - Taxas, coimas e outras penalidades - Taxas - Taxas sobre jogos sociais</v>
          </cell>
        </row>
        <row r="286">
          <cell r="D286" t="str">
            <v>402.01.17 - Taxas, coimas e outras penalidades - Taxas - Propinas</v>
          </cell>
        </row>
        <row r="287">
          <cell r="D287" t="str">
            <v>402.01.18 - Taxas, coimas e outras penalidades - Taxas - Outras taxas</v>
          </cell>
        </row>
        <row r="288">
          <cell r="D288" t="str">
            <v>402.02.01 - Taxas, coimas e outras penalidades - Coimas e outras penalidades - Juros de mora</v>
          </cell>
        </row>
        <row r="289">
          <cell r="D289" t="str">
            <v>402.02.02 - Taxas, coimas e outras penalidades - Coimas e outras penalidades - Juros compensatórios</v>
          </cell>
        </row>
        <row r="290">
          <cell r="D290" t="str">
            <v>402.02.03 - Taxas, coimas e outras penalidades - Coimas e outras penalidades - Coimas decorrentes do Código da Estrada</v>
          </cell>
        </row>
        <row r="291">
          <cell r="D291" t="str">
            <v>402.02.04 - Taxas, coimas e outras penalidades - Coimas e outras penalidades - Sanções e coimas da Segurança Social</v>
          </cell>
        </row>
        <row r="292">
          <cell r="D292" t="str">
            <v>402.02.05 - Taxas, coimas e outras penalidades - Coimas e outras penalidades - Coimas laborais</v>
          </cell>
        </row>
        <row r="293">
          <cell r="D293" t="str">
            <v>402.02.06 - Taxas, coimas e outras penalidades - Coimas e outras penalidades - Multas decorrentes de processo-crime</v>
          </cell>
        </row>
        <row r="294">
          <cell r="D294" t="str">
            <v>402.02.07 - Taxas, coimas e outras penalidades - Coimas e outras penalidades - Outras coimas e penalidades</v>
          </cell>
        </row>
        <row r="295">
          <cell r="D295" t="str">
            <v>403.01.01 - Rendimentos - Rendas - Arrendamento de bens imóveis de média e longa duração</v>
          </cell>
        </row>
        <row r="296">
          <cell r="D296" t="str">
            <v>403.01.02 - Rendimentos - Rendas - Arrendamento de bens imóveis de curta duração</v>
          </cell>
        </row>
        <row r="297">
          <cell r="D297" t="str">
            <v>403.01.03 - Rendimentos - Rendas - Arrendamento de bens móveis de média e longa duração</v>
          </cell>
        </row>
        <row r="298">
          <cell r="D298" t="str">
            <v>403.01.04 - Rendimentos - Rendas - Arrendamento de bens móveis de curta duração</v>
          </cell>
        </row>
        <row r="299">
          <cell r="D299" t="str">
            <v>403.01.05 - Rendimentos - Rendas - Outras rendas</v>
          </cell>
        </row>
        <row r="300">
          <cell r="D300" t="str">
            <v>403.02 - Rendimentos - Ativos incorpóreos</v>
          </cell>
        </row>
        <row r="301">
          <cell r="D301" t="str">
            <v>403.03 - Rendimentos - Juros</v>
          </cell>
        </row>
        <row r="302">
          <cell r="D302" t="str">
            <v>403.04.01 - Rendimentos - Dividendos e participações nos lucros - Dividendos do Banco Central de Timor-Leste</v>
          </cell>
        </row>
        <row r="303">
          <cell r="D303" t="str">
            <v>403.04.02 - Rendimentos - Dividendos e participações nos lucros - Dividendos do Banco Nacional de Comércio de Timor-Leste</v>
          </cell>
        </row>
        <row r="304">
          <cell r="D304" t="str">
            <v>403.04.03 - Rendimentos - Dividendos e participações nos lucros - Outros dividendos e participações nos lucros</v>
          </cell>
        </row>
        <row r="305">
          <cell r="D305" t="str">
            <v>403.05 - Rendimentos - Outros rendimentos</v>
          </cell>
        </row>
        <row r="306">
          <cell r="D306" t="str">
            <v>404.01 - Transferências - Transferências correntes do Fundo Petrolífero relativas ao Rendimento Sustentável Estimado</v>
          </cell>
        </row>
        <row r="307">
          <cell r="D307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08">
          <cell r="D308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09">
          <cell r="D309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0">
          <cell r="D310" t="str">
            <v>404.02.01.01.04-Transferências-Transferências correntes do Setor Público Administrativo -Transferências correntes da Administração Central-Transferências correntes do Ministério das Finanças-Para financiamento da garantia de valores mínimos de Pensão</v>
          </cell>
        </row>
        <row r="311">
          <cell r="D311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2">
          <cell r="D312" t="str">
            <v>404.02.02 - Transferências - Transferências correntes do Setor Público Administrativo  - Transferências correntes da Segurança Social (entre regimes)</v>
          </cell>
        </row>
        <row r="313">
          <cell r="D313" t="str">
            <v>404.02.03 - Transferências - Transferências correntes do Setor Público Administrativo  - Transferências correntes da RAEOA</v>
          </cell>
        </row>
        <row r="314">
          <cell r="D314" t="str">
            <v>404.02.04 - Transferências - Transferências correntes do Setor Público Administrativo  - Transferências correntes dos municípios</v>
          </cell>
        </row>
        <row r="315">
          <cell r="D315" t="str">
            <v>404.03 - Transferências - Transferências correntes de sociedades</v>
          </cell>
        </row>
        <row r="316">
          <cell r="D316" t="str">
            <v>404.04 - Transferências - Transferências correntes das famílias</v>
          </cell>
        </row>
        <row r="317">
          <cell r="D317" t="str">
            <v>404.05.01 - Transferências - Transferências correntes de instituições sem fins lucrativos - Transferências correntes de fundações públicas</v>
          </cell>
        </row>
        <row r="318">
          <cell r="D318" t="str">
            <v>404.05.02 - Transferências - Transferências correntes de instituições sem fins lucrativos - Transferências correntes de associações públicas</v>
          </cell>
        </row>
        <row r="319">
          <cell r="D319" t="str">
            <v>404.05.03 - Transferências - Transferências correntes de instituições sem fins lucrativos - Transferências correntes de outras instituições sem fins lucrativos</v>
          </cell>
        </row>
        <row r="320">
          <cell r="D320" t="str">
            <v>404.06.01 - Transferências - Transferências correntes do Exterior - Transferências correntes de países terceiros</v>
          </cell>
        </row>
        <row r="321">
          <cell r="D321" t="str">
            <v>404.06.02 - Transferências - Transferências correntes do Exterior - Transferências correntes de organizações internacionais</v>
          </cell>
        </row>
        <row r="322">
          <cell r="D322" t="str">
            <v>404.06.03 - Transferências - Transferências correntes do Exterior - Outras transferências correntes do exterior</v>
          </cell>
        </row>
        <row r="323">
          <cell r="D323" t="str">
            <v>404.07 - Transferências - Outras transferências correntes</v>
          </cell>
        </row>
        <row r="324">
          <cell r="D324" t="str">
            <v>404.08 - Transferências - Transferências de capital do Fundo Petrolífero acima do Rendimento Sustentável Estimado</v>
          </cell>
        </row>
        <row r="325">
          <cell r="D325" t="str">
            <v>404.09.01 - Transferências - Transferências de capital do Setor Público Administrativo  - Transferências de capital da Administração Central</v>
          </cell>
        </row>
        <row r="326">
          <cell r="D326" t="str">
            <v>404.09.02 - Transferências - Transferências de capital do Setor Público Administrativo  - Transferências de capital da Segurança Social (entre regimes)</v>
          </cell>
        </row>
        <row r="327">
          <cell r="D327" t="str">
            <v>404.09.03 - Transferências - Transferências de capital do Setor Público Administrativo  - Transferências de capital da RAEOA</v>
          </cell>
        </row>
        <row r="328">
          <cell r="D328" t="str">
            <v>404.09.04 - Transferências - Transferências de capital do Setor Público Administrativo  - Transferências de capital dos municípios</v>
          </cell>
        </row>
        <row r="329">
          <cell r="D329" t="str">
            <v>404.10 - Transferências - Outras transferências de capital</v>
          </cell>
        </row>
        <row r="330">
          <cell r="D330" t="str">
            <v>405.01.01 - Venda de bens e serviços - Vendas de bens correntes - Livros e Publicações</v>
          </cell>
        </row>
        <row r="331">
          <cell r="D331" t="str">
            <v>405.01.02 - Venda de bens e serviços - Vendas de bens correntes - Formulários e impressos</v>
          </cell>
        </row>
        <row r="332">
          <cell r="D332" t="str">
            <v>405.01.03 - Venda de bens e serviços - Vendas de bens correntes - Material de escritório</v>
          </cell>
        </row>
        <row r="333">
          <cell r="D333" t="str">
            <v>405.01.04 - Venda de bens e serviços - Vendas de bens correntes - Fardamentos e artigos pessoais</v>
          </cell>
        </row>
        <row r="334">
          <cell r="D334" t="str">
            <v>405.01.05 - Venda de bens e serviços - Vendas de bens correntes - Produtos agrícolas e pecuários</v>
          </cell>
        </row>
        <row r="335">
          <cell r="D335" t="str">
            <v>405.01.06 - Venda de bens e serviços - Vendas de bens correntes - Produtos alimentares e bebidas</v>
          </cell>
        </row>
        <row r="336">
          <cell r="D336" t="str">
            <v>405.01.07 - Venda de bens e serviços - Vendas de bens correntes - Bens públicos</v>
          </cell>
        </row>
        <row r="337">
          <cell r="D337" t="str">
            <v>405.01.08 - Venda de bens e serviços - Vendas de bens correntes - Bens inutilizados</v>
          </cell>
        </row>
        <row r="338">
          <cell r="D338" t="str">
            <v>405.01.09 - Venda de bens e serviços - Vendas de bens correntes - Desperdícios e resíduos</v>
          </cell>
        </row>
        <row r="339">
          <cell r="D339" t="str">
            <v>405.01.10 - Venda de bens e serviços - Vendas de bens correntes - Outros bens correntes</v>
          </cell>
        </row>
        <row r="340">
          <cell r="D340" t="str">
            <v>405.02.01 - Venda de bens e serviços - Vendas de bens de capital - Terrenos</v>
          </cell>
        </row>
        <row r="341">
          <cell r="D341" t="str">
            <v>405.02.02 - Venda de bens e serviços - Vendas de bens de capital - Edifícios</v>
          </cell>
        </row>
        <row r="342">
          <cell r="D342" t="str">
            <v>405.02.03 - Venda de bens e serviços - Vendas de bens de capital - Infraestruturas</v>
          </cell>
        </row>
        <row r="343">
          <cell r="D343" t="str">
            <v>405.02.04 - Venda de bens e serviços - Vendas de bens de capital - Outros imóveis</v>
          </cell>
        </row>
        <row r="344">
          <cell r="D344" t="str">
            <v>405.02.05 - Venda de bens e serviços - Vendas de bens de capital - Veículos civis</v>
          </cell>
        </row>
        <row r="345">
          <cell r="D345" t="str">
            <v>405.02.06 - Venda de bens e serviços - Vendas de bens de capital - Veículos militares</v>
          </cell>
        </row>
        <row r="346">
          <cell r="D346" t="str">
            <v>405.02.07 - Venda de bens e serviços - Vendas de bens de capital - Equipamento de informática</v>
          </cell>
        </row>
        <row r="347">
          <cell r="D347" t="str">
            <v>405.02.08 - Venda de bens e serviços - Vendas de bens de capital - Equipamento de água</v>
          </cell>
        </row>
        <row r="348">
          <cell r="D348" t="str">
            <v>405.02.09 - Venda de bens e serviços - Vendas de bens de capital - Equipamento de eletricidade</v>
          </cell>
        </row>
        <row r="349">
          <cell r="D349" t="str">
            <v>405.02.10 - Venda de bens e serviços - Vendas de bens de capital - Equipamento de comunicações</v>
          </cell>
        </row>
        <row r="350">
          <cell r="D350" t="str">
            <v>405.02.11 - Venda de bens e serviços - Vendas de bens de capital - Equipamento de segurança</v>
          </cell>
        </row>
        <row r="351">
          <cell r="D351" t="str">
            <v>405.02.12 - Venda de bens e serviços - Vendas de bens de capital - Equipamento de construção</v>
          </cell>
        </row>
        <row r="352">
          <cell r="D352" t="str">
            <v>405.02.13 - Venda de bens e serviços - Vendas de bens de capital - Equipamento de transporte</v>
          </cell>
        </row>
        <row r="353">
          <cell r="D353" t="str">
            <v>405.02.14 - Venda de bens e serviços - Vendas de bens de capital - Outro equipamento</v>
          </cell>
        </row>
        <row r="354">
          <cell r="D354" t="str">
            <v>405.02.15 - Venda de bens e serviços - Vendas de bens de capital - Mobiliário</v>
          </cell>
        </row>
        <row r="355">
          <cell r="D355" t="str">
            <v>405.02.16 - Venda de bens e serviços - Vendas de bens de capital - Ativos incorpóreos</v>
          </cell>
        </row>
        <row r="356">
          <cell r="D356" t="str">
            <v>405.02.17 - Venda de bens e serviços - Vendas de bens de capital - Outros bens de capital</v>
          </cell>
        </row>
        <row r="357">
          <cell r="D357" t="str">
            <v>405.03.01 - Venda de bens e serviços - Serviços correntes - Estudos, pareceres, projetos e consultadoria</v>
          </cell>
        </row>
        <row r="358">
          <cell r="D358" t="str">
            <v>405.03.02 - Venda de bens e serviços - Serviços correntes - Vistorias e ensaios</v>
          </cell>
        </row>
        <row r="359">
          <cell r="D359" t="str">
            <v>405.03.03 - Venda de bens e serviços - Serviços correntes - Serviços de laboratórios</v>
          </cell>
        </row>
        <row r="360">
          <cell r="D360" t="str">
            <v>405.03.04 - Venda de bens e serviços - Serviços correntes - Atividades de saúde</v>
          </cell>
        </row>
        <row r="361">
          <cell r="D361" t="str">
            <v>405.03.05 - Venda de bens e serviços - Serviços correntes - Reparações</v>
          </cell>
        </row>
        <row r="362">
          <cell r="D362" t="str">
            <v>405.03.06 - Venda de bens e serviços - Serviços correntes - Alimentação e alojamento</v>
          </cell>
        </row>
        <row r="363">
          <cell r="D363" t="str">
            <v>405.03.07 - Venda de bens e serviços - Serviços correntes - Serviços públicos</v>
          </cell>
        </row>
        <row r="364">
          <cell r="D364" t="str">
            <v>405.03.08 - Venda de bens e serviços - Serviços correntes - Serviços sociais, recreativos, culturais e desporto</v>
          </cell>
        </row>
        <row r="365">
          <cell r="D365" t="str">
            <v>405.03.09 - Venda de bens e serviços - Serviços correntes - Serviços de correio</v>
          </cell>
        </row>
        <row r="366">
          <cell r="D366" t="str">
            <v>405.03.10 - Venda de bens e serviços - Serviços correntes - Outros serviços correntes</v>
          </cell>
        </row>
        <row r="367">
          <cell r="D367" t="str">
            <v>405.04 - Venda de bens e serviços - Serviços de capital</v>
          </cell>
        </row>
        <row r="368">
          <cell r="D368" t="str">
            <v>406.01.01 - Ativos e passivos financeiros - Ativos financeiros - Levantamento de depósitos e investimentos</v>
          </cell>
        </row>
        <row r="369">
          <cell r="D369" t="str">
            <v>406.01.02 - Ativos e passivos financeiros - Ativos financeiros - Alienação de títulos</v>
          </cell>
        </row>
        <row r="370">
          <cell r="D370" t="str">
            <v>406.01.03 - Ativos e passivos financeiros - Ativos financeiros - Alienação de partes sociais</v>
          </cell>
        </row>
        <row r="371">
          <cell r="D371" t="str">
            <v>406.01.04 - Ativos e passivos financeiros - Ativos financeiros - Reembolso de empréstimos feitos pelo Estado</v>
          </cell>
        </row>
        <row r="372">
          <cell r="D372" t="str">
            <v>406.01.05 - Ativos e passivos financeiros - Ativos financeiros - Recuperação de créditos</v>
          </cell>
        </row>
        <row r="373">
          <cell r="D373" t="str">
            <v>406.01.06 - Ativos e passivos financeiros - Ativos financeiros - Outros ativos financeiros</v>
          </cell>
        </row>
        <row r="374">
          <cell r="D374" t="str">
            <v>406.02.01 - Ativos e passivos financeiros - Passivos Financeiros - Contração de empréstimos</v>
          </cell>
        </row>
        <row r="375">
          <cell r="D375" t="str">
            <v>406.02.02 - Ativos e passivos financeiros - Passivos Financeiros - Emissão de títulos do tesouro</v>
          </cell>
        </row>
        <row r="376">
          <cell r="D376" t="str">
            <v>406.02.03 - Ativos e passivos financeiros - Passivos Financeiros - Outros passivos financeiros</v>
          </cell>
        </row>
        <row r="377">
          <cell r="D377" t="str">
            <v>407 - Reposições não abatidas nos pagamentos</v>
          </cell>
        </row>
        <row r="378">
          <cell r="D378" t="str">
            <v>408 - Saldo de Gerência</v>
          </cell>
        </row>
        <row r="379">
          <cell r="D379" t="str">
            <v>409.01 - Operações extraorçamentais - Adiantamentos de caixa</v>
          </cell>
        </row>
        <row r="380">
          <cell r="D380" t="str">
            <v>409.02 - Operações extraorçamentais - Retenção de impostos e cotizações</v>
          </cell>
        </row>
        <row r="381">
          <cell r="D381" t="str">
            <v>409.03.01 - Operações extraorçamentais - Cauções e garantias - Caução de execução</v>
          </cell>
        </row>
        <row r="382">
          <cell r="D382" t="str">
            <v>409.03.02 - Operações extraorçamentais - Cauções e garantias - Caução de qualidade</v>
          </cell>
        </row>
        <row r="383">
          <cell r="D383" t="str">
            <v>409.03.03 - Operações extraorçamentais - Cauções e garantias - Garantia de pagamento adiantado</v>
          </cell>
        </row>
        <row r="384">
          <cell r="D384" t="str">
            <v>409.04 - Operações extraorçamentais - Outras operações extraorçamentais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NU"/>
      <sheetName val="CONTA BNCTL"/>
      <sheetName val="CONTA BRI"/>
      <sheetName val="CONTA MANDIRI"/>
      <sheetName val="CONTA ANZ"/>
      <sheetName val="CONTA BANCO1"/>
      <sheetName val="CONTA BANCO2"/>
      <sheetName val="CE_RegimeNaoContributivo"/>
      <sheetName val="CE_RegimeContributivo"/>
      <sheetName val="CE_AdministraçãoINSS"/>
      <sheetName val="CE_INSS_Global"/>
      <sheetName val="Atividade_A040101"/>
      <sheetName val="SubPrograma_A0401"/>
      <sheetName val="Atividade_A040201"/>
      <sheetName val="Atividade_A040202"/>
      <sheetName val="SubPrograma_A0402"/>
      <sheetName val="Programa_RegimeContributivo_A04"/>
      <sheetName val="Atividade_A050101"/>
      <sheetName val="SubPrograma_A0501"/>
      <sheetName val="Programa_RegNaoContributivo_A05"/>
      <sheetName val="Atividade_A060101"/>
      <sheetName val="Atividade_A060102"/>
      <sheetName val="Atividade_A060103"/>
      <sheetName val="Atividade_A060104"/>
      <sheetName val="SubPrograma_A0601"/>
      <sheetName val="Atividade_A060201"/>
      <sheetName val="Atividade_A060202"/>
      <sheetName val="Atividade_A060203"/>
      <sheetName val="SubPrograma_A0602"/>
      <sheetName val="Programa_AdministracaoINSS_A06"/>
      <sheetName val="Sintese_Programas_CE"/>
      <sheetName val="ClassificacaoFuncional"/>
      <sheetName val="Classificadores_Listas"/>
    </sheetNames>
    <sheetDataSet>
      <sheetData sheetId="0" refreshError="1"/>
      <sheetData sheetId="1">
        <row r="3">
          <cell r="O3">
            <v>2026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R2" t="str">
            <v>janeiro a janeiro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0">
          <cell r="C10">
            <v>0</v>
          </cell>
        </row>
      </sheetData>
      <sheetData sheetId="18">
        <row r="10">
          <cell r="C10">
            <v>46250305</v>
          </cell>
        </row>
      </sheetData>
      <sheetData sheetId="19">
        <row r="10">
          <cell r="C10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1">
          <cell r="C11">
            <v>0</v>
          </cell>
        </row>
      </sheetData>
      <sheetData sheetId="27" refreshError="1"/>
      <sheetData sheetId="28" refreshError="1"/>
      <sheetData sheetId="29">
        <row r="11">
          <cell r="C11">
            <v>0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11">
          <cell r="C11">
            <v>2017198</v>
          </cell>
        </row>
      </sheetData>
      <sheetData sheetId="40">
        <row r="10">
          <cell r="B10">
            <v>62649205</v>
          </cell>
        </row>
      </sheetData>
      <sheetData sheetId="41">
        <row r="9">
          <cell r="B9">
            <v>333807</v>
          </cell>
        </row>
      </sheetData>
      <sheetData sheetId="42">
        <row r="3">
          <cell r="D3" t="str">
            <v>501.01.01 - SALÁRIOS E VENCIMENTOS - Salários e abonos regulares e permanentes - Salários de titulares de cargos políticos</v>
          </cell>
          <cell r="G3" t="str">
            <v>Regime não Contributivo</v>
          </cell>
        </row>
        <row r="4">
          <cell r="D4" t="str">
            <v>501.01.02 - SALÁRIOS E VENCIMENTOS - Salários e abonos regulares e permanentes - Salários de membros de órgãos de direção</v>
          </cell>
          <cell r="G4" t="str">
            <v>Regime Contributivo</v>
          </cell>
        </row>
        <row r="5">
          <cell r="D5" t="str">
            <v>501.01.03 - SALÁRIOS E VENCIMENTOS - Salários e abonos regulares e permanentes - Salários de titulares de cargos de direção e chefia</v>
          </cell>
          <cell r="G5" t="str">
            <v>Administração INSS</v>
          </cell>
        </row>
        <row r="6">
          <cell r="D6" t="str">
            <v>501.01.04 - SALÁRIOS E VENCIMENTOS - Salários e abonos regulares e permanentes - Salários de funcionários e agentes</v>
          </cell>
          <cell r="G6" t="str">
            <v>Administração FRSS</v>
          </cell>
        </row>
        <row r="7">
          <cell r="D7" t="str">
            <v>501.01.05 - SALÁRIOS E VENCIMENTOS - Salários e abonos regulares e permanentes - Salários de contratados nacionais</v>
          </cell>
        </row>
        <row r="8">
          <cell r="D8" t="str">
            <v>501.01.06 - SALÁRIOS E VENCIMENTOS - Salários e abonos regulares e permanentes - Salários de contratados internacionais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</row>
        <row r="11">
          <cell r="D11" t="str">
            <v>501.01.09 - SALÁRIOS E VENCIMENTOS - Salários e abonos regulares e permanentes - Salários de outros beneficiários</v>
          </cell>
        </row>
        <row r="12">
          <cell r="D12" t="str">
            <v>501.01.10 - SALÁRIOS E VENCIMENTOS - Salários e abonos regulares e permanentes - Abono para despesas de representação</v>
          </cell>
        </row>
        <row r="13">
          <cell r="D13" t="str">
            <v>501.01.11 - SALÁRIOS E VENCIMENTOS - Salários e abonos regulares e permanentes - Décimo terceiro mês</v>
          </cell>
        </row>
        <row r="14">
          <cell r="D14" t="str">
            <v>501.01.12 - SALÁRIOS E VENCIMENTOS - Salários e abonos regulares e permanentes - Outros abonos regulares e permanentes</v>
          </cell>
        </row>
        <row r="15">
          <cell r="D15" t="str">
            <v>501.02.01 - SALÁRIOS E VENCIMENTOS - Abonos variáveis ou eventuais - Horas extraordinárias</v>
          </cell>
        </row>
        <row r="16">
          <cell r="D16" t="str">
            <v>501.02.02 - SALÁRIOS E VENCIMENTOS - Abonos variáveis ou eventuais - Subsídio mensal de transporte</v>
          </cell>
        </row>
        <row r="17">
          <cell r="D17" t="str">
            <v>501.02.03 - SALÁRIOS E VENCIMENTOS - Abonos variáveis ou eventuais - Ajudas de custo por recolocação</v>
          </cell>
        </row>
        <row r="18">
          <cell r="D18" t="str">
            <v>501.02.04 - SALÁRIOS E VENCIMENTOS - Abonos variáveis ou eventuais - Suplemento de turno</v>
          </cell>
        </row>
        <row r="19">
          <cell r="D19" t="str">
            <v>501.02.05 - SALÁRIOS E VENCIMENTOS - Abonos variáveis ou eventuais - Suplemento por trabalho em local remoto ou de difícil acesso</v>
          </cell>
        </row>
        <row r="20">
          <cell r="D20" t="str">
            <v>501.02.06 - SALÁRIOS E VENCIMENTOS - Abonos variáveis ou eventuais - Subsídio de alojamento</v>
          </cell>
        </row>
        <row r="21">
          <cell r="D21" t="str">
            <v>501.02.07 - SALÁRIOS E VENCIMENTOS - Abonos variáveis ou eventuais - Subsídio de alimentação</v>
          </cell>
        </row>
        <row r="22">
          <cell r="D22" t="str">
            <v>501.02.08 - SALÁRIOS E VENCIMENTOS - Abonos variáveis ou eventuais - Subsídio de risco</v>
          </cell>
        </row>
        <row r="23">
          <cell r="D23" t="str">
            <v>501.02.09 - SALÁRIOS E VENCIMENTOS - Abonos variáveis ou eventuais - Outros abonos variáveis ou eventuais</v>
          </cell>
        </row>
        <row r="24">
          <cell r="D24" t="str">
            <v>501.03 - SALÁRIOS E VENCIMENTOS - Contribuição para a Segurança Social como entidade empregadora</v>
          </cell>
        </row>
        <row r="25">
          <cell r="D25" t="str">
            <v>501.04 - SALÁRIOS E VENCIMENTOS - Outras despesas com pessoal</v>
          </cell>
        </row>
        <row r="26">
          <cell r="D26" t="str">
            <v>502.01 - BENS E SERVIÇOS CORRENTES - Matérias-primas e subsidiárias</v>
          </cell>
        </row>
        <row r="27">
          <cell r="D27" t="str">
            <v>502.02 - BENS E SERVIÇOS CORRENTES - Mercadorias para venda</v>
          </cell>
        </row>
        <row r="28">
          <cell r="D28" t="str">
            <v>502.03.01 - BENS E SERVIÇOS CORRENTES - Vestuário e artigos pessoais - Fardamento</v>
          </cell>
        </row>
        <row r="29">
          <cell r="D29" t="str">
            <v>502.03.02 - BENS E SERVIÇOS CORRENTES - Vestuário e artigos pessoais - Outro vestuário e artigos pessoais</v>
          </cell>
        </row>
        <row r="30">
          <cell r="D30" t="str">
            <v>502.04.01 - BENS E SERVIÇOS CORRENTES - Bens públicos - Água</v>
          </cell>
        </row>
        <row r="31">
          <cell r="D31" t="str">
            <v>502.04.02 - BENS E SERVIÇOS CORRENTES - Bens públicos - Eletricidade</v>
          </cell>
        </row>
        <row r="32">
          <cell r="D32" t="str">
            <v>502.04.03 - BENS E SERVIÇOS CORRENTES - Bens públicos - Gás</v>
          </cell>
        </row>
        <row r="33">
          <cell r="D33" t="str">
            <v>502.04.04 - BENS E SERVIÇOS CORRENTES - Bens públicos - Outros bens públicos</v>
          </cell>
        </row>
        <row r="34">
          <cell r="D34" t="str">
            <v>502.05.01 - BENS E SERVIÇOS CORRENTES - Alimentação - Produtos alimentares não confecionados</v>
          </cell>
        </row>
        <row r="35">
          <cell r="D35" t="str">
            <v>502.05.02 - BENS E SERVIÇOS CORRENTES - Alimentação - Refeições confecionadas</v>
          </cell>
        </row>
        <row r="36">
          <cell r="D36" t="str">
            <v>502.05.03 - BENS E SERVIÇOS CORRENTES - Alimentação - Bebidas</v>
          </cell>
        </row>
        <row r="37">
          <cell r="D37" t="str">
            <v>502.05.04 - BENS E SERVIÇOS CORRENTES - Alimentação - Outra alimentação</v>
          </cell>
        </row>
        <row r="38">
          <cell r="D38" t="str">
            <v>502.06 - BENS E SERVIÇOS CORRENTES - Material médico e hospitalar</v>
          </cell>
        </row>
        <row r="39">
          <cell r="D39" t="str">
            <v>502.07 - BENS E SERVIÇOS CORRENTES - Material escolar</v>
          </cell>
        </row>
        <row r="40">
          <cell r="D40" t="str">
            <v>502.08 - BENS E SERVIÇOS CORRENTES - Material agrícola</v>
          </cell>
        </row>
        <row r="41">
          <cell r="D41" t="str">
            <v>502.09 - BENS E SERVIÇOS CORRENTES - Material de escritório</v>
          </cell>
        </row>
        <row r="42">
          <cell r="D42" t="str">
            <v>502.10.01 - BENS E SERVIÇOS CORRENTES - Combustível - Combustível para geradores</v>
          </cell>
        </row>
        <row r="43">
          <cell r="D43" t="str">
            <v>502.10.02 - BENS E SERVIÇOS CORRENTES - Combustível - Combustível para veículos</v>
          </cell>
        </row>
        <row r="44">
          <cell r="D44" t="str">
            <v>502.10.03 - BENS E SERVIÇOS CORRENTES - Combustível - Combustível para navios</v>
          </cell>
        </row>
        <row r="45">
          <cell r="D45" t="str">
            <v>502.10.04 - BENS E SERVIÇOS CORRENTES - Combustível - Combustível para aviões</v>
          </cell>
        </row>
        <row r="46">
          <cell r="D46" t="str">
            <v>502.10.05 - BENS E SERVIÇOS CORRENTES - Combustível - Outros combustíveis</v>
          </cell>
        </row>
        <row r="47">
          <cell r="D47" t="str">
            <v>502.11.01 - BENS E SERVIÇOS CORRENTES - Produtos químicos - Produtos farmaceuticos</v>
          </cell>
        </row>
        <row r="48">
          <cell r="D48" t="str">
            <v>502.11.02 - BENS E SERVIÇOS CORRENTES - Produtos químicos - Artigos de limpeza e higiene</v>
          </cell>
        </row>
        <row r="49">
          <cell r="D49" t="str">
            <v>502.11.03 - BENS E SERVIÇOS CORRENTES - Produtos químicos - Munições, explosivos e artifícios</v>
          </cell>
        </row>
        <row r="50">
          <cell r="D50" t="str">
            <v>502.11.04 - BENS E SERVIÇOS CORRENTES - Produtos químicos - Petróleo</v>
          </cell>
        </row>
        <row r="51">
          <cell r="D51" t="str">
            <v>502.11.05 - BENS E SERVIÇOS CORRENTES - Produtos químicos - Lubrificantes</v>
          </cell>
        </row>
        <row r="52">
          <cell r="D52" t="str">
            <v>502.11.06 - BENS E SERVIÇOS CORRENTES - Produtos químicos - Outros produtos químicos</v>
          </cell>
        </row>
        <row r="53">
          <cell r="D53" t="str">
            <v xml:space="preserve">502.12.01 - BENS E SERVIÇOS CORRENTES - Peças e Ferramentas - Peças </v>
          </cell>
        </row>
        <row r="54">
          <cell r="D54" t="str">
            <v>502.12.02 - BENS E SERVIÇOS CORRENTES - Peças e Ferramentas - Ferramentas e utensílios</v>
          </cell>
        </row>
        <row r="55">
          <cell r="D55" t="str">
            <v>502.13 - BENS E SERVIÇOS CORRENTES - Prémios, condecorações e ofertas</v>
          </cell>
        </row>
        <row r="56">
          <cell r="D56" t="str">
            <v>502.14 - BENS E SERVIÇOS CORRENTES - Livros e documentação técnica</v>
          </cell>
        </row>
        <row r="57">
          <cell r="D57" t="str">
            <v>502.15 - BENS E SERVIÇOS CORRENTES - Outros bens correntes</v>
          </cell>
        </row>
        <row r="58">
          <cell r="D58" t="str">
            <v>502.16.01 - BENS E SERVIÇOS CORRENTES - Limpeza e segurança - Limpeza e higiene</v>
          </cell>
        </row>
        <row r="59">
          <cell r="D59" t="str">
            <v>502.16.02 - BENS E SERVIÇOS CORRENTES - Limpeza e segurança - Vigilância e segurança</v>
          </cell>
        </row>
        <row r="60">
          <cell r="D60" t="str">
            <v>502.17.01 - BENS E SERVIÇOS CORRENTES - Manutenção - Manutenção de veículos</v>
          </cell>
        </row>
        <row r="61">
          <cell r="D61" t="str">
            <v>502.17.02 - BENS E SERVIÇOS CORRENTES - Manutenção - Manutenção de navios</v>
          </cell>
        </row>
        <row r="62">
          <cell r="D62" t="str">
            <v>502.17.03 - BENS E SERVIÇOS CORRENTES - Manutenção - Manutenção de aviões</v>
          </cell>
        </row>
        <row r="63">
          <cell r="D63" t="str">
            <v>502.17.04 - BENS E SERVIÇOS CORRENTES - Manutenção - Manutenção de equipamento de eletricidade</v>
          </cell>
        </row>
        <row r="64">
          <cell r="D64" t="str">
            <v>502.17.05 - BENS E SERVIÇOS CORRENTES - Manutenção - Manutenção de equipamento de comunicação</v>
          </cell>
        </row>
        <row r="65">
          <cell r="D65" t="str">
            <v>502.17.06 - BENS E SERVIÇOS CORRENTES - Manutenção - Manutenção de equipamento de ar condicionado</v>
          </cell>
        </row>
        <row r="66">
          <cell r="D66" t="str">
            <v>502.17.07 - BENS E SERVIÇOS CORRENTES - Manutenção - Manutenção de geradores</v>
          </cell>
        </row>
        <row r="67">
          <cell r="D67" t="str">
            <v>502.17.08 - BENS E SERVIÇOS CORRENTES - Manutenção - Manutenção de outro equipamento</v>
          </cell>
        </row>
        <row r="68">
          <cell r="D68" t="str">
            <v>502.17.09 - BENS E SERVIÇOS CORRENTES - Manutenção - Manutenção de edifícios administrativos</v>
          </cell>
        </row>
        <row r="69">
          <cell r="D69" t="str">
            <v>502.17.10 - BENS E SERVIÇOS CORRENTES - Manutenção - Manutenção de efifícios residenciais</v>
          </cell>
        </row>
        <row r="70">
          <cell r="D70" t="str">
            <v>502.17.11 - BENS E SERVIÇOS CORRENTES - Manutenção - Manutenção de edifícios escolares e universitários</v>
          </cell>
        </row>
        <row r="71">
          <cell r="D71" t="str">
            <v>502.17.12 - BENS E SERVIÇOS CORRENTES - Manutenção - Manutenção de edifícios médico-hospitalares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"/>
      <sheetName val="CONTA CAIXA"/>
      <sheetName val="CONTA ADMINISTRAÇÃO"/>
      <sheetName val="CONTA BNU"/>
      <sheetName val="CONTA BNCTL"/>
      <sheetName val="CONTA BRI"/>
      <sheetName val="CONTA MANDIRI"/>
      <sheetName val="CONTA ANZ"/>
      <sheetName val="CONTA PORTUGAL"/>
      <sheetName val="CONTA BCTL"/>
      <sheetName val="CONTA ESTRANGEIRO1"/>
      <sheetName val="CONTA ESTRANGEIRO2"/>
      <sheetName val="CONTAS DP"/>
      <sheetName val="CE_AdministraçãoFRSS"/>
      <sheetName val="Atividade_A070101"/>
      <sheetName val="Atividade_A070102"/>
      <sheetName val="SubPrograma_A0701"/>
      <sheetName val="Atividade_A070201"/>
      <sheetName val="SubPrograma_A0702"/>
      <sheetName val="Programa_AdministracaoFRSS_A07"/>
      <sheetName val="Sintese_Programas_CE"/>
      <sheetName val="ClassificacaoFuncional_Adm"/>
      <sheetName val="CE_CapitalizaçãoFRSS"/>
      <sheetName val="Atividade_A080101"/>
      <sheetName val="SubPrograma_A0801"/>
      <sheetName val="Programa_CapitalizacaoFRSS_A08"/>
      <sheetName val="CE_FRSS_Adm+Capit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Q2" t="str">
            <v>janeiro a janeiro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0">
          <cell r="C10">
            <v>0</v>
          </cell>
        </row>
      </sheetData>
      <sheetData sheetId="21"/>
      <sheetData sheetId="22"/>
      <sheetData sheetId="23"/>
      <sheetData sheetId="24"/>
      <sheetData sheetId="25"/>
      <sheetData sheetId="26">
        <row r="11">
          <cell r="C11">
            <v>0</v>
          </cell>
        </row>
      </sheetData>
      <sheetData sheetId="27">
        <row r="10">
          <cell r="B10">
            <v>333807</v>
          </cell>
        </row>
      </sheetData>
      <sheetData sheetId="28">
        <row r="9">
          <cell r="B9">
            <v>0</v>
          </cell>
        </row>
      </sheetData>
      <sheetData sheetId="29">
        <row r="10">
          <cell r="C10">
            <v>0</v>
          </cell>
        </row>
      </sheetData>
      <sheetData sheetId="30"/>
      <sheetData sheetId="31"/>
      <sheetData sheetId="32">
        <row r="11">
          <cell r="C11">
            <v>0</v>
          </cell>
        </row>
      </sheetData>
      <sheetData sheetId="33"/>
      <sheetData sheetId="34">
        <row r="3">
          <cell r="D3" t="str">
            <v>501.01.01 - SALÁRIOS E VENCIMENTOS - Salários e abonos regulares e permanentes - Salários de titulares de cargos políticos</v>
          </cell>
        </row>
        <row r="4">
          <cell r="D4" t="str">
            <v>501.01.02 - SALÁRIOS E VENCIMENTOS - Salários e abonos regulares e permanentes - Salários de membros de órgãos de direção</v>
          </cell>
        </row>
        <row r="5">
          <cell r="D5" t="str">
            <v>501.01.03 - SALÁRIOS E VENCIMENTOS - Salários e abonos regulares e permanentes - Salários de titulares de cargos de direção e chefia</v>
          </cell>
        </row>
        <row r="6">
          <cell r="D6" t="str">
            <v>501.01.04 - SALÁRIOS E VENCIMENTOS - Salários e abonos regulares e permanentes - Salários de funcionários e agentes</v>
          </cell>
        </row>
        <row r="7">
          <cell r="D7" t="str">
            <v>501.01.05 - SALÁRIOS E VENCIMENTOS - Salários e abonos regulares e permanentes - Salários de contratados nacionais</v>
          </cell>
        </row>
        <row r="8">
          <cell r="D8" t="str">
            <v>501.01.06 - SALÁRIOS E VENCIMENTOS - Salários e abonos regulares e permanentes - Salários de contratados internacionais</v>
          </cell>
        </row>
        <row r="9">
          <cell r="D9" t="str">
            <v>501.01.07 - SALÁRIOS E VENCIMENTOS - Salários e abonos regulares e permanentes - Salários de estagiários do Centro de Formação Jurídica e Judiciária</v>
          </cell>
        </row>
        <row r="10">
          <cell r="D10" t="str">
            <v>501.01.08 - SALÁRIOS E VENCIMENTOS - Salários e abonos regulares e permanentes - Salários de estagiários do Fundo de Desenvolvimento de Capital Humano</v>
          </cell>
        </row>
        <row r="11">
          <cell r="D11" t="str">
            <v>501.01.09 - SALÁRIOS E VENCIMENTOS - Salários e abonos regulares e permanentes - Salários de outros beneficiários</v>
          </cell>
        </row>
        <row r="12">
          <cell r="D12" t="str">
            <v>501.01.10 - SALÁRIOS E VENCIMENTOS - Salários e abonos regulares e permanentes - Abono para despesas de representação</v>
          </cell>
        </row>
        <row r="13">
          <cell r="D13" t="str">
            <v>501.01.11 - SALÁRIOS E VENCIMENTOS - Salários e abonos regulares e permanentes - Décimo terceiro mês</v>
          </cell>
        </row>
        <row r="14">
          <cell r="D14" t="str">
            <v>501.01.12 - SALÁRIOS E VENCIMENTOS - Salários e abonos regulares e permanentes - Outros abonos regulares e permanentes</v>
          </cell>
        </row>
        <row r="15">
          <cell r="D15" t="str">
            <v>501.02.01 - SALÁRIOS E VENCIMENTOS - Abonos variáveis ou eventuais - Horas extraordinárias</v>
          </cell>
        </row>
        <row r="16">
          <cell r="D16" t="str">
            <v>501.02.02 - SALÁRIOS E VENCIMENTOS - Abonos variáveis ou eventuais - Subsídio mensal de transporte</v>
          </cell>
        </row>
        <row r="17">
          <cell r="D17" t="str">
            <v>501.02.03 - SALÁRIOS E VENCIMENTOS - Abonos variáveis ou eventuais - Ajudas de custo por recolocação</v>
          </cell>
        </row>
        <row r="18">
          <cell r="D18" t="str">
            <v>501.02.04 - SALÁRIOS E VENCIMENTOS - Abonos variáveis ou eventuais - Suplemento de turno</v>
          </cell>
        </row>
        <row r="19">
          <cell r="D19" t="str">
            <v>501.02.05 - SALÁRIOS E VENCIMENTOS - Abonos variáveis ou eventuais - Suplemento por trabalho em local remoto ou de difícil acesso</v>
          </cell>
        </row>
        <row r="20">
          <cell r="D20" t="str">
            <v>501.02.06 - SALÁRIOS E VENCIMENTOS - Abonos variáveis ou eventuais - Subsídio de alojamento</v>
          </cell>
        </row>
        <row r="21">
          <cell r="D21" t="str">
            <v>501.02.07 - SALÁRIOS E VENCIMENTOS - Abonos variáveis ou eventuais - Subsídio de alimentação</v>
          </cell>
        </row>
        <row r="22">
          <cell r="D22" t="str">
            <v>501.02.08 - SALÁRIOS E VENCIMENTOS - Abonos variáveis ou eventuais - Subsídio de risco</v>
          </cell>
        </row>
        <row r="23">
          <cell r="D23" t="str">
            <v>501.02.09 - SALÁRIOS E VENCIMENTOS - Abonos variáveis ou eventuais - Outros abonos variáveis ou eventuais</v>
          </cell>
        </row>
        <row r="24">
          <cell r="D24" t="str">
            <v>501.03 - SALÁRIOS E VENCIMENTOS - Contribuição para a Segurança Social como entidade empregadora</v>
          </cell>
        </row>
        <row r="25">
          <cell r="D25" t="str">
            <v>501.04 - SALÁRIOS E VENCIMENTOS - Outras despesas com pessoal</v>
          </cell>
        </row>
        <row r="26">
          <cell r="D26" t="str">
            <v>502.01 - BENS E SERVIÇOS CORRENTES - Matérias-primas e subsidiárias</v>
          </cell>
        </row>
        <row r="27">
          <cell r="D27" t="str">
            <v>502.02 - BENS E SERVIÇOS CORRENTES - Mercadorias para venda</v>
          </cell>
        </row>
        <row r="28">
          <cell r="D28" t="str">
            <v>502.03.01 - BENS E SERVIÇOS CORRENTES - Vestuário e artigos pessoais - Fardamento</v>
          </cell>
        </row>
        <row r="29">
          <cell r="D29" t="str">
            <v>502.03.02 - BENS E SERVIÇOS CORRENTES - Vestuário e artigos pessoais - Outro vestuário e artigos pessoais</v>
          </cell>
        </row>
        <row r="30">
          <cell r="D30" t="str">
            <v>502.04.01 - BENS E SERVIÇOS CORRENTES - Bens públicos - Água</v>
          </cell>
        </row>
        <row r="31">
          <cell r="D31" t="str">
            <v>502.04.02 - BENS E SERVIÇOS CORRENTES - Bens públicos - Eletricidade</v>
          </cell>
        </row>
        <row r="32">
          <cell r="D32" t="str">
            <v>502.04.03 - BENS E SERVIÇOS CORRENTES - Bens públicos - Gás</v>
          </cell>
        </row>
        <row r="33">
          <cell r="D33" t="str">
            <v>502.04.04 - BENS E SERVIÇOS CORRENTES - Bens públicos - Outros bens públicos</v>
          </cell>
        </row>
        <row r="34">
          <cell r="D34" t="str">
            <v>502.05.01 - BENS E SERVIÇOS CORRENTES - Alimentação - Produtos alimentares não confecionados</v>
          </cell>
        </row>
        <row r="35">
          <cell r="D35" t="str">
            <v>502.05.02 - BENS E SERVIÇOS CORRENTES - Alimentação - Refeições confecionadas</v>
          </cell>
        </row>
        <row r="36">
          <cell r="D36" t="str">
            <v>502.05.03 - BENS E SERVIÇOS CORRENTES - Alimentação - Bebidas</v>
          </cell>
        </row>
        <row r="37">
          <cell r="D37" t="str">
            <v>502.05.04 - BENS E SERVIÇOS CORRENTES - Alimentação - Outra alimentação</v>
          </cell>
        </row>
        <row r="38">
          <cell r="D38" t="str">
            <v>502.06 - BENS E SERVIÇOS CORRENTES - Material médico e hospitalar</v>
          </cell>
        </row>
        <row r="39">
          <cell r="D39" t="str">
            <v>502.07 - BENS E SERVIÇOS CORRENTES - Material escolar</v>
          </cell>
        </row>
        <row r="40">
          <cell r="D40" t="str">
            <v>502.08 - BENS E SERVIÇOS CORRENTES - Material agrícola</v>
          </cell>
        </row>
        <row r="41">
          <cell r="D41" t="str">
            <v>502.09 - BENS E SERVIÇOS CORRENTES - Material de escritório</v>
          </cell>
        </row>
        <row r="42">
          <cell r="D42" t="str">
            <v>502.10.01 - BENS E SERVIÇOS CORRENTES - Combustível - Combustível para geradores</v>
          </cell>
        </row>
        <row r="43">
          <cell r="D43" t="str">
            <v>502.10.02 - BENS E SERVIÇOS CORRENTES - Combustível - Combustível para veículos</v>
          </cell>
        </row>
        <row r="44">
          <cell r="D44" t="str">
            <v>502.10.03 - BENS E SERVIÇOS CORRENTES - Combustível - Combustível para navios</v>
          </cell>
        </row>
        <row r="45">
          <cell r="D45" t="str">
            <v>502.10.04 - BENS E SERVIÇOS CORRENTES - Combustível - Combustível para aviões</v>
          </cell>
        </row>
        <row r="46">
          <cell r="D46" t="str">
            <v>502.10.05 - BENS E SERVIÇOS CORRENTES - Combustível - Outros combustíveis</v>
          </cell>
        </row>
        <row r="47">
          <cell r="D47" t="str">
            <v>502.11.01 - BENS E SERVIÇOS CORRENTES - Produtos químicos - Produtos farmaceuticos</v>
          </cell>
        </row>
        <row r="48">
          <cell r="D48" t="str">
            <v>502.11.02 - BENS E SERVIÇOS CORRENTES - Produtos químicos - Artigos de limpeza e higiene</v>
          </cell>
        </row>
        <row r="49">
          <cell r="D49" t="str">
            <v>502.11.03 - BENS E SERVIÇOS CORRENTES - Produtos químicos - Munições, explosivos e artifícios</v>
          </cell>
        </row>
        <row r="50">
          <cell r="D50" t="str">
            <v>502.11.04 - BENS E SERVIÇOS CORRENTES - Produtos químicos - Petróleo</v>
          </cell>
        </row>
        <row r="51">
          <cell r="D51" t="str">
            <v>502.11.05 - BENS E SERVIÇOS CORRENTES - Produtos químicos - Lubrificantes</v>
          </cell>
        </row>
        <row r="52">
          <cell r="D52" t="str">
            <v>502.11.06 - BENS E SERVIÇOS CORRENTES - Produtos químicos - Outros produtos químicos</v>
          </cell>
        </row>
        <row r="53">
          <cell r="D53" t="str">
            <v xml:space="preserve">502.12.01 - BENS E SERVIÇOS CORRENTES - Peças e Ferramentas - Peças </v>
          </cell>
        </row>
        <row r="54">
          <cell r="D54" t="str">
            <v>502.12.02 - BENS E SERVIÇOS CORRENTES - Peças e Ferramentas - Ferramentas e utensílios</v>
          </cell>
        </row>
        <row r="55">
          <cell r="D55" t="str">
            <v>502.13 - BENS E SERVIÇOS CORRENTES - Prémios, condecorações e ofertas</v>
          </cell>
        </row>
        <row r="56">
          <cell r="D56" t="str">
            <v>502.14 - BENS E SERVIÇOS CORRENTES - Livros e documentação técnica</v>
          </cell>
        </row>
        <row r="57">
          <cell r="D57" t="str">
            <v>502.15 - BENS E SERVIÇOS CORRENTES - Outros bens correntes</v>
          </cell>
        </row>
        <row r="58">
          <cell r="D58" t="str">
            <v>502.16.01 - BENS E SERVIÇOS CORRENTES - Limpeza e segurança - Limpeza e higiene</v>
          </cell>
        </row>
        <row r="59">
          <cell r="D59" t="str">
            <v>502.16.02 - BENS E SERVIÇOS CORRENTES - Limpeza e segurança - Vigilância e segurança</v>
          </cell>
        </row>
        <row r="60">
          <cell r="D60" t="str">
            <v>502.17.01 - BENS E SERVIÇOS CORRENTES - Manutenção - Manutenção de veículos</v>
          </cell>
        </row>
        <row r="61">
          <cell r="D61" t="str">
            <v>502.17.02 - BENS E SERVIÇOS CORRENTES - Manutenção - Manutenção de navios</v>
          </cell>
        </row>
        <row r="62">
          <cell r="D62" t="str">
            <v>502.17.03 - BENS E SERVIÇOS CORRENTES - Manutenção - Manutenção de aviões</v>
          </cell>
        </row>
        <row r="63">
          <cell r="D63" t="str">
            <v>502.17.04 - BENS E SERVIÇOS CORRENTES - Manutenção - Manutenção de equipamento de eletricidade</v>
          </cell>
        </row>
        <row r="64">
          <cell r="D64" t="str">
            <v>502.17.05 - BENS E SERVIÇOS CORRENTES - Manutenção - Manutenção de equipamento de comunicação</v>
          </cell>
        </row>
        <row r="65">
          <cell r="D65" t="str">
            <v>502.17.06 - BENS E SERVIÇOS CORRENTES - Manutenção - Manutenção de equipamento de ar condicionado</v>
          </cell>
        </row>
        <row r="66">
          <cell r="D66" t="str">
            <v>502.17.07 - BENS E SERVIÇOS CORRENTES - Manutenção - Manutenção de geradores</v>
          </cell>
        </row>
        <row r="67">
          <cell r="D67" t="str">
            <v>502.17.08 - BENS E SERVIÇOS CORRENTES - Manutenção - Manutenção de outro equipamento</v>
          </cell>
        </row>
        <row r="68">
          <cell r="D68" t="str">
            <v>502.17.09 - BENS E SERVIÇOS CORRENTES - Manutenção - Manutenção de edifícios administrativos</v>
          </cell>
        </row>
        <row r="69">
          <cell r="D69" t="str">
            <v>502.17.10 - BENS E SERVIÇOS CORRENTES - Manutenção - Manutenção de efifícios residenciais</v>
          </cell>
        </row>
        <row r="70">
          <cell r="D70" t="str">
            <v>502.17.11 - BENS E SERVIÇOS CORRENTES - Manutenção - Manutenção de edifícios escolares e universitários</v>
          </cell>
        </row>
        <row r="71">
          <cell r="D71" t="str">
            <v>502.17.12 - BENS E SERVIÇOS CORRENTES - Manutenção - Manutenção de edifícios médico-hospitalares</v>
          </cell>
        </row>
        <row r="72">
          <cell r="D72" t="str">
            <v>502.17.13 - BENS E SERVIÇOS CORRENTES - Manutenção - Manutenção de armazéns</v>
          </cell>
        </row>
        <row r="73">
          <cell r="D73" t="str">
            <v>502.17.14 - BENS E SERVIÇOS CORRENTES - Manutenção - Manutenção de outros edifícios</v>
          </cell>
        </row>
        <row r="74">
          <cell r="D74" t="str">
            <v>502.17.15 - BENS E SERVIÇOS CORRENTES - Manutenção - Manutenção de estradas</v>
          </cell>
        </row>
        <row r="75">
          <cell r="D75" t="str">
            <v>502.17.16 - BENS E SERVIÇOS CORRENTES - Manutenção - Manutenção de pontes</v>
          </cell>
        </row>
        <row r="76">
          <cell r="D76" t="str">
            <v>502.17.17 - BENS E SERVIÇOS CORRENTES - Manutenção - Manutenção de portos</v>
          </cell>
        </row>
        <row r="77">
          <cell r="D77" t="str">
            <v>502.17.18 - BENS E SERVIÇOS CORRENTES - Manutenção - Manutenção de aeroportos</v>
          </cell>
        </row>
        <row r="78">
          <cell r="D78" t="str">
            <v>502.17.19 - BENS E SERVIÇOS CORRENTES - Manutenção - Manutenção de infraestruturas agrícolas e de irrigação</v>
          </cell>
        </row>
        <row r="79">
          <cell r="D79" t="str">
            <v>502.17.20 - BENS E SERVIÇOS CORRENTES - Manutenção - Manutenção de infraestruturas de comunicações</v>
          </cell>
        </row>
        <row r="80">
          <cell r="D80" t="str">
            <v>502.17.21 - BENS E SERVIÇOS CORRENTES - Manutenção - Manutenção de infraestruturas energéticas</v>
          </cell>
        </row>
        <row r="81">
          <cell r="D81" t="str">
            <v>502.17.22 - BENS E SERVIÇOS CORRENTES - Manutenção - Manutenção de infraestruturas de água e saneamento</v>
          </cell>
        </row>
        <row r="82">
          <cell r="D82" t="str">
            <v>502.17.23 - BENS E SERVIÇOS CORRENTES - Manutenção - Manutenção de infraestruturas turísticas, de recreio e desporto</v>
          </cell>
        </row>
        <row r="83">
          <cell r="D83" t="str">
            <v>502.17.24 - BENS E SERVIÇOS CORRENTES - Manutenção - Manutenção de outras infraestruturas</v>
          </cell>
        </row>
        <row r="84">
          <cell r="D84" t="str">
            <v>502.17.25 - BENS E SERVIÇOS CORRENTES - Manutenção - Manutenção de outros imóveis</v>
          </cell>
        </row>
        <row r="85">
          <cell r="D85" t="str">
            <v>502.17.26 - BENS E SERVIÇOS CORRENTES - Manutenção - Outra manutenção</v>
          </cell>
        </row>
        <row r="86">
          <cell r="D86" t="str">
            <v>502.18.01 - BENS E SERVIÇOS CORRENTES - Serviços Públicos - Fornecimento de água</v>
          </cell>
        </row>
        <row r="87">
          <cell r="D87" t="str">
            <v>502.18.02 - BENS E SERVIÇOS CORRENTES - Serviços Públicos - Fornecimento de eletricidade</v>
          </cell>
        </row>
        <row r="88">
          <cell r="D88" t="str">
            <v>502.18.03 - BENS E SERVIÇOS CORRENTES - Serviços Públicos - Fornecimento de gás</v>
          </cell>
        </row>
        <row r="89">
          <cell r="D89" t="str">
            <v>502.18.04 - BENS E SERVIÇOS CORRENTES - Serviços Públicos - Outros serviços públicos</v>
          </cell>
        </row>
        <row r="90">
          <cell r="D90" t="str">
            <v>502.19.01 - BENS E SERVIÇOS CORRENTES - Comunicações - Comunicações fixas</v>
          </cell>
        </row>
        <row r="91">
          <cell r="D91" t="str">
            <v>502.19.02 - BENS E SERVIÇOS CORRENTES - Comunicações - Comunicações móveis</v>
          </cell>
        </row>
        <row r="92">
          <cell r="D92" t="str">
            <v>502.19.03 - BENS E SERVIÇOS CORRENTES - Comunicações - Comunicações de dados</v>
          </cell>
        </row>
        <row r="93">
          <cell r="D93" t="str">
            <v>502.19.04 - BENS E SERVIÇOS CORRENTES - Comunicações - Comunicações em pacote</v>
          </cell>
        </row>
        <row r="94">
          <cell r="D94" t="str">
            <v>502.19.05 - BENS E SERVIÇOS CORRENTES - Comunicações - Correios, encomendas e estafetas</v>
          </cell>
        </row>
        <row r="95">
          <cell r="D95" t="str">
            <v>502.19.06 - BENS E SERVIÇOS CORRENTES - Comunicações - Outras comunicações</v>
          </cell>
        </row>
        <row r="96">
          <cell r="D96" t="str">
            <v>502.20.01 - BENS E SERVIÇOS CORRENTES - Transportes - Transportes nacionais</v>
          </cell>
        </row>
        <row r="97">
          <cell r="D97" t="str">
            <v>502.20.02 - BENS E SERVIÇOS CORRENTES - Transportes - Transportes internacionais</v>
          </cell>
        </row>
        <row r="98">
          <cell r="D98" t="str">
            <v>502.21 - BENS E SERVIÇOS CORRENTES - Catering</v>
          </cell>
        </row>
        <row r="99">
          <cell r="D99" t="str">
            <v>502.22.01 - BENS E SERVIÇOS CORRENTES - Assistência técnica e conservação - Assistência técnica</v>
          </cell>
        </row>
        <row r="100">
          <cell r="D100" t="str">
            <v>502.22.02 - BENS E SERVIÇOS CORRENTES - Assistência técnica e conservação - Conservação</v>
          </cell>
        </row>
        <row r="101">
          <cell r="D101" t="str">
            <v>502.23.01 - BENS E SERVIÇOS CORRENTES - Alojamento - Alojamento nacional</v>
          </cell>
        </row>
        <row r="102">
          <cell r="D102" t="str">
            <v>502.23.02 - BENS E SERVIÇOS CORRENTES - Alojamento - Alojamento internacional</v>
          </cell>
        </row>
        <row r="103">
          <cell r="D103" t="str">
            <v>502.24.01 - BENS E SERVIÇOS CORRENTES - Ajudas de custo - Ajudas de custo por deslocações em serviço no país</v>
          </cell>
        </row>
        <row r="104">
          <cell r="D104" t="str">
            <v>502.24.02 - BENS E SERVIÇOS CORRENTES - Ajudas de custo - Ajudas de custo por deslocações em serviço ao estrangeiro</v>
          </cell>
        </row>
        <row r="105">
          <cell r="D105" t="str">
            <v>502.24.03 - BENS E SERVIÇOS CORRENTES - Ajudas de custo - Ajudas de custo por deslocações ao estrangeiro para fins de estudo</v>
          </cell>
        </row>
        <row r="106">
          <cell r="D106" t="str">
            <v>502.25.01 - BENS E SERVIÇOS CORRENTES - Serviços Profissionais - Estudos, pareceres, projetos e consultadoria</v>
          </cell>
        </row>
        <row r="107">
          <cell r="D107" t="str">
            <v>502.25.02 - BENS E SERVIÇOS CORRENTES - Serviços Profissionais - Formação e palestras</v>
          </cell>
        </row>
        <row r="108">
          <cell r="D108" t="str">
            <v>502.25.03 - BENS E SERVIÇOS CORRENTES - Serviços Profissionais - Serviços de tradução</v>
          </cell>
        </row>
        <row r="109">
          <cell r="D109" t="str">
            <v>502.25.04 - BENS E SERVIÇOS CORRENTES - Serviços Profissionais - Informática</v>
          </cell>
        </row>
        <row r="110">
          <cell r="D110" t="str">
            <v>502.25.05 - BENS E SERVIÇOS CORRENTES - Serviços Profissionais - Auditoria</v>
          </cell>
        </row>
        <row r="111">
          <cell r="D111" t="str">
            <v>502.25.06 - BENS E SERVIÇOS CORRENTES - Serviços Profissionais - Publicidade</v>
          </cell>
        </row>
        <row r="112">
          <cell r="D112" t="str">
            <v>502.25.07 - BENS E SERVIÇOS CORRENTES - Serviços Profissionais - Outros serviços profissionais</v>
          </cell>
        </row>
        <row r="113">
          <cell r="D113" t="str">
            <v>502.26 - BENS E SERVIÇOS CORRENTES - Representação</v>
          </cell>
        </row>
        <row r="114">
          <cell r="D114" t="str">
            <v>502.27 - BENS E SERVIÇOS CORRENTES - Publicação, cópia e impressão</v>
          </cell>
        </row>
        <row r="115">
          <cell r="D115" t="str">
            <v>502.28.01 - BENS E SERVIÇOS CORRENTES - Serviços Financeiros - Depósitos, transferências e levantamentos</v>
          </cell>
        </row>
        <row r="116">
          <cell r="D116" t="str">
            <v>502.28.02 - BENS E SERVIÇOS CORRENTES - Serviços Financeiros - Pagamentos</v>
          </cell>
        </row>
        <row r="117">
          <cell r="D117" t="str">
            <v>502.28.03 - BENS E SERVIÇOS CORRENTES - Serviços Financeiros - Cobranças</v>
          </cell>
        </row>
        <row r="118">
          <cell r="D118" t="str">
            <v>502.28.04 - BENS E SERVIÇOS CORRENTES - Serviços Financeiros - Outros serviços bancários</v>
          </cell>
        </row>
        <row r="119">
          <cell r="D119" t="str">
            <v>502.28.05 - BENS E SERVIÇOS CORRENTES - Serviços Financeiros - Seguros</v>
          </cell>
        </row>
        <row r="120">
          <cell r="D120" t="str">
            <v>502.28.06 - BENS E SERVIÇOS CORRENTES - Serviços Financeiros - Outros serviços financeiros</v>
          </cell>
        </row>
        <row r="121">
          <cell r="D121" t="str">
            <v>502.29 - BENS E SERVIÇOS CORRENTES - Serviços de Saúde</v>
          </cell>
        </row>
        <row r="122">
          <cell r="D122" t="str">
            <v>502.30 - BENS E SERVIÇOS CORRENTES - Outros serviços correntes</v>
          </cell>
        </row>
        <row r="123">
          <cell r="D123" t="str">
            <v>502.31.01 - BENS E SERVIÇOS CORRENTES - Rendas - Arrendamento de bens imóveis de média e longa duração</v>
          </cell>
        </row>
        <row r="124">
          <cell r="D124" t="str">
            <v>502.31.02 - BENS E SERVIÇOS CORRENTES - Rendas - Arrendamento de bens imóveis de curta duração</v>
          </cell>
        </row>
        <row r="125">
          <cell r="D125" t="str">
            <v>502.31.03 - BENS E SERVIÇOS CORRENTES - Rendas - Aluguer de veículos</v>
          </cell>
        </row>
        <row r="126">
          <cell r="D126" t="str">
            <v>502.31.04 - BENS E SERVIÇOS CORRENTES - Rendas - Aluguer de navios</v>
          </cell>
        </row>
        <row r="127">
          <cell r="D127" t="str">
            <v>502.31.05 - BENS E SERVIÇOS CORRENTES - Rendas - Aluguer de aviões</v>
          </cell>
        </row>
        <row r="128">
          <cell r="D128" t="str">
            <v>502.31.06 - BENS E SERVIÇOS CORRENTES - Rendas - Aluguer de material de informática</v>
          </cell>
        </row>
        <row r="129">
          <cell r="D129" t="str">
            <v>502.31.07 - BENS E SERVIÇOS CORRENTES - Rendas - Aluguer de material de decoração</v>
          </cell>
        </row>
        <row r="130">
          <cell r="D130" t="str">
            <v>502.31.08 - BENS E SERVIÇOS CORRENTES - Rendas - Aluguer de material pesado</v>
          </cell>
        </row>
        <row r="131">
          <cell r="D131" t="str">
            <v>502.31.09 - BENS E SERVIÇOS CORRENTES - Rendas - Aluguer de ferramentas</v>
          </cell>
        </row>
        <row r="132">
          <cell r="D132" t="str">
            <v>502.31.10 - BENS E SERVIÇOS CORRENTES - Rendas - Aluguer de outros bens móveis</v>
          </cell>
        </row>
        <row r="133">
          <cell r="D133" t="str">
            <v>502.31.11 - BENS E SERVIÇOS CORRENTES - Rendas - Locação financeira</v>
          </cell>
        </row>
        <row r="134">
          <cell r="D134" t="str">
            <v>502.31.12 - BENS E SERVIÇOS CORRENTES - Rendas - Outras rendas</v>
          </cell>
        </row>
        <row r="135">
          <cell r="D135" t="str">
            <v>502.32.01 - BENS E SERVIÇOS CORRENTES - Ativos incorpóreos - Direitos de propriedade intelectual</v>
          </cell>
        </row>
        <row r="136">
          <cell r="D136" t="str">
            <v>502.32.02 - BENS E SERVIÇOS CORRENTES - Ativos incorpóreos - Direitos de propriedade industrial</v>
          </cell>
        </row>
        <row r="137">
          <cell r="D137" t="str">
            <v>502.32.03 - BENS E SERVIÇOS CORRENTES - Ativos incorpóreos - Outros ativos incorpóreos</v>
          </cell>
        </row>
        <row r="138">
          <cell r="D138" t="str">
            <v>503.01.01.01 - TRANSFERÊNCIAS PÚBLICAS - Transferências correntes para o Setor Público Administrativo - Transferências correntes para a Administração Central -Para Ministério das Finanças</v>
          </cell>
        </row>
        <row r="139">
          <cell r="D139" t="str">
            <v>503.01.01.02 - TRANSFERÊNCIAS PÚBLICAS - Transferências correntes para o Setor Público Administrativo - Transferências correntes para a Administração Central -Para Outros Ministérios e organismos</v>
          </cell>
        </row>
        <row r="140">
          <cell r="D140" t="str">
            <v>503.01.02.01 - TRANSFERÊNCIAS PÚBLICAS - Transferências correntes para o Setor Público Administrativo - Transferências correntes para a Segurança Social -Entre regimes do perímetro OSS</v>
          </cell>
        </row>
        <row r="141">
          <cell r="D141" t="str">
            <v>503.01.02.02 - TRANSFERÊNCIAS PÚBLICAS - Transferências correntes para o Setor Público Administrativo - Transferências correntes para a Segurança Social -Do OSS para capitalização</v>
          </cell>
        </row>
        <row r="142">
          <cell r="D142" t="str">
            <v>503.01.03 - TRANSFERÊNCIAS PÚBLICAS - Transferências correntes para o Setor Público Administrativo -Transferências correntes para a RAEOA</v>
          </cell>
        </row>
        <row r="143">
          <cell r="D143" t="str">
            <v>503.01.04 - TRANSFERÊNCIAS PÚBLICAS - Transferências correntes para o Setor Público Administrativo -Transferências correntes para os municípios</v>
          </cell>
        </row>
        <row r="144">
          <cell r="D144" t="str">
            <v>503.02.01 - TRANSFERÊNCIAS PÚBLICAS - Transferências correntes para sociedades -Transferências correntes para empresas públicas</v>
          </cell>
        </row>
        <row r="145">
          <cell r="D145" t="str">
            <v>503.02.02 - TRANSFERÊNCIAS PÚBLICAS - Transferências correntes para sociedades -Transferências correntes para sociedades financeiras</v>
          </cell>
        </row>
        <row r="146">
          <cell r="D146" t="str">
            <v>503.02.03 - TRANSFERÊNCIAS PÚBLICAS - Transferências correntes para sociedades -Transferências correntes para sociedades não-financeiras</v>
          </cell>
        </row>
        <row r="147">
          <cell r="D147" t="str">
            <v>503.03.01 - TRANSFERÊNCIAS PÚBLICAS - Transferências correntes para famílias -Pensão Social de invalidez do regime não contributivo</v>
          </cell>
        </row>
        <row r="148">
          <cell r="D148" t="str">
            <v>503.03.02 - TRANSFERÊNCIAS PÚBLICAS - Transferências correntes para famílias -Pensão Social de velhice do regime não contributivo</v>
          </cell>
        </row>
        <row r="149">
          <cell r="D149" t="str">
            <v>503.03.03 - TRANSFERÊNCIAS PÚBLICAS - Transferências correntes para famílias -Complemento de pensão de invalidez</v>
          </cell>
        </row>
        <row r="150">
          <cell r="D150" t="str">
            <v>503.03.04 - TRANSFERÊNCIAS PÚBLICAS - Transferências correntes para famílias -Complemento de pensão de velhice</v>
          </cell>
        </row>
        <row r="151">
          <cell r="D151" t="str">
            <v>503.03.05 - TRANSFERÊNCIAS PÚBLICAS - Transferências correntes para famílias -Complemento de pensão de sobrevivência</v>
          </cell>
        </row>
        <row r="152">
          <cell r="D152" t="str">
            <v>503.03.06 - TRANSFERÊNCIAS PÚBLICAS - Transferências correntes para famílias -Outras prestações do regime não contributivo de segurança social</v>
          </cell>
        </row>
        <row r="153">
          <cell r="D153" t="str">
            <v>503.03.07 - TRANSFERÊNCIAS PÚBLICAS - Transferências correntes para famílias -Pensão de invalidez do regime transitório</v>
          </cell>
        </row>
        <row r="154">
          <cell r="D154" t="str">
            <v>503.03.08 - TRANSFERÊNCIAS PÚBLICAS - Transferências correntes para famílias -Pensão de velhice do regime transitório</v>
          </cell>
        </row>
        <row r="155">
          <cell r="D155" t="str">
            <v>503.03.09 - TRANSFERÊNCIAS PÚBLICAS - Transferências correntes para famílias -Pensão de sobrevivência do regime transitório</v>
          </cell>
        </row>
        <row r="156">
          <cell r="D156" t="str">
            <v>503.03.10 - TRANSFERÊNCIAS PÚBLICAS - Transferências correntes para famílias -Pensão de invalidez do regime geral</v>
          </cell>
        </row>
        <row r="157">
          <cell r="D157" t="str">
            <v>503.03.11 - TRANSFERÊNCIAS PÚBLICAS - Transferências correntes para famílias -Pensão de velhice do regime geral</v>
          </cell>
        </row>
        <row r="158">
          <cell r="D158" t="str">
            <v>503.03.12 - TRANSFERÊNCIAS PÚBLICAS - Transferências correntes para famílias -Pensão de sobrevivência do regime geral</v>
          </cell>
        </row>
        <row r="159">
          <cell r="D159" t="str">
            <v>503.03.13 - TRANSFERÊNCIAS PÚBLICAS - Transferências correntes para famílias -Subsídio por risco clínico durante a gravidez</v>
          </cell>
        </row>
        <row r="160">
          <cell r="D160" t="str">
            <v>503.03.14 - TRANSFERÊNCIAS PÚBLICAS - Transferências correntes para famílias -Subsídio por interrupção de gravidez</v>
          </cell>
        </row>
        <row r="161">
          <cell r="D161" t="str">
            <v>503.03.15 - TRANSFERÊNCIAS PÚBLICAS - Transferências correntes para famílias -Subsídio por maternidade</v>
          </cell>
        </row>
        <row r="162">
          <cell r="D162" t="str">
            <v>503.03.16 - TRANSFERÊNCIAS PÚBLICAS - Transferências correntes para famílias -Subsídio por paternidade</v>
          </cell>
        </row>
        <row r="163">
          <cell r="D163" t="str">
            <v>503.03.17 - TRANSFERÊNCIAS PÚBLICAS - Transferências correntes para famílias -Subsídio por adoção</v>
          </cell>
        </row>
        <row r="164">
          <cell r="D164" t="str">
            <v>503.03.18 - TRANSFERÊNCIAS PÚBLICAS - Transferências correntes para famílias -Subsídio por morte</v>
          </cell>
        </row>
        <row r="165">
          <cell r="D165" t="str">
            <v>503.03.19 - TRANSFERÊNCIAS PÚBLICAS - Transferências correntes para famílias -Reembolso e ou apoio para despesas de funeral</v>
          </cell>
        </row>
        <row r="166">
          <cell r="D166" t="str">
            <v>503.03.20 - TRANSFERÊNCIAS PÚBLICAS - Transferências correntes para famílias -Subsídio de doença</v>
          </cell>
        </row>
        <row r="167">
          <cell r="D167" t="str">
            <v>503.03.21 - TRANSFERÊNCIAS PÚBLICAS - Transferências correntes para famílias -Subsídio de desemprego</v>
          </cell>
        </row>
        <row r="168">
          <cell r="D168" t="str">
            <v>503.03.22 - TRANSFERÊNCIAS PÚBLICAS - Transferências correntes para famílias -Abono de família</v>
          </cell>
        </row>
        <row r="169">
          <cell r="D169" t="str">
            <v>503.03.23 - TRANSFERÊNCIAS PÚBLICAS - Transferências correntes para famílias -Outras prestações do regime contributivo de segurança social</v>
          </cell>
        </row>
        <row r="170">
          <cell r="D170" t="str">
            <v>503.03.24 - TRANSFERÊNCIAS PÚBLICAS - Transferências correntes para famílias -Pensão para ex-titulares de cargos políticos</v>
          </cell>
        </row>
        <row r="171">
          <cell r="D171" t="str">
            <v>503.03.25 - TRANSFERÊNCIAS PÚBLICAS - Transferências correntes para famílias -Pensão dos combatentes e Mártires da Libertação Nacional</v>
          </cell>
        </row>
        <row r="172">
          <cell r="D172" t="str">
            <v>503.03.26 - TRANSFERÊNCIAS PÚBLICAS - Transferências correntes para famílias -Bolsa da Mãe</v>
          </cell>
        </row>
        <row r="173">
          <cell r="D173" t="str">
            <v>503.03.27 - TRANSFERÊNCIAS PÚBLICAS - Transferências correntes para famílias -Bolsas de estudo aos filhos dos Combatentes e Mártires da Libertação Nacional</v>
          </cell>
        </row>
        <row r="174">
          <cell r="D174" t="str">
            <v>503.03.28 - TRANSFERÊNCIAS PÚBLICAS - Transferências correntes para famílias -Outras bolsas de estudo no território nacional</v>
          </cell>
        </row>
        <row r="175">
          <cell r="D175" t="str">
            <v>503.03.29 - TRANSFERÊNCIAS PÚBLICAS - Transferências correntes para famílias -Outras bolsas de estudo no estrangeiro</v>
          </cell>
        </row>
        <row r="176">
          <cell r="D176" t="str">
            <v>503.03.30 - TRANSFERÊNCIAS PÚBLICAS - Transferências correntes para famílias -Outras prestações sociais</v>
          </cell>
        </row>
        <row r="177">
          <cell r="D177" t="str">
            <v>503.03.31 - TRANSFERÊNCIAS PÚBLICAS - Transferências correntes para famílias -Outras transferências correntes para famílias</v>
          </cell>
        </row>
        <row r="178">
          <cell r="D178" t="str">
            <v>503.04.01 - TRANSFERÊNCIAS PÚBLICAS - Transferências correntes para instituições sem fins lucrativos -Transferências correntes para fundações públicas</v>
          </cell>
        </row>
        <row r="179">
          <cell r="D179" t="str">
            <v>503.04.02 - TRANSFERÊNCIAS PÚBLICAS - Transferências correntes para instituições sem fins lucrativos -Transferências correntes para associações públicas</v>
          </cell>
        </row>
        <row r="180">
          <cell r="D180" t="str">
            <v>503.04.03 - TRANSFERÊNCIAS PÚBLICAS - Transferências correntes para instituições sem fins lucrativos -Outras transferências correntes para instituições sem fins lucrativos</v>
          </cell>
        </row>
        <row r="181">
          <cell r="D181" t="str">
            <v>503.05.01 - TRANSFERÊNCIAS PÚBLICAS - Transferências correntes para o exterior -Transferências correntes para países terceiros</v>
          </cell>
        </row>
        <row r="182">
          <cell r="D182" t="str">
            <v>503.05.02 - TRANSFERÊNCIAS PÚBLICAS - Transferências correntes para o exterior -Transferências correntes para organizações internacionais</v>
          </cell>
        </row>
        <row r="183">
          <cell r="D183" t="str">
            <v>503.05.03 - TRANSFERÊNCIAS PÚBLICAS - Transferências correntes para o exterior -Outras transferências correntes para o exterior</v>
          </cell>
        </row>
        <row r="184">
          <cell r="D184" t="str">
            <v>503.06.01 - TRANSFERÊNCIAS PÚBLICAS - Juros -Juros e taxa de compromisso do Banco Mundial</v>
          </cell>
        </row>
        <row r="185">
          <cell r="D185" t="str">
            <v>503.06.02 - TRANSFERÊNCIAS PÚBLICAS - Juros -Juros e taxa de compromisso do ADB</v>
          </cell>
        </row>
        <row r="186">
          <cell r="D186" t="str">
            <v>503.06.03 - TRANSFERÊNCIAS PÚBLICAS - Juros -Juros e taxa de compromisso da JICA</v>
          </cell>
        </row>
        <row r="187">
          <cell r="D187" t="str">
            <v>503.06.04 - TRANSFERÊNCIAS PÚBLICAS - Juros -Juros e taxa de compromisso do AIFFP</v>
          </cell>
        </row>
        <row r="188">
          <cell r="D188" t="str">
            <v>503.06.05 - TRANSFERÊNCIAS PÚBLICAS - Juros -Juros de títulos do Tesouro</v>
          </cell>
        </row>
        <row r="189">
          <cell r="D189" t="str">
            <v>503.06.06 - TRANSFERÊNCIAS PÚBLICAS - Juros -Outros juros da dívida pública</v>
          </cell>
        </row>
        <row r="190">
          <cell r="D190" t="str">
            <v>503.06.07 - TRANSFERÊNCIAS PÚBLICAS - Juros -Outros juros</v>
          </cell>
        </row>
        <row r="191">
          <cell r="D191" t="str">
            <v>503.07 - TRANSFERÊNCIAS PÚBLICAS - Impostos</v>
          </cell>
        </row>
        <row r="192">
          <cell r="D192" t="str">
            <v>503.08 - TRANSFERÊNCIAS PÚBLICAS - Taxas</v>
          </cell>
        </row>
        <row r="193">
          <cell r="D193" t="str">
            <v>503.09 - TRANSFERÊNCIAS PÚBLICAS - Coimas e outras penalidades</v>
          </cell>
        </row>
        <row r="194">
          <cell r="D194" t="str">
            <v>503.10 - TRANSFERÊNCIAS PÚBLICAS - Restituições não abatidas na receita</v>
          </cell>
        </row>
        <row r="195">
          <cell r="D195" t="str">
            <v>503.11.01.01.01 - TRANSFERÊNCIAS PÚBLICAS - Transferências de Capital - Transferências para o Setor Público Administrativo - Transferências para a Administração Central - Para Ministério das Finanças</v>
          </cell>
        </row>
        <row r="196">
          <cell r="D196" t="str">
            <v>503.11.01.01.02 - TRANSFERÊNCIAS PÚBLICAS - Transferências de Capital - Transferências para o Setor Público Administrativo - Transferências para a Administração Central - Para Outros Ministérios e organismos</v>
          </cell>
        </row>
        <row r="197">
          <cell r="D197" t="str">
            <v>503.11.01.02.01 - TRANSFERÊNCIAS PÚBLICAS - Transferências de Capital - Transferências para o Setor Público Administrativo - Transferências para a Segurança Social  - Entre regimes do perímetro OSS</v>
          </cell>
        </row>
        <row r="198">
          <cell r="D198" t="str">
            <v>503.11.01.02.02 - TRANSFERÊNCIAS PÚBLICAS - Transferências de Capital - Transferências para o Setor Público Administrativo - Transferências para a Segurança Social  - Do OSS para capitalização</v>
          </cell>
        </row>
        <row r="199">
          <cell r="D199" t="str">
            <v>503.11.01.03 - TRANSFERÊNCIAS PÚBLICAS - Transferências de Capital - Transferências para o Setor Público Administrativo - Transferências para a RAEOA</v>
          </cell>
        </row>
        <row r="200">
          <cell r="D200" t="str">
            <v>503.11.01.04 - TRANSFERÊNCIAS PÚBLICAS - Transferências de Capital - Transferências para o Setor Público Administrativo - Transferências para os municípios</v>
          </cell>
        </row>
        <row r="201">
          <cell r="D201" t="str">
            <v>503.11.02 - TRANSFERÊNCIAS PÚBLICAS - Transferências de Capital - Transferências para sociedades</v>
          </cell>
        </row>
        <row r="202">
          <cell r="D202" t="str">
            <v>503.11.03 - TRANSFERÊNCIAS PÚBLICAS - Transferências de Capital - Transferências para famílias</v>
          </cell>
        </row>
        <row r="203">
          <cell r="D203" t="str">
            <v>503.11.04 - TRANSFERÊNCIAS PÚBLICAS - Transferências de Capital - Transferências para instituições sem fins lucrativos</v>
          </cell>
        </row>
        <row r="204">
          <cell r="D204" t="str">
            <v>503.11.05 - TRANSFERÊNCIAS PÚBLICAS - Transferências de Capital - Transferências para o exterior</v>
          </cell>
        </row>
        <row r="205">
          <cell r="D205" t="str">
            <v>503.11.06 - TRANSFERÊNCIAS PÚBLICAS - Transferências de Capital - Outras transferências de capital</v>
          </cell>
        </row>
        <row r="206">
          <cell r="D206" t="str">
            <v>503.12.01 - TRANSFERÊNCIAS PÚBLICAS - Ativos Financeiros - Concessão de empréstimos</v>
          </cell>
        </row>
        <row r="207">
          <cell r="D207" t="str">
            <v>503.12.02 - TRANSFERÊNCIAS PÚBLICAS - Ativos Financeiros - Aquisição de títulos</v>
          </cell>
        </row>
        <row r="208">
          <cell r="D208" t="str">
            <v>503.12.03 - TRANSFERÊNCIAS PÚBLICAS - Ativos Financeiros - Outros ativos financeiros</v>
          </cell>
        </row>
        <row r="209">
          <cell r="D209" t="str">
            <v>503.13.01 - TRANSFERÊNCIAS PÚBLICAS - Passivos Financeiros - Amortização de empréstimos do Banco Mundial</v>
          </cell>
        </row>
        <row r="210">
          <cell r="D210" t="str">
            <v>503.13.02 - TRANSFERÊNCIAS PÚBLICAS - Passivos Financeiros - Amortização de empréstimos do ADB</v>
          </cell>
        </row>
        <row r="211">
          <cell r="D211" t="str">
            <v>503.13.03 - TRANSFERÊNCIAS PÚBLICAS - Passivos Financeiros - Amortização de empréstimos da JICA</v>
          </cell>
        </row>
        <row r="212">
          <cell r="D212" t="str">
            <v>503.13.04 - TRANSFERÊNCIAS PÚBLICAS - Passivos Financeiros - Amortização de empréstimos do AIFFP</v>
          </cell>
        </row>
        <row r="213">
          <cell r="D213" t="str">
            <v>503.13.05 - TRANSFERÊNCIAS PÚBLICAS - Passivos Financeiros - Amortização de títulos do Tesouro</v>
          </cell>
        </row>
        <row r="214">
          <cell r="D214" t="str">
            <v>503.13.06 - TRANSFERÊNCIAS PÚBLICAS - Passivos Financeiros - Outros passivos financeiros</v>
          </cell>
        </row>
        <row r="215">
          <cell r="D215" t="str">
            <v>504.01.01 - CAPITAL MENOR - Aquisição de bens de capital móvel - Veículos civis</v>
          </cell>
        </row>
        <row r="216">
          <cell r="D216" t="str">
            <v>504.01.02 - CAPITAL MENOR - Aquisição de bens de capital móvel - Veículos militares</v>
          </cell>
        </row>
        <row r="217">
          <cell r="D217" t="str">
            <v>504.01.03 - CAPITAL MENOR - Aquisição de bens de capital móvel - Equipamento de informática</v>
          </cell>
        </row>
        <row r="218">
          <cell r="D218" t="str">
            <v>504.01.04 - CAPITAL MENOR - Aquisição de bens de capital móvel - Equipamento de água</v>
          </cell>
        </row>
        <row r="219">
          <cell r="D219" t="str">
            <v>504.01.05 - CAPITAL MENOR - Aquisição de bens de capital móvel - Equipamento de eletricidade</v>
          </cell>
        </row>
        <row r="220">
          <cell r="D220" t="str">
            <v>504.01.06 - CAPITAL MENOR - Aquisição de bens de capital móvel - Equipamento de comunicações</v>
          </cell>
        </row>
        <row r="221">
          <cell r="D221" t="str">
            <v>504.01.07 - CAPITAL MENOR - Aquisição de bens de capital móvel - Equipamento de segurança</v>
          </cell>
        </row>
        <row r="222">
          <cell r="D222" t="str">
            <v>504.01.08 - CAPITAL MENOR - Aquisição de bens de capital móvel - Equipamento de construção</v>
          </cell>
        </row>
        <row r="223">
          <cell r="D223" t="str">
            <v>504.01.09 - CAPITAL MENOR - Aquisição de bens de capital móvel - Equipamento de transporte</v>
          </cell>
        </row>
        <row r="224">
          <cell r="D224" t="str">
            <v>504.01.10 - CAPITAL MENOR - Aquisição de bens de capital móvel - Geradores</v>
          </cell>
        </row>
        <row r="225">
          <cell r="D225" t="str">
            <v>504.01.11 - CAPITAL MENOR - Aquisição de bens de capital móvel - Equipamento de ar condicionado</v>
          </cell>
        </row>
        <row r="226">
          <cell r="D226" t="str">
            <v>504.01.12 - CAPITAL MENOR - Aquisição de bens de capital móvel - Outro equipamento</v>
          </cell>
        </row>
        <row r="227">
          <cell r="D227" t="str">
            <v>504.01.13 - CAPITAL MENOR - Aquisição de bens de capital móvel - Mobiliário</v>
          </cell>
        </row>
        <row r="228">
          <cell r="D228" t="str">
            <v>504.01.14 - CAPITAL MENOR - Aquisição de bens de capital móvel - Outros bens de capital móvel</v>
          </cell>
        </row>
        <row r="229">
          <cell r="D229" t="str">
            <v>504.02 - CAPITAL MENOR - Aquisição de serviços de capital</v>
          </cell>
        </row>
        <row r="230">
          <cell r="D230" t="str">
            <v>505.01.01 - CAPITAL DE DESENVOLVIMENTO - Aquisição de bens de capital fixo - Terrenos</v>
          </cell>
        </row>
        <row r="231">
          <cell r="D231" t="str">
            <v>505.01.02 - CAPITAL DE DESENVOLVIMENTO - Aquisição de bens de capital fixo - Edifícios administrativos</v>
          </cell>
        </row>
        <row r="232">
          <cell r="D232" t="str">
            <v>505.01.03 - CAPITAL DE DESENVOLVIMENTO - Aquisição de bens de capital fixo - Edifícios residenciais</v>
          </cell>
        </row>
        <row r="233">
          <cell r="D233" t="str">
            <v>505.01.04 - CAPITAL DE DESENVOLVIMENTO - Aquisição de bens de capital fixo - Edifícios escolares e universitários</v>
          </cell>
        </row>
        <row r="234">
          <cell r="D234" t="str">
            <v>505.01.05 - CAPITAL DE DESENVOLVIMENTO - Aquisição de bens de capital fixo - Edifícios médico-hospitalares</v>
          </cell>
        </row>
        <row r="235">
          <cell r="D235" t="str">
            <v>505.01.06 - CAPITAL DE DESENVOLVIMENTO - Aquisição de bens de capital fixo - Armazéns</v>
          </cell>
        </row>
        <row r="236">
          <cell r="D236" t="str">
            <v>505.01.07 - CAPITAL DE DESENVOLVIMENTO - Aquisição de bens de capital fixo - Outros edifícios</v>
          </cell>
        </row>
        <row r="237">
          <cell r="D237" t="str">
            <v>505.01.08 - CAPITAL DE DESENVOLVIMENTO - Aquisição de bens de capital fixo - Estradas</v>
          </cell>
        </row>
        <row r="238">
          <cell r="D238" t="str">
            <v>505.01.09 - CAPITAL DE DESENVOLVIMENTO - Aquisição de bens de capital fixo - Pontes</v>
          </cell>
        </row>
        <row r="239">
          <cell r="D239" t="str">
            <v>505.01.10 - CAPITAL DE DESENVOLVIMENTO - Aquisição de bens de capital fixo - Portos</v>
          </cell>
        </row>
        <row r="240">
          <cell r="D240" t="str">
            <v>505.01.11 - CAPITAL DE DESENVOLVIMENTO - Aquisição de bens de capital fixo - Aeroportos</v>
          </cell>
        </row>
        <row r="241">
          <cell r="D241" t="str">
            <v>505.01.12 - CAPITAL DE DESENVOLVIMENTO - Aquisição de bens de capital fixo - Infraestruturas agrícolas e de irrigação</v>
          </cell>
        </row>
        <row r="242">
          <cell r="D242" t="str">
            <v>505.01.13 - CAPITAL DE DESENVOLVIMENTO - Aquisição de bens de capital fixo - Infraestruturas de comunicações</v>
          </cell>
        </row>
        <row r="243">
          <cell r="D243" t="str">
            <v>505.01.14 - CAPITAL DE DESENVOLVIMENTO - Aquisição de bens de capital fixo - Infraestruturas energéticas</v>
          </cell>
        </row>
        <row r="244">
          <cell r="D244" t="str">
            <v>505.01.15 - CAPITAL DE DESENVOLVIMENTO - Aquisição de bens de capital fixo - Infraestruturas de água e saneamento</v>
          </cell>
        </row>
        <row r="245">
          <cell r="D245" t="str">
            <v>505.01.16 - CAPITAL DE DESENVOLVIMENTO - Aquisição de bens de capital fixo - Infraestruturas turísticas, de recreio e desporto</v>
          </cell>
        </row>
        <row r="246">
          <cell r="D246" t="str">
            <v>505.01.17 - CAPITAL DE DESENVOLVIMENTO - Aquisição de bens de capital fixo - Outras infraestruturas</v>
          </cell>
        </row>
        <row r="247">
          <cell r="D247" t="str">
            <v>505.01.18 - CAPITAL DE DESENVOLVIMENTO - Aquisição de bens de capital fixo - Outros imóveis</v>
          </cell>
        </row>
        <row r="248">
          <cell r="D248" t="str">
            <v>506.01 - OPERAÇÕES EXTRAORÇAMENTAIS - Adiantamentos de caixa</v>
          </cell>
        </row>
        <row r="249">
          <cell r="D249" t="str">
            <v>506.02.01 - OPERAÇÕES EXTRAORÇAMENTAIS - Transferência de impostos e cotizações retidos - Transferência para a Autoridade Tributária de impostos retidos</v>
          </cell>
        </row>
        <row r="250">
          <cell r="D250" t="str">
            <v>506.02.02 - OPERAÇÕES EXTRAORÇAMENTAIS - Transferência de impostos e cotizações retidos - Transferência para a Segurança Social de cotizações retidas</v>
          </cell>
        </row>
        <row r="251">
          <cell r="D251" t="str">
            <v>506.02.03 - OPERAÇÕES EXTRAORÇAMENTAIS - Transferência de impostos e cotizações retidos - Outras transferências de impostos e cotizações retidos</v>
          </cell>
        </row>
        <row r="252">
          <cell r="D252" t="str">
            <v>506.03.01 - OPERAÇÕES EXTRAORÇAMENTAIS - Devolução de cauções e garantias - Devolução de caução de execução</v>
          </cell>
        </row>
        <row r="253">
          <cell r="D253" t="str">
            <v>506.03.02 - OPERAÇÕES EXTRAORÇAMENTAIS - Devolução de cauções e garantias - Devolução de caução de qualidade</v>
          </cell>
        </row>
        <row r="254">
          <cell r="D254" t="str">
            <v>506.03.03 - OPERAÇÕES EXTRAORÇAMENTAIS - Devolução de cauções e garantias - Devolução de garantia de pagamento adiantado</v>
          </cell>
        </row>
        <row r="255">
          <cell r="D255" t="str">
            <v>506.04 - OPERAÇÕES EXTRAORÇAMENTAIS - Outras operações extraorçamentais</v>
          </cell>
        </row>
        <row r="256">
          <cell r="D256" t="str">
            <v>401.01.01 - Impostos e contribuições para a Segurança Social - Impostos - Imposto sobre serviços</v>
          </cell>
        </row>
        <row r="257">
          <cell r="D257" t="str">
            <v>401.01.02 - Impostos e contribuições para a Segurança Social - Impostos - Imposto seletivo de consumo</v>
          </cell>
        </row>
        <row r="258">
          <cell r="D258" t="str">
            <v>401.01.03 - Impostos e contribuições para a Segurança Social - Impostos - Imposto sobre vendas</v>
          </cell>
        </row>
        <row r="259">
          <cell r="D259" t="str">
            <v>401.01.04 - Impostos e contribuições para a Segurança Social - Impostos - Imposto sobre salários</v>
          </cell>
        </row>
        <row r="260">
          <cell r="D260" t="str">
            <v>401.01.05 - Impostos e contribuições para a Segurança Social - Impostos - Imposto sobre o rendimento</v>
          </cell>
        </row>
        <row r="261">
          <cell r="D261" t="str">
            <v>401.01.06 - Impostos e contribuições para a Segurança Social - Impostos - Imposto sobre o valor acrescentado</v>
          </cell>
        </row>
        <row r="262">
          <cell r="D262" t="str">
            <v>401.01.07 - Impostos e contribuições para a Segurança Social - Impostos - Imposto sobre o Petróleo Suplementar</v>
          </cell>
        </row>
        <row r="263">
          <cell r="D263" t="str">
            <v>401.01.08 - Impostos e contribuições para a Segurança Social - Impostos - Lucros partilhados do Petróleo e Gás</v>
          </cell>
        </row>
        <row r="264">
          <cell r="D264" t="str">
            <v>401.01.09 - Impostos e contribuições para a Segurança Social - Impostos - Timor Sea First Tranche Petroleum (FTP) Royalties</v>
          </cell>
        </row>
        <row r="265">
          <cell r="D265" t="str">
            <v>401.01.10 - Impostos e contribuições para a Segurança Social - Impostos - Impostos abolidos</v>
          </cell>
        </row>
        <row r="266">
          <cell r="D266" t="str">
            <v>401.01.11 - Impostos e contribuições para a Segurança Social - Impostos - Outros impostos</v>
          </cell>
        </row>
        <row r="267">
          <cell r="D267" t="str">
            <v>401.02 - Impostos e contribuições para a Segurança Social - Direitos aduaneiros de importação</v>
          </cell>
        </row>
        <row r="268">
          <cell r="D268" t="str">
            <v>401.03.01 - Impostos e contribuições para a Segurança Social - Contribuições e cotizações para a Segurança Social - Contribuições de entidade empregadora do Setor Público</v>
          </cell>
        </row>
        <row r="269">
          <cell r="D269" t="str">
            <v>401.03.02 - Impostos e contribuições para a Segurança Social - Contribuições e cotizações para a Segurança Social - Contribuições de entidade empregadora do Setor Privado</v>
          </cell>
        </row>
        <row r="270">
          <cell r="D270" t="str">
            <v>401.03.03 - Impostos e contribuições para a Segurança Social - Contribuições e cotizações para a Segurança Social - Cotizações de trabalhador do Setor Público</v>
          </cell>
        </row>
        <row r="271">
          <cell r="D271" t="str">
            <v>401.03.04 - Impostos e contribuições para a Segurança Social - Contribuições e cotizações para a Segurança Social - Cotizações de trabalhador do Setor Privado</v>
          </cell>
        </row>
        <row r="272">
          <cell r="D272" t="str">
            <v>402.01.01 - Taxas, coimas e outras penalidades - Taxas - Taxas aeroportuárias</v>
          </cell>
        </row>
        <row r="273">
          <cell r="D273" t="str">
            <v>402.01.02 - Taxas, coimas e outras penalidades - Taxas - Taxas ambientais</v>
          </cell>
        </row>
        <row r="274">
          <cell r="D274" t="str">
            <v>402.01.03 - Taxas, coimas e outras penalidades - Taxas - Taxas de estacionamento</v>
          </cell>
        </row>
        <row r="275">
          <cell r="D275" t="str">
            <v>402.01.04 - Taxas, coimas e outras penalidades - Taxas - Taxas de justiça</v>
          </cell>
        </row>
        <row r="276">
          <cell r="D276" t="str">
            <v>402.01.05 - Taxas, coimas e outras penalidades - Taxas - Taxas de publicidade</v>
          </cell>
        </row>
        <row r="277">
          <cell r="D277" t="str">
            <v>402.01.06 - Taxas, coimas e outras penalidades - Taxas - Taxas de passaporte</v>
          </cell>
        </row>
        <row r="278">
          <cell r="D278" t="str">
            <v>402.01.07 - Taxas, coimas e outras penalidades - Taxas - Taxas de entrada e vistos</v>
          </cell>
        </row>
        <row r="279">
          <cell r="D279" t="str">
            <v>402.01.08 - Taxas, coimas e outras penalidades - Taxas - Taxas de registo</v>
          </cell>
        </row>
        <row r="280">
          <cell r="D280" t="str">
            <v>402.01.09 - Taxas, coimas e outras penalidades - Taxas - Taxas de pesca</v>
          </cell>
        </row>
        <row r="281">
          <cell r="D281" t="str">
            <v>402.01.10 - Taxas, coimas e outras penalidades - Taxas - Taxas portuárias</v>
          </cell>
        </row>
        <row r="282">
          <cell r="D282" t="str">
            <v>402.01.11 - Taxas, coimas e outras penalidades - Taxas - Taxas sobre atividade florestal</v>
          </cell>
        </row>
        <row r="283">
          <cell r="D283" t="str">
            <v>402.01.12 - Taxas, coimas e outras penalidades - Taxas - Taxas sobre atividades extrativas</v>
          </cell>
        </row>
        <row r="284">
          <cell r="D284" t="str">
            <v>402.01.13 - Taxas, coimas e outras penalidades - Taxas - Taxas sobre atividade petrolífera</v>
          </cell>
        </row>
        <row r="285">
          <cell r="D285" t="str">
            <v>402.01.14 - Taxas, coimas e outras penalidades - Taxas - Taxas sobre telecomunicações</v>
          </cell>
        </row>
        <row r="286">
          <cell r="D286" t="str">
            <v>402.01.15 - Taxas, coimas e outras penalidades - Taxas - Taxas sobre transportes</v>
          </cell>
        </row>
        <row r="287">
          <cell r="D287" t="str">
            <v>402.01.16 - Taxas, coimas e outras penalidades - Taxas - Taxas sobre jogos sociais</v>
          </cell>
        </row>
        <row r="288">
          <cell r="D288" t="str">
            <v>402.01.17 - Taxas, coimas e outras penalidades - Taxas - Propinas</v>
          </cell>
        </row>
        <row r="289">
          <cell r="D289" t="str">
            <v>402.01.18 - Taxas, coimas e outras penalidades - Taxas - Outras taxas</v>
          </cell>
        </row>
        <row r="290">
          <cell r="D290" t="str">
            <v>402.02.01 - Taxas, coimas e outras penalidades - Coimas e outras penalidades - Juros de mora</v>
          </cell>
        </row>
        <row r="291">
          <cell r="D291" t="str">
            <v>402.02.02 - Taxas, coimas e outras penalidades - Coimas e outras penalidades - Juros compensatórios</v>
          </cell>
        </row>
        <row r="292">
          <cell r="D292" t="str">
            <v>402.02.03 - Taxas, coimas e outras penalidades - Coimas e outras penalidades - Coimas decorrentes do Código da Estrada</v>
          </cell>
        </row>
        <row r="293">
          <cell r="D293" t="str">
            <v>402.02.04 - Taxas, coimas e outras penalidades - Coimas e outras penalidades - Sanções e coimas da Segurança Social</v>
          </cell>
        </row>
        <row r="294">
          <cell r="D294" t="str">
            <v>402.02.05 - Taxas, coimas e outras penalidades - Coimas e outras penalidades - Coimas laborais</v>
          </cell>
        </row>
        <row r="295">
          <cell r="D295" t="str">
            <v>402.02.06 - Taxas, coimas e outras penalidades - Coimas e outras penalidades - Multas decorrentes de processo-crime</v>
          </cell>
        </row>
        <row r="296">
          <cell r="D296" t="str">
            <v>402.02.07 - Taxas, coimas e outras penalidades - Coimas e outras penalidades - Outras coimas e penalidades</v>
          </cell>
        </row>
        <row r="297">
          <cell r="D297" t="str">
            <v>403.01.01 - Rendimentos - Rendas - Arrendamento de bens imóveis de média e longa duração</v>
          </cell>
        </row>
        <row r="298">
          <cell r="D298" t="str">
            <v>403.01.02 - Rendimentos - Rendas - Arrendamento de bens imóveis de curta duração</v>
          </cell>
        </row>
        <row r="299">
          <cell r="D299" t="str">
            <v>403.01.03 - Rendimentos - Rendas - Arrendamento de bens móveis de média e longa duração</v>
          </cell>
        </row>
        <row r="300">
          <cell r="D300" t="str">
            <v>403.01.04 - Rendimentos - Rendas - Arrendamento de bens móveis de curta duração</v>
          </cell>
        </row>
        <row r="301">
          <cell r="D301" t="str">
            <v>403.01.05 - Rendimentos - Rendas - Outras rendas</v>
          </cell>
        </row>
        <row r="302">
          <cell r="D302" t="str">
            <v>403.02 - Rendimentos - Ativos incorpóreos</v>
          </cell>
        </row>
        <row r="303">
          <cell r="D303" t="str">
            <v>403.03 - Rendimentos - Juros</v>
          </cell>
        </row>
        <row r="304">
          <cell r="D304" t="str">
            <v>403.04.01 - Rendimentos - Dividendos e participações nos lucros - Dividendos do Banco Central de Timor-Leste</v>
          </cell>
        </row>
        <row r="305">
          <cell r="D305" t="str">
            <v>403.04.02 - Rendimentos - Dividendos e participações nos lucros - Dividendos do Banco Nacional de Comércio de Timor-Leste</v>
          </cell>
        </row>
        <row r="306">
          <cell r="D306" t="str">
            <v>403.04.03 - Rendimentos - Dividendos e participações nos lucros - Outros dividendos e participações nos lucros</v>
          </cell>
        </row>
        <row r="307">
          <cell r="D307" t="str">
            <v>403.05 - Rendimentos - Outros rendimentos</v>
          </cell>
        </row>
        <row r="308">
          <cell r="D308" t="str">
            <v>404.01 - Transferências - Transferências correntes do Fundo Petrolífero relativas ao Rendimento Sustentável Estimado</v>
          </cell>
        </row>
        <row r="309">
          <cell r="D309" t="str">
            <v>404.02.01.01.01 - Transferências - Transferências correntes do Setor Público Administrativo  - Transferências correntes da Administração Central - Transferências correntes do Ministério das Finanças - Para financiamento da Pensão Social</v>
          </cell>
        </row>
        <row r="310">
          <cell r="D310" t="str">
            <v>404.02.01.01.02 - Transferências - Transferências correntes do Setor Público Administrativo  - Transferências correntes da Administração Central - Transferências correntes do Ministério das Finanças - Para financiamento do Regime Transitório</v>
          </cell>
        </row>
        <row r="311">
          <cell r="D311" t="str">
            <v>404.02.01.01.03 - Transferências - Transferências correntes do Setor Público Administrativo  - Transferências correntes da Administração Central - Transferências correntes do Ministério das Finanças - Para financiamento das despesas de administração</v>
          </cell>
        </row>
        <row r="312">
          <cell r="D312" t="str">
            <v>404.02.01.01.04 - Transferências - Transferências correntes do Setor Público Administrativo  - Transferências correntes da Administração Central - Transferências correntes do Ministério das Finanças - Para financiamento da garantia de valores mínimos de Pensão</v>
          </cell>
        </row>
        <row r="313">
          <cell r="D313" t="str">
            <v>404.02.01.02 - Transferências - Transferências correntes do Setor Público Administrativo  - Transferências correntes da Administração Central - Transferências correntes de outros Ministérios e organismos</v>
          </cell>
        </row>
        <row r="314">
          <cell r="D314" t="str">
            <v>404.02.02.01 - Transferências - Transferências correntes do Setor Público Administrativo  - Transferências correntes da Segurança Social  - Entre regimes do perímetro OSS</v>
          </cell>
        </row>
        <row r="315">
          <cell r="D315" t="str">
            <v>404.02.02.02 - Transferências - Transferências correntes do Setor Público Administrativo  - Transferências correntes da Segurança Social  - Do OSS para capitalização</v>
          </cell>
        </row>
        <row r="316">
          <cell r="D316" t="str">
            <v>404.02.03 - Transferências - Transferências correntes do Setor Público Administrativo  - Transferências correntes da RAEOA</v>
          </cell>
        </row>
        <row r="317">
          <cell r="D317" t="str">
            <v>404.02.04 - Transferências - Transferências correntes do Setor Público Administrativo  - Transferências correntes dos municípios</v>
          </cell>
        </row>
        <row r="318">
          <cell r="D318" t="str">
            <v>404.03 - Transferências - Transferências correntes de sociedades</v>
          </cell>
        </row>
        <row r="319">
          <cell r="D319" t="str">
            <v>404.04 - Transferências - Transferências correntes das famílias</v>
          </cell>
        </row>
        <row r="320">
          <cell r="D320" t="str">
            <v>404.05.01 - Transferências - Transferências correntes de instituições sem fins lucrativos - Transferências correntes de fundações públicas</v>
          </cell>
        </row>
        <row r="321">
          <cell r="D321" t="str">
            <v>404.05.02 - Transferências - Transferências correntes de instituições sem fins lucrativos - Transferências correntes de associações públicas</v>
          </cell>
        </row>
        <row r="322">
          <cell r="D322" t="str">
            <v>404.05.03 - Transferências - Transferências correntes de instituições sem fins lucrativos - Transferências correntes de outras instituições sem fins lucrativos</v>
          </cell>
        </row>
        <row r="323">
          <cell r="D323" t="str">
            <v>404.06.01 - Transferências - Transferências correntes do Exterior - Transferências correntes de países terceiros</v>
          </cell>
        </row>
        <row r="324">
          <cell r="D324" t="str">
            <v>404.06.02 - Transferências - Transferências correntes do Exterior - Transferências correntes de organizações internacionais</v>
          </cell>
        </row>
        <row r="325">
          <cell r="D325" t="str">
            <v>404.06.03 - Transferências - Transferências correntes do Exterior - Outras transferências correntes do exterior</v>
          </cell>
        </row>
        <row r="326">
          <cell r="D326" t="str">
            <v>404.07 - Transferências - Outras transferências correntes</v>
          </cell>
        </row>
        <row r="327">
          <cell r="D327" t="str">
            <v>404.08 - Transferências - Transferências de capital do Fundo Petrolífero acima do Rendimento Sustentável Estimado</v>
          </cell>
        </row>
        <row r="328">
          <cell r="D328" t="str">
            <v>404.09.01 - Transferências - Transferências de capital do Setor Público Administrativo  - Transferências de capital da Administração Central</v>
          </cell>
        </row>
        <row r="329">
          <cell r="D329" t="str">
            <v>404.09.02.01 - Transferências - Transferências de capital do Setor Público Administrativo  - Transferências de capital da Segurança Social - Entre regimes do perímetro OSS</v>
          </cell>
        </row>
        <row r="330">
          <cell r="D330" t="str">
            <v>404.09.02.02 - Transferências - Transferências de capital do Setor Público Administrativo  - Transferências de capital da Segurança Social - Do OSS para capitalização</v>
          </cell>
        </row>
        <row r="331">
          <cell r="D331" t="str">
            <v>404.09.03 - Transferências - Transferências de capital do Setor Público Administrativo  - Transferências de capital da RAEOA</v>
          </cell>
        </row>
        <row r="332">
          <cell r="D332" t="str">
            <v>404.09.04 - Transferências - Transferências de capital do Setor Público Administrativo  - Transferências de capital dos municípios</v>
          </cell>
        </row>
        <row r="333">
          <cell r="D333" t="str">
            <v>404.10 - Transferências - Outras transferências de capital</v>
          </cell>
        </row>
        <row r="334">
          <cell r="D334" t="str">
            <v>405.01.01 - Venda de bens e serviços - Vendas de bens correntes - Livros e Publicações</v>
          </cell>
        </row>
        <row r="335">
          <cell r="D335" t="str">
            <v>405.01.02 - Venda de bens e serviços - Vendas de bens correntes - Formulários e impressos</v>
          </cell>
        </row>
        <row r="336">
          <cell r="D336" t="str">
            <v>405.01.03 - Venda de bens e serviços - Vendas de bens correntes - Material de escritório</v>
          </cell>
        </row>
        <row r="337">
          <cell r="D337" t="str">
            <v>405.01.04 - Venda de bens e serviços - Vendas de bens correntes - Fardamentos e artigos pessoais</v>
          </cell>
        </row>
        <row r="338">
          <cell r="D338" t="str">
            <v>405.01.05 - Venda de bens e serviços - Vendas de bens correntes - Produtos agrícolas e pecuários</v>
          </cell>
        </row>
        <row r="339">
          <cell r="D339" t="str">
            <v>405.01.06 - Venda de bens e serviços - Vendas de bens correntes - Produtos alimentares e bebidas</v>
          </cell>
        </row>
        <row r="340">
          <cell r="D340" t="str">
            <v>405.01.07 - Venda de bens e serviços - Vendas de bens correntes - Bens públicos</v>
          </cell>
        </row>
        <row r="341">
          <cell r="D341" t="str">
            <v>405.01.08 - Venda de bens e serviços - Vendas de bens correntes - Bens inutilizados</v>
          </cell>
        </row>
        <row r="342">
          <cell r="D342" t="str">
            <v>405.01.09 - Venda de bens e serviços - Vendas de bens correntes - Desperdícios e resíduos</v>
          </cell>
        </row>
        <row r="343">
          <cell r="D343" t="str">
            <v>405.01.10 - Venda de bens e serviços - Vendas de bens correntes - Outros bens correntes</v>
          </cell>
        </row>
        <row r="344">
          <cell r="D344" t="str">
            <v>405.02.01 - Venda de bens e serviços - Vendas de bens de capital - Terrenos</v>
          </cell>
        </row>
        <row r="345">
          <cell r="D345" t="str">
            <v>405.02.02 - Venda de bens e serviços - Vendas de bens de capital - Edifícios</v>
          </cell>
        </row>
        <row r="346">
          <cell r="D346" t="str">
            <v>405.02.03 - Venda de bens e serviços - Vendas de bens de capital - Infraestruturas</v>
          </cell>
        </row>
        <row r="347">
          <cell r="D347" t="str">
            <v>405.02.04 - Venda de bens e serviços - Vendas de bens de capital - Outros imóveis</v>
          </cell>
        </row>
        <row r="348">
          <cell r="D348" t="str">
            <v>405.02.05 - Venda de bens e serviços - Vendas de bens de capital - Veículos civis</v>
          </cell>
        </row>
        <row r="349">
          <cell r="D349" t="str">
            <v>405.02.06 - Venda de bens e serviços - Vendas de bens de capital - Veículos militares</v>
          </cell>
        </row>
        <row r="350">
          <cell r="D350" t="str">
            <v>405.02.07 - Venda de bens e serviços - Vendas de bens de capital - Equipamento de informática</v>
          </cell>
        </row>
        <row r="351">
          <cell r="D351" t="str">
            <v>405.02.08 - Venda de bens e serviços - Vendas de bens de capital - Equipamento de água</v>
          </cell>
        </row>
        <row r="352">
          <cell r="D352" t="str">
            <v>405.02.09 - Venda de bens e serviços - Vendas de bens de capital - Equipamento de eletricidade</v>
          </cell>
        </row>
        <row r="353">
          <cell r="D353" t="str">
            <v>405.02.10 - Venda de bens e serviços - Vendas de bens de capital - Equipamento de comunicações</v>
          </cell>
        </row>
        <row r="354">
          <cell r="D354" t="str">
            <v>405.02.11 - Venda de bens e serviços - Vendas de bens de capital - Equipamento de segurança</v>
          </cell>
        </row>
        <row r="355">
          <cell r="D355" t="str">
            <v>405.02.12 - Venda de bens e serviços - Vendas de bens de capital - Equipamento de construção</v>
          </cell>
        </row>
        <row r="356">
          <cell r="D356" t="str">
            <v>405.02.13 - Venda de bens e serviços - Vendas de bens de capital - Equipamento de transporte</v>
          </cell>
        </row>
        <row r="357">
          <cell r="D357" t="str">
            <v>405.02.14 - Venda de bens e serviços - Vendas de bens de capital - Outro equipamento</v>
          </cell>
        </row>
        <row r="358">
          <cell r="D358" t="str">
            <v>405.02.15 - Venda de bens e serviços - Vendas de bens de capital - Mobiliário</v>
          </cell>
        </row>
        <row r="359">
          <cell r="D359" t="str">
            <v>405.02.16 - Venda de bens e serviços - Vendas de bens de capital - Ativos incorpóreos</v>
          </cell>
        </row>
        <row r="360">
          <cell r="D360" t="str">
            <v>405.02.17 - Venda de bens e serviços - Vendas de bens de capital - Outros bens de capital</v>
          </cell>
        </row>
        <row r="361">
          <cell r="D361" t="str">
            <v>405.03.01 - Venda de bens e serviços - Serviços correntes - Estudos, pareceres, projetos e consultadoria</v>
          </cell>
        </row>
        <row r="362">
          <cell r="D362" t="str">
            <v>405.03.02 - Venda de bens e serviços - Serviços correntes - Vistorias e ensaios</v>
          </cell>
        </row>
        <row r="363">
          <cell r="D363" t="str">
            <v>405.03.03 - Venda de bens e serviços - Serviços correntes - Serviços de laboratórios</v>
          </cell>
        </row>
        <row r="364">
          <cell r="D364" t="str">
            <v>405.03.04 - Venda de bens e serviços - Serviços correntes - Atividades de saúde</v>
          </cell>
        </row>
        <row r="365">
          <cell r="D365" t="str">
            <v>405.03.05 - Venda de bens e serviços - Serviços correntes - Reparações</v>
          </cell>
        </row>
        <row r="366">
          <cell r="D366" t="str">
            <v>405.03.06 - Venda de bens e serviços - Serviços correntes - Alimentação e alojamento</v>
          </cell>
        </row>
        <row r="367">
          <cell r="D367" t="str">
            <v>405.03.07 - Venda de bens e serviços - Serviços correntes - Serviços públicos</v>
          </cell>
        </row>
        <row r="368">
          <cell r="D368" t="str">
            <v>405.03.08 - Venda de bens e serviços - Serviços correntes - Serviços sociais, recreativos, culturais e desporto</v>
          </cell>
        </row>
        <row r="369">
          <cell r="D369" t="str">
            <v>405.03.09 - Venda de bens e serviços - Serviços correntes - Serviços de correio</v>
          </cell>
        </row>
        <row r="370">
          <cell r="D370" t="str">
            <v>405.03.10 - Venda de bens e serviços - Serviços correntes - Outros serviços correntes</v>
          </cell>
        </row>
        <row r="371">
          <cell r="D371" t="str">
            <v>405.04 - Venda de bens e serviços - Serviços de capital</v>
          </cell>
        </row>
        <row r="372">
          <cell r="D372" t="str">
            <v>406.01.01 - Ativos e passivos financeiros - Ativos financeiros - Levantamento de depósitos e investimentos</v>
          </cell>
        </row>
        <row r="373">
          <cell r="D373" t="str">
            <v>406.01.02 - Ativos e passivos financeiros - Ativos financeiros - Alienação de títulos</v>
          </cell>
        </row>
        <row r="374">
          <cell r="D374" t="str">
            <v>406.01.03 - Ativos e passivos financeiros - Ativos financeiros - Alienação de partes sociais</v>
          </cell>
        </row>
        <row r="375">
          <cell r="D375" t="str">
            <v>406.01.04 - Ativos e passivos financeiros - Ativos financeiros - Reembolso de empréstimos feitos pelo Estado</v>
          </cell>
        </row>
        <row r="376">
          <cell r="D376" t="str">
            <v>406.01.05 - Ativos e passivos financeiros - Ativos financeiros - Recuperação de créditos</v>
          </cell>
        </row>
        <row r="377">
          <cell r="D377" t="str">
            <v>406.01.06 - Ativos e passivos financeiros - Ativos financeiros - Outros ativos financeiros</v>
          </cell>
        </row>
        <row r="378">
          <cell r="D378" t="str">
            <v>406.02.01 - Ativos e passivos financeiros - Passivos Financeiros - Contração de empréstimos</v>
          </cell>
        </row>
        <row r="379">
          <cell r="D379" t="str">
            <v>406.02.02 - Ativos e passivos financeiros - Passivos Financeiros - Emissão de títulos do tesouro</v>
          </cell>
        </row>
        <row r="380">
          <cell r="D380" t="str">
            <v>406.02.03 - Ativos e passivos financeiros - Passivos Financeiros - Outros passivos financeiros</v>
          </cell>
        </row>
        <row r="381">
          <cell r="D381" t="str">
            <v>407 - Reposições não abatidas nos pagamentos</v>
          </cell>
        </row>
        <row r="382">
          <cell r="D382" t="str">
            <v>408 - Saldo de Gerência</v>
          </cell>
        </row>
        <row r="383">
          <cell r="D383" t="str">
            <v>409.01 - Operações extraorçamentais - Adiantamentos de caixa</v>
          </cell>
        </row>
        <row r="384">
          <cell r="D384" t="str">
            <v>409.02 - Operações extraorçamentais - Retenção de impostos e cotizações</v>
          </cell>
        </row>
        <row r="385">
          <cell r="D385" t="str">
            <v>409.03.01 - Operações extraorçamentais - Cauções e garantias - Caução de execução</v>
          </cell>
        </row>
        <row r="386">
          <cell r="D386" t="str">
            <v>409.03.02 - Operações extraorçamentais - Cauções e garantias - Caução de qualidade</v>
          </cell>
        </row>
        <row r="387">
          <cell r="D387" t="str">
            <v>409.03.03 - Operações extraorçamentais - Cauções e garantias - Garantia de pagamento adiantado</v>
          </cell>
        </row>
        <row r="388">
          <cell r="D388" t="str">
            <v>409.04 - Operações extraorçamentais - Outras operações extraorçamentais</v>
          </cell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odos"/>
      <sheetName val="9999"/>
      <sheetName val="7777"/>
      <sheetName val="3014"/>
      <sheetName val="3013"/>
      <sheetName val="3012"/>
      <sheetName val="3011"/>
      <sheetName val="3010"/>
      <sheetName val="3009"/>
      <sheetName val="3008"/>
      <sheetName val="3007"/>
      <sheetName val="3006"/>
      <sheetName val="3005"/>
      <sheetName val="3001"/>
      <sheetName val="2000"/>
      <sheetName val="1029"/>
      <sheetName val="1000"/>
      <sheetName val="0004"/>
      <sheetName val="4060"/>
      <sheetName val="4050"/>
      <sheetName val="0003"/>
      <sheetName val="3015"/>
      <sheetName val="3016"/>
      <sheetName val="2012"/>
      <sheetName val="Consolidado"/>
      <sheetName val="Op. Intra Ss"/>
      <sheetName val="Op. Intra Rendas"/>
      <sheetName val="Administração"/>
      <sheetName val="Mapa IX Sintetico"/>
      <sheetName val="SS1"/>
      <sheetName val="Mapa IX Analitico"/>
      <sheetName val="Dot-Admin_2012"/>
      <sheetName val="Exec-Admin_2012"/>
      <sheetName val="AE"/>
      <sheetName val="Venda AF(DGO)"/>
      <sheetName val="SS1 (2)"/>
      <sheetName val="Dot-Auxiliar-D"/>
      <sheetName val="Dot-Auxiliar-R"/>
      <sheetName val="Exec-Auxiliar-D"/>
      <sheetName val="Exec-Auxiliar-R"/>
      <sheetName val="R-XIII"/>
      <sheetName val="R-X"/>
      <sheetName val="D-XII"/>
      <sheetName val="D-XIV"/>
      <sheetName val="D-XI"/>
      <sheetName val="XXII"/>
      <sheetName val="Subsistema 20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082">
          <cell r="X1082">
            <v>1771423.1500000001</v>
          </cell>
        </row>
      </sheetData>
      <sheetData sheetId="25"/>
      <sheetData sheetId="26"/>
      <sheetData sheetId="27"/>
      <sheetData sheetId="28"/>
      <sheetData sheetId="29">
        <row r="8">
          <cell r="E8">
            <v>13074291558.110001</v>
          </cell>
        </row>
      </sheetData>
      <sheetData sheetId="30">
        <row r="42">
          <cell r="U42">
            <v>171064982.16000003</v>
          </cell>
        </row>
      </sheetData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ntrolo"/>
      <sheetName val="INTERFACE"/>
      <sheetName val="AD"/>
      <sheetName val="CABIMENTOS"/>
      <sheetName val="COMPROMISSOS"/>
      <sheetName val="OBRIGAÇÃO"/>
      <sheetName val="Ciclo_Despesa"/>
      <sheetName val="RECEITAS_GP"/>
      <sheetName val="RECEITAS_PAC"/>
      <sheetName val="CONTA CAIXA"/>
      <sheetName val="CONTA BNU"/>
      <sheetName val="CONTA BNCTL"/>
      <sheetName val="CONTA BRI"/>
      <sheetName val="CONTA MANDIRI"/>
      <sheetName val="CONTA ANZ"/>
      <sheetName val="CONTA BANCO1"/>
      <sheetName val="CONTA BANCO2"/>
      <sheetName val="CE_RegimeNaoContributivo"/>
      <sheetName val="CE_RegimeContributivo"/>
      <sheetName val="CE_AdministraçãoINSS"/>
      <sheetName val="CE_INSS_Global"/>
      <sheetName val="Prog_RegimeContributivo"/>
      <sheetName val="Prog_RegimeNaoContributivo"/>
      <sheetName val="Prog_AdministracaoINSS"/>
      <sheetName val="Programas"/>
      <sheetName val="ClassificacaoFuncional"/>
      <sheetName val="Classificadores_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D3" t="str">
            <v>501.01.01 - SALÁRIOS E VENCIMENTOS - Salários e abonos regulares e permanentes - Salários de titulares de cargos políticos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_RegimeNaoContributivo"/>
      <sheetName val="CE_RegimeContributivo"/>
      <sheetName val="CE_AdministraçãoINSS"/>
      <sheetName val="CE_AdministraçãoFRSS"/>
      <sheetName val="CE_OSS_Global"/>
      <sheetName val="Programa_RegimeContributivo_A04"/>
      <sheetName val="Programa_RegNaoContributivo_A05"/>
      <sheetName val="Programa_AdministracaoINSS_A06"/>
      <sheetName val="Programa_AdministracaoFRSS_A07"/>
      <sheetName val="Sintese_ProgramasOSS_CE"/>
      <sheetName val="ClassificacaoFuncional_OSS"/>
      <sheetName val="CE_CapitalizaçãoFRSS"/>
      <sheetName val="Prog_CapitalizacaoFRSS"/>
      <sheetName val="MAPA_TransfO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2E16-4F07-4FC3-8D71-91F7C11ACE78}">
  <sheetPr>
    <tabColor theme="1"/>
  </sheetPr>
  <dimension ref="A1:X90"/>
  <sheetViews>
    <sheetView zoomScale="90" zoomScaleNormal="90" workbookViewId="0">
      <pane ySplit="8" topLeftCell="A68" activePane="bottomLeft" state="frozen"/>
      <selection pane="bottomLeft" activeCell="D91" sqref="D91"/>
    </sheetView>
  </sheetViews>
  <sheetFormatPr defaultRowHeight="15" x14ac:dyDescent="0.25"/>
  <cols>
    <col min="1" max="1" width="52.85546875" style="261" customWidth="1"/>
    <col min="2" max="2" width="16.140625" style="261" customWidth="1"/>
    <col min="3" max="4" width="14.140625" style="261" customWidth="1"/>
    <col min="5" max="6" width="13.42578125" style="261" customWidth="1"/>
    <col min="7" max="7" width="17" style="261" bestFit="1" customWidth="1"/>
    <col min="8" max="9" width="13.42578125" style="261" customWidth="1"/>
    <col min="10" max="10" width="17.85546875" style="261" customWidth="1"/>
    <col min="11" max="11" width="13.42578125" style="261" customWidth="1"/>
    <col min="12" max="12" width="16" style="261" customWidth="1"/>
    <col min="13" max="13" width="13.7109375" style="261" customWidth="1"/>
    <col min="14" max="14" width="17.28515625" style="261" customWidth="1"/>
    <col min="15" max="16384" width="9.140625" style="261"/>
  </cols>
  <sheetData>
    <row r="1" spans="1:24" s="243" customFormat="1" ht="12" x14ac:dyDescent="0.2">
      <c r="A1" s="4"/>
      <c r="B1" s="4"/>
      <c r="C1" s="4"/>
      <c r="D1" s="5"/>
    </row>
    <row r="2" spans="1:24" s="243" customFormat="1" ht="12" x14ac:dyDescent="0.2">
      <c r="A2" s="483" t="s">
        <v>0</v>
      </c>
      <c r="B2" s="483"/>
      <c r="C2" s="483"/>
      <c r="D2" s="483"/>
      <c r="E2" s="483"/>
      <c r="F2" s="483"/>
      <c r="G2" s="483"/>
      <c r="H2" s="483"/>
      <c r="I2" s="483"/>
      <c r="J2" s="483"/>
      <c r="K2" s="483"/>
      <c r="L2" s="483"/>
      <c r="M2" s="483"/>
      <c r="N2" s="483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243" customFormat="1" ht="12" x14ac:dyDescent="0.2">
      <c r="A3" s="483" t="s">
        <v>149</v>
      </c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s="243" customFormat="1" ht="12" x14ac:dyDescent="0.2">
      <c r="A4" s="484" t="s">
        <v>1425</v>
      </c>
      <c r="B4" s="484"/>
      <c r="C4" s="484"/>
      <c r="D4" s="484"/>
      <c r="E4" s="484"/>
      <c r="F4" s="484"/>
      <c r="G4" s="484"/>
      <c r="H4" s="484"/>
      <c r="I4" s="484"/>
      <c r="J4" s="484"/>
      <c r="K4" s="484"/>
      <c r="L4" s="484"/>
      <c r="M4" s="484"/>
      <c r="N4" s="484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s="243" customFormat="1" ht="12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 s="243" customFormat="1" ht="12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7" t="s">
        <v>1</v>
      </c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1:24" s="245" customFormat="1" ht="36" x14ac:dyDescent="0.2">
      <c r="A7" s="485" t="s">
        <v>150</v>
      </c>
      <c r="B7" s="244" t="s">
        <v>2</v>
      </c>
      <c r="C7" s="244" t="s">
        <v>3</v>
      </c>
      <c r="D7" s="244" t="s">
        <v>57</v>
      </c>
      <c r="E7" s="244" t="s">
        <v>30</v>
      </c>
      <c r="F7" s="244" t="s">
        <v>58</v>
      </c>
      <c r="G7" s="244" t="s">
        <v>80</v>
      </c>
      <c r="H7" s="244" t="s">
        <v>18</v>
      </c>
      <c r="I7" s="244" t="s">
        <v>59</v>
      </c>
      <c r="J7" s="244" t="s">
        <v>60</v>
      </c>
      <c r="K7" s="244" t="s">
        <v>32</v>
      </c>
      <c r="L7" s="244" t="s">
        <v>31</v>
      </c>
      <c r="M7" s="244" t="s">
        <v>61</v>
      </c>
      <c r="N7" s="244" t="s">
        <v>62</v>
      </c>
    </row>
    <row r="8" spans="1:24" s="245" customFormat="1" x14ac:dyDescent="0.2">
      <c r="A8" s="486"/>
      <c r="B8" s="244" t="s">
        <v>20</v>
      </c>
      <c r="C8" s="244" t="s">
        <v>21</v>
      </c>
      <c r="D8" s="244" t="s">
        <v>22</v>
      </c>
      <c r="E8" s="244" t="s">
        <v>23</v>
      </c>
      <c r="F8" s="244" t="s">
        <v>24</v>
      </c>
      <c r="G8" s="244" t="s">
        <v>63</v>
      </c>
      <c r="H8" s="244" t="s">
        <v>33</v>
      </c>
      <c r="I8" s="244" t="s">
        <v>81</v>
      </c>
      <c r="J8" s="244" t="s">
        <v>82</v>
      </c>
      <c r="K8" s="244" t="s">
        <v>83</v>
      </c>
      <c r="L8" s="244" t="s">
        <v>84</v>
      </c>
      <c r="M8" s="244" t="s">
        <v>85</v>
      </c>
      <c r="N8" s="244" t="s">
        <v>86</v>
      </c>
    </row>
    <row r="9" spans="1:24" s="251" customFormat="1" ht="12.75" x14ac:dyDescent="0.2">
      <c r="A9" s="246" t="s">
        <v>151</v>
      </c>
      <c r="B9" s="247">
        <v>333807</v>
      </c>
      <c r="C9" s="247">
        <v>198454.21</v>
      </c>
      <c r="D9" s="247">
        <v>198454.21</v>
      </c>
      <c r="E9" s="247">
        <v>112094.09</v>
      </c>
      <c r="F9" s="247">
        <v>112094.09</v>
      </c>
      <c r="G9" s="247">
        <v>112094.09</v>
      </c>
      <c r="H9" s="248">
        <v>0.5648360395075519</v>
      </c>
      <c r="I9" s="249">
        <v>86360.12</v>
      </c>
      <c r="J9" s="249">
        <v>0</v>
      </c>
      <c r="K9" s="249">
        <v>86360.12</v>
      </c>
      <c r="L9" s="249">
        <v>86360.12</v>
      </c>
      <c r="M9" s="249">
        <v>0</v>
      </c>
      <c r="N9" s="249">
        <v>0</v>
      </c>
      <c r="O9" s="250"/>
      <c r="P9" s="250"/>
      <c r="Q9" s="250"/>
      <c r="R9" s="250"/>
    </row>
    <row r="10" spans="1:24" s="245" customFormat="1" ht="24" x14ac:dyDescent="0.2">
      <c r="A10" s="252" t="s">
        <v>152</v>
      </c>
      <c r="B10" s="253">
        <v>0</v>
      </c>
      <c r="C10" s="253">
        <v>0</v>
      </c>
      <c r="D10" s="253">
        <v>0</v>
      </c>
      <c r="E10" s="253">
        <v>0</v>
      </c>
      <c r="F10" s="253">
        <v>0</v>
      </c>
      <c r="G10" s="253">
        <v>0</v>
      </c>
      <c r="H10" s="254" t="e">
        <v>#DIV/0!</v>
      </c>
      <c r="I10" s="255">
        <v>0</v>
      </c>
      <c r="J10" s="255">
        <v>0</v>
      </c>
      <c r="K10" s="255">
        <v>0</v>
      </c>
      <c r="L10" s="255">
        <v>0</v>
      </c>
      <c r="M10" s="255">
        <v>0</v>
      </c>
      <c r="N10" s="255">
        <v>0</v>
      </c>
      <c r="O10" s="250"/>
      <c r="P10" s="250"/>
      <c r="Q10" s="250"/>
      <c r="R10" s="250"/>
    </row>
    <row r="11" spans="1:24" s="245" customFormat="1" x14ac:dyDescent="0.2">
      <c r="A11" s="252" t="s">
        <v>153</v>
      </c>
      <c r="B11" s="253">
        <v>0</v>
      </c>
      <c r="C11" s="253">
        <v>0</v>
      </c>
      <c r="D11" s="253">
        <v>0</v>
      </c>
      <c r="E11" s="253">
        <v>0</v>
      </c>
      <c r="F11" s="253">
        <v>0</v>
      </c>
      <c r="G11" s="253">
        <v>0</v>
      </c>
      <c r="H11" s="254" t="e">
        <v>#DIV/0!</v>
      </c>
      <c r="I11" s="255">
        <v>0</v>
      </c>
      <c r="J11" s="255">
        <v>0</v>
      </c>
      <c r="K11" s="255">
        <v>0</v>
      </c>
      <c r="L11" s="255">
        <v>0</v>
      </c>
      <c r="M11" s="255">
        <v>0</v>
      </c>
      <c r="N11" s="255">
        <v>0</v>
      </c>
      <c r="O11" s="250"/>
      <c r="P11" s="250"/>
      <c r="Q11" s="250"/>
      <c r="R11" s="250"/>
    </row>
    <row r="12" spans="1:24" s="245" customFormat="1" x14ac:dyDescent="0.2">
      <c r="A12" s="252" t="s">
        <v>154</v>
      </c>
      <c r="B12" s="253">
        <v>0</v>
      </c>
      <c r="C12" s="253">
        <v>0</v>
      </c>
      <c r="D12" s="253">
        <v>0</v>
      </c>
      <c r="E12" s="253">
        <v>0</v>
      </c>
      <c r="F12" s="253">
        <v>0</v>
      </c>
      <c r="G12" s="253">
        <v>0</v>
      </c>
      <c r="H12" s="254" t="e">
        <v>#DIV/0!</v>
      </c>
      <c r="I12" s="255">
        <v>0</v>
      </c>
      <c r="J12" s="255">
        <v>0</v>
      </c>
      <c r="K12" s="255">
        <v>0</v>
      </c>
      <c r="L12" s="255">
        <v>0</v>
      </c>
      <c r="M12" s="255">
        <v>0</v>
      </c>
      <c r="N12" s="255">
        <v>0</v>
      </c>
      <c r="O12" s="250"/>
      <c r="P12" s="250"/>
      <c r="Q12" s="250"/>
      <c r="R12" s="250"/>
    </row>
    <row r="13" spans="1:24" s="245" customFormat="1" x14ac:dyDescent="0.2">
      <c r="A13" s="252" t="s">
        <v>155</v>
      </c>
      <c r="B13" s="253">
        <v>0</v>
      </c>
      <c r="C13" s="253">
        <v>0</v>
      </c>
      <c r="D13" s="253">
        <v>0</v>
      </c>
      <c r="E13" s="253">
        <v>0</v>
      </c>
      <c r="F13" s="253">
        <v>0</v>
      </c>
      <c r="G13" s="253">
        <v>0</v>
      </c>
      <c r="H13" s="254" t="e">
        <v>#DIV/0!</v>
      </c>
      <c r="I13" s="255">
        <v>0</v>
      </c>
      <c r="J13" s="255">
        <v>0</v>
      </c>
      <c r="K13" s="255">
        <v>0</v>
      </c>
      <c r="L13" s="255">
        <v>0</v>
      </c>
      <c r="M13" s="255">
        <v>0</v>
      </c>
      <c r="N13" s="255">
        <v>0</v>
      </c>
      <c r="O13" s="250"/>
      <c r="P13" s="250"/>
      <c r="Q13" s="250"/>
      <c r="R13" s="250"/>
    </row>
    <row r="14" spans="1:24" s="245" customFormat="1" ht="24" x14ac:dyDescent="0.2">
      <c r="A14" s="252" t="s">
        <v>156</v>
      </c>
      <c r="B14" s="253">
        <v>0</v>
      </c>
      <c r="C14" s="253">
        <v>0</v>
      </c>
      <c r="D14" s="253">
        <v>0</v>
      </c>
      <c r="E14" s="253">
        <v>0</v>
      </c>
      <c r="F14" s="253">
        <v>0</v>
      </c>
      <c r="G14" s="253">
        <v>0</v>
      </c>
      <c r="H14" s="254" t="e">
        <v>#DIV/0!</v>
      </c>
      <c r="I14" s="255">
        <v>0</v>
      </c>
      <c r="J14" s="255">
        <v>0</v>
      </c>
      <c r="K14" s="255">
        <v>0</v>
      </c>
      <c r="L14" s="255">
        <v>0</v>
      </c>
      <c r="M14" s="255">
        <v>0</v>
      </c>
      <c r="N14" s="255">
        <v>0</v>
      </c>
      <c r="O14" s="250"/>
      <c r="P14" s="250"/>
      <c r="Q14" s="250"/>
      <c r="R14" s="250"/>
    </row>
    <row r="15" spans="1:24" s="245" customFormat="1" x14ac:dyDescent="0.2">
      <c r="A15" s="252" t="s">
        <v>157</v>
      </c>
      <c r="B15" s="253">
        <v>0</v>
      </c>
      <c r="C15" s="253">
        <v>0</v>
      </c>
      <c r="D15" s="253">
        <v>0</v>
      </c>
      <c r="E15" s="253">
        <v>0</v>
      </c>
      <c r="F15" s="253">
        <v>0</v>
      </c>
      <c r="G15" s="253">
        <v>0</v>
      </c>
      <c r="H15" s="254" t="e">
        <v>#DIV/0!</v>
      </c>
      <c r="I15" s="255">
        <v>0</v>
      </c>
      <c r="J15" s="255">
        <v>0</v>
      </c>
      <c r="K15" s="255">
        <v>0</v>
      </c>
      <c r="L15" s="255">
        <v>0</v>
      </c>
      <c r="M15" s="255">
        <v>0</v>
      </c>
      <c r="N15" s="255">
        <v>0</v>
      </c>
      <c r="O15" s="250"/>
      <c r="P15" s="250"/>
      <c r="Q15" s="250"/>
      <c r="R15" s="250"/>
    </row>
    <row r="16" spans="1:24" s="245" customFormat="1" x14ac:dyDescent="0.2">
      <c r="A16" s="252" t="s">
        <v>158</v>
      </c>
      <c r="B16" s="253">
        <v>0</v>
      </c>
      <c r="C16" s="253">
        <v>0</v>
      </c>
      <c r="D16" s="253">
        <v>0</v>
      </c>
      <c r="E16" s="253">
        <v>0</v>
      </c>
      <c r="F16" s="253">
        <v>0</v>
      </c>
      <c r="G16" s="253">
        <v>0</v>
      </c>
      <c r="H16" s="254" t="e">
        <v>#DIV/0!</v>
      </c>
      <c r="I16" s="255">
        <v>0</v>
      </c>
      <c r="J16" s="255">
        <v>0</v>
      </c>
      <c r="K16" s="255">
        <v>0</v>
      </c>
      <c r="L16" s="255">
        <v>0</v>
      </c>
      <c r="M16" s="255">
        <v>0</v>
      </c>
      <c r="N16" s="255">
        <v>0</v>
      </c>
      <c r="O16" s="250"/>
      <c r="P16" s="250"/>
      <c r="Q16" s="250"/>
      <c r="R16" s="250"/>
    </row>
    <row r="17" spans="1:18" s="245" customFormat="1" ht="24" x14ac:dyDescent="0.2">
      <c r="A17" s="252" t="s">
        <v>159</v>
      </c>
      <c r="B17" s="253">
        <v>333807</v>
      </c>
      <c r="C17" s="253">
        <v>198454.21</v>
      </c>
      <c r="D17" s="253">
        <v>198454.21</v>
      </c>
      <c r="E17" s="253">
        <v>112094.09</v>
      </c>
      <c r="F17" s="253">
        <v>112094.09</v>
      </c>
      <c r="G17" s="253">
        <v>112094.09</v>
      </c>
      <c r="H17" s="254">
        <v>0.5648360395075519</v>
      </c>
      <c r="I17" s="255">
        <v>86360.12</v>
      </c>
      <c r="J17" s="255">
        <v>0</v>
      </c>
      <c r="K17" s="255">
        <v>86360.12</v>
      </c>
      <c r="L17" s="255">
        <v>86360.12</v>
      </c>
      <c r="M17" s="255">
        <v>0</v>
      </c>
      <c r="N17" s="255">
        <v>0</v>
      </c>
      <c r="O17" s="250"/>
      <c r="P17" s="250"/>
      <c r="Q17" s="250"/>
      <c r="R17" s="250"/>
    </row>
    <row r="18" spans="1:18" s="251" customFormat="1" ht="12.75" x14ac:dyDescent="0.2">
      <c r="A18" s="246" t="s">
        <v>160</v>
      </c>
      <c r="B18" s="247">
        <v>0</v>
      </c>
      <c r="C18" s="247">
        <v>0</v>
      </c>
      <c r="D18" s="247">
        <v>0</v>
      </c>
      <c r="E18" s="247">
        <v>0</v>
      </c>
      <c r="F18" s="247">
        <v>0</v>
      </c>
      <c r="G18" s="247">
        <v>0</v>
      </c>
      <c r="H18" s="248" t="e">
        <v>#DIV/0!</v>
      </c>
      <c r="I18" s="249">
        <v>0</v>
      </c>
      <c r="J18" s="249">
        <v>0</v>
      </c>
      <c r="K18" s="249">
        <v>0</v>
      </c>
      <c r="L18" s="249">
        <v>0</v>
      </c>
      <c r="M18" s="249">
        <v>0</v>
      </c>
      <c r="N18" s="249">
        <v>0</v>
      </c>
      <c r="O18" s="250"/>
      <c r="P18" s="250"/>
      <c r="Q18" s="250"/>
      <c r="R18" s="250"/>
    </row>
    <row r="19" spans="1:18" s="245" customFormat="1" x14ac:dyDescent="0.2">
      <c r="A19" s="252" t="s">
        <v>161</v>
      </c>
      <c r="B19" s="253">
        <v>0</v>
      </c>
      <c r="C19" s="253">
        <v>0</v>
      </c>
      <c r="D19" s="253">
        <v>0</v>
      </c>
      <c r="E19" s="253">
        <v>0</v>
      </c>
      <c r="F19" s="253">
        <v>0</v>
      </c>
      <c r="G19" s="253">
        <v>0</v>
      </c>
      <c r="H19" s="254" t="e">
        <v>#DIV/0!</v>
      </c>
      <c r="I19" s="255">
        <v>0</v>
      </c>
      <c r="J19" s="255">
        <v>0</v>
      </c>
      <c r="K19" s="255">
        <v>0</v>
      </c>
      <c r="L19" s="255">
        <v>0</v>
      </c>
      <c r="M19" s="255">
        <v>0</v>
      </c>
      <c r="N19" s="255">
        <v>0</v>
      </c>
      <c r="O19" s="250"/>
      <c r="P19" s="250"/>
      <c r="Q19" s="250"/>
      <c r="R19" s="250"/>
    </row>
    <row r="20" spans="1:18" s="245" customFormat="1" x14ac:dyDescent="0.2">
      <c r="A20" s="252" t="s">
        <v>162</v>
      </c>
      <c r="B20" s="253">
        <v>0</v>
      </c>
      <c r="C20" s="253">
        <v>0</v>
      </c>
      <c r="D20" s="253">
        <v>0</v>
      </c>
      <c r="E20" s="253">
        <v>0</v>
      </c>
      <c r="F20" s="253">
        <v>0</v>
      </c>
      <c r="G20" s="253">
        <v>0</v>
      </c>
      <c r="H20" s="254" t="e">
        <v>#DIV/0!</v>
      </c>
      <c r="I20" s="255">
        <v>0</v>
      </c>
      <c r="J20" s="255">
        <v>0</v>
      </c>
      <c r="K20" s="255">
        <v>0</v>
      </c>
      <c r="L20" s="255">
        <v>0</v>
      </c>
      <c r="M20" s="255">
        <v>0</v>
      </c>
      <c r="N20" s="255">
        <v>0</v>
      </c>
      <c r="O20" s="250"/>
      <c r="P20" s="250"/>
      <c r="Q20" s="250"/>
      <c r="R20" s="250"/>
    </row>
    <row r="21" spans="1:18" s="245" customFormat="1" x14ac:dyDescent="0.2">
      <c r="A21" s="252" t="s">
        <v>163</v>
      </c>
      <c r="B21" s="253">
        <v>0</v>
      </c>
      <c r="C21" s="253">
        <v>0</v>
      </c>
      <c r="D21" s="253">
        <v>0</v>
      </c>
      <c r="E21" s="253">
        <v>0</v>
      </c>
      <c r="F21" s="253">
        <v>0</v>
      </c>
      <c r="G21" s="253">
        <v>0</v>
      </c>
      <c r="H21" s="254" t="e">
        <v>#DIV/0!</v>
      </c>
      <c r="I21" s="255">
        <v>0</v>
      </c>
      <c r="J21" s="255">
        <v>0</v>
      </c>
      <c r="K21" s="255">
        <v>0</v>
      </c>
      <c r="L21" s="255">
        <v>0</v>
      </c>
      <c r="M21" s="255">
        <v>0</v>
      </c>
      <c r="N21" s="255">
        <v>0</v>
      </c>
      <c r="O21" s="250"/>
      <c r="P21" s="250"/>
      <c r="Q21" s="250"/>
      <c r="R21" s="250"/>
    </row>
    <row r="22" spans="1:18" s="245" customFormat="1" x14ac:dyDescent="0.2">
      <c r="A22" s="252" t="s">
        <v>164</v>
      </c>
      <c r="B22" s="253">
        <v>0</v>
      </c>
      <c r="C22" s="253">
        <v>0</v>
      </c>
      <c r="D22" s="253">
        <v>0</v>
      </c>
      <c r="E22" s="253">
        <v>0</v>
      </c>
      <c r="F22" s="253">
        <v>0</v>
      </c>
      <c r="G22" s="253">
        <v>0</v>
      </c>
      <c r="H22" s="254" t="e">
        <v>#DIV/0!</v>
      </c>
      <c r="I22" s="255">
        <v>0</v>
      </c>
      <c r="J22" s="255">
        <v>0</v>
      </c>
      <c r="K22" s="255">
        <v>0</v>
      </c>
      <c r="L22" s="255">
        <v>0</v>
      </c>
      <c r="M22" s="255">
        <v>0</v>
      </c>
      <c r="N22" s="255">
        <v>0</v>
      </c>
      <c r="O22" s="250"/>
      <c r="P22" s="250"/>
      <c r="Q22" s="250"/>
      <c r="R22" s="250"/>
    </row>
    <row r="23" spans="1:18" s="245" customFormat="1" x14ac:dyDescent="0.2">
      <c r="A23" s="252" t="s">
        <v>165</v>
      </c>
      <c r="B23" s="253">
        <v>0</v>
      </c>
      <c r="C23" s="253">
        <v>0</v>
      </c>
      <c r="D23" s="253">
        <v>0</v>
      </c>
      <c r="E23" s="253">
        <v>0</v>
      </c>
      <c r="F23" s="253">
        <v>0</v>
      </c>
      <c r="G23" s="253">
        <v>0</v>
      </c>
      <c r="H23" s="254" t="e">
        <v>#DIV/0!</v>
      </c>
      <c r="I23" s="255">
        <v>0</v>
      </c>
      <c r="J23" s="255">
        <v>0</v>
      </c>
      <c r="K23" s="255">
        <v>0</v>
      </c>
      <c r="L23" s="255">
        <v>0</v>
      </c>
      <c r="M23" s="255">
        <v>0</v>
      </c>
      <c r="N23" s="255">
        <v>0</v>
      </c>
      <c r="O23" s="250"/>
      <c r="P23" s="250"/>
      <c r="Q23" s="250"/>
      <c r="R23" s="250"/>
    </row>
    <row r="24" spans="1:18" s="251" customFormat="1" ht="12.75" x14ac:dyDescent="0.2">
      <c r="A24" s="246" t="s">
        <v>166</v>
      </c>
      <c r="B24" s="247">
        <v>0</v>
      </c>
      <c r="C24" s="247">
        <v>0</v>
      </c>
      <c r="D24" s="247">
        <v>0</v>
      </c>
      <c r="E24" s="247">
        <v>0</v>
      </c>
      <c r="F24" s="247">
        <v>0</v>
      </c>
      <c r="G24" s="247">
        <v>0</v>
      </c>
      <c r="H24" s="248" t="e">
        <v>#DIV/0!</v>
      </c>
      <c r="I24" s="249">
        <v>0</v>
      </c>
      <c r="J24" s="249">
        <v>0</v>
      </c>
      <c r="K24" s="249">
        <v>0</v>
      </c>
      <c r="L24" s="249">
        <v>0</v>
      </c>
      <c r="M24" s="249">
        <v>0</v>
      </c>
      <c r="N24" s="249">
        <v>0</v>
      </c>
      <c r="O24" s="250"/>
      <c r="P24" s="250"/>
      <c r="Q24" s="250"/>
      <c r="R24" s="250"/>
    </row>
    <row r="25" spans="1:18" s="245" customFormat="1" x14ac:dyDescent="0.2">
      <c r="A25" s="252" t="s">
        <v>167</v>
      </c>
      <c r="B25" s="253">
        <v>0</v>
      </c>
      <c r="C25" s="253">
        <v>0</v>
      </c>
      <c r="D25" s="253">
        <v>0</v>
      </c>
      <c r="E25" s="253">
        <v>0</v>
      </c>
      <c r="F25" s="253">
        <v>0</v>
      </c>
      <c r="G25" s="253">
        <v>0</v>
      </c>
      <c r="H25" s="254" t="e">
        <v>#DIV/0!</v>
      </c>
      <c r="I25" s="255">
        <v>0</v>
      </c>
      <c r="J25" s="255">
        <v>0</v>
      </c>
      <c r="K25" s="255">
        <v>0</v>
      </c>
      <c r="L25" s="255">
        <v>0</v>
      </c>
      <c r="M25" s="255">
        <v>0</v>
      </c>
      <c r="N25" s="255">
        <v>0</v>
      </c>
      <c r="O25" s="250"/>
      <c r="P25" s="250"/>
      <c r="Q25" s="250"/>
      <c r="R25" s="250"/>
    </row>
    <row r="26" spans="1:18" s="245" customFormat="1" x14ac:dyDescent="0.2">
      <c r="A26" s="252" t="s">
        <v>168</v>
      </c>
      <c r="B26" s="253">
        <v>0</v>
      </c>
      <c r="C26" s="253">
        <v>0</v>
      </c>
      <c r="D26" s="253">
        <v>0</v>
      </c>
      <c r="E26" s="253">
        <v>0</v>
      </c>
      <c r="F26" s="253">
        <v>0</v>
      </c>
      <c r="G26" s="253">
        <v>0</v>
      </c>
      <c r="H26" s="254" t="e">
        <v>#DIV/0!</v>
      </c>
      <c r="I26" s="255">
        <v>0</v>
      </c>
      <c r="J26" s="255">
        <v>0</v>
      </c>
      <c r="K26" s="255">
        <v>0</v>
      </c>
      <c r="L26" s="255">
        <v>0</v>
      </c>
      <c r="M26" s="255">
        <v>0</v>
      </c>
      <c r="N26" s="255">
        <v>0</v>
      </c>
      <c r="O26" s="250"/>
      <c r="P26" s="250"/>
      <c r="Q26" s="250"/>
      <c r="R26" s="250"/>
    </row>
    <row r="27" spans="1:18" s="245" customFormat="1" x14ac:dyDescent="0.2">
      <c r="A27" s="252" t="s">
        <v>169</v>
      </c>
      <c r="B27" s="253">
        <v>0</v>
      </c>
      <c r="C27" s="253">
        <v>0</v>
      </c>
      <c r="D27" s="253">
        <v>0</v>
      </c>
      <c r="E27" s="253">
        <v>0</v>
      </c>
      <c r="F27" s="253">
        <v>0</v>
      </c>
      <c r="G27" s="253">
        <v>0</v>
      </c>
      <c r="H27" s="254" t="e">
        <v>#DIV/0!</v>
      </c>
      <c r="I27" s="255">
        <v>0</v>
      </c>
      <c r="J27" s="255">
        <v>0</v>
      </c>
      <c r="K27" s="255">
        <v>0</v>
      </c>
      <c r="L27" s="255">
        <v>0</v>
      </c>
      <c r="M27" s="255">
        <v>0</v>
      </c>
      <c r="N27" s="255">
        <v>0</v>
      </c>
      <c r="O27" s="250"/>
      <c r="P27" s="250"/>
      <c r="Q27" s="250"/>
      <c r="R27" s="250"/>
    </row>
    <row r="28" spans="1:18" s="245" customFormat="1" x14ac:dyDescent="0.2">
      <c r="A28" s="252" t="s">
        <v>170</v>
      </c>
      <c r="B28" s="253">
        <v>0</v>
      </c>
      <c r="C28" s="253">
        <v>0</v>
      </c>
      <c r="D28" s="253">
        <v>0</v>
      </c>
      <c r="E28" s="253">
        <v>0</v>
      </c>
      <c r="F28" s="253">
        <v>0</v>
      </c>
      <c r="G28" s="253">
        <v>0</v>
      </c>
      <c r="H28" s="254" t="e">
        <v>#DIV/0!</v>
      </c>
      <c r="I28" s="255">
        <v>0</v>
      </c>
      <c r="J28" s="255">
        <v>0</v>
      </c>
      <c r="K28" s="255">
        <v>0</v>
      </c>
      <c r="L28" s="255">
        <v>0</v>
      </c>
      <c r="M28" s="255">
        <v>0</v>
      </c>
      <c r="N28" s="255">
        <v>0</v>
      </c>
      <c r="O28" s="250"/>
      <c r="P28" s="250"/>
      <c r="Q28" s="250"/>
      <c r="R28" s="250"/>
    </row>
    <row r="29" spans="1:18" s="245" customFormat="1" ht="24" x14ac:dyDescent="0.2">
      <c r="A29" s="252" t="s">
        <v>171</v>
      </c>
      <c r="B29" s="253">
        <v>0</v>
      </c>
      <c r="C29" s="253">
        <v>0</v>
      </c>
      <c r="D29" s="253">
        <v>0</v>
      </c>
      <c r="E29" s="253">
        <v>0</v>
      </c>
      <c r="F29" s="253">
        <v>0</v>
      </c>
      <c r="G29" s="253">
        <v>0</v>
      </c>
      <c r="H29" s="254" t="e">
        <v>#DIV/0!</v>
      </c>
      <c r="I29" s="255">
        <v>0</v>
      </c>
      <c r="J29" s="255">
        <v>0</v>
      </c>
      <c r="K29" s="255">
        <v>0</v>
      </c>
      <c r="L29" s="255">
        <v>0</v>
      </c>
      <c r="M29" s="255">
        <v>0</v>
      </c>
      <c r="N29" s="255">
        <v>0</v>
      </c>
      <c r="O29" s="250"/>
      <c r="P29" s="250"/>
      <c r="Q29" s="250"/>
      <c r="R29" s="250"/>
    </row>
    <row r="30" spans="1:18" s="245" customFormat="1" ht="24" x14ac:dyDescent="0.2">
      <c r="A30" s="252" t="s">
        <v>172</v>
      </c>
      <c r="B30" s="253">
        <v>0</v>
      </c>
      <c r="C30" s="253">
        <v>0</v>
      </c>
      <c r="D30" s="253">
        <v>0</v>
      </c>
      <c r="E30" s="253">
        <v>0</v>
      </c>
      <c r="F30" s="253">
        <v>0</v>
      </c>
      <c r="G30" s="253">
        <v>0</v>
      </c>
      <c r="H30" s="254" t="e">
        <v>#DIV/0!</v>
      </c>
      <c r="I30" s="255">
        <v>0</v>
      </c>
      <c r="J30" s="255">
        <v>0</v>
      </c>
      <c r="K30" s="255">
        <v>0</v>
      </c>
      <c r="L30" s="255">
        <v>0</v>
      </c>
      <c r="M30" s="255">
        <v>0</v>
      </c>
      <c r="N30" s="255">
        <v>0</v>
      </c>
      <c r="O30" s="250"/>
      <c r="P30" s="250"/>
      <c r="Q30" s="250"/>
      <c r="R30" s="250"/>
    </row>
    <row r="31" spans="1:18" s="251" customFormat="1" ht="12.75" x14ac:dyDescent="0.2">
      <c r="A31" s="246" t="s">
        <v>173</v>
      </c>
      <c r="B31" s="247">
        <v>0</v>
      </c>
      <c r="C31" s="247">
        <v>0</v>
      </c>
      <c r="D31" s="247">
        <v>0</v>
      </c>
      <c r="E31" s="247">
        <v>0</v>
      </c>
      <c r="F31" s="247">
        <v>0</v>
      </c>
      <c r="G31" s="247">
        <v>0</v>
      </c>
      <c r="H31" s="248" t="e">
        <v>#DIV/0!</v>
      </c>
      <c r="I31" s="249">
        <v>0</v>
      </c>
      <c r="J31" s="249">
        <v>0</v>
      </c>
      <c r="K31" s="249">
        <v>0</v>
      </c>
      <c r="L31" s="249">
        <v>0</v>
      </c>
      <c r="M31" s="249">
        <v>0</v>
      </c>
      <c r="N31" s="249">
        <v>0</v>
      </c>
      <c r="O31" s="250"/>
      <c r="P31" s="250"/>
      <c r="Q31" s="250"/>
      <c r="R31" s="250"/>
    </row>
    <row r="32" spans="1:18" s="245" customFormat="1" x14ac:dyDescent="0.2">
      <c r="A32" s="252" t="s">
        <v>174</v>
      </c>
      <c r="B32" s="253">
        <v>0</v>
      </c>
      <c r="C32" s="253">
        <v>0</v>
      </c>
      <c r="D32" s="253">
        <v>0</v>
      </c>
      <c r="E32" s="253">
        <v>0</v>
      </c>
      <c r="F32" s="253">
        <v>0</v>
      </c>
      <c r="G32" s="253">
        <v>0</v>
      </c>
      <c r="H32" s="254" t="e">
        <v>#DIV/0!</v>
      </c>
      <c r="I32" s="255">
        <v>0</v>
      </c>
      <c r="J32" s="255">
        <v>0</v>
      </c>
      <c r="K32" s="255">
        <v>0</v>
      </c>
      <c r="L32" s="255">
        <v>0</v>
      </c>
      <c r="M32" s="255">
        <v>0</v>
      </c>
      <c r="N32" s="255">
        <v>0</v>
      </c>
      <c r="O32" s="250"/>
      <c r="P32" s="250"/>
      <c r="Q32" s="250"/>
      <c r="R32" s="250"/>
    </row>
    <row r="33" spans="1:18" s="245" customFormat="1" x14ac:dyDescent="0.2">
      <c r="A33" s="252" t="s">
        <v>175</v>
      </c>
      <c r="B33" s="253">
        <v>0</v>
      </c>
      <c r="C33" s="253">
        <v>0</v>
      </c>
      <c r="D33" s="253">
        <v>0</v>
      </c>
      <c r="E33" s="253">
        <v>0</v>
      </c>
      <c r="F33" s="253">
        <v>0</v>
      </c>
      <c r="G33" s="253">
        <v>0</v>
      </c>
      <c r="H33" s="254" t="e">
        <v>#DIV/0!</v>
      </c>
      <c r="I33" s="255">
        <v>0</v>
      </c>
      <c r="J33" s="255">
        <v>0</v>
      </c>
      <c r="K33" s="255">
        <v>0</v>
      </c>
      <c r="L33" s="255">
        <v>0</v>
      </c>
      <c r="M33" s="255">
        <v>0</v>
      </c>
      <c r="N33" s="255">
        <v>0</v>
      </c>
      <c r="O33" s="250"/>
      <c r="P33" s="250"/>
      <c r="Q33" s="250"/>
      <c r="R33" s="250"/>
    </row>
    <row r="34" spans="1:18" s="245" customFormat="1" x14ac:dyDescent="0.2">
      <c r="A34" s="252" t="s">
        <v>176</v>
      </c>
      <c r="B34" s="253">
        <v>0</v>
      </c>
      <c r="C34" s="253">
        <v>0</v>
      </c>
      <c r="D34" s="253">
        <v>0</v>
      </c>
      <c r="E34" s="253">
        <v>0</v>
      </c>
      <c r="F34" s="253">
        <v>0</v>
      </c>
      <c r="G34" s="253">
        <v>0</v>
      </c>
      <c r="H34" s="254" t="e">
        <v>#DIV/0!</v>
      </c>
      <c r="I34" s="255">
        <v>0</v>
      </c>
      <c r="J34" s="255">
        <v>0</v>
      </c>
      <c r="K34" s="255">
        <v>0</v>
      </c>
      <c r="L34" s="255">
        <v>0</v>
      </c>
      <c r="M34" s="255">
        <v>0</v>
      </c>
      <c r="N34" s="255">
        <v>0</v>
      </c>
      <c r="O34" s="250"/>
      <c r="P34" s="250"/>
      <c r="Q34" s="250"/>
      <c r="R34" s="250"/>
    </row>
    <row r="35" spans="1:18" s="245" customFormat="1" ht="24" x14ac:dyDescent="0.2">
      <c r="A35" s="252" t="s">
        <v>177</v>
      </c>
      <c r="B35" s="253">
        <v>0</v>
      </c>
      <c r="C35" s="253">
        <v>0</v>
      </c>
      <c r="D35" s="253">
        <v>0</v>
      </c>
      <c r="E35" s="253">
        <v>0</v>
      </c>
      <c r="F35" s="253">
        <v>0</v>
      </c>
      <c r="G35" s="253">
        <v>0</v>
      </c>
      <c r="H35" s="254" t="e">
        <v>#DIV/0!</v>
      </c>
      <c r="I35" s="255">
        <v>0</v>
      </c>
      <c r="J35" s="255">
        <v>0</v>
      </c>
      <c r="K35" s="255">
        <v>0</v>
      </c>
      <c r="L35" s="255">
        <v>0</v>
      </c>
      <c r="M35" s="255">
        <v>0</v>
      </c>
      <c r="N35" s="255">
        <v>0</v>
      </c>
      <c r="O35" s="250"/>
      <c r="P35" s="250"/>
      <c r="Q35" s="250"/>
      <c r="R35" s="250"/>
    </row>
    <row r="36" spans="1:18" s="245" customFormat="1" x14ac:dyDescent="0.2">
      <c r="A36" s="252" t="s">
        <v>178</v>
      </c>
      <c r="B36" s="253">
        <v>0</v>
      </c>
      <c r="C36" s="253">
        <v>0</v>
      </c>
      <c r="D36" s="253">
        <v>0</v>
      </c>
      <c r="E36" s="253">
        <v>0</v>
      </c>
      <c r="F36" s="253">
        <v>0</v>
      </c>
      <c r="G36" s="253">
        <v>0</v>
      </c>
      <c r="H36" s="254" t="e">
        <v>#DIV/0!</v>
      </c>
      <c r="I36" s="255">
        <v>0</v>
      </c>
      <c r="J36" s="255">
        <v>0</v>
      </c>
      <c r="K36" s="255">
        <v>0</v>
      </c>
      <c r="L36" s="255">
        <v>0</v>
      </c>
      <c r="M36" s="255">
        <v>0</v>
      </c>
      <c r="N36" s="255">
        <v>0</v>
      </c>
      <c r="O36" s="250"/>
      <c r="P36" s="250"/>
      <c r="Q36" s="250"/>
      <c r="R36" s="250"/>
    </row>
    <row r="37" spans="1:18" s="245" customFormat="1" x14ac:dyDescent="0.2">
      <c r="A37" s="252" t="s">
        <v>179</v>
      </c>
      <c r="B37" s="253">
        <v>0</v>
      </c>
      <c r="C37" s="253">
        <v>0</v>
      </c>
      <c r="D37" s="253">
        <v>0</v>
      </c>
      <c r="E37" s="253">
        <v>0</v>
      </c>
      <c r="F37" s="253">
        <v>0</v>
      </c>
      <c r="G37" s="253">
        <v>0</v>
      </c>
      <c r="H37" s="254" t="e">
        <v>#DIV/0!</v>
      </c>
      <c r="I37" s="255">
        <v>0</v>
      </c>
      <c r="J37" s="255">
        <v>0</v>
      </c>
      <c r="K37" s="255">
        <v>0</v>
      </c>
      <c r="L37" s="255">
        <v>0</v>
      </c>
      <c r="M37" s="255">
        <v>0</v>
      </c>
      <c r="N37" s="255">
        <v>0</v>
      </c>
      <c r="O37" s="250"/>
      <c r="P37" s="250"/>
      <c r="Q37" s="250"/>
      <c r="R37" s="250"/>
    </row>
    <row r="38" spans="1:18" s="245" customFormat="1" x14ac:dyDescent="0.2">
      <c r="A38" s="252" t="s">
        <v>180</v>
      </c>
      <c r="B38" s="253">
        <v>0</v>
      </c>
      <c r="C38" s="253">
        <v>0</v>
      </c>
      <c r="D38" s="253">
        <v>0</v>
      </c>
      <c r="E38" s="253">
        <v>0</v>
      </c>
      <c r="F38" s="253">
        <v>0</v>
      </c>
      <c r="G38" s="253">
        <v>0</v>
      </c>
      <c r="H38" s="254" t="e">
        <v>#DIV/0!</v>
      </c>
      <c r="I38" s="255">
        <v>0</v>
      </c>
      <c r="J38" s="255">
        <v>0</v>
      </c>
      <c r="K38" s="255">
        <v>0</v>
      </c>
      <c r="L38" s="255">
        <v>0</v>
      </c>
      <c r="M38" s="255">
        <v>0</v>
      </c>
      <c r="N38" s="255">
        <v>0</v>
      </c>
      <c r="O38" s="250"/>
      <c r="P38" s="250"/>
      <c r="Q38" s="250"/>
      <c r="R38" s="250"/>
    </row>
    <row r="39" spans="1:18" s="245" customFormat="1" ht="24" x14ac:dyDescent="0.2">
      <c r="A39" s="252" t="s">
        <v>181</v>
      </c>
      <c r="B39" s="253">
        <v>0</v>
      </c>
      <c r="C39" s="253">
        <v>0</v>
      </c>
      <c r="D39" s="253">
        <v>0</v>
      </c>
      <c r="E39" s="253">
        <v>0</v>
      </c>
      <c r="F39" s="253">
        <v>0</v>
      </c>
      <c r="G39" s="253">
        <v>0</v>
      </c>
      <c r="H39" s="254" t="e">
        <v>#DIV/0!</v>
      </c>
      <c r="I39" s="255">
        <v>0</v>
      </c>
      <c r="J39" s="255">
        <v>0</v>
      </c>
      <c r="K39" s="255">
        <v>0</v>
      </c>
      <c r="L39" s="255">
        <v>0</v>
      </c>
      <c r="M39" s="255">
        <v>0</v>
      </c>
      <c r="N39" s="255">
        <v>0</v>
      </c>
      <c r="O39" s="250"/>
      <c r="P39" s="250"/>
      <c r="Q39" s="250"/>
      <c r="R39" s="250"/>
    </row>
    <row r="40" spans="1:18" s="245" customFormat="1" x14ac:dyDescent="0.2">
      <c r="A40" s="252" t="s">
        <v>182</v>
      </c>
      <c r="B40" s="253">
        <v>0</v>
      </c>
      <c r="C40" s="253">
        <v>0</v>
      </c>
      <c r="D40" s="253">
        <v>0</v>
      </c>
      <c r="E40" s="253">
        <v>0</v>
      </c>
      <c r="F40" s="253">
        <v>0</v>
      </c>
      <c r="G40" s="253">
        <v>0</v>
      </c>
      <c r="H40" s="254" t="e">
        <v>#DIV/0!</v>
      </c>
      <c r="I40" s="255">
        <v>0</v>
      </c>
      <c r="J40" s="255">
        <v>0</v>
      </c>
      <c r="K40" s="255">
        <v>0</v>
      </c>
      <c r="L40" s="255">
        <v>0</v>
      </c>
      <c r="M40" s="255">
        <v>0</v>
      </c>
      <c r="N40" s="255">
        <v>0</v>
      </c>
      <c r="O40" s="250"/>
      <c r="P40" s="250"/>
      <c r="Q40" s="250"/>
      <c r="R40" s="250"/>
    </row>
    <row r="41" spans="1:18" s="251" customFormat="1" ht="12.75" x14ac:dyDescent="0.2">
      <c r="A41" s="246" t="s">
        <v>183</v>
      </c>
      <c r="B41" s="247">
        <v>0</v>
      </c>
      <c r="C41" s="247">
        <v>0</v>
      </c>
      <c r="D41" s="247">
        <v>0</v>
      </c>
      <c r="E41" s="247">
        <v>0</v>
      </c>
      <c r="F41" s="247">
        <v>0</v>
      </c>
      <c r="G41" s="247">
        <v>0</v>
      </c>
      <c r="H41" s="248" t="e">
        <v>#DIV/0!</v>
      </c>
      <c r="I41" s="249">
        <v>0</v>
      </c>
      <c r="J41" s="249">
        <v>0</v>
      </c>
      <c r="K41" s="249">
        <v>0</v>
      </c>
      <c r="L41" s="249">
        <v>0</v>
      </c>
      <c r="M41" s="249">
        <v>0</v>
      </c>
      <c r="N41" s="249">
        <v>0</v>
      </c>
      <c r="O41" s="250"/>
      <c r="P41" s="250"/>
      <c r="Q41" s="250"/>
      <c r="R41" s="250"/>
    </row>
    <row r="42" spans="1:18" s="245" customFormat="1" x14ac:dyDescent="0.2">
      <c r="A42" s="252" t="s">
        <v>184</v>
      </c>
      <c r="B42" s="253">
        <v>0</v>
      </c>
      <c r="C42" s="253">
        <v>0</v>
      </c>
      <c r="D42" s="253">
        <v>0</v>
      </c>
      <c r="E42" s="253">
        <v>0</v>
      </c>
      <c r="F42" s="253">
        <v>0</v>
      </c>
      <c r="G42" s="253">
        <v>0</v>
      </c>
      <c r="H42" s="254" t="e">
        <v>#DIV/0!</v>
      </c>
      <c r="I42" s="255">
        <v>0</v>
      </c>
      <c r="J42" s="255">
        <v>0</v>
      </c>
      <c r="K42" s="255">
        <v>0</v>
      </c>
      <c r="L42" s="255">
        <v>0</v>
      </c>
      <c r="M42" s="255">
        <v>0</v>
      </c>
      <c r="N42" s="255">
        <v>0</v>
      </c>
      <c r="O42" s="250"/>
      <c r="P42" s="250"/>
      <c r="Q42" s="250"/>
      <c r="R42" s="250"/>
    </row>
    <row r="43" spans="1:18" s="245" customFormat="1" x14ac:dyDescent="0.2">
      <c r="A43" s="252" t="s">
        <v>185</v>
      </c>
      <c r="B43" s="253">
        <v>0</v>
      </c>
      <c r="C43" s="253">
        <v>0</v>
      </c>
      <c r="D43" s="253">
        <v>0</v>
      </c>
      <c r="E43" s="253">
        <v>0</v>
      </c>
      <c r="F43" s="253">
        <v>0</v>
      </c>
      <c r="G43" s="253">
        <v>0</v>
      </c>
      <c r="H43" s="254" t="e">
        <v>#DIV/0!</v>
      </c>
      <c r="I43" s="255">
        <v>0</v>
      </c>
      <c r="J43" s="255">
        <v>0</v>
      </c>
      <c r="K43" s="255">
        <v>0</v>
      </c>
      <c r="L43" s="255">
        <v>0</v>
      </c>
      <c r="M43" s="255">
        <v>0</v>
      </c>
      <c r="N43" s="255">
        <v>0</v>
      </c>
      <c r="O43" s="250"/>
      <c r="P43" s="250"/>
      <c r="Q43" s="250"/>
      <c r="R43" s="250"/>
    </row>
    <row r="44" spans="1:18" s="245" customFormat="1" x14ac:dyDescent="0.2">
      <c r="A44" s="252" t="s">
        <v>186</v>
      </c>
      <c r="B44" s="253">
        <v>0</v>
      </c>
      <c r="C44" s="253">
        <v>0</v>
      </c>
      <c r="D44" s="253">
        <v>0</v>
      </c>
      <c r="E44" s="253">
        <v>0</v>
      </c>
      <c r="F44" s="253">
        <v>0</v>
      </c>
      <c r="G44" s="253">
        <v>0</v>
      </c>
      <c r="H44" s="254" t="e">
        <v>#DIV/0!</v>
      </c>
      <c r="I44" s="255">
        <v>0</v>
      </c>
      <c r="J44" s="255">
        <v>0</v>
      </c>
      <c r="K44" s="255">
        <v>0</v>
      </c>
      <c r="L44" s="255">
        <v>0</v>
      </c>
      <c r="M44" s="255">
        <v>0</v>
      </c>
      <c r="N44" s="255">
        <v>0</v>
      </c>
      <c r="O44" s="250"/>
      <c r="P44" s="250"/>
      <c r="Q44" s="250"/>
      <c r="R44" s="250"/>
    </row>
    <row r="45" spans="1:18" s="245" customFormat="1" x14ac:dyDescent="0.2">
      <c r="A45" s="252" t="s">
        <v>187</v>
      </c>
      <c r="B45" s="253">
        <v>0</v>
      </c>
      <c r="C45" s="253">
        <v>0</v>
      </c>
      <c r="D45" s="253">
        <v>0</v>
      </c>
      <c r="E45" s="253">
        <v>0</v>
      </c>
      <c r="F45" s="253">
        <v>0</v>
      </c>
      <c r="G45" s="253">
        <v>0</v>
      </c>
      <c r="H45" s="254" t="e">
        <v>#DIV/0!</v>
      </c>
      <c r="I45" s="255">
        <v>0</v>
      </c>
      <c r="J45" s="255">
        <v>0</v>
      </c>
      <c r="K45" s="255">
        <v>0</v>
      </c>
      <c r="L45" s="255">
        <v>0</v>
      </c>
      <c r="M45" s="255">
        <v>0</v>
      </c>
      <c r="N45" s="255">
        <v>0</v>
      </c>
      <c r="O45" s="250"/>
      <c r="P45" s="250"/>
      <c r="Q45" s="250"/>
      <c r="R45" s="250"/>
    </row>
    <row r="46" spans="1:18" s="245" customFormat="1" ht="24" x14ac:dyDescent="0.2">
      <c r="A46" s="252" t="s">
        <v>188</v>
      </c>
      <c r="B46" s="253">
        <v>0</v>
      </c>
      <c r="C46" s="253">
        <v>0</v>
      </c>
      <c r="D46" s="253">
        <v>0</v>
      </c>
      <c r="E46" s="253">
        <v>0</v>
      </c>
      <c r="F46" s="253">
        <v>0</v>
      </c>
      <c r="G46" s="253">
        <v>0</v>
      </c>
      <c r="H46" s="254" t="e">
        <v>#DIV/0!</v>
      </c>
      <c r="I46" s="255">
        <v>0</v>
      </c>
      <c r="J46" s="255">
        <v>0</v>
      </c>
      <c r="K46" s="255">
        <v>0</v>
      </c>
      <c r="L46" s="255">
        <v>0</v>
      </c>
      <c r="M46" s="255">
        <v>0</v>
      </c>
      <c r="N46" s="255">
        <v>0</v>
      </c>
      <c r="O46" s="250"/>
      <c r="P46" s="250"/>
      <c r="Q46" s="250"/>
      <c r="R46" s="250"/>
    </row>
    <row r="47" spans="1:18" s="245" customFormat="1" x14ac:dyDescent="0.2">
      <c r="A47" s="252" t="s">
        <v>189</v>
      </c>
      <c r="B47" s="253">
        <v>0</v>
      </c>
      <c r="C47" s="253">
        <v>0</v>
      </c>
      <c r="D47" s="253">
        <v>0</v>
      </c>
      <c r="E47" s="253">
        <v>0</v>
      </c>
      <c r="F47" s="253">
        <v>0</v>
      </c>
      <c r="G47" s="253">
        <v>0</v>
      </c>
      <c r="H47" s="254" t="e">
        <v>#DIV/0!</v>
      </c>
      <c r="I47" s="255">
        <v>0</v>
      </c>
      <c r="J47" s="255">
        <v>0</v>
      </c>
      <c r="K47" s="255">
        <v>0</v>
      </c>
      <c r="L47" s="255">
        <v>0</v>
      </c>
      <c r="M47" s="255">
        <v>0</v>
      </c>
      <c r="N47" s="255">
        <v>0</v>
      </c>
      <c r="O47" s="250"/>
      <c r="P47" s="250"/>
      <c r="Q47" s="250"/>
      <c r="R47" s="250"/>
    </row>
    <row r="48" spans="1:18" s="251" customFormat="1" ht="12.75" x14ac:dyDescent="0.2">
      <c r="A48" s="246" t="s">
        <v>190</v>
      </c>
      <c r="B48" s="247">
        <v>0</v>
      </c>
      <c r="C48" s="247">
        <v>0</v>
      </c>
      <c r="D48" s="247">
        <v>0</v>
      </c>
      <c r="E48" s="247">
        <v>0</v>
      </c>
      <c r="F48" s="247">
        <v>0</v>
      </c>
      <c r="G48" s="247">
        <v>0</v>
      </c>
      <c r="H48" s="248" t="e">
        <v>#DIV/0!</v>
      </c>
      <c r="I48" s="249">
        <v>0</v>
      </c>
      <c r="J48" s="249">
        <v>0</v>
      </c>
      <c r="K48" s="249">
        <v>0</v>
      </c>
      <c r="L48" s="249">
        <v>0</v>
      </c>
      <c r="M48" s="249">
        <v>0</v>
      </c>
      <c r="N48" s="249">
        <v>0</v>
      </c>
      <c r="O48" s="250"/>
      <c r="P48" s="250"/>
      <c r="Q48" s="250"/>
      <c r="R48" s="250"/>
    </row>
    <row r="49" spans="1:18" s="245" customFormat="1" x14ac:dyDescent="0.2">
      <c r="A49" s="252" t="s">
        <v>191</v>
      </c>
      <c r="B49" s="253">
        <v>0</v>
      </c>
      <c r="C49" s="253">
        <v>0</v>
      </c>
      <c r="D49" s="253">
        <v>0</v>
      </c>
      <c r="E49" s="253">
        <v>0</v>
      </c>
      <c r="F49" s="253">
        <v>0</v>
      </c>
      <c r="G49" s="253">
        <v>0</v>
      </c>
      <c r="H49" s="254" t="e">
        <v>#DIV/0!</v>
      </c>
      <c r="I49" s="255">
        <v>0</v>
      </c>
      <c r="J49" s="255">
        <v>0</v>
      </c>
      <c r="K49" s="255">
        <v>0</v>
      </c>
      <c r="L49" s="255">
        <v>0</v>
      </c>
      <c r="M49" s="255">
        <v>0</v>
      </c>
      <c r="N49" s="255">
        <v>0</v>
      </c>
      <c r="O49" s="250"/>
      <c r="P49" s="250"/>
      <c r="Q49" s="250"/>
      <c r="R49" s="250"/>
    </row>
    <row r="50" spans="1:18" s="245" customFormat="1" x14ac:dyDescent="0.2">
      <c r="A50" s="252" t="s">
        <v>192</v>
      </c>
      <c r="B50" s="253">
        <v>0</v>
      </c>
      <c r="C50" s="253">
        <v>0</v>
      </c>
      <c r="D50" s="253">
        <v>0</v>
      </c>
      <c r="E50" s="253">
        <v>0</v>
      </c>
      <c r="F50" s="253">
        <v>0</v>
      </c>
      <c r="G50" s="253">
        <v>0</v>
      </c>
      <c r="H50" s="254" t="e">
        <v>#DIV/0!</v>
      </c>
      <c r="I50" s="255">
        <v>0</v>
      </c>
      <c r="J50" s="255">
        <v>0</v>
      </c>
      <c r="K50" s="255">
        <v>0</v>
      </c>
      <c r="L50" s="255">
        <v>0</v>
      </c>
      <c r="M50" s="255">
        <v>0</v>
      </c>
      <c r="N50" s="255">
        <v>0</v>
      </c>
      <c r="O50" s="250"/>
      <c r="P50" s="250"/>
      <c r="Q50" s="250"/>
      <c r="R50" s="250"/>
    </row>
    <row r="51" spans="1:18" s="245" customFormat="1" x14ac:dyDescent="0.2">
      <c r="A51" s="252" t="s">
        <v>193</v>
      </c>
      <c r="B51" s="253">
        <v>0</v>
      </c>
      <c r="C51" s="253">
        <v>0</v>
      </c>
      <c r="D51" s="253">
        <v>0</v>
      </c>
      <c r="E51" s="253">
        <v>0</v>
      </c>
      <c r="F51" s="253">
        <v>0</v>
      </c>
      <c r="G51" s="253">
        <v>0</v>
      </c>
      <c r="H51" s="254" t="e">
        <v>#DIV/0!</v>
      </c>
      <c r="I51" s="255">
        <v>0</v>
      </c>
      <c r="J51" s="255">
        <v>0</v>
      </c>
      <c r="K51" s="255">
        <v>0</v>
      </c>
      <c r="L51" s="255">
        <v>0</v>
      </c>
      <c r="M51" s="255">
        <v>0</v>
      </c>
      <c r="N51" s="255">
        <v>0</v>
      </c>
      <c r="O51" s="250"/>
      <c r="P51" s="250"/>
      <c r="Q51" s="250"/>
      <c r="R51" s="250"/>
    </row>
    <row r="52" spans="1:18" s="245" customFormat="1" x14ac:dyDescent="0.2">
      <c r="A52" s="252" t="s">
        <v>194</v>
      </c>
      <c r="B52" s="253">
        <v>0</v>
      </c>
      <c r="C52" s="253">
        <v>0</v>
      </c>
      <c r="D52" s="253">
        <v>0</v>
      </c>
      <c r="E52" s="253">
        <v>0</v>
      </c>
      <c r="F52" s="253">
        <v>0</v>
      </c>
      <c r="G52" s="253">
        <v>0</v>
      </c>
      <c r="H52" s="254" t="e">
        <v>#DIV/0!</v>
      </c>
      <c r="I52" s="255">
        <v>0</v>
      </c>
      <c r="J52" s="255">
        <v>0</v>
      </c>
      <c r="K52" s="255">
        <v>0</v>
      </c>
      <c r="L52" s="255">
        <v>0</v>
      </c>
      <c r="M52" s="255">
        <v>0</v>
      </c>
      <c r="N52" s="255">
        <v>0</v>
      </c>
      <c r="O52" s="250"/>
      <c r="P52" s="250"/>
      <c r="Q52" s="250"/>
      <c r="R52" s="250"/>
    </row>
    <row r="53" spans="1:18" s="245" customFormat="1" ht="24" x14ac:dyDescent="0.2">
      <c r="A53" s="252" t="s">
        <v>195</v>
      </c>
      <c r="B53" s="253">
        <v>0</v>
      </c>
      <c r="C53" s="253">
        <v>0</v>
      </c>
      <c r="D53" s="253">
        <v>0</v>
      </c>
      <c r="E53" s="253">
        <v>0</v>
      </c>
      <c r="F53" s="253">
        <v>0</v>
      </c>
      <c r="G53" s="253">
        <v>0</v>
      </c>
      <c r="H53" s="254" t="e">
        <v>#DIV/0!</v>
      </c>
      <c r="I53" s="255">
        <v>0</v>
      </c>
      <c r="J53" s="255">
        <v>0</v>
      </c>
      <c r="K53" s="255">
        <v>0</v>
      </c>
      <c r="L53" s="255">
        <v>0</v>
      </c>
      <c r="M53" s="255">
        <v>0</v>
      </c>
      <c r="N53" s="255">
        <v>0</v>
      </c>
      <c r="O53" s="250"/>
      <c r="P53" s="250"/>
      <c r="Q53" s="250"/>
      <c r="R53" s="250"/>
    </row>
    <row r="54" spans="1:18" s="245" customFormat="1" ht="24" x14ac:dyDescent="0.2">
      <c r="A54" s="252" t="s">
        <v>196</v>
      </c>
      <c r="B54" s="253">
        <v>0</v>
      </c>
      <c r="C54" s="253">
        <v>0</v>
      </c>
      <c r="D54" s="253">
        <v>0</v>
      </c>
      <c r="E54" s="253">
        <v>0</v>
      </c>
      <c r="F54" s="253">
        <v>0</v>
      </c>
      <c r="G54" s="253">
        <v>0</v>
      </c>
      <c r="H54" s="254" t="e">
        <v>#DIV/0!</v>
      </c>
      <c r="I54" s="255">
        <v>0</v>
      </c>
      <c r="J54" s="255">
        <v>0</v>
      </c>
      <c r="K54" s="255">
        <v>0</v>
      </c>
      <c r="L54" s="255">
        <v>0</v>
      </c>
      <c r="M54" s="255">
        <v>0</v>
      </c>
      <c r="N54" s="255">
        <v>0</v>
      </c>
      <c r="O54" s="250"/>
      <c r="P54" s="250"/>
      <c r="Q54" s="250"/>
      <c r="R54" s="250"/>
    </row>
    <row r="55" spans="1:18" s="251" customFormat="1" ht="12.75" x14ac:dyDescent="0.2">
      <c r="A55" s="256" t="s">
        <v>197</v>
      </c>
      <c r="B55" s="247">
        <v>0</v>
      </c>
      <c r="C55" s="247">
        <v>0</v>
      </c>
      <c r="D55" s="247">
        <v>0</v>
      </c>
      <c r="E55" s="247">
        <v>0</v>
      </c>
      <c r="F55" s="247">
        <v>0</v>
      </c>
      <c r="G55" s="247">
        <v>0</v>
      </c>
      <c r="H55" s="248" t="e">
        <v>#DIV/0!</v>
      </c>
      <c r="I55" s="249">
        <v>0</v>
      </c>
      <c r="J55" s="249">
        <v>0</v>
      </c>
      <c r="K55" s="249">
        <v>0</v>
      </c>
      <c r="L55" s="249">
        <v>0</v>
      </c>
      <c r="M55" s="249">
        <v>0</v>
      </c>
      <c r="N55" s="249">
        <v>0</v>
      </c>
      <c r="O55" s="250"/>
      <c r="P55" s="250"/>
      <c r="Q55" s="250"/>
      <c r="R55" s="250"/>
    </row>
    <row r="56" spans="1:18" s="245" customFormat="1" x14ac:dyDescent="0.2">
      <c r="A56" s="252" t="s">
        <v>198</v>
      </c>
      <c r="B56" s="253">
        <v>0</v>
      </c>
      <c r="C56" s="253">
        <v>0</v>
      </c>
      <c r="D56" s="253">
        <v>0</v>
      </c>
      <c r="E56" s="253">
        <v>0</v>
      </c>
      <c r="F56" s="253">
        <v>0</v>
      </c>
      <c r="G56" s="253">
        <v>0</v>
      </c>
      <c r="H56" s="254" t="e">
        <v>#DIV/0!</v>
      </c>
      <c r="I56" s="255">
        <v>0</v>
      </c>
      <c r="J56" s="255">
        <v>0</v>
      </c>
      <c r="K56" s="255">
        <v>0</v>
      </c>
      <c r="L56" s="255">
        <v>0</v>
      </c>
      <c r="M56" s="255">
        <v>0</v>
      </c>
      <c r="N56" s="255">
        <v>0</v>
      </c>
      <c r="O56" s="250"/>
      <c r="P56" s="250"/>
      <c r="Q56" s="250"/>
      <c r="R56" s="250"/>
    </row>
    <row r="57" spans="1:18" s="245" customFormat="1" x14ac:dyDescent="0.2">
      <c r="A57" s="252" t="s">
        <v>199</v>
      </c>
      <c r="B57" s="253">
        <v>0</v>
      </c>
      <c r="C57" s="253">
        <v>0</v>
      </c>
      <c r="D57" s="253">
        <v>0</v>
      </c>
      <c r="E57" s="253">
        <v>0</v>
      </c>
      <c r="F57" s="253">
        <v>0</v>
      </c>
      <c r="G57" s="253">
        <v>0</v>
      </c>
      <c r="H57" s="254" t="e">
        <v>#DIV/0!</v>
      </c>
      <c r="I57" s="255">
        <v>0</v>
      </c>
      <c r="J57" s="255">
        <v>0</v>
      </c>
      <c r="K57" s="255">
        <v>0</v>
      </c>
      <c r="L57" s="255">
        <v>0</v>
      </c>
      <c r="M57" s="255">
        <v>0</v>
      </c>
      <c r="N57" s="255">
        <v>0</v>
      </c>
      <c r="O57" s="250"/>
      <c r="P57" s="250"/>
      <c r="Q57" s="250"/>
      <c r="R57" s="250"/>
    </row>
    <row r="58" spans="1:18" s="245" customFormat="1" x14ac:dyDescent="0.2">
      <c r="A58" s="252" t="s">
        <v>200</v>
      </c>
      <c r="B58" s="253">
        <v>0</v>
      </c>
      <c r="C58" s="253">
        <v>0</v>
      </c>
      <c r="D58" s="253">
        <v>0</v>
      </c>
      <c r="E58" s="253">
        <v>0</v>
      </c>
      <c r="F58" s="253">
        <v>0</v>
      </c>
      <c r="G58" s="253">
        <v>0</v>
      </c>
      <c r="H58" s="254" t="e">
        <v>#DIV/0!</v>
      </c>
      <c r="I58" s="255">
        <v>0</v>
      </c>
      <c r="J58" s="255">
        <v>0</v>
      </c>
      <c r="K58" s="255">
        <v>0</v>
      </c>
      <c r="L58" s="255">
        <v>0</v>
      </c>
      <c r="M58" s="255">
        <v>0</v>
      </c>
      <c r="N58" s="255">
        <v>0</v>
      </c>
      <c r="O58" s="250"/>
      <c r="P58" s="250"/>
      <c r="Q58" s="250"/>
      <c r="R58" s="250"/>
    </row>
    <row r="59" spans="1:18" s="245" customFormat="1" x14ac:dyDescent="0.2">
      <c r="A59" s="252" t="s">
        <v>201</v>
      </c>
      <c r="B59" s="253">
        <v>0</v>
      </c>
      <c r="C59" s="253">
        <v>0</v>
      </c>
      <c r="D59" s="253">
        <v>0</v>
      </c>
      <c r="E59" s="253">
        <v>0</v>
      </c>
      <c r="F59" s="253">
        <v>0</v>
      </c>
      <c r="G59" s="253">
        <v>0</v>
      </c>
      <c r="H59" s="254" t="e">
        <v>#DIV/0!</v>
      </c>
      <c r="I59" s="255">
        <v>0</v>
      </c>
      <c r="J59" s="255">
        <v>0</v>
      </c>
      <c r="K59" s="255">
        <v>0</v>
      </c>
      <c r="L59" s="255">
        <v>0</v>
      </c>
      <c r="M59" s="255">
        <v>0</v>
      </c>
      <c r="N59" s="255">
        <v>0</v>
      </c>
      <c r="O59" s="250"/>
      <c r="P59" s="250"/>
      <c r="Q59" s="250"/>
      <c r="R59" s="250"/>
    </row>
    <row r="60" spans="1:18" s="245" customFormat="1" x14ac:dyDescent="0.2">
      <c r="A60" s="252" t="s">
        <v>202</v>
      </c>
      <c r="B60" s="253">
        <v>0</v>
      </c>
      <c r="C60" s="253">
        <v>0</v>
      </c>
      <c r="D60" s="253">
        <v>0</v>
      </c>
      <c r="E60" s="253">
        <v>0</v>
      </c>
      <c r="F60" s="253">
        <v>0</v>
      </c>
      <c r="G60" s="253">
        <v>0</v>
      </c>
      <c r="H60" s="254" t="e">
        <v>#DIV/0!</v>
      </c>
      <c r="I60" s="255">
        <v>0</v>
      </c>
      <c r="J60" s="255">
        <v>0</v>
      </c>
      <c r="K60" s="255">
        <v>0</v>
      </c>
      <c r="L60" s="255">
        <v>0</v>
      </c>
      <c r="M60" s="255">
        <v>0</v>
      </c>
      <c r="N60" s="255">
        <v>0</v>
      </c>
      <c r="O60" s="250"/>
      <c r="P60" s="250"/>
      <c r="Q60" s="250"/>
      <c r="R60" s="250"/>
    </row>
    <row r="61" spans="1:18" s="245" customFormat="1" x14ac:dyDescent="0.2">
      <c r="A61" s="252" t="s">
        <v>203</v>
      </c>
      <c r="B61" s="253">
        <v>0</v>
      </c>
      <c r="C61" s="253">
        <v>0</v>
      </c>
      <c r="D61" s="253">
        <v>0</v>
      </c>
      <c r="E61" s="253">
        <v>0</v>
      </c>
      <c r="F61" s="253">
        <v>0</v>
      </c>
      <c r="G61" s="253">
        <v>0</v>
      </c>
      <c r="H61" s="254" t="e">
        <v>#DIV/0!</v>
      </c>
      <c r="I61" s="255">
        <v>0</v>
      </c>
      <c r="J61" s="255">
        <v>0</v>
      </c>
      <c r="K61" s="255">
        <v>0</v>
      </c>
      <c r="L61" s="255">
        <v>0</v>
      </c>
      <c r="M61" s="255">
        <v>0</v>
      </c>
      <c r="N61" s="255">
        <v>0</v>
      </c>
      <c r="O61" s="250"/>
      <c r="P61" s="250"/>
      <c r="Q61" s="250"/>
      <c r="R61" s="250"/>
    </row>
    <row r="62" spans="1:18" s="251" customFormat="1" ht="12.75" x14ac:dyDescent="0.2">
      <c r="A62" s="256" t="s">
        <v>204</v>
      </c>
      <c r="B62" s="247">
        <v>0</v>
      </c>
      <c r="C62" s="247">
        <v>0</v>
      </c>
      <c r="D62" s="247">
        <v>0</v>
      </c>
      <c r="E62" s="247">
        <v>0</v>
      </c>
      <c r="F62" s="247">
        <v>0</v>
      </c>
      <c r="G62" s="247">
        <v>0</v>
      </c>
      <c r="H62" s="248" t="e">
        <v>#DIV/0!</v>
      </c>
      <c r="I62" s="249">
        <v>0</v>
      </c>
      <c r="J62" s="249">
        <v>0</v>
      </c>
      <c r="K62" s="249">
        <v>0</v>
      </c>
      <c r="L62" s="249">
        <v>0</v>
      </c>
      <c r="M62" s="249">
        <v>0</v>
      </c>
      <c r="N62" s="249">
        <v>0</v>
      </c>
      <c r="O62" s="250"/>
      <c r="P62" s="250"/>
      <c r="Q62" s="250"/>
      <c r="R62" s="250"/>
    </row>
    <row r="63" spans="1:18" s="245" customFormat="1" x14ac:dyDescent="0.2">
      <c r="A63" s="252" t="s">
        <v>205</v>
      </c>
      <c r="B63" s="253">
        <v>0</v>
      </c>
      <c r="C63" s="253">
        <v>0</v>
      </c>
      <c r="D63" s="253">
        <v>0</v>
      </c>
      <c r="E63" s="253">
        <v>0</v>
      </c>
      <c r="F63" s="253">
        <v>0</v>
      </c>
      <c r="G63" s="253">
        <v>0</v>
      </c>
      <c r="H63" s="254" t="e">
        <v>#DIV/0!</v>
      </c>
      <c r="I63" s="255">
        <v>0</v>
      </c>
      <c r="J63" s="255">
        <v>0</v>
      </c>
      <c r="K63" s="255">
        <v>0</v>
      </c>
      <c r="L63" s="255">
        <v>0</v>
      </c>
      <c r="M63" s="255">
        <v>0</v>
      </c>
      <c r="N63" s="255">
        <v>0</v>
      </c>
      <c r="O63" s="250"/>
      <c r="P63" s="250"/>
      <c r="Q63" s="250"/>
      <c r="R63" s="250"/>
    </row>
    <row r="64" spans="1:18" s="245" customFormat="1" x14ac:dyDescent="0.2">
      <c r="A64" s="252" t="s">
        <v>206</v>
      </c>
      <c r="B64" s="253">
        <v>0</v>
      </c>
      <c r="C64" s="253">
        <v>0</v>
      </c>
      <c r="D64" s="253">
        <v>0</v>
      </c>
      <c r="E64" s="253">
        <v>0</v>
      </c>
      <c r="F64" s="253">
        <v>0</v>
      </c>
      <c r="G64" s="253">
        <v>0</v>
      </c>
      <c r="H64" s="254" t="e">
        <v>#DIV/0!</v>
      </c>
      <c r="I64" s="255">
        <v>0</v>
      </c>
      <c r="J64" s="255">
        <v>0</v>
      </c>
      <c r="K64" s="255">
        <v>0</v>
      </c>
      <c r="L64" s="255">
        <v>0</v>
      </c>
      <c r="M64" s="255">
        <v>0</v>
      </c>
      <c r="N64" s="255">
        <v>0</v>
      </c>
      <c r="O64" s="250"/>
      <c r="P64" s="250"/>
      <c r="Q64" s="250"/>
      <c r="R64" s="250"/>
    </row>
    <row r="65" spans="1:18" s="245" customFormat="1" x14ac:dyDescent="0.2">
      <c r="A65" s="252" t="s">
        <v>207</v>
      </c>
      <c r="B65" s="253">
        <v>0</v>
      </c>
      <c r="C65" s="253">
        <v>0</v>
      </c>
      <c r="D65" s="253">
        <v>0</v>
      </c>
      <c r="E65" s="253">
        <v>0</v>
      </c>
      <c r="F65" s="253">
        <v>0</v>
      </c>
      <c r="G65" s="253">
        <v>0</v>
      </c>
      <c r="H65" s="254" t="e">
        <v>#DIV/0!</v>
      </c>
      <c r="I65" s="255">
        <v>0</v>
      </c>
      <c r="J65" s="255">
        <v>0</v>
      </c>
      <c r="K65" s="255">
        <v>0</v>
      </c>
      <c r="L65" s="255">
        <v>0</v>
      </c>
      <c r="M65" s="255">
        <v>0</v>
      </c>
      <c r="N65" s="255">
        <v>0</v>
      </c>
      <c r="O65" s="250"/>
      <c r="P65" s="250"/>
      <c r="Q65" s="250"/>
      <c r="R65" s="250"/>
    </row>
    <row r="66" spans="1:18" s="245" customFormat="1" ht="24" x14ac:dyDescent="0.2">
      <c r="A66" s="252" t="s">
        <v>208</v>
      </c>
      <c r="B66" s="253">
        <v>0</v>
      </c>
      <c r="C66" s="253">
        <v>0</v>
      </c>
      <c r="D66" s="253">
        <v>0</v>
      </c>
      <c r="E66" s="253">
        <v>0</v>
      </c>
      <c r="F66" s="253">
        <v>0</v>
      </c>
      <c r="G66" s="253">
        <v>0</v>
      </c>
      <c r="H66" s="254" t="e">
        <v>#DIV/0!</v>
      </c>
      <c r="I66" s="255">
        <v>0</v>
      </c>
      <c r="J66" s="255">
        <v>0</v>
      </c>
      <c r="K66" s="255">
        <v>0</v>
      </c>
      <c r="L66" s="255">
        <v>0</v>
      </c>
      <c r="M66" s="255">
        <v>0</v>
      </c>
      <c r="N66" s="255">
        <v>0</v>
      </c>
      <c r="O66" s="250"/>
      <c r="P66" s="250"/>
      <c r="Q66" s="250"/>
      <c r="R66" s="250"/>
    </row>
    <row r="67" spans="1:18" s="245" customFormat="1" ht="24" x14ac:dyDescent="0.2">
      <c r="A67" s="252" t="s">
        <v>209</v>
      </c>
      <c r="B67" s="253">
        <v>0</v>
      </c>
      <c r="C67" s="253">
        <v>0</v>
      </c>
      <c r="D67" s="253">
        <v>0</v>
      </c>
      <c r="E67" s="253">
        <v>0</v>
      </c>
      <c r="F67" s="253">
        <v>0</v>
      </c>
      <c r="G67" s="253">
        <v>0</v>
      </c>
      <c r="H67" s="254" t="e">
        <v>#DIV/0!</v>
      </c>
      <c r="I67" s="255">
        <v>0</v>
      </c>
      <c r="J67" s="255">
        <v>0</v>
      </c>
      <c r="K67" s="255">
        <v>0</v>
      </c>
      <c r="L67" s="255">
        <v>0</v>
      </c>
      <c r="M67" s="255">
        <v>0</v>
      </c>
      <c r="N67" s="255">
        <v>0</v>
      </c>
      <c r="O67" s="250"/>
      <c r="P67" s="250"/>
      <c r="Q67" s="250"/>
      <c r="R67" s="250"/>
    </row>
    <row r="68" spans="1:18" s="245" customFormat="1" ht="24" x14ac:dyDescent="0.2">
      <c r="A68" s="252" t="s">
        <v>210</v>
      </c>
      <c r="B68" s="253">
        <v>0</v>
      </c>
      <c r="C68" s="253">
        <v>0</v>
      </c>
      <c r="D68" s="253">
        <v>0</v>
      </c>
      <c r="E68" s="253">
        <v>0</v>
      </c>
      <c r="F68" s="253">
        <v>0</v>
      </c>
      <c r="G68" s="253">
        <v>0</v>
      </c>
      <c r="H68" s="254" t="e">
        <v>#DIV/0!</v>
      </c>
      <c r="I68" s="255">
        <v>0</v>
      </c>
      <c r="J68" s="255">
        <v>0</v>
      </c>
      <c r="K68" s="255">
        <v>0</v>
      </c>
      <c r="L68" s="255">
        <v>0</v>
      </c>
      <c r="M68" s="255">
        <v>0</v>
      </c>
      <c r="N68" s="255">
        <v>0</v>
      </c>
      <c r="O68" s="250"/>
      <c r="P68" s="250"/>
      <c r="Q68" s="250"/>
      <c r="R68" s="250"/>
    </row>
    <row r="69" spans="1:18" s="251" customFormat="1" ht="12.75" x14ac:dyDescent="0.2">
      <c r="A69" s="256" t="s">
        <v>211</v>
      </c>
      <c r="B69" s="247">
        <v>0</v>
      </c>
      <c r="C69" s="247">
        <v>0</v>
      </c>
      <c r="D69" s="247">
        <v>0</v>
      </c>
      <c r="E69" s="247">
        <v>0</v>
      </c>
      <c r="F69" s="247">
        <v>0</v>
      </c>
      <c r="G69" s="247">
        <v>0</v>
      </c>
      <c r="H69" s="248" t="e">
        <v>#DIV/0!</v>
      </c>
      <c r="I69" s="249">
        <v>0</v>
      </c>
      <c r="J69" s="249">
        <v>0</v>
      </c>
      <c r="K69" s="249">
        <v>0</v>
      </c>
      <c r="L69" s="249">
        <v>0</v>
      </c>
      <c r="M69" s="249">
        <v>0</v>
      </c>
      <c r="N69" s="249">
        <v>0</v>
      </c>
      <c r="O69" s="250"/>
      <c r="P69" s="250"/>
      <c r="Q69" s="250"/>
      <c r="R69" s="250"/>
    </row>
    <row r="70" spans="1:18" s="245" customFormat="1" x14ac:dyDescent="0.2">
      <c r="A70" s="252" t="s">
        <v>212</v>
      </c>
      <c r="B70" s="253">
        <v>0</v>
      </c>
      <c r="C70" s="253">
        <v>0</v>
      </c>
      <c r="D70" s="253">
        <v>0</v>
      </c>
      <c r="E70" s="253">
        <v>0</v>
      </c>
      <c r="F70" s="253">
        <v>0</v>
      </c>
      <c r="G70" s="253">
        <v>0</v>
      </c>
      <c r="H70" s="254" t="e">
        <v>#DIV/0!</v>
      </c>
      <c r="I70" s="255">
        <v>0</v>
      </c>
      <c r="J70" s="255">
        <v>0</v>
      </c>
      <c r="K70" s="255">
        <v>0</v>
      </c>
      <c r="L70" s="255">
        <v>0</v>
      </c>
      <c r="M70" s="255">
        <v>0</v>
      </c>
      <c r="N70" s="255">
        <v>0</v>
      </c>
      <c r="O70" s="250"/>
      <c r="P70" s="250"/>
      <c r="Q70" s="250"/>
      <c r="R70" s="250"/>
    </row>
    <row r="71" spans="1:18" s="245" customFormat="1" x14ac:dyDescent="0.2">
      <c r="A71" s="252" t="s">
        <v>213</v>
      </c>
      <c r="B71" s="253">
        <v>0</v>
      </c>
      <c r="C71" s="253">
        <v>0</v>
      </c>
      <c r="D71" s="253">
        <v>0</v>
      </c>
      <c r="E71" s="253">
        <v>0</v>
      </c>
      <c r="F71" s="253">
        <v>0</v>
      </c>
      <c r="G71" s="253">
        <v>0</v>
      </c>
      <c r="H71" s="254" t="e">
        <v>#DIV/0!</v>
      </c>
      <c r="I71" s="255">
        <v>0</v>
      </c>
      <c r="J71" s="255">
        <v>0</v>
      </c>
      <c r="K71" s="255">
        <v>0</v>
      </c>
      <c r="L71" s="255">
        <v>0</v>
      </c>
      <c r="M71" s="255">
        <v>0</v>
      </c>
      <c r="N71" s="255">
        <v>0</v>
      </c>
      <c r="O71" s="250"/>
      <c r="P71" s="250"/>
      <c r="Q71" s="250"/>
      <c r="R71" s="250"/>
    </row>
    <row r="72" spans="1:18" s="245" customFormat="1" x14ac:dyDescent="0.2">
      <c r="A72" s="252" t="s">
        <v>214</v>
      </c>
      <c r="B72" s="253">
        <v>0</v>
      </c>
      <c r="C72" s="253">
        <v>0</v>
      </c>
      <c r="D72" s="253">
        <v>0</v>
      </c>
      <c r="E72" s="253">
        <v>0</v>
      </c>
      <c r="F72" s="253">
        <v>0</v>
      </c>
      <c r="G72" s="253">
        <v>0</v>
      </c>
      <c r="H72" s="254" t="e">
        <v>#DIV/0!</v>
      </c>
      <c r="I72" s="255">
        <v>0</v>
      </c>
      <c r="J72" s="255">
        <v>0</v>
      </c>
      <c r="K72" s="255">
        <v>0</v>
      </c>
      <c r="L72" s="255">
        <v>0</v>
      </c>
      <c r="M72" s="255">
        <v>0</v>
      </c>
      <c r="N72" s="255">
        <v>0</v>
      </c>
      <c r="O72" s="250"/>
      <c r="P72" s="250"/>
      <c r="Q72" s="250"/>
      <c r="R72" s="250"/>
    </row>
    <row r="73" spans="1:18" s="245" customFormat="1" x14ac:dyDescent="0.2">
      <c r="A73" s="252" t="s">
        <v>215</v>
      </c>
      <c r="B73" s="253">
        <v>0</v>
      </c>
      <c r="C73" s="253">
        <v>0</v>
      </c>
      <c r="D73" s="253">
        <v>0</v>
      </c>
      <c r="E73" s="253">
        <v>0</v>
      </c>
      <c r="F73" s="253">
        <v>0</v>
      </c>
      <c r="G73" s="253">
        <v>0</v>
      </c>
      <c r="H73" s="254" t="e">
        <v>#DIV/0!</v>
      </c>
      <c r="I73" s="255">
        <v>0</v>
      </c>
      <c r="J73" s="255">
        <v>0</v>
      </c>
      <c r="K73" s="255">
        <v>0</v>
      </c>
      <c r="L73" s="255">
        <v>0</v>
      </c>
      <c r="M73" s="255">
        <v>0</v>
      </c>
      <c r="N73" s="255">
        <v>0</v>
      </c>
      <c r="O73" s="250"/>
      <c r="P73" s="250"/>
      <c r="Q73" s="250"/>
      <c r="R73" s="250"/>
    </row>
    <row r="74" spans="1:18" s="245" customFormat="1" x14ac:dyDescent="0.2">
      <c r="A74" s="257" t="s">
        <v>216</v>
      </c>
      <c r="B74" s="253">
        <v>0</v>
      </c>
      <c r="C74" s="253">
        <v>0</v>
      </c>
      <c r="D74" s="253">
        <v>0</v>
      </c>
      <c r="E74" s="253">
        <v>0</v>
      </c>
      <c r="F74" s="253">
        <v>0</v>
      </c>
      <c r="G74" s="253">
        <v>0</v>
      </c>
      <c r="H74" s="254" t="e">
        <v>#DIV/0!</v>
      </c>
      <c r="I74" s="255">
        <v>0</v>
      </c>
      <c r="J74" s="255">
        <v>0</v>
      </c>
      <c r="K74" s="255">
        <v>0</v>
      </c>
      <c r="L74" s="255">
        <v>0</v>
      </c>
      <c r="M74" s="255">
        <v>0</v>
      </c>
      <c r="N74" s="255">
        <v>0</v>
      </c>
      <c r="O74" s="250"/>
      <c r="P74" s="250"/>
      <c r="Q74" s="250"/>
      <c r="R74" s="250"/>
    </row>
    <row r="75" spans="1:18" s="245" customFormat="1" x14ac:dyDescent="0.2">
      <c r="A75" s="257" t="s">
        <v>217</v>
      </c>
      <c r="B75" s="253">
        <v>0</v>
      </c>
      <c r="C75" s="253">
        <v>0</v>
      </c>
      <c r="D75" s="253">
        <v>0</v>
      </c>
      <c r="E75" s="253">
        <v>0</v>
      </c>
      <c r="F75" s="253">
        <v>0</v>
      </c>
      <c r="G75" s="253">
        <v>0</v>
      </c>
      <c r="H75" s="254" t="e">
        <v>#DIV/0!</v>
      </c>
      <c r="I75" s="255">
        <v>0</v>
      </c>
      <c r="J75" s="255">
        <v>0</v>
      </c>
      <c r="K75" s="255">
        <v>0</v>
      </c>
      <c r="L75" s="255">
        <v>0</v>
      </c>
      <c r="M75" s="255">
        <v>0</v>
      </c>
      <c r="N75" s="255">
        <v>0</v>
      </c>
      <c r="O75" s="250"/>
      <c r="P75" s="250"/>
      <c r="Q75" s="250"/>
      <c r="R75" s="250"/>
    </row>
    <row r="76" spans="1:18" s="245" customFormat="1" x14ac:dyDescent="0.2">
      <c r="A76" s="252" t="s">
        <v>218</v>
      </c>
      <c r="B76" s="253">
        <v>0</v>
      </c>
      <c r="C76" s="253">
        <v>0</v>
      </c>
      <c r="D76" s="253">
        <v>0</v>
      </c>
      <c r="E76" s="253">
        <v>0</v>
      </c>
      <c r="F76" s="253">
        <v>0</v>
      </c>
      <c r="G76" s="253">
        <v>0</v>
      </c>
      <c r="H76" s="254" t="e">
        <v>#DIV/0!</v>
      </c>
      <c r="I76" s="255">
        <v>0</v>
      </c>
      <c r="J76" s="255">
        <v>0</v>
      </c>
      <c r="K76" s="255">
        <v>0</v>
      </c>
      <c r="L76" s="255">
        <v>0</v>
      </c>
      <c r="M76" s="255">
        <v>0</v>
      </c>
      <c r="N76" s="255">
        <v>0</v>
      </c>
      <c r="O76" s="250"/>
      <c r="P76" s="250"/>
      <c r="Q76" s="250"/>
      <c r="R76" s="250"/>
    </row>
    <row r="77" spans="1:18" s="245" customFormat="1" x14ac:dyDescent="0.2">
      <c r="A77" s="252" t="s">
        <v>219</v>
      </c>
      <c r="B77" s="253">
        <v>0</v>
      </c>
      <c r="C77" s="253">
        <v>0</v>
      </c>
      <c r="D77" s="253">
        <v>0</v>
      </c>
      <c r="E77" s="253">
        <v>0</v>
      </c>
      <c r="F77" s="253">
        <v>0</v>
      </c>
      <c r="G77" s="253">
        <v>0</v>
      </c>
      <c r="H77" s="254" t="e">
        <v>#DIV/0!</v>
      </c>
      <c r="I77" s="255">
        <v>0</v>
      </c>
      <c r="J77" s="255">
        <v>0</v>
      </c>
      <c r="K77" s="255">
        <v>0</v>
      </c>
      <c r="L77" s="255">
        <v>0</v>
      </c>
      <c r="M77" s="255">
        <v>0</v>
      </c>
      <c r="N77" s="255">
        <v>0</v>
      </c>
      <c r="O77" s="250"/>
      <c r="P77" s="250"/>
      <c r="Q77" s="250"/>
      <c r="R77" s="250"/>
    </row>
    <row r="78" spans="1:18" s="251" customFormat="1" ht="12.75" x14ac:dyDescent="0.2">
      <c r="A78" s="256" t="s">
        <v>220</v>
      </c>
      <c r="B78" s="247">
        <v>170399205</v>
      </c>
      <c r="C78" s="247">
        <v>197905769.44</v>
      </c>
      <c r="D78" s="247">
        <v>195813048.84</v>
      </c>
      <c r="E78" s="247">
        <v>138174952.80409905</v>
      </c>
      <c r="F78" s="247">
        <v>137195915.50805131</v>
      </c>
      <c r="G78" s="247">
        <v>137164747.49098745</v>
      </c>
      <c r="H78" s="248">
        <v>0.69308109550880126</v>
      </c>
      <c r="I78" s="249">
        <v>60741021.949012548</v>
      </c>
      <c r="J78" s="249">
        <v>2092720.599999994</v>
      </c>
      <c r="K78" s="249">
        <v>59730816.635900944</v>
      </c>
      <c r="L78" s="249">
        <v>57638096.03590095</v>
      </c>
      <c r="M78" s="249">
        <v>979037.29604774714</v>
      </c>
      <c r="N78" s="249">
        <v>31168.017063856125</v>
      </c>
      <c r="O78" s="250"/>
      <c r="P78" s="250"/>
      <c r="Q78" s="250"/>
      <c r="R78" s="250"/>
    </row>
    <row r="79" spans="1:18" s="245" customFormat="1" x14ac:dyDescent="0.2">
      <c r="A79" s="252" t="s">
        <v>221</v>
      </c>
      <c r="B79" s="253">
        <v>9795940</v>
      </c>
      <c r="C79" s="253">
        <v>9482940</v>
      </c>
      <c r="D79" s="253">
        <v>9482940</v>
      </c>
      <c r="E79" s="253">
        <v>7240913.1299999999</v>
      </c>
      <c r="F79" s="253">
        <v>7145610.9440000001</v>
      </c>
      <c r="G79" s="253">
        <v>7145523.1840000013</v>
      </c>
      <c r="H79" s="254">
        <v>0.75351348674567187</v>
      </c>
      <c r="I79" s="255">
        <v>2337416.8159999987</v>
      </c>
      <c r="J79" s="255">
        <v>0</v>
      </c>
      <c r="K79" s="255">
        <v>2242026.87</v>
      </c>
      <c r="L79" s="255">
        <v>2242026.87</v>
      </c>
      <c r="M79" s="255">
        <v>95302.185999999754</v>
      </c>
      <c r="N79" s="255">
        <v>87.75999999884516</v>
      </c>
      <c r="O79" s="250"/>
      <c r="P79" s="250"/>
      <c r="Q79" s="250"/>
      <c r="R79" s="250"/>
    </row>
    <row r="80" spans="1:18" s="245" customFormat="1" x14ac:dyDescent="0.2">
      <c r="A80" s="252" t="s">
        <v>222</v>
      </c>
      <c r="B80" s="253">
        <v>108198962</v>
      </c>
      <c r="C80" s="253">
        <v>111016962</v>
      </c>
      <c r="D80" s="253">
        <v>111016962</v>
      </c>
      <c r="E80" s="253">
        <v>71346761.784000009</v>
      </c>
      <c r="F80" s="253">
        <v>71111102.414000005</v>
      </c>
      <c r="G80" s="253">
        <v>71080742.41399999</v>
      </c>
      <c r="H80" s="254">
        <v>0.64026920871785331</v>
      </c>
      <c r="I80" s="255">
        <v>39936219.58600001</v>
      </c>
      <c r="J80" s="255">
        <v>0</v>
      </c>
      <c r="K80" s="255">
        <v>39670200.215999991</v>
      </c>
      <c r="L80" s="255">
        <v>39670200.215999991</v>
      </c>
      <c r="M80" s="255">
        <v>235659.37000000477</v>
      </c>
      <c r="N80" s="255">
        <v>30360.000000014901</v>
      </c>
      <c r="O80" s="250"/>
      <c r="P80" s="250"/>
      <c r="Q80" s="250"/>
      <c r="R80" s="250"/>
    </row>
    <row r="81" spans="1:18" s="245" customFormat="1" x14ac:dyDescent="0.2">
      <c r="A81" s="252" t="s">
        <v>223</v>
      </c>
      <c r="B81" s="253">
        <v>6327000</v>
      </c>
      <c r="C81" s="253">
        <v>6577000</v>
      </c>
      <c r="D81" s="253">
        <v>6577000</v>
      </c>
      <c r="E81" s="253">
        <v>3988290.2300990545</v>
      </c>
      <c r="F81" s="253">
        <v>3980896.3510512738</v>
      </c>
      <c r="G81" s="253">
        <v>3980376.1199874403</v>
      </c>
      <c r="H81" s="254">
        <v>0.6051963083453612</v>
      </c>
      <c r="I81" s="255">
        <v>2596623.8800125597</v>
      </c>
      <c r="J81" s="255">
        <v>0</v>
      </c>
      <c r="K81" s="255">
        <v>2588709.7699009455</v>
      </c>
      <c r="L81" s="255">
        <v>2588709.7699009455</v>
      </c>
      <c r="M81" s="255">
        <v>7393.8790477807634</v>
      </c>
      <c r="N81" s="255">
        <v>520.23106383346021</v>
      </c>
      <c r="O81" s="250"/>
      <c r="P81" s="250"/>
      <c r="Q81" s="250"/>
      <c r="R81" s="250"/>
    </row>
    <row r="82" spans="1:18" s="245" customFormat="1" x14ac:dyDescent="0.2">
      <c r="A82" s="252" t="s">
        <v>224</v>
      </c>
      <c r="B82" s="253">
        <v>1051000</v>
      </c>
      <c r="C82" s="253">
        <v>1051000</v>
      </c>
      <c r="D82" s="253">
        <v>1051000</v>
      </c>
      <c r="E82" s="253">
        <v>569901.25</v>
      </c>
      <c r="F82" s="253">
        <v>519255.63899999944</v>
      </c>
      <c r="G82" s="253">
        <v>519255.64300000027</v>
      </c>
      <c r="H82" s="254">
        <v>0.49405865176022862</v>
      </c>
      <c r="I82" s="255">
        <v>531744.35699999973</v>
      </c>
      <c r="J82" s="255">
        <v>0</v>
      </c>
      <c r="K82" s="255">
        <v>481098.75</v>
      </c>
      <c r="L82" s="255">
        <v>481098.75</v>
      </c>
      <c r="M82" s="255">
        <v>50645.611000000557</v>
      </c>
      <c r="N82" s="255">
        <v>-4.0000008302740753E-3</v>
      </c>
      <c r="O82" s="250"/>
      <c r="P82" s="250"/>
      <c r="Q82" s="250"/>
      <c r="R82" s="250"/>
    </row>
    <row r="83" spans="1:18" s="245" customFormat="1" x14ac:dyDescent="0.2">
      <c r="A83" s="252" t="s">
        <v>225</v>
      </c>
      <c r="B83" s="253">
        <v>0</v>
      </c>
      <c r="C83" s="253">
        <v>0</v>
      </c>
      <c r="D83" s="253">
        <v>0</v>
      </c>
      <c r="E83" s="253">
        <v>0</v>
      </c>
      <c r="F83" s="253">
        <v>0</v>
      </c>
      <c r="G83" s="253">
        <v>0</v>
      </c>
      <c r="H83" s="254" t="e">
        <v>#DIV/0!</v>
      </c>
      <c r="I83" s="255">
        <v>0</v>
      </c>
      <c r="J83" s="255">
        <v>0</v>
      </c>
      <c r="K83" s="255">
        <v>0</v>
      </c>
      <c r="L83" s="255">
        <v>0</v>
      </c>
      <c r="M83" s="255">
        <v>0</v>
      </c>
      <c r="N83" s="255">
        <v>0</v>
      </c>
      <c r="O83" s="250"/>
      <c r="P83" s="250"/>
      <c r="Q83" s="250"/>
      <c r="R83" s="250"/>
    </row>
    <row r="84" spans="1:18" s="245" customFormat="1" x14ac:dyDescent="0.2">
      <c r="A84" s="252" t="s">
        <v>226</v>
      </c>
      <c r="B84" s="253">
        <v>0</v>
      </c>
      <c r="C84" s="253">
        <v>0</v>
      </c>
      <c r="D84" s="253">
        <v>0</v>
      </c>
      <c r="E84" s="253">
        <v>0</v>
      </c>
      <c r="F84" s="253">
        <v>0</v>
      </c>
      <c r="G84" s="253">
        <v>0</v>
      </c>
      <c r="H84" s="254" t="e">
        <v>#DIV/0!</v>
      </c>
      <c r="I84" s="255">
        <v>0</v>
      </c>
      <c r="J84" s="255">
        <v>0</v>
      </c>
      <c r="K84" s="255">
        <v>0</v>
      </c>
      <c r="L84" s="255">
        <v>0</v>
      </c>
      <c r="M84" s="255">
        <v>0</v>
      </c>
      <c r="N84" s="255">
        <v>0</v>
      </c>
      <c r="O84" s="250"/>
      <c r="P84" s="250"/>
      <c r="Q84" s="250"/>
      <c r="R84" s="250"/>
    </row>
    <row r="85" spans="1:18" s="245" customFormat="1" x14ac:dyDescent="0.2">
      <c r="A85" s="252" t="s">
        <v>227</v>
      </c>
      <c r="B85" s="253">
        <v>0</v>
      </c>
      <c r="C85" s="253">
        <v>0</v>
      </c>
      <c r="D85" s="253">
        <v>0</v>
      </c>
      <c r="E85" s="253">
        <v>0</v>
      </c>
      <c r="F85" s="253">
        <v>0</v>
      </c>
      <c r="G85" s="253">
        <v>0</v>
      </c>
      <c r="H85" s="254" t="e">
        <v>#DIV/0!</v>
      </c>
      <c r="I85" s="255">
        <v>0</v>
      </c>
      <c r="J85" s="255">
        <v>0</v>
      </c>
      <c r="K85" s="255">
        <v>0</v>
      </c>
      <c r="L85" s="255">
        <v>0</v>
      </c>
      <c r="M85" s="255">
        <v>0</v>
      </c>
      <c r="N85" s="255">
        <v>0</v>
      </c>
      <c r="O85" s="250"/>
      <c r="P85" s="250"/>
      <c r="Q85" s="250"/>
      <c r="R85" s="250"/>
    </row>
    <row r="86" spans="1:18" s="245" customFormat="1" x14ac:dyDescent="0.2">
      <c r="A86" s="252" t="s">
        <v>228</v>
      </c>
      <c r="B86" s="253">
        <v>0</v>
      </c>
      <c r="C86" s="253">
        <v>0</v>
      </c>
      <c r="D86" s="253">
        <v>0</v>
      </c>
      <c r="E86" s="253">
        <v>0</v>
      </c>
      <c r="F86" s="253">
        <v>0</v>
      </c>
      <c r="G86" s="253">
        <v>0</v>
      </c>
      <c r="H86" s="254" t="e">
        <v>#DIV/0!</v>
      </c>
      <c r="I86" s="255">
        <v>0</v>
      </c>
      <c r="J86" s="255">
        <v>0</v>
      </c>
      <c r="K86" s="255">
        <v>0</v>
      </c>
      <c r="L86" s="255">
        <v>0</v>
      </c>
      <c r="M86" s="255">
        <v>0</v>
      </c>
      <c r="N86" s="255">
        <v>0</v>
      </c>
      <c r="O86" s="250"/>
      <c r="P86" s="250"/>
      <c r="Q86" s="250"/>
      <c r="R86" s="250"/>
    </row>
    <row r="87" spans="1:18" s="245" customFormat="1" x14ac:dyDescent="0.2">
      <c r="A87" s="252" t="s">
        <v>229</v>
      </c>
      <c r="B87" s="253">
        <v>45026303</v>
      </c>
      <c r="C87" s="253">
        <v>69777867.439999998</v>
      </c>
      <c r="D87" s="253">
        <v>67685146.840000004</v>
      </c>
      <c r="E87" s="253">
        <v>55029086.409999996</v>
      </c>
      <c r="F87" s="253">
        <v>54439050.159999996</v>
      </c>
      <c r="G87" s="253">
        <v>54438850.130000003</v>
      </c>
      <c r="H87" s="254">
        <v>0.78017360127565405</v>
      </c>
      <c r="I87" s="255">
        <v>15339017.309999995</v>
      </c>
      <c r="J87" s="255">
        <v>2092720.599999994</v>
      </c>
      <c r="K87" s="255">
        <v>14748781.030000001</v>
      </c>
      <c r="L87" s="255">
        <v>12656060.430000007</v>
      </c>
      <c r="M87" s="255">
        <v>590036.25</v>
      </c>
      <c r="N87" s="255">
        <v>200.02999999374151</v>
      </c>
      <c r="O87" s="250"/>
      <c r="P87" s="250"/>
      <c r="Q87" s="250"/>
      <c r="R87" s="250"/>
    </row>
    <row r="88" spans="1:18" x14ac:dyDescent="0.25">
      <c r="A88" s="258" t="s">
        <v>1099</v>
      </c>
      <c r="B88" s="259">
        <v>170733012</v>
      </c>
      <c r="C88" s="259">
        <v>198104223.65000001</v>
      </c>
      <c r="D88" s="259">
        <v>196011503.05000001</v>
      </c>
      <c r="E88" s="259">
        <v>138287046.89409906</v>
      </c>
      <c r="F88" s="259">
        <v>137308009.59805131</v>
      </c>
      <c r="G88" s="259">
        <v>137276841.58098745</v>
      </c>
      <c r="H88" s="260">
        <v>0.69295262388509626</v>
      </c>
      <c r="I88" s="259">
        <v>60827382.069012552</v>
      </c>
      <c r="J88" s="259">
        <v>2092720.599999994</v>
      </c>
      <c r="K88" s="259">
        <v>59817176.755900949</v>
      </c>
      <c r="L88" s="259">
        <v>57724456.155900955</v>
      </c>
      <c r="M88" s="259">
        <v>979037.29604774714</v>
      </c>
      <c r="N88" s="259">
        <v>31168.017063856125</v>
      </c>
    </row>
    <row r="89" spans="1:18" x14ac:dyDescent="0.25">
      <c r="A89" s="258" t="s">
        <v>1100</v>
      </c>
      <c r="B89" s="259">
        <v>170399205</v>
      </c>
      <c r="C89" s="259">
        <v>197905769.44</v>
      </c>
      <c r="D89" s="259">
        <v>195813048.84</v>
      </c>
      <c r="E89" s="259">
        <v>138174952.80409905</v>
      </c>
      <c r="F89" s="259">
        <v>137195915.50805131</v>
      </c>
      <c r="G89" s="259">
        <v>137164747.49098745</v>
      </c>
      <c r="H89" s="260">
        <v>0.69308109550880126</v>
      </c>
      <c r="I89" s="259">
        <v>60741021.949012548</v>
      </c>
      <c r="J89" s="259">
        <v>2092720.599999994</v>
      </c>
      <c r="K89" s="259">
        <v>59730816.635900944</v>
      </c>
      <c r="L89" s="259">
        <v>57638096.03590095</v>
      </c>
      <c r="M89" s="259">
        <v>979037.29604774714</v>
      </c>
      <c r="N89" s="259">
        <v>31168.017063856125</v>
      </c>
    </row>
    <row r="90" spans="1:18" x14ac:dyDescent="0.25">
      <c r="B90" s="262"/>
      <c r="C90" s="262"/>
      <c r="D90" s="262"/>
      <c r="E90" s="262"/>
      <c r="F90" s="262"/>
      <c r="G90" s="262"/>
    </row>
  </sheetData>
  <sheetProtection formatCells="0" formatColumns="0" formatRows="0" autoFilter="0"/>
  <autoFilter ref="I1:N90" xr:uid="{A1E1E49D-2B56-4AEC-B03D-B3AFFB78F8A7}"/>
  <mergeCells count="4">
    <mergeCell ref="A2:N2"/>
    <mergeCell ref="A3:N3"/>
    <mergeCell ref="A4:N4"/>
    <mergeCell ref="A7:A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F085-6038-41D4-8EBD-C33176BCBDB6}">
  <sheetPr>
    <tabColor theme="1"/>
  </sheetPr>
  <dimension ref="A2:CA98"/>
  <sheetViews>
    <sheetView topLeftCell="A61" zoomScale="90" zoomScaleNormal="90" workbookViewId="0">
      <pane xSplit="1" topLeftCell="B1" activePane="topRight" state="frozen"/>
      <selection pane="topRight" activeCell="H63" sqref="H63"/>
    </sheetView>
  </sheetViews>
  <sheetFormatPr defaultRowHeight="15" x14ac:dyDescent="0.25"/>
  <cols>
    <col min="1" max="1" width="45.85546875" style="305" customWidth="1"/>
    <col min="2" max="2" width="17.28515625" style="305" bestFit="1" customWidth="1"/>
    <col min="3" max="3" width="17.28515625" style="305" customWidth="1"/>
    <col min="4" max="4" width="16.42578125" style="305" hidden="1" customWidth="1"/>
    <col min="5" max="5" width="15.7109375" style="305" hidden="1" customWidth="1"/>
    <col min="6" max="6" width="16.28515625" style="305" hidden="1" customWidth="1"/>
    <col min="7" max="7" width="15.140625" style="305" customWidth="1"/>
    <col min="8" max="8" width="10.28515625" style="305" customWidth="1"/>
    <col min="9" max="9" width="17.28515625" style="305" customWidth="1"/>
    <col min="10" max="10" width="18" style="305" customWidth="1"/>
    <col min="11" max="11" width="17.28515625" style="305" customWidth="1"/>
    <col min="12" max="12" width="14.7109375" style="305" customWidth="1"/>
    <col min="13" max="13" width="12.42578125" style="305" customWidth="1"/>
    <col min="14" max="14" width="13.85546875" style="305" customWidth="1"/>
    <col min="15" max="15" width="16.42578125" style="305" customWidth="1"/>
    <col min="16" max="16" width="15" style="305" customWidth="1"/>
    <col min="17" max="17" width="12.85546875" style="305" customWidth="1"/>
    <col min="18" max="18" width="15.140625" style="305" customWidth="1"/>
    <col min="19" max="19" width="11.5703125" style="305" customWidth="1"/>
    <col min="20" max="20" width="12.5703125" style="305" customWidth="1"/>
    <col min="21" max="21" width="14.85546875" style="305" customWidth="1"/>
    <col min="22" max="22" width="15.42578125" style="305" customWidth="1"/>
    <col min="23" max="23" width="14.7109375" style="305" customWidth="1"/>
    <col min="24" max="24" width="12.42578125" style="305" customWidth="1"/>
    <col min="25" max="25" width="13.85546875" style="305" customWidth="1"/>
    <col min="26" max="26" width="16.42578125" style="305" customWidth="1"/>
    <col min="27" max="27" width="13.42578125" style="305" customWidth="1"/>
    <col min="28" max="28" width="16.42578125" style="305" customWidth="1"/>
    <col min="29" max="29" width="14.7109375" style="305" customWidth="1"/>
    <col min="30" max="30" width="12.85546875" style="305" customWidth="1"/>
    <col min="31" max="31" width="15.140625" style="305" customWidth="1"/>
    <col min="32" max="32" width="11.5703125" style="305" customWidth="1"/>
    <col min="33" max="33" width="12.5703125" style="305" customWidth="1"/>
    <col min="34" max="34" width="14.85546875" style="305" customWidth="1"/>
    <col min="35" max="35" width="15.42578125" style="305" customWidth="1"/>
    <col min="36" max="36" width="14.7109375" style="305" customWidth="1"/>
    <col min="37" max="37" width="14.5703125" style="305" customWidth="1"/>
    <col min="38" max="38" width="13.85546875" style="305" customWidth="1"/>
    <col min="39" max="39" width="16.42578125" style="305" customWidth="1"/>
    <col min="40" max="40" width="13.42578125" style="305" customWidth="1"/>
    <col min="41" max="41" width="18" style="305" customWidth="1"/>
    <col min="42" max="42" width="17.140625" style="305" customWidth="1"/>
    <col min="43" max="43" width="12.85546875" style="305" customWidth="1"/>
    <col min="44" max="44" width="15.140625" style="305" customWidth="1"/>
    <col min="45" max="45" width="11.5703125" style="305" customWidth="1"/>
    <col min="46" max="46" width="12.5703125" style="305" customWidth="1"/>
    <col min="47" max="47" width="14.85546875" style="305" customWidth="1"/>
    <col min="48" max="48" width="17.28515625" style="305" customWidth="1"/>
    <col min="49" max="49" width="18" style="305" customWidth="1"/>
    <col min="50" max="50" width="17.28515625" style="305" customWidth="1"/>
    <col min="51" max="51" width="13.85546875" style="305" customWidth="1"/>
    <col min="52" max="52" width="16.42578125" style="305" customWidth="1"/>
    <col min="53" max="53" width="13.42578125" style="305" customWidth="1"/>
    <col min="54" max="54" width="16.42578125" style="305" customWidth="1"/>
    <col min="55" max="55" width="13.42578125" style="305" customWidth="1"/>
    <col min="56" max="56" width="12.85546875" style="305" customWidth="1"/>
    <col min="57" max="57" width="15.140625" style="305" customWidth="1"/>
    <col min="58" max="58" width="11.5703125" style="305" customWidth="1"/>
    <col min="59" max="59" width="12.5703125" style="305" customWidth="1"/>
    <col min="60" max="60" width="14.85546875" style="305" customWidth="1"/>
    <col min="61" max="61" width="15.42578125" style="305" customWidth="1"/>
    <col min="62" max="62" width="14.7109375" style="305" customWidth="1"/>
    <col min="63" max="63" width="12.42578125" style="305" customWidth="1"/>
    <col min="64" max="64" width="13.85546875" style="305" customWidth="1"/>
    <col min="65" max="65" width="16.42578125" style="305" customWidth="1"/>
    <col min="66" max="66" width="13.42578125" style="305" customWidth="1"/>
    <col min="67" max="67" width="16.42578125" style="305" customWidth="1"/>
    <col min="68" max="68" width="16.28515625" style="305" customWidth="1"/>
    <col min="69" max="69" width="12.85546875" style="305" customWidth="1"/>
    <col min="70" max="70" width="15.140625" style="305" customWidth="1"/>
    <col min="71" max="71" width="11.5703125" style="305" customWidth="1"/>
    <col min="72" max="72" width="12.5703125" style="305" customWidth="1"/>
    <col min="73" max="73" width="14.85546875" style="305" customWidth="1"/>
    <col min="74" max="74" width="15.42578125" style="305" customWidth="1"/>
    <col min="75" max="76" width="14.7109375" style="305" customWidth="1"/>
    <col min="77" max="77" width="13.85546875" style="305" customWidth="1"/>
    <col min="78" max="78" width="16.42578125" style="305" customWidth="1"/>
    <col min="79" max="79" width="13.42578125" style="305" customWidth="1"/>
    <col min="80" max="16384" width="9.140625" style="305"/>
  </cols>
  <sheetData>
    <row r="2" spans="1:79" s="263" customFormat="1" ht="12" x14ac:dyDescent="0.2">
      <c r="A2" s="4"/>
      <c r="B2" s="4"/>
      <c r="C2" s="4"/>
      <c r="D2" s="5"/>
      <c r="O2" s="5"/>
      <c r="Z2" s="5"/>
      <c r="AB2" s="5"/>
      <c r="AM2" s="5"/>
      <c r="AO2" s="5"/>
      <c r="AZ2" s="5"/>
      <c r="BB2" s="5"/>
      <c r="BM2" s="5"/>
      <c r="BO2" s="5"/>
      <c r="BZ2" s="5"/>
    </row>
    <row r="3" spans="1:79" s="263" customFormat="1" ht="12.75" customHeight="1" x14ac:dyDescent="0.2">
      <c r="A3" s="487" t="s">
        <v>0</v>
      </c>
      <c r="B3" s="487"/>
      <c r="C3" s="487"/>
      <c r="D3" s="487"/>
      <c r="E3" s="487"/>
      <c r="F3" s="487"/>
      <c r="G3" s="487"/>
      <c r="H3" s="487"/>
      <c r="I3" s="487"/>
      <c r="J3" s="487"/>
      <c r="K3" s="487"/>
      <c r="L3" s="487"/>
      <c r="M3" s="487"/>
      <c r="N3" s="487"/>
      <c r="O3" s="487"/>
      <c r="P3" s="487"/>
      <c r="Q3" s="487"/>
      <c r="R3" s="487"/>
      <c r="S3" s="487"/>
      <c r="T3" s="487"/>
      <c r="U3" s="487"/>
      <c r="V3" s="487"/>
      <c r="W3" s="487"/>
      <c r="X3" s="487"/>
      <c r="Y3" s="487"/>
      <c r="Z3" s="487"/>
      <c r="AA3" s="487"/>
      <c r="AB3" s="487"/>
      <c r="AC3" s="487"/>
      <c r="AD3" s="487"/>
      <c r="AE3" s="487"/>
      <c r="AF3" s="487"/>
      <c r="AG3" s="487"/>
      <c r="AH3" s="487"/>
      <c r="AI3" s="487"/>
      <c r="AJ3" s="487"/>
      <c r="AK3" s="487"/>
      <c r="AL3" s="487"/>
      <c r="AM3" s="487"/>
      <c r="AN3" s="487"/>
      <c r="AO3" s="487"/>
      <c r="AP3" s="487"/>
      <c r="AQ3" s="487"/>
      <c r="AR3" s="487"/>
      <c r="AS3" s="487"/>
      <c r="AT3" s="487"/>
      <c r="AU3" s="487"/>
      <c r="AV3" s="487"/>
      <c r="AW3" s="487"/>
      <c r="AX3" s="487"/>
      <c r="AY3" s="487"/>
      <c r="AZ3" s="487"/>
      <c r="BA3" s="487"/>
      <c r="BB3" s="487"/>
      <c r="BC3" s="487"/>
      <c r="BD3" s="487"/>
      <c r="BE3" s="487"/>
      <c r="BF3" s="487"/>
      <c r="BG3" s="487"/>
      <c r="BH3" s="487"/>
      <c r="BI3" s="487"/>
      <c r="BJ3" s="487"/>
      <c r="BK3" s="487"/>
      <c r="BL3" s="487"/>
      <c r="BM3" s="487"/>
      <c r="BN3" s="487"/>
      <c r="BO3" s="487"/>
      <c r="BP3" s="487"/>
      <c r="BQ3" s="487"/>
      <c r="BR3" s="487"/>
      <c r="BS3" s="487"/>
      <c r="BT3" s="487"/>
      <c r="BU3" s="487"/>
      <c r="BV3" s="487"/>
      <c r="BW3" s="487"/>
      <c r="BX3" s="487"/>
      <c r="BY3" s="487"/>
      <c r="BZ3" s="487"/>
      <c r="CA3" s="487"/>
    </row>
    <row r="4" spans="1:79" s="263" customFormat="1" ht="12.75" x14ac:dyDescent="0.2">
      <c r="A4" s="487" t="s">
        <v>1101</v>
      </c>
      <c r="B4" s="487"/>
      <c r="C4" s="487"/>
      <c r="D4" s="487"/>
      <c r="E4" s="487"/>
      <c r="F4" s="487"/>
      <c r="G4" s="487"/>
      <c r="H4" s="487"/>
      <c r="I4" s="487"/>
      <c r="J4" s="487"/>
      <c r="K4" s="487"/>
      <c r="L4" s="487"/>
      <c r="M4" s="487"/>
      <c r="N4" s="487"/>
      <c r="O4" s="487"/>
      <c r="P4" s="487"/>
      <c r="Q4" s="487"/>
      <c r="R4" s="487"/>
      <c r="S4" s="487"/>
      <c r="T4" s="487"/>
      <c r="U4" s="487"/>
      <c r="V4" s="487"/>
      <c r="W4" s="487"/>
      <c r="X4" s="487"/>
      <c r="Y4" s="487"/>
      <c r="Z4" s="487"/>
      <c r="AA4" s="487"/>
      <c r="AB4" s="487"/>
      <c r="AC4" s="487"/>
      <c r="AD4" s="487"/>
      <c r="AE4" s="487"/>
      <c r="AF4" s="487"/>
      <c r="AG4" s="487"/>
      <c r="AH4" s="487"/>
      <c r="AI4" s="487"/>
      <c r="AJ4" s="487"/>
      <c r="AK4" s="487"/>
      <c r="AL4" s="487"/>
      <c r="AM4" s="487"/>
      <c r="AN4" s="487"/>
      <c r="AO4" s="487"/>
      <c r="AP4" s="487"/>
      <c r="AQ4" s="487"/>
      <c r="AR4" s="487"/>
      <c r="AS4" s="487"/>
      <c r="AT4" s="487"/>
      <c r="AU4" s="487"/>
      <c r="AV4" s="487"/>
      <c r="AW4" s="487"/>
      <c r="AX4" s="487"/>
      <c r="AY4" s="487"/>
      <c r="AZ4" s="487"/>
      <c r="BA4" s="487"/>
      <c r="BB4" s="487"/>
      <c r="BC4" s="487"/>
      <c r="BD4" s="487"/>
      <c r="BE4" s="487"/>
      <c r="BF4" s="487"/>
      <c r="BG4" s="487"/>
      <c r="BH4" s="487"/>
      <c r="BI4" s="487"/>
      <c r="BJ4" s="487"/>
      <c r="BK4" s="487"/>
      <c r="BL4" s="487"/>
      <c r="BM4" s="487"/>
      <c r="BN4" s="487"/>
      <c r="BO4" s="487"/>
      <c r="BP4" s="487"/>
      <c r="BQ4" s="487"/>
      <c r="BR4" s="487"/>
      <c r="BS4" s="487"/>
      <c r="BT4" s="487"/>
      <c r="BU4" s="487"/>
      <c r="BV4" s="487"/>
      <c r="BW4" s="487"/>
      <c r="BX4" s="487"/>
      <c r="BY4" s="487"/>
      <c r="BZ4" s="487"/>
      <c r="CA4" s="487"/>
    </row>
    <row r="5" spans="1:79" s="263" customFormat="1" ht="12.75" x14ac:dyDescent="0.2">
      <c r="A5" s="488" t="s">
        <v>1425</v>
      </c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8"/>
      <c r="O5" s="488"/>
      <c r="P5" s="488"/>
      <c r="Q5" s="488"/>
      <c r="R5" s="488"/>
      <c r="S5" s="488"/>
      <c r="T5" s="488"/>
      <c r="U5" s="488"/>
      <c r="V5" s="488"/>
      <c r="W5" s="488"/>
      <c r="X5" s="488"/>
      <c r="Y5" s="488"/>
      <c r="Z5" s="488"/>
      <c r="AA5" s="488"/>
      <c r="AB5" s="488"/>
      <c r="AC5" s="488"/>
      <c r="AD5" s="488"/>
      <c r="AE5" s="488"/>
      <c r="AF5" s="488"/>
      <c r="AG5" s="488"/>
      <c r="AH5" s="488"/>
      <c r="AI5" s="488"/>
      <c r="AJ5" s="488"/>
      <c r="AK5" s="488"/>
      <c r="AL5" s="488"/>
      <c r="AM5" s="488"/>
      <c r="AN5" s="488"/>
      <c r="AO5" s="488"/>
      <c r="AP5" s="488"/>
      <c r="AQ5" s="488"/>
      <c r="AR5" s="488"/>
      <c r="AS5" s="488"/>
      <c r="AT5" s="488"/>
      <c r="AU5" s="488"/>
      <c r="AV5" s="488"/>
      <c r="AW5" s="488"/>
      <c r="AX5" s="488"/>
      <c r="AY5" s="488"/>
      <c r="AZ5" s="488"/>
      <c r="BA5" s="488"/>
      <c r="BB5" s="488"/>
      <c r="BC5" s="488"/>
      <c r="BD5" s="488"/>
      <c r="BE5" s="488"/>
      <c r="BF5" s="488"/>
      <c r="BG5" s="488"/>
      <c r="BH5" s="488"/>
      <c r="BI5" s="488"/>
      <c r="BJ5" s="488"/>
      <c r="BK5" s="488"/>
      <c r="BL5" s="488"/>
      <c r="BM5" s="488"/>
      <c r="BN5" s="488"/>
      <c r="BO5" s="488"/>
      <c r="BP5" s="488"/>
      <c r="BQ5" s="488"/>
      <c r="BR5" s="488"/>
      <c r="BS5" s="488"/>
      <c r="BT5" s="488"/>
      <c r="BU5" s="488"/>
      <c r="BV5" s="488"/>
      <c r="BW5" s="488"/>
      <c r="BX5" s="488"/>
      <c r="BY5" s="488"/>
      <c r="BZ5" s="488"/>
      <c r="CA5" s="488"/>
    </row>
    <row r="6" spans="1:79" s="263" customFormat="1" ht="12.75" thickBot="1" x14ac:dyDescent="0.25">
      <c r="A6" s="10"/>
      <c r="B6" s="1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</row>
    <row r="7" spans="1:79" s="263" customFormat="1" ht="14.45" customHeight="1" thickTop="1" x14ac:dyDescent="0.2">
      <c r="A7" s="489" t="s">
        <v>79</v>
      </c>
      <c r="B7" s="492" t="s">
        <v>247</v>
      </c>
      <c r="C7" s="492"/>
      <c r="D7" s="492"/>
      <c r="E7" s="492"/>
      <c r="F7" s="492"/>
      <c r="G7" s="492"/>
      <c r="H7" s="492"/>
      <c r="I7" s="492"/>
      <c r="J7" s="492"/>
      <c r="K7" s="492"/>
      <c r="L7" s="492"/>
      <c r="M7" s="492"/>
      <c r="N7" s="493"/>
      <c r="O7" s="494" t="s">
        <v>237</v>
      </c>
      <c r="P7" s="495"/>
      <c r="Q7" s="495"/>
      <c r="R7" s="495"/>
      <c r="S7" s="495"/>
      <c r="T7" s="495"/>
      <c r="U7" s="495"/>
      <c r="V7" s="495"/>
      <c r="W7" s="495"/>
      <c r="X7" s="495"/>
      <c r="Y7" s="495"/>
      <c r="Z7" s="495"/>
      <c r="AA7" s="496"/>
      <c r="AB7" s="497" t="s">
        <v>238</v>
      </c>
      <c r="AC7" s="498"/>
      <c r="AD7" s="498"/>
      <c r="AE7" s="498"/>
      <c r="AF7" s="498"/>
      <c r="AG7" s="498"/>
      <c r="AH7" s="498"/>
      <c r="AI7" s="498"/>
      <c r="AJ7" s="498"/>
      <c r="AK7" s="498"/>
      <c r="AL7" s="498"/>
      <c r="AM7" s="498"/>
      <c r="AN7" s="499"/>
      <c r="AO7" s="494" t="s">
        <v>239</v>
      </c>
      <c r="AP7" s="495"/>
      <c r="AQ7" s="495"/>
      <c r="AR7" s="495"/>
      <c r="AS7" s="495"/>
      <c r="AT7" s="495"/>
      <c r="AU7" s="495"/>
      <c r="AV7" s="495"/>
      <c r="AW7" s="495"/>
      <c r="AX7" s="495"/>
      <c r="AY7" s="495"/>
      <c r="AZ7" s="495"/>
      <c r="BA7" s="496"/>
      <c r="BB7" s="497" t="s">
        <v>241</v>
      </c>
      <c r="BC7" s="498"/>
      <c r="BD7" s="498"/>
      <c r="BE7" s="498"/>
      <c r="BF7" s="498"/>
      <c r="BG7" s="498"/>
      <c r="BH7" s="498"/>
      <c r="BI7" s="498"/>
      <c r="BJ7" s="498"/>
      <c r="BK7" s="498"/>
      <c r="BL7" s="498"/>
      <c r="BM7" s="498"/>
      <c r="BN7" s="499"/>
      <c r="BO7" s="495" t="s">
        <v>242</v>
      </c>
      <c r="BP7" s="495"/>
      <c r="BQ7" s="495"/>
      <c r="BR7" s="495"/>
      <c r="BS7" s="495"/>
      <c r="BT7" s="495"/>
      <c r="BU7" s="495"/>
      <c r="BV7" s="495"/>
      <c r="BW7" s="495"/>
      <c r="BX7" s="495"/>
      <c r="BY7" s="495"/>
      <c r="BZ7" s="495"/>
      <c r="CA7" s="496"/>
    </row>
    <row r="8" spans="1:79" s="273" customFormat="1" ht="48" x14ac:dyDescent="0.2">
      <c r="A8" s="490"/>
      <c r="B8" s="264" t="s">
        <v>2</v>
      </c>
      <c r="C8" s="264" t="s">
        <v>3</v>
      </c>
      <c r="D8" s="264" t="s">
        <v>57</v>
      </c>
      <c r="E8" s="264" t="s">
        <v>30</v>
      </c>
      <c r="F8" s="264" t="s">
        <v>58</v>
      </c>
      <c r="G8" s="264" t="s">
        <v>80</v>
      </c>
      <c r="H8" s="264" t="s">
        <v>18</v>
      </c>
      <c r="I8" s="264" t="s">
        <v>59</v>
      </c>
      <c r="J8" s="264" t="s">
        <v>60</v>
      </c>
      <c r="K8" s="264" t="s">
        <v>32</v>
      </c>
      <c r="L8" s="264" t="s">
        <v>31</v>
      </c>
      <c r="M8" s="264" t="s">
        <v>61</v>
      </c>
      <c r="N8" s="265" t="s">
        <v>62</v>
      </c>
      <c r="O8" s="266" t="s">
        <v>2</v>
      </c>
      <c r="P8" s="267" t="s">
        <v>3</v>
      </c>
      <c r="Q8" s="267" t="s">
        <v>57</v>
      </c>
      <c r="R8" s="267" t="s">
        <v>30</v>
      </c>
      <c r="S8" s="267" t="s">
        <v>58</v>
      </c>
      <c r="T8" s="267" t="s">
        <v>80</v>
      </c>
      <c r="U8" s="267" t="s">
        <v>18</v>
      </c>
      <c r="V8" s="267" t="s">
        <v>59</v>
      </c>
      <c r="W8" s="267" t="s">
        <v>60</v>
      </c>
      <c r="X8" s="267" t="s">
        <v>32</v>
      </c>
      <c r="Y8" s="267" t="s">
        <v>31</v>
      </c>
      <c r="Z8" s="267" t="s">
        <v>61</v>
      </c>
      <c r="AA8" s="268" t="s">
        <v>62</v>
      </c>
      <c r="AB8" s="269" t="s">
        <v>2</v>
      </c>
      <c r="AC8" s="270" t="s">
        <v>3</v>
      </c>
      <c r="AD8" s="270" t="s">
        <v>57</v>
      </c>
      <c r="AE8" s="270" t="s">
        <v>30</v>
      </c>
      <c r="AF8" s="270" t="s">
        <v>58</v>
      </c>
      <c r="AG8" s="270" t="s">
        <v>80</v>
      </c>
      <c r="AH8" s="270" t="s">
        <v>18</v>
      </c>
      <c r="AI8" s="270" t="s">
        <v>59</v>
      </c>
      <c r="AJ8" s="270" t="s">
        <v>60</v>
      </c>
      <c r="AK8" s="270" t="s">
        <v>32</v>
      </c>
      <c r="AL8" s="270" t="s">
        <v>31</v>
      </c>
      <c r="AM8" s="270" t="s">
        <v>61</v>
      </c>
      <c r="AN8" s="271" t="s">
        <v>62</v>
      </c>
      <c r="AO8" s="266" t="s">
        <v>2</v>
      </c>
      <c r="AP8" s="267" t="s">
        <v>3</v>
      </c>
      <c r="AQ8" s="267" t="s">
        <v>57</v>
      </c>
      <c r="AR8" s="267" t="s">
        <v>30</v>
      </c>
      <c r="AS8" s="267" t="s">
        <v>58</v>
      </c>
      <c r="AT8" s="267" t="s">
        <v>80</v>
      </c>
      <c r="AU8" s="267" t="s">
        <v>18</v>
      </c>
      <c r="AV8" s="267" t="s">
        <v>59</v>
      </c>
      <c r="AW8" s="267" t="s">
        <v>60</v>
      </c>
      <c r="AX8" s="267" t="s">
        <v>32</v>
      </c>
      <c r="AY8" s="267" t="s">
        <v>31</v>
      </c>
      <c r="AZ8" s="267" t="s">
        <v>61</v>
      </c>
      <c r="BA8" s="268" t="s">
        <v>62</v>
      </c>
      <c r="BB8" s="269" t="s">
        <v>2</v>
      </c>
      <c r="BC8" s="270" t="s">
        <v>3</v>
      </c>
      <c r="BD8" s="270" t="s">
        <v>57</v>
      </c>
      <c r="BE8" s="270" t="s">
        <v>30</v>
      </c>
      <c r="BF8" s="270" t="s">
        <v>58</v>
      </c>
      <c r="BG8" s="270" t="s">
        <v>80</v>
      </c>
      <c r="BH8" s="270" t="s">
        <v>18</v>
      </c>
      <c r="BI8" s="270" t="s">
        <v>59</v>
      </c>
      <c r="BJ8" s="270" t="s">
        <v>60</v>
      </c>
      <c r="BK8" s="270" t="s">
        <v>32</v>
      </c>
      <c r="BL8" s="270" t="s">
        <v>31</v>
      </c>
      <c r="BM8" s="270" t="s">
        <v>61</v>
      </c>
      <c r="BN8" s="271" t="s">
        <v>62</v>
      </c>
      <c r="BO8" s="272" t="s">
        <v>2</v>
      </c>
      <c r="BP8" s="267" t="s">
        <v>3</v>
      </c>
      <c r="BQ8" s="267" t="s">
        <v>57</v>
      </c>
      <c r="BR8" s="267" t="s">
        <v>30</v>
      </c>
      <c r="BS8" s="267" t="s">
        <v>58</v>
      </c>
      <c r="BT8" s="267" t="s">
        <v>80</v>
      </c>
      <c r="BU8" s="267" t="s">
        <v>18</v>
      </c>
      <c r="BV8" s="267" t="s">
        <v>59</v>
      </c>
      <c r="BW8" s="267" t="s">
        <v>60</v>
      </c>
      <c r="BX8" s="267" t="s">
        <v>32</v>
      </c>
      <c r="BY8" s="267" t="s">
        <v>31</v>
      </c>
      <c r="BZ8" s="267" t="s">
        <v>61</v>
      </c>
      <c r="CA8" s="268" t="s">
        <v>62</v>
      </c>
    </row>
    <row r="9" spans="1:79" s="273" customFormat="1" x14ac:dyDescent="0.2">
      <c r="A9" s="491"/>
      <c r="B9" s="264" t="s">
        <v>20</v>
      </c>
      <c r="C9" s="264" t="s">
        <v>21</v>
      </c>
      <c r="D9" s="264" t="s">
        <v>22</v>
      </c>
      <c r="E9" s="264" t="s">
        <v>23</v>
      </c>
      <c r="F9" s="264" t="s">
        <v>24</v>
      </c>
      <c r="G9" s="264" t="s">
        <v>63</v>
      </c>
      <c r="H9" s="264" t="s">
        <v>33</v>
      </c>
      <c r="I9" s="264" t="s">
        <v>81</v>
      </c>
      <c r="J9" s="264" t="s">
        <v>82</v>
      </c>
      <c r="K9" s="264" t="s">
        <v>83</v>
      </c>
      <c r="L9" s="264" t="s">
        <v>84</v>
      </c>
      <c r="M9" s="264" t="s">
        <v>85</v>
      </c>
      <c r="N9" s="265" t="s">
        <v>86</v>
      </c>
      <c r="O9" s="266" t="s">
        <v>20</v>
      </c>
      <c r="P9" s="267" t="s">
        <v>21</v>
      </c>
      <c r="Q9" s="267" t="s">
        <v>22</v>
      </c>
      <c r="R9" s="267" t="s">
        <v>23</v>
      </c>
      <c r="S9" s="267" t="s">
        <v>24</v>
      </c>
      <c r="T9" s="267" t="s">
        <v>63</v>
      </c>
      <c r="U9" s="267" t="s">
        <v>33</v>
      </c>
      <c r="V9" s="267" t="s">
        <v>81</v>
      </c>
      <c r="W9" s="267" t="s">
        <v>82</v>
      </c>
      <c r="X9" s="267" t="s">
        <v>83</v>
      </c>
      <c r="Y9" s="267" t="s">
        <v>84</v>
      </c>
      <c r="Z9" s="267" t="s">
        <v>85</v>
      </c>
      <c r="AA9" s="268" t="s">
        <v>86</v>
      </c>
      <c r="AB9" s="269" t="s">
        <v>20</v>
      </c>
      <c r="AC9" s="270" t="s">
        <v>21</v>
      </c>
      <c r="AD9" s="270" t="s">
        <v>22</v>
      </c>
      <c r="AE9" s="270" t="s">
        <v>23</v>
      </c>
      <c r="AF9" s="270" t="s">
        <v>24</v>
      </c>
      <c r="AG9" s="270" t="s">
        <v>63</v>
      </c>
      <c r="AH9" s="270" t="s">
        <v>33</v>
      </c>
      <c r="AI9" s="270" t="s">
        <v>81</v>
      </c>
      <c r="AJ9" s="270" t="s">
        <v>82</v>
      </c>
      <c r="AK9" s="270" t="s">
        <v>83</v>
      </c>
      <c r="AL9" s="270" t="s">
        <v>84</v>
      </c>
      <c r="AM9" s="270" t="s">
        <v>85</v>
      </c>
      <c r="AN9" s="271" t="s">
        <v>86</v>
      </c>
      <c r="AO9" s="266" t="s">
        <v>20</v>
      </c>
      <c r="AP9" s="267" t="s">
        <v>21</v>
      </c>
      <c r="AQ9" s="267" t="s">
        <v>22</v>
      </c>
      <c r="AR9" s="267" t="s">
        <v>23</v>
      </c>
      <c r="AS9" s="267" t="s">
        <v>24</v>
      </c>
      <c r="AT9" s="267" t="s">
        <v>63</v>
      </c>
      <c r="AU9" s="267" t="s">
        <v>33</v>
      </c>
      <c r="AV9" s="267" t="s">
        <v>81</v>
      </c>
      <c r="AW9" s="267" t="s">
        <v>82</v>
      </c>
      <c r="AX9" s="267" t="s">
        <v>83</v>
      </c>
      <c r="AY9" s="267" t="s">
        <v>84</v>
      </c>
      <c r="AZ9" s="267" t="s">
        <v>85</v>
      </c>
      <c r="BA9" s="268" t="s">
        <v>86</v>
      </c>
      <c r="BB9" s="269" t="s">
        <v>20</v>
      </c>
      <c r="BC9" s="270" t="s">
        <v>21</v>
      </c>
      <c r="BD9" s="270" t="s">
        <v>22</v>
      </c>
      <c r="BE9" s="270" t="s">
        <v>23</v>
      </c>
      <c r="BF9" s="270" t="s">
        <v>24</v>
      </c>
      <c r="BG9" s="270" t="s">
        <v>63</v>
      </c>
      <c r="BH9" s="270" t="s">
        <v>33</v>
      </c>
      <c r="BI9" s="270" t="s">
        <v>81</v>
      </c>
      <c r="BJ9" s="270" t="s">
        <v>82</v>
      </c>
      <c r="BK9" s="270" t="s">
        <v>83</v>
      </c>
      <c r="BL9" s="270" t="s">
        <v>84</v>
      </c>
      <c r="BM9" s="270" t="s">
        <v>85</v>
      </c>
      <c r="BN9" s="271" t="s">
        <v>86</v>
      </c>
      <c r="BO9" s="272" t="s">
        <v>20</v>
      </c>
      <c r="BP9" s="267" t="s">
        <v>21</v>
      </c>
      <c r="BQ9" s="267" t="s">
        <v>22</v>
      </c>
      <c r="BR9" s="267" t="s">
        <v>23</v>
      </c>
      <c r="BS9" s="267" t="s">
        <v>24</v>
      </c>
      <c r="BT9" s="267" t="s">
        <v>63</v>
      </c>
      <c r="BU9" s="267" t="s">
        <v>33</v>
      </c>
      <c r="BV9" s="267" t="s">
        <v>81</v>
      </c>
      <c r="BW9" s="267" t="s">
        <v>82</v>
      </c>
      <c r="BX9" s="267" t="s">
        <v>83</v>
      </c>
      <c r="BY9" s="267" t="s">
        <v>84</v>
      </c>
      <c r="BZ9" s="267" t="s">
        <v>85</v>
      </c>
      <c r="CA9" s="268" t="s">
        <v>86</v>
      </c>
    </row>
    <row r="10" spans="1:79" s="273" customFormat="1" x14ac:dyDescent="0.2">
      <c r="A10" s="274" t="s">
        <v>87</v>
      </c>
      <c r="B10" s="275">
        <v>62649205</v>
      </c>
      <c r="C10" s="275">
        <v>90155769.439999998</v>
      </c>
      <c r="D10" s="275">
        <v>88155769.439999998</v>
      </c>
      <c r="E10" s="275">
        <v>65045717.575099051</v>
      </c>
      <c r="F10" s="275">
        <v>64969298.929051265</v>
      </c>
      <c r="G10" s="275">
        <v>64968690.94198744</v>
      </c>
      <c r="H10" s="276">
        <v>0.72062710290798493</v>
      </c>
      <c r="I10" s="275">
        <v>25187078.498012558</v>
      </c>
      <c r="J10" s="275">
        <v>2000000</v>
      </c>
      <c r="K10" s="275">
        <v>25110051.864900947</v>
      </c>
      <c r="L10" s="275">
        <v>23110051.864900947</v>
      </c>
      <c r="M10" s="275">
        <v>76418.646047785878</v>
      </c>
      <c r="N10" s="277">
        <v>607.98706382513046</v>
      </c>
      <c r="O10" s="275">
        <v>0</v>
      </c>
      <c r="P10" s="275">
        <v>0</v>
      </c>
      <c r="Q10" s="275">
        <v>0</v>
      </c>
      <c r="R10" s="275">
        <v>0</v>
      </c>
      <c r="S10" s="275">
        <v>0</v>
      </c>
      <c r="T10" s="275">
        <v>0</v>
      </c>
      <c r="U10" s="276" t="e">
        <v>#DIV/0!</v>
      </c>
      <c r="V10" s="275">
        <v>0</v>
      </c>
      <c r="W10" s="275">
        <v>0</v>
      </c>
      <c r="X10" s="275">
        <v>0</v>
      </c>
      <c r="Y10" s="275">
        <v>0</v>
      </c>
      <c r="Z10" s="275">
        <v>0</v>
      </c>
      <c r="AA10" s="277">
        <v>0</v>
      </c>
      <c r="AB10" s="275">
        <v>0</v>
      </c>
      <c r="AC10" s="275">
        <v>0</v>
      </c>
      <c r="AD10" s="275">
        <v>0</v>
      </c>
      <c r="AE10" s="275">
        <v>0</v>
      </c>
      <c r="AF10" s="275">
        <v>0</v>
      </c>
      <c r="AG10" s="275">
        <v>0</v>
      </c>
      <c r="AH10" s="276" t="e">
        <v>#DIV/0!</v>
      </c>
      <c r="AI10" s="275">
        <v>0</v>
      </c>
      <c r="AJ10" s="275">
        <v>0</v>
      </c>
      <c r="AK10" s="275">
        <v>0</v>
      </c>
      <c r="AL10" s="275">
        <v>0</v>
      </c>
      <c r="AM10" s="275">
        <v>0</v>
      </c>
      <c r="AN10" s="277">
        <v>0</v>
      </c>
      <c r="AO10" s="275">
        <v>62649205</v>
      </c>
      <c r="AP10" s="275">
        <v>90155769.439999998</v>
      </c>
      <c r="AQ10" s="275">
        <v>88155769.439999998</v>
      </c>
      <c r="AR10" s="275">
        <v>65045717.575099051</v>
      </c>
      <c r="AS10" s="275">
        <v>64969298.929051265</v>
      </c>
      <c r="AT10" s="275">
        <v>64968690.94198744</v>
      </c>
      <c r="AU10" s="276">
        <v>0.72062710290798493</v>
      </c>
      <c r="AV10" s="275">
        <v>25187078.498012558</v>
      </c>
      <c r="AW10" s="275">
        <v>2000000</v>
      </c>
      <c r="AX10" s="275">
        <v>25110051.864900947</v>
      </c>
      <c r="AY10" s="275">
        <v>23110051.864900947</v>
      </c>
      <c r="AZ10" s="275">
        <v>76418.646047785878</v>
      </c>
      <c r="BA10" s="277">
        <v>607.98706382513046</v>
      </c>
      <c r="BB10" s="275">
        <v>0</v>
      </c>
      <c r="BC10" s="275">
        <v>0</v>
      </c>
      <c r="BD10" s="275">
        <v>0</v>
      </c>
      <c r="BE10" s="275">
        <v>0</v>
      </c>
      <c r="BF10" s="275">
        <v>0</v>
      </c>
      <c r="BG10" s="275">
        <v>0</v>
      </c>
      <c r="BH10" s="276" t="e">
        <v>#DIV/0!</v>
      </c>
      <c r="BI10" s="275">
        <v>0</v>
      </c>
      <c r="BJ10" s="275">
        <v>0</v>
      </c>
      <c r="BK10" s="275">
        <v>0</v>
      </c>
      <c r="BL10" s="275">
        <v>0</v>
      </c>
      <c r="BM10" s="275">
        <v>0</v>
      </c>
      <c r="BN10" s="277">
        <v>0</v>
      </c>
      <c r="BO10" s="278">
        <v>0</v>
      </c>
      <c r="BP10" s="278">
        <v>0</v>
      </c>
      <c r="BQ10" s="278">
        <v>0</v>
      </c>
      <c r="BR10" s="278">
        <v>0</v>
      </c>
      <c r="BS10" s="278">
        <v>0</v>
      </c>
      <c r="BT10" s="278">
        <v>0</v>
      </c>
      <c r="BU10" s="276" t="e">
        <v>#DIV/0!</v>
      </c>
      <c r="BV10" s="275">
        <v>0</v>
      </c>
      <c r="BW10" s="275">
        <v>0</v>
      </c>
      <c r="BX10" s="275">
        <v>0</v>
      </c>
      <c r="BY10" s="275">
        <v>0</v>
      </c>
      <c r="BZ10" s="275">
        <v>0</v>
      </c>
      <c r="CA10" s="275">
        <v>0</v>
      </c>
    </row>
    <row r="11" spans="1:79" s="273" customFormat="1" x14ac:dyDescent="0.2">
      <c r="A11" s="279" t="s">
        <v>88</v>
      </c>
      <c r="B11" s="280">
        <v>16388400</v>
      </c>
      <c r="C11" s="280">
        <v>16388400</v>
      </c>
      <c r="D11" s="280">
        <v>16388400</v>
      </c>
      <c r="E11" s="280">
        <v>8136713.324000001</v>
      </c>
      <c r="F11" s="280">
        <v>8124128.699000001</v>
      </c>
      <c r="G11" s="280">
        <v>8124128.699000001</v>
      </c>
      <c r="H11" s="281">
        <v>0.49572433544458283</v>
      </c>
      <c r="I11" s="280">
        <v>8264271.300999999</v>
      </c>
      <c r="J11" s="280">
        <v>0</v>
      </c>
      <c r="K11" s="280">
        <v>8251686.675999999</v>
      </c>
      <c r="L11" s="280">
        <v>8251686.675999999</v>
      </c>
      <c r="M11" s="280">
        <v>12584.625</v>
      </c>
      <c r="N11" s="282">
        <v>0</v>
      </c>
      <c r="O11" s="280">
        <v>0</v>
      </c>
      <c r="P11" s="280">
        <v>0</v>
      </c>
      <c r="Q11" s="280">
        <v>0</v>
      </c>
      <c r="R11" s="280">
        <v>0</v>
      </c>
      <c r="S11" s="280">
        <v>0</v>
      </c>
      <c r="T11" s="280">
        <v>0</v>
      </c>
      <c r="U11" s="281" t="e">
        <v>#DIV/0!</v>
      </c>
      <c r="V11" s="280">
        <v>0</v>
      </c>
      <c r="W11" s="280">
        <v>0</v>
      </c>
      <c r="X11" s="280">
        <v>0</v>
      </c>
      <c r="Y11" s="280">
        <v>0</v>
      </c>
      <c r="Z11" s="280">
        <v>0</v>
      </c>
      <c r="AA11" s="282">
        <v>0</v>
      </c>
      <c r="AB11" s="280">
        <v>0</v>
      </c>
      <c r="AC11" s="280">
        <v>0</v>
      </c>
      <c r="AD11" s="280">
        <v>0</v>
      </c>
      <c r="AE11" s="280">
        <v>0</v>
      </c>
      <c r="AF11" s="280">
        <v>0</v>
      </c>
      <c r="AG11" s="280">
        <v>0</v>
      </c>
      <c r="AH11" s="281" t="e">
        <v>#DIV/0!</v>
      </c>
      <c r="AI11" s="280">
        <v>0</v>
      </c>
      <c r="AJ11" s="280">
        <v>0</v>
      </c>
      <c r="AK11" s="280">
        <v>0</v>
      </c>
      <c r="AL11" s="280">
        <v>0</v>
      </c>
      <c r="AM11" s="280">
        <v>0</v>
      </c>
      <c r="AN11" s="282">
        <v>0</v>
      </c>
      <c r="AO11" s="280">
        <v>16388400</v>
      </c>
      <c r="AP11" s="280">
        <v>16388400</v>
      </c>
      <c r="AQ11" s="280">
        <v>16388400</v>
      </c>
      <c r="AR11" s="280">
        <v>8136713.324000001</v>
      </c>
      <c r="AS11" s="280">
        <v>8124128.699000001</v>
      </c>
      <c r="AT11" s="280">
        <v>8124128.699000001</v>
      </c>
      <c r="AU11" s="281">
        <v>0.49572433544458283</v>
      </c>
      <c r="AV11" s="280">
        <v>8264271.300999999</v>
      </c>
      <c r="AW11" s="280">
        <v>0</v>
      </c>
      <c r="AX11" s="280">
        <v>8251686.675999999</v>
      </c>
      <c r="AY11" s="280">
        <v>8251686.675999999</v>
      </c>
      <c r="AZ11" s="280">
        <v>12584.625</v>
      </c>
      <c r="BA11" s="282">
        <v>0</v>
      </c>
      <c r="BB11" s="280">
        <v>0</v>
      </c>
      <c r="BC11" s="280">
        <v>0</v>
      </c>
      <c r="BD11" s="280">
        <v>0</v>
      </c>
      <c r="BE11" s="280">
        <v>0</v>
      </c>
      <c r="BF11" s="280">
        <v>0</v>
      </c>
      <c r="BG11" s="280">
        <v>0</v>
      </c>
      <c r="BH11" s="281" t="e">
        <v>#DIV/0!</v>
      </c>
      <c r="BI11" s="280">
        <v>0</v>
      </c>
      <c r="BJ11" s="280">
        <v>0</v>
      </c>
      <c r="BK11" s="280">
        <v>0</v>
      </c>
      <c r="BL11" s="280">
        <v>0</v>
      </c>
      <c r="BM11" s="280">
        <v>0</v>
      </c>
      <c r="BN11" s="282">
        <v>0</v>
      </c>
      <c r="BO11" s="283">
        <v>0</v>
      </c>
      <c r="BP11" s="283">
        <v>0</v>
      </c>
      <c r="BQ11" s="283">
        <v>0</v>
      </c>
      <c r="BR11" s="283">
        <v>0</v>
      </c>
      <c r="BS11" s="283">
        <v>0</v>
      </c>
      <c r="BT11" s="283">
        <v>0</v>
      </c>
      <c r="BU11" s="281" t="e">
        <v>#DIV/0!</v>
      </c>
      <c r="BV11" s="280">
        <v>0</v>
      </c>
      <c r="BW11" s="280">
        <v>0</v>
      </c>
      <c r="BX11" s="280">
        <v>0</v>
      </c>
      <c r="BY11" s="280">
        <v>0</v>
      </c>
      <c r="BZ11" s="280">
        <v>0</v>
      </c>
      <c r="CA11" s="280">
        <v>0</v>
      </c>
    </row>
    <row r="12" spans="1:79" s="273" customFormat="1" ht="24" x14ac:dyDescent="0.2">
      <c r="A12" s="284" t="s">
        <v>89</v>
      </c>
      <c r="B12" s="285">
        <v>16388400</v>
      </c>
      <c r="C12" s="285">
        <v>16388400</v>
      </c>
      <c r="D12" s="285">
        <v>16388400</v>
      </c>
      <c r="E12" s="285">
        <v>8136713.324000001</v>
      </c>
      <c r="F12" s="285">
        <v>8124128.699000001</v>
      </c>
      <c r="G12" s="285">
        <v>8124128.699000001</v>
      </c>
      <c r="H12" s="286">
        <v>0.49572433544458283</v>
      </c>
      <c r="I12" s="285">
        <v>8264271.300999999</v>
      </c>
      <c r="J12" s="285">
        <v>0</v>
      </c>
      <c r="K12" s="285">
        <v>8251686.675999999</v>
      </c>
      <c r="L12" s="285">
        <v>8251686.675999999</v>
      </c>
      <c r="M12" s="285">
        <v>12584.625</v>
      </c>
      <c r="N12" s="287">
        <v>0</v>
      </c>
      <c r="O12" s="285">
        <v>0</v>
      </c>
      <c r="P12" s="285">
        <v>0</v>
      </c>
      <c r="Q12" s="285">
        <v>0</v>
      </c>
      <c r="R12" s="285">
        <v>0</v>
      </c>
      <c r="S12" s="285">
        <v>0</v>
      </c>
      <c r="T12" s="285">
        <v>0</v>
      </c>
      <c r="U12" s="286" t="e">
        <v>#DIV/0!</v>
      </c>
      <c r="V12" s="285">
        <v>0</v>
      </c>
      <c r="W12" s="285">
        <v>0</v>
      </c>
      <c r="X12" s="285">
        <v>0</v>
      </c>
      <c r="Y12" s="285">
        <v>0</v>
      </c>
      <c r="Z12" s="285">
        <v>0</v>
      </c>
      <c r="AA12" s="287">
        <v>0</v>
      </c>
      <c r="AB12" s="285">
        <v>0</v>
      </c>
      <c r="AC12" s="285">
        <v>0</v>
      </c>
      <c r="AD12" s="285">
        <v>0</v>
      </c>
      <c r="AE12" s="285">
        <v>0</v>
      </c>
      <c r="AF12" s="285">
        <v>0</v>
      </c>
      <c r="AG12" s="285">
        <v>0</v>
      </c>
      <c r="AH12" s="286" t="e">
        <v>#DIV/0!</v>
      </c>
      <c r="AI12" s="285">
        <v>0</v>
      </c>
      <c r="AJ12" s="285">
        <v>0</v>
      </c>
      <c r="AK12" s="285">
        <v>0</v>
      </c>
      <c r="AL12" s="285">
        <v>0</v>
      </c>
      <c r="AM12" s="285">
        <v>0</v>
      </c>
      <c r="AN12" s="287">
        <v>0</v>
      </c>
      <c r="AO12" s="285">
        <v>16388400</v>
      </c>
      <c r="AP12" s="285">
        <v>16388400</v>
      </c>
      <c r="AQ12" s="285">
        <v>16388400</v>
      </c>
      <c r="AR12" s="285">
        <v>8136713.324000001</v>
      </c>
      <c r="AS12" s="285">
        <v>8124128.699000001</v>
      </c>
      <c r="AT12" s="285">
        <v>8124128.699000001</v>
      </c>
      <c r="AU12" s="286">
        <v>0.49572433544458283</v>
      </c>
      <c r="AV12" s="285">
        <v>8264271.300999999</v>
      </c>
      <c r="AW12" s="285">
        <v>0</v>
      </c>
      <c r="AX12" s="285">
        <v>8251686.675999999</v>
      </c>
      <c r="AY12" s="285">
        <v>8251686.675999999</v>
      </c>
      <c r="AZ12" s="285">
        <v>12584.625</v>
      </c>
      <c r="BA12" s="287">
        <v>0</v>
      </c>
      <c r="BB12" s="285">
        <v>0</v>
      </c>
      <c r="BC12" s="285">
        <v>0</v>
      </c>
      <c r="BD12" s="285">
        <v>0</v>
      </c>
      <c r="BE12" s="285">
        <v>0</v>
      </c>
      <c r="BF12" s="285">
        <v>0</v>
      </c>
      <c r="BG12" s="285">
        <v>0</v>
      </c>
      <c r="BH12" s="286" t="e">
        <v>#DIV/0!</v>
      </c>
      <c r="BI12" s="285">
        <v>0</v>
      </c>
      <c r="BJ12" s="285">
        <v>0</v>
      </c>
      <c r="BK12" s="285">
        <v>0</v>
      </c>
      <c r="BL12" s="285">
        <v>0</v>
      </c>
      <c r="BM12" s="285">
        <v>0</v>
      </c>
      <c r="BN12" s="287">
        <v>0</v>
      </c>
      <c r="BO12" s="285">
        <v>0</v>
      </c>
      <c r="BP12" s="285">
        <v>0</v>
      </c>
      <c r="BQ12" s="285">
        <v>0</v>
      </c>
      <c r="BR12" s="285">
        <v>0</v>
      </c>
      <c r="BS12" s="285">
        <v>0</v>
      </c>
      <c r="BT12" s="285">
        <v>0</v>
      </c>
      <c r="BU12" s="286" t="e">
        <v>#DIV/0!</v>
      </c>
      <c r="BV12" s="285">
        <v>0</v>
      </c>
      <c r="BW12" s="285">
        <v>0</v>
      </c>
      <c r="BX12" s="285">
        <v>0</v>
      </c>
      <c r="BY12" s="285">
        <v>0</v>
      </c>
      <c r="BZ12" s="285">
        <v>0</v>
      </c>
      <c r="CA12" s="285">
        <v>0</v>
      </c>
    </row>
    <row r="13" spans="1:79" s="273" customFormat="1" x14ac:dyDescent="0.2">
      <c r="A13" s="279" t="s">
        <v>90</v>
      </c>
      <c r="B13" s="280">
        <v>46260805</v>
      </c>
      <c r="C13" s="280">
        <v>73767369.439999998</v>
      </c>
      <c r="D13" s="280">
        <v>71767369.439999998</v>
      </c>
      <c r="E13" s="280">
        <v>56909004.25109905</v>
      </c>
      <c r="F13" s="280">
        <v>56845170.230051264</v>
      </c>
      <c r="G13" s="280">
        <v>56844562.242987439</v>
      </c>
      <c r="H13" s="281">
        <v>0.77059223711675084</v>
      </c>
      <c r="I13" s="280">
        <v>16922807.197012559</v>
      </c>
      <c r="J13" s="280">
        <v>2000000</v>
      </c>
      <c r="K13" s="280">
        <v>16858365.188900948</v>
      </c>
      <c r="L13" s="280">
        <v>14858365.188900948</v>
      </c>
      <c r="M13" s="280">
        <v>63834.021047785878</v>
      </c>
      <c r="N13" s="282">
        <v>607.98706382513046</v>
      </c>
      <c r="O13" s="280">
        <v>0</v>
      </c>
      <c r="P13" s="280">
        <v>0</v>
      </c>
      <c r="Q13" s="280">
        <v>0</v>
      </c>
      <c r="R13" s="280">
        <v>0</v>
      </c>
      <c r="S13" s="280">
        <v>0</v>
      </c>
      <c r="T13" s="280">
        <v>0</v>
      </c>
      <c r="U13" s="281" t="e">
        <v>#DIV/0!</v>
      </c>
      <c r="V13" s="280">
        <v>0</v>
      </c>
      <c r="W13" s="280">
        <v>0</v>
      </c>
      <c r="X13" s="280">
        <v>0</v>
      </c>
      <c r="Y13" s="280">
        <v>0</v>
      </c>
      <c r="Z13" s="280">
        <v>0</v>
      </c>
      <c r="AA13" s="282">
        <v>0</v>
      </c>
      <c r="AB13" s="280">
        <v>0</v>
      </c>
      <c r="AC13" s="280">
        <v>0</v>
      </c>
      <c r="AD13" s="280">
        <v>0</v>
      </c>
      <c r="AE13" s="280">
        <v>0</v>
      </c>
      <c r="AF13" s="280">
        <v>0</v>
      </c>
      <c r="AG13" s="280">
        <v>0</v>
      </c>
      <c r="AH13" s="281" t="e">
        <v>#DIV/0!</v>
      </c>
      <c r="AI13" s="280">
        <v>0</v>
      </c>
      <c r="AJ13" s="280">
        <v>0</v>
      </c>
      <c r="AK13" s="280">
        <v>0</v>
      </c>
      <c r="AL13" s="280">
        <v>0</v>
      </c>
      <c r="AM13" s="280">
        <v>0</v>
      </c>
      <c r="AN13" s="282">
        <v>0</v>
      </c>
      <c r="AO13" s="280">
        <v>46260805</v>
      </c>
      <c r="AP13" s="280">
        <v>73767369.439999998</v>
      </c>
      <c r="AQ13" s="280">
        <v>71767369.439999998</v>
      </c>
      <c r="AR13" s="280">
        <v>56909004.25109905</v>
      </c>
      <c r="AS13" s="280">
        <v>56845170.230051264</v>
      </c>
      <c r="AT13" s="280">
        <v>56844562.242987439</v>
      </c>
      <c r="AU13" s="281">
        <v>0.77059223711675084</v>
      </c>
      <c r="AV13" s="280">
        <v>16922807.197012559</v>
      </c>
      <c r="AW13" s="280">
        <v>2000000</v>
      </c>
      <c r="AX13" s="280">
        <v>16858365.188900948</v>
      </c>
      <c r="AY13" s="280">
        <v>14858365.188900948</v>
      </c>
      <c r="AZ13" s="280">
        <v>63834.021047785878</v>
      </c>
      <c r="BA13" s="282">
        <v>607.98706382513046</v>
      </c>
      <c r="BB13" s="280">
        <v>0</v>
      </c>
      <c r="BC13" s="280">
        <v>0</v>
      </c>
      <c r="BD13" s="280">
        <v>0</v>
      </c>
      <c r="BE13" s="280">
        <v>0</v>
      </c>
      <c r="BF13" s="280">
        <v>0</v>
      </c>
      <c r="BG13" s="280">
        <v>0</v>
      </c>
      <c r="BH13" s="281" t="e">
        <v>#DIV/0!</v>
      </c>
      <c r="BI13" s="280">
        <v>0</v>
      </c>
      <c r="BJ13" s="280">
        <v>0</v>
      </c>
      <c r="BK13" s="280">
        <v>0</v>
      </c>
      <c r="BL13" s="280">
        <v>0</v>
      </c>
      <c r="BM13" s="280">
        <v>0</v>
      </c>
      <c r="BN13" s="282">
        <v>0</v>
      </c>
      <c r="BO13" s="283">
        <v>0</v>
      </c>
      <c r="BP13" s="283">
        <v>0</v>
      </c>
      <c r="BQ13" s="283">
        <v>0</v>
      </c>
      <c r="BR13" s="283">
        <v>0</v>
      </c>
      <c r="BS13" s="283">
        <v>0</v>
      </c>
      <c r="BT13" s="283">
        <v>0</v>
      </c>
      <c r="BU13" s="281" t="e">
        <v>#DIV/0!</v>
      </c>
      <c r="BV13" s="280">
        <v>0</v>
      </c>
      <c r="BW13" s="280">
        <v>0</v>
      </c>
      <c r="BX13" s="280">
        <v>0</v>
      </c>
      <c r="BY13" s="280">
        <v>0</v>
      </c>
      <c r="BZ13" s="280">
        <v>0</v>
      </c>
      <c r="CA13" s="280">
        <v>0</v>
      </c>
    </row>
    <row r="14" spans="1:79" s="273" customFormat="1" ht="24" x14ac:dyDescent="0.2">
      <c r="A14" s="284" t="s">
        <v>91</v>
      </c>
      <c r="B14" s="285">
        <v>4734502</v>
      </c>
      <c r="C14" s="285">
        <v>7489502</v>
      </c>
      <c r="D14" s="285">
        <v>7489502</v>
      </c>
      <c r="E14" s="285">
        <v>4402439.8110990552</v>
      </c>
      <c r="F14" s="285">
        <v>4338605.7900512684</v>
      </c>
      <c r="G14" s="285">
        <v>4337997.8029874396</v>
      </c>
      <c r="H14" s="286">
        <v>0.5792104472350017</v>
      </c>
      <c r="I14" s="285">
        <v>3151504.1970125604</v>
      </c>
      <c r="J14" s="285">
        <v>0</v>
      </c>
      <c r="K14" s="285">
        <v>3087062.1889009448</v>
      </c>
      <c r="L14" s="285">
        <v>3087062.1889009448</v>
      </c>
      <c r="M14" s="285">
        <v>63834.02104778681</v>
      </c>
      <c r="N14" s="287">
        <v>607.98706382885575</v>
      </c>
      <c r="O14" s="285">
        <v>0</v>
      </c>
      <c r="P14" s="285">
        <v>0</v>
      </c>
      <c r="Q14" s="285">
        <v>0</v>
      </c>
      <c r="R14" s="285">
        <v>0</v>
      </c>
      <c r="S14" s="285">
        <v>0</v>
      </c>
      <c r="T14" s="285">
        <v>0</v>
      </c>
      <c r="U14" s="286" t="e">
        <v>#DIV/0!</v>
      </c>
      <c r="V14" s="285">
        <v>0</v>
      </c>
      <c r="W14" s="285">
        <v>0</v>
      </c>
      <c r="X14" s="285">
        <v>0</v>
      </c>
      <c r="Y14" s="285">
        <v>0</v>
      </c>
      <c r="Z14" s="285">
        <v>0</v>
      </c>
      <c r="AA14" s="287">
        <v>0</v>
      </c>
      <c r="AB14" s="285">
        <v>0</v>
      </c>
      <c r="AC14" s="285">
        <v>0</v>
      </c>
      <c r="AD14" s="285">
        <v>0</v>
      </c>
      <c r="AE14" s="285">
        <v>0</v>
      </c>
      <c r="AF14" s="285">
        <v>0</v>
      </c>
      <c r="AG14" s="285">
        <v>0</v>
      </c>
      <c r="AH14" s="286" t="e">
        <v>#DIV/0!</v>
      </c>
      <c r="AI14" s="285">
        <v>0</v>
      </c>
      <c r="AJ14" s="285">
        <v>0</v>
      </c>
      <c r="AK14" s="285">
        <v>0</v>
      </c>
      <c r="AL14" s="285">
        <v>0</v>
      </c>
      <c r="AM14" s="285">
        <v>0</v>
      </c>
      <c r="AN14" s="287">
        <v>0</v>
      </c>
      <c r="AO14" s="285">
        <v>4734502</v>
      </c>
      <c r="AP14" s="285">
        <v>7489502</v>
      </c>
      <c r="AQ14" s="285">
        <v>7489502</v>
      </c>
      <c r="AR14" s="285">
        <v>4402439.8110990552</v>
      </c>
      <c r="AS14" s="285">
        <v>4338605.7900512684</v>
      </c>
      <c r="AT14" s="285">
        <v>4337997.8029874396</v>
      </c>
      <c r="AU14" s="286">
        <v>0.5792104472350017</v>
      </c>
      <c r="AV14" s="285">
        <v>3151504.1970125604</v>
      </c>
      <c r="AW14" s="285">
        <v>0</v>
      </c>
      <c r="AX14" s="285">
        <v>3087062.1889009448</v>
      </c>
      <c r="AY14" s="285">
        <v>3087062.1889009448</v>
      </c>
      <c r="AZ14" s="285">
        <v>63834.02104778681</v>
      </c>
      <c r="BA14" s="287">
        <v>607.98706382885575</v>
      </c>
      <c r="BB14" s="285">
        <v>0</v>
      </c>
      <c r="BC14" s="285">
        <v>0</v>
      </c>
      <c r="BD14" s="285">
        <v>0</v>
      </c>
      <c r="BE14" s="285">
        <v>0</v>
      </c>
      <c r="BF14" s="285">
        <v>0</v>
      </c>
      <c r="BG14" s="285">
        <v>0</v>
      </c>
      <c r="BH14" s="286" t="e">
        <v>#DIV/0!</v>
      </c>
      <c r="BI14" s="285">
        <v>0</v>
      </c>
      <c r="BJ14" s="285">
        <v>0</v>
      </c>
      <c r="BK14" s="285">
        <v>0</v>
      </c>
      <c r="BL14" s="285">
        <v>0</v>
      </c>
      <c r="BM14" s="285">
        <v>0</v>
      </c>
      <c r="BN14" s="287">
        <v>0</v>
      </c>
      <c r="BO14" s="285">
        <v>0</v>
      </c>
      <c r="BP14" s="285">
        <v>0</v>
      </c>
      <c r="BQ14" s="285">
        <v>0</v>
      </c>
      <c r="BR14" s="285">
        <v>0</v>
      </c>
      <c r="BS14" s="285">
        <v>0</v>
      </c>
      <c r="BT14" s="285">
        <v>0</v>
      </c>
      <c r="BU14" s="286" t="e">
        <v>#DIV/0!</v>
      </c>
      <c r="BV14" s="285">
        <v>0</v>
      </c>
      <c r="BW14" s="285">
        <v>0</v>
      </c>
      <c r="BX14" s="285">
        <v>0</v>
      </c>
      <c r="BY14" s="285">
        <v>0</v>
      </c>
      <c r="BZ14" s="285">
        <v>0</v>
      </c>
      <c r="CA14" s="285">
        <v>0</v>
      </c>
    </row>
    <row r="15" spans="1:79" s="273" customFormat="1" ht="24" x14ac:dyDescent="0.2">
      <c r="A15" s="284" t="s">
        <v>1102</v>
      </c>
      <c r="B15" s="285">
        <v>41526303</v>
      </c>
      <c r="C15" s="285">
        <v>66277867.439999998</v>
      </c>
      <c r="D15" s="285">
        <v>64277867.439999998</v>
      </c>
      <c r="E15" s="285">
        <v>52506564.439999998</v>
      </c>
      <c r="F15" s="285">
        <v>52506564.439999998</v>
      </c>
      <c r="G15" s="285">
        <v>52506564.439999998</v>
      </c>
      <c r="H15" s="286">
        <v>0.79221867673296997</v>
      </c>
      <c r="I15" s="285">
        <v>13771303</v>
      </c>
      <c r="J15" s="285">
        <v>2000000</v>
      </c>
      <c r="K15" s="285">
        <v>13771303</v>
      </c>
      <c r="L15" s="285">
        <v>11771303</v>
      </c>
      <c r="M15" s="285">
        <v>0</v>
      </c>
      <c r="N15" s="287">
        <v>0</v>
      </c>
      <c r="O15" s="285">
        <v>0</v>
      </c>
      <c r="P15" s="285">
        <v>0</v>
      </c>
      <c r="Q15" s="285">
        <v>0</v>
      </c>
      <c r="R15" s="285">
        <v>0</v>
      </c>
      <c r="S15" s="285">
        <v>0</v>
      </c>
      <c r="T15" s="285">
        <v>0</v>
      </c>
      <c r="U15" s="286" t="e">
        <v>#DIV/0!</v>
      </c>
      <c r="V15" s="285">
        <v>0</v>
      </c>
      <c r="W15" s="285">
        <v>0</v>
      </c>
      <c r="X15" s="285">
        <v>0</v>
      </c>
      <c r="Y15" s="285">
        <v>0</v>
      </c>
      <c r="Z15" s="285">
        <v>0</v>
      </c>
      <c r="AA15" s="287">
        <v>0</v>
      </c>
      <c r="AB15" s="285">
        <v>0</v>
      </c>
      <c r="AC15" s="285">
        <v>0</v>
      </c>
      <c r="AD15" s="285">
        <v>0</v>
      </c>
      <c r="AE15" s="285">
        <v>0</v>
      </c>
      <c r="AF15" s="285">
        <v>0</v>
      </c>
      <c r="AG15" s="285">
        <v>0</v>
      </c>
      <c r="AH15" s="286" t="e">
        <v>#DIV/0!</v>
      </c>
      <c r="AI15" s="285">
        <v>0</v>
      </c>
      <c r="AJ15" s="285">
        <v>0</v>
      </c>
      <c r="AK15" s="285">
        <v>0</v>
      </c>
      <c r="AL15" s="285">
        <v>0</v>
      </c>
      <c r="AM15" s="285">
        <v>0</v>
      </c>
      <c r="AN15" s="287">
        <v>0</v>
      </c>
      <c r="AO15" s="285">
        <v>41526303</v>
      </c>
      <c r="AP15" s="285">
        <v>66277867.439999998</v>
      </c>
      <c r="AQ15" s="285">
        <v>64277867.439999998</v>
      </c>
      <c r="AR15" s="285">
        <v>52506564.439999998</v>
      </c>
      <c r="AS15" s="285">
        <v>52506564.439999998</v>
      </c>
      <c r="AT15" s="285">
        <v>52506564.439999998</v>
      </c>
      <c r="AU15" s="286">
        <v>0.79221867673296997</v>
      </c>
      <c r="AV15" s="285">
        <v>13771303</v>
      </c>
      <c r="AW15" s="285">
        <v>2000000</v>
      </c>
      <c r="AX15" s="285">
        <v>13771303</v>
      </c>
      <c r="AY15" s="285">
        <v>11771303</v>
      </c>
      <c r="AZ15" s="285">
        <v>0</v>
      </c>
      <c r="BA15" s="287">
        <v>0</v>
      </c>
      <c r="BB15" s="285">
        <v>0</v>
      </c>
      <c r="BC15" s="285">
        <v>0</v>
      </c>
      <c r="BD15" s="285">
        <v>0</v>
      </c>
      <c r="BE15" s="285">
        <v>0</v>
      </c>
      <c r="BF15" s="285">
        <v>0</v>
      </c>
      <c r="BG15" s="285">
        <v>0</v>
      </c>
      <c r="BH15" s="286" t="e">
        <v>#DIV/0!</v>
      </c>
      <c r="BI15" s="285">
        <v>0</v>
      </c>
      <c r="BJ15" s="285">
        <v>0</v>
      </c>
      <c r="BK15" s="285">
        <v>0</v>
      </c>
      <c r="BL15" s="285">
        <v>0</v>
      </c>
      <c r="BM15" s="285">
        <v>0</v>
      </c>
      <c r="BN15" s="287">
        <v>0</v>
      </c>
      <c r="BO15" s="285">
        <v>0</v>
      </c>
      <c r="BP15" s="285">
        <v>0</v>
      </c>
      <c r="BQ15" s="285">
        <v>0</v>
      </c>
      <c r="BR15" s="285">
        <v>0</v>
      </c>
      <c r="BS15" s="285">
        <v>0</v>
      </c>
      <c r="BT15" s="285">
        <v>0</v>
      </c>
      <c r="BU15" s="286" t="e">
        <v>#DIV/0!</v>
      </c>
      <c r="BV15" s="285">
        <v>0</v>
      </c>
      <c r="BW15" s="285">
        <v>0</v>
      </c>
      <c r="BX15" s="285">
        <v>0</v>
      </c>
      <c r="BY15" s="285">
        <v>0</v>
      </c>
      <c r="BZ15" s="285">
        <v>0</v>
      </c>
      <c r="CA15" s="285">
        <v>0</v>
      </c>
    </row>
    <row r="16" spans="1:79" s="273" customFormat="1" x14ac:dyDescent="0.2">
      <c r="A16" s="274" t="s">
        <v>92</v>
      </c>
      <c r="B16" s="288">
        <v>104250000</v>
      </c>
      <c r="C16" s="288">
        <v>104250000</v>
      </c>
      <c r="D16" s="288">
        <v>104250000</v>
      </c>
      <c r="E16" s="288">
        <v>70606713.258999988</v>
      </c>
      <c r="F16" s="288">
        <v>70294130.858999997</v>
      </c>
      <c r="G16" s="288">
        <v>70263770.858999997</v>
      </c>
      <c r="H16" s="289">
        <v>0.67399300584172661</v>
      </c>
      <c r="I16" s="288">
        <v>33986229.141000003</v>
      </c>
      <c r="J16" s="288">
        <v>0</v>
      </c>
      <c r="K16" s="288">
        <v>33643286.741000012</v>
      </c>
      <c r="L16" s="288">
        <v>33643286.741000012</v>
      </c>
      <c r="M16" s="288">
        <v>312582.39999999106</v>
      </c>
      <c r="N16" s="290">
        <v>30360</v>
      </c>
      <c r="O16" s="288">
        <v>0</v>
      </c>
      <c r="P16" s="288">
        <v>0</v>
      </c>
      <c r="Q16" s="288">
        <v>0</v>
      </c>
      <c r="R16" s="288">
        <v>0</v>
      </c>
      <c r="S16" s="288">
        <v>0</v>
      </c>
      <c r="T16" s="288">
        <v>0</v>
      </c>
      <c r="U16" s="289" t="e">
        <v>#DIV/0!</v>
      </c>
      <c r="V16" s="288">
        <v>0</v>
      </c>
      <c r="W16" s="288">
        <v>0</v>
      </c>
      <c r="X16" s="288">
        <v>0</v>
      </c>
      <c r="Y16" s="288">
        <v>0</v>
      </c>
      <c r="Z16" s="288">
        <v>0</v>
      </c>
      <c r="AA16" s="290">
        <v>0</v>
      </c>
      <c r="AB16" s="288">
        <v>0</v>
      </c>
      <c r="AC16" s="288">
        <v>0</v>
      </c>
      <c r="AD16" s="288">
        <v>0</v>
      </c>
      <c r="AE16" s="288">
        <v>0</v>
      </c>
      <c r="AF16" s="288">
        <v>0</v>
      </c>
      <c r="AG16" s="288">
        <v>0</v>
      </c>
      <c r="AH16" s="289" t="e">
        <v>#DIV/0!</v>
      </c>
      <c r="AI16" s="288">
        <v>0</v>
      </c>
      <c r="AJ16" s="288">
        <v>0</v>
      </c>
      <c r="AK16" s="288">
        <v>0</v>
      </c>
      <c r="AL16" s="288">
        <v>0</v>
      </c>
      <c r="AM16" s="288">
        <v>0</v>
      </c>
      <c r="AN16" s="290">
        <v>0</v>
      </c>
      <c r="AO16" s="288">
        <v>104250000</v>
      </c>
      <c r="AP16" s="288">
        <v>104250000</v>
      </c>
      <c r="AQ16" s="288">
        <v>104250000</v>
      </c>
      <c r="AR16" s="288">
        <v>70606713.258999988</v>
      </c>
      <c r="AS16" s="288">
        <v>70294130.858999997</v>
      </c>
      <c r="AT16" s="288">
        <v>70263770.858999997</v>
      </c>
      <c r="AU16" s="289">
        <v>0.67399300584172661</v>
      </c>
      <c r="AV16" s="288">
        <v>33986229.141000003</v>
      </c>
      <c r="AW16" s="288">
        <v>0</v>
      </c>
      <c r="AX16" s="288">
        <v>33643286.741000012</v>
      </c>
      <c r="AY16" s="288">
        <v>33643286.741000012</v>
      </c>
      <c r="AZ16" s="288">
        <v>312582.39999999106</v>
      </c>
      <c r="BA16" s="290">
        <v>30360</v>
      </c>
      <c r="BB16" s="288">
        <v>0</v>
      </c>
      <c r="BC16" s="288">
        <v>0</v>
      </c>
      <c r="BD16" s="288">
        <v>0</v>
      </c>
      <c r="BE16" s="288">
        <v>0</v>
      </c>
      <c r="BF16" s="288">
        <v>0</v>
      </c>
      <c r="BG16" s="288">
        <v>0</v>
      </c>
      <c r="BH16" s="289" t="e">
        <v>#DIV/0!</v>
      </c>
      <c r="BI16" s="288">
        <v>0</v>
      </c>
      <c r="BJ16" s="288">
        <v>0</v>
      </c>
      <c r="BK16" s="288">
        <v>0</v>
      </c>
      <c r="BL16" s="288">
        <v>0</v>
      </c>
      <c r="BM16" s="288">
        <v>0</v>
      </c>
      <c r="BN16" s="290">
        <v>0</v>
      </c>
      <c r="BO16" s="291">
        <v>0</v>
      </c>
      <c r="BP16" s="291">
        <v>0</v>
      </c>
      <c r="BQ16" s="291">
        <v>0</v>
      </c>
      <c r="BR16" s="291">
        <v>0</v>
      </c>
      <c r="BS16" s="291">
        <v>0</v>
      </c>
      <c r="BT16" s="291">
        <v>0</v>
      </c>
      <c r="BU16" s="289" t="e">
        <v>#DIV/0!</v>
      </c>
      <c r="BV16" s="288">
        <v>0</v>
      </c>
      <c r="BW16" s="288">
        <v>0</v>
      </c>
      <c r="BX16" s="288">
        <v>0</v>
      </c>
      <c r="BY16" s="288">
        <v>0</v>
      </c>
      <c r="BZ16" s="288">
        <v>0</v>
      </c>
      <c r="CA16" s="288">
        <v>0</v>
      </c>
    </row>
    <row r="17" spans="1:79" s="273" customFormat="1" x14ac:dyDescent="0.2">
      <c r="A17" s="279" t="s">
        <v>93</v>
      </c>
      <c r="B17" s="280">
        <v>104250000</v>
      </c>
      <c r="C17" s="280">
        <v>104250000</v>
      </c>
      <c r="D17" s="280">
        <v>104250000</v>
      </c>
      <c r="E17" s="280">
        <v>70606713.258999988</v>
      </c>
      <c r="F17" s="280">
        <v>70294130.858999997</v>
      </c>
      <c r="G17" s="280">
        <v>70263770.858999997</v>
      </c>
      <c r="H17" s="281">
        <v>0.67399300584172661</v>
      </c>
      <c r="I17" s="280">
        <v>33986229.141000003</v>
      </c>
      <c r="J17" s="280">
        <v>0</v>
      </c>
      <c r="K17" s="280">
        <v>33643286.741000012</v>
      </c>
      <c r="L17" s="280">
        <v>33643286.741000012</v>
      </c>
      <c r="M17" s="280">
        <v>312582.39999999106</v>
      </c>
      <c r="N17" s="282">
        <v>30360</v>
      </c>
      <c r="O17" s="280">
        <v>0</v>
      </c>
      <c r="P17" s="280">
        <v>0</v>
      </c>
      <c r="Q17" s="280">
        <v>0</v>
      </c>
      <c r="R17" s="280">
        <v>0</v>
      </c>
      <c r="S17" s="280">
        <v>0</v>
      </c>
      <c r="T17" s="280">
        <v>0</v>
      </c>
      <c r="U17" s="281" t="e">
        <v>#DIV/0!</v>
      </c>
      <c r="V17" s="280">
        <v>0</v>
      </c>
      <c r="W17" s="280">
        <v>0</v>
      </c>
      <c r="X17" s="280">
        <v>0</v>
      </c>
      <c r="Y17" s="280">
        <v>0</v>
      </c>
      <c r="Z17" s="280">
        <v>0</v>
      </c>
      <c r="AA17" s="282">
        <v>0</v>
      </c>
      <c r="AB17" s="280">
        <v>0</v>
      </c>
      <c r="AC17" s="280">
        <v>0</v>
      </c>
      <c r="AD17" s="280">
        <v>0</v>
      </c>
      <c r="AE17" s="280">
        <v>0</v>
      </c>
      <c r="AF17" s="280">
        <v>0</v>
      </c>
      <c r="AG17" s="280">
        <v>0</v>
      </c>
      <c r="AH17" s="281" t="e">
        <v>#DIV/0!</v>
      </c>
      <c r="AI17" s="280">
        <v>0</v>
      </c>
      <c r="AJ17" s="280">
        <v>0</v>
      </c>
      <c r="AK17" s="280">
        <v>0</v>
      </c>
      <c r="AL17" s="280">
        <v>0</v>
      </c>
      <c r="AM17" s="280">
        <v>0</v>
      </c>
      <c r="AN17" s="282">
        <v>0</v>
      </c>
      <c r="AO17" s="280">
        <v>104250000</v>
      </c>
      <c r="AP17" s="280">
        <v>104250000</v>
      </c>
      <c r="AQ17" s="280">
        <v>104250000</v>
      </c>
      <c r="AR17" s="280">
        <v>70606713.258999988</v>
      </c>
      <c r="AS17" s="280">
        <v>70294130.858999997</v>
      </c>
      <c r="AT17" s="280">
        <v>70263770.858999997</v>
      </c>
      <c r="AU17" s="281">
        <v>0.67399300584172661</v>
      </c>
      <c r="AV17" s="280">
        <v>33986229.141000003</v>
      </c>
      <c r="AW17" s="280">
        <v>0</v>
      </c>
      <c r="AX17" s="280">
        <v>33643286.741000012</v>
      </c>
      <c r="AY17" s="280">
        <v>33643286.741000012</v>
      </c>
      <c r="AZ17" s="280">
        <v>312582.39999999106</v>
      </c>
      <c r="BA17" s="282">
        <v>30360</v>
      </c>
      <c r="BB17" s="280">
        <v>0</v>
      </c>
      <c r="BC17" s="280">
        <v>0</v>
      </c>
      <c r="BD17" s="280">
        <v>0</v>
      </c>
      <c r="BE17" s="280">
        <v>0</v>
      </c>
      <c r="BF17" s="280">
        <v>0</v>
      </c>
      <c r="BG17" s="280">
        <v>0</v>
      </c>
      <c r="BH17" s="281" t="e">
        <v>#DIV/0!</v>
      </c>
      <c r="BI17" s="280">
        <v>0</v>
      </c>
      <c r="BJ17" s="280">
        <v>0</v>
      </c>
      <c r="BK17" s="280">
        <v>0</v>
      </c>
      <c r="BL17" s="280">
        <v>0</v>
      </c>
      <c r="BM17" s="280">
        <v>0</v>
      </c>
      <c r="BN17" s="282">
        <v>0</v>
      </c>
      <c r="BO17" s="283">
        <v>0</v>
      </c>
      <c r="BP17" s="283">
        <v>0</v>
      </c>
      <c r="BQ17" s="283">
        <v>0</v>
      </c>
      <c r="BR17" s="283">
        <v>0</v>
      </c>
      <c r="BS17" s="283">
        <v>0</v>
      </c>
      <c r="BT17" s="283">
        <v>0</v>
      </c>
      <c r="BU17" s="281" t="e">
        <v>#DIV/0!</v>
      </c>
      <c r="BV17" s="280">
        <v>0</v>
      </c>
      <c r="BW17" s="280">
        <v>0</v>
      </c>
      <c r="BX17" s="280">
        <v>0</v>
      </c>
      <c r="BY17" s="280">
        <v>0</v>
      </c>
      <c r="BZ17" s="280">
        <v>0</v>
      </c>
      <c r="CA17" s="280">
        <v>0</v>
      </c>
    </row>
    <row r="18" spans="1:79" s="273" customFormat="1" ht="24" x14ac:dyDescent="0.2">
      <c r="A18" s="284" t="s">
        <v>1087</v>
      </c>
      <c r="B18" s="285">
        <v>104250000</v>
      </c>
      <c r="C18" s="285">
        <v>104250000</v>
      </c>
      <c r="D18" s="285">
        <v>104250000</v>
      </c>
      <c r="E18" s="285">
        <v>70606713.258999988</v>
      </c>
      <c r="F18" s="285">
        <v>70294130.858999997</v>
      </c>
      <c r="G18" s="285">
        <v>70263770.858999997</v>
      </c>
      <c r="H18" s="286">
        <v>0.67399300584172661</v>
      </c>
      <c r="I18" s="285">
        <v>33986229.141000003</v>
      </c>
      <c r="J18" s="285">
        <v>0</v>
      </c>
      <c r="K18" s="285">
        <v>33643286.741000012</v>
      </c>
      <c r="L18" s="285">
        <v>33643286.741000012</v>
      </c>
      <c r="M18" s="285">
        <v>312582.39999999106</v>
      </c>
      <c r="N18" s="287">
        <v>30360</v>
      </c>
      <c r="O18" s="285">
        <v>0</v>
      </c>
      <c r="P18" s="285">
        <v>0</v>
      </c>
      <c r="Q18" s="285">
        <v>0</v>
      </c>
      <c r="R18" s="285">
        <v>0</v>
      </c>
      <c r="S18" s="285">
        <v>0</v>
      </c>
      <c r="T18" s="285">
        <v>0</v>
      </c>
      <c r="U18" s="286" t="e">
        <v>#DIV/0!</v>
      </c>
      <c r="V18" s="285">
        <v>0</v>
      </c>
      <c r="W18" s="285">
        <v>0</v>
      </c>
      <c r="X18" s="285">
        <v>0</v>
      </c>
      <c r="Y18" s="285">
        <v>0</v>
      </c>
      <c r="Z18" s="285">
        <v>0</v>
      </c>
      <c r="AA18" s="287">
        <v>0</v>
      </c>
      <c r="AB18" s="285">
        <v>0</v>
      </c>
      <c r="AC18" s="285">
        <v>0</v>
      </c>
      <c r="AD18" s="285">
        <v>0</v>
      </c>
      <c r="AE18" s="285">
        <v>0</v>
      </c>
      <c r="AF18" s="285">
        <v>0</v>
      </c>
      <c r="AG18" s="285">
        <v>0</v>
      </c>
      <c r="AH18" s="286" t="e">
        <v>#DIV/0!</v>
      </c>
      <c r="AI18" s="285">
        <v>0</v>
      </c>
      <c r="AJ18" s="285">
        <v>0</v>
      </c>
      <c r="AK18" s="285">
        <v>0</v>
      </c>
      <c r="AL18" s="285">
        <v>0</v>
      </c>
      <c r="AM18" s="285">
        <v>0</v>
      </c>
      <c r="AN18" s="287">
        <v>0</v>
      </c>
      <c r="AO18" s="285">
        <v>104250000</v>
      </c>
      <c r="AP18" s="285">
        <v>104250000</v>
      </c>
      <c r="AQ18" s="285">
        <v>104250000</v>
      </c>
      <c r="AR18" s="285">
        <v>70606713.258999988</v>
      </c>
      <c r="AS18" s="285">
        <v>70294130.858999997</v>
      </c>
      <c r="AT18" s="285">
        <v>70263770.858999997</v>
      </c>
      <c r="AU18" s="286">
        <v>0.67399300584172661</v>
      </c>
      <c r="AV18" s="285">
        <v>33986229.141000003</v>
      </c>
      <c r="AW18" s="285">
        <v>0</v>
      </c>
      <c r="AX18" s="285">
        <v>33643286.741000012</v>
      </c>
      <c r="AY18" s="285">
        <v>33643286.741000012</v>
      </c>
      <c r="AZ18" s="285">
        <v>312582.39999999106</v>
      </c>
      <c r="BA18" s="287">
        <v>30360</v>
      </c>
      <c r="BB18" s="285">
        <v>0</v>
      </c>
      <c r="BC18" s="285">
        <v>0</v>
      </c>
      <c r="BD18" s="285">
        <v>0</v>
      </c>
      <c r="BE18" s="285">
        <v>0</v>
      </c>
      <c r="BF18" s="285">
        <v>0</v>
      </c>
      <c r="BG18" s="285">
        <v>0</v>
      </c>
      <c r="BH18" s="286" t="e">
        <v>#DIV/0!</v>
      </c>
      <c r="BI18" s="285">
        <v>0</v>
      </c>
      <c r="BJ18" s="285">
        <v>0</v>
      </c>
      <c r="BK18" s="285">
        <v>0</v>
      </c>
      <c r="BL18" s="285">
        <v>0</v>
      </c>
      <c r="BM18" s="285">
        <v>0</v>
      </c>
      <c r="BN18" s="287">
        <v>0</v>
      </c>
      <c r="BO18" s="285">
        <v>0</v>
      </c>
      <c r="BP18" s="285">
        <v>0</v>
      </c>
      <c r="BQ18" s="285">
        <v>0</v>
      </c>
      <c r="BR18" s="285">
        <v>0</v>
      </c>
      <c r="BS18" s="285">
        <v>0</v>
      </c>
      <c r="BT18" s="285">
        <v>0</v>
      </c>
      <c r="BU18" s="286" t="e">
        <v>#DIV/0!</v>
      </c>
      <c r="BV18" s="285">
        <v>0</v>
      </c>
      <c r="BW18" s="285">
        <v>0</v>
      </c>
      <c r="BX18" s="285">
        <v>0</v>
      </c>
      <c r="BY18" s="285">
        <v>0</v>
      </c>
      <c r="BZ18" s="285">
        <v>0</v>
      </c>
      <c r="CA18" s="285">
        <v>0</v>
      </c>
    </row>
    <row r="19" spans="1:79" s="273" customFormat="1" x14ac:dyDescent="0.2">
      <c r="A19" s="274" t="s">
        <v>1103</v>
      </c>
      <c r="B19" s="288">
        <v>3500000</v>
      </c>
      <c r="C19" s="288">
        <v>3364647.21</v>
      </c>
      <c r="D19" s="288">
        <v>3314647.21</v>
      </c>
      <c r="E19" s="288">
        <v>2531217.5499999998</v>
      </c>
      <c r="F19" s="288">
        <v>1953751.4800000002</v>
      </c>
      <c r="G19" s="288">
        <v>1953551.45</v>
      </c>
      <c r="H19" s="289">
        <v>0.58061107987603844</v>
      </c>
      <c r="I19" s="288">
        <v>1411095.76</v>
      </c>
      <c r="J19" s="288">
        <v>50000</v>
      </c>
      <c r="K19" s="288">
        <v>833429.66000000015</v>
      </c>
      <c r="L19" s="288">
        <v>783429.66000000015</v>
      </c>
      <c r="M19" s="288">
        <v>577466.0699999996</v>
      </c>
      <c r="N19" s="290">
        <v>200.03000000026077</v>
      </c>
      <c r="O19" s="288">
        <v>2017198</v>
      </c>
      <c r="P19" s="288">
        <v>2017198</v>
      </c>
      <c r="Q19" s="288">
        <v>2017198</v>
      </c>
      <c r="R19" s="288">
        <v>1800553.38</v>
      </c>
      <c r="S19" s="288">
        <v>1354471.6400000001</v>
      </c>
      <c r="T19" s="288">
        <v>1354471.6400000001</v>
      </c>
      <c r="U19" s="289">
        <v>0.67146191895887275</v>
      </c>
      <c r="V19" s="288">
        <v>662726.35999999987</v>
      </c>
      <c r="W19" s="288">
        <v>0</v>
      </c>
      <c r="X19" s="288">
        <v>216644.62000000011</v>
      </c>
      <c r="Y19" s="288">
        <v>216644.62000000011</v>
      </c>
      <c r="Z19" s="288">
        <v>446081.73999999976</v>
      </c>
      <c r="AA19" s="290">
        <v>0</v>
      </c>
      <c r="AB19" s="288">
        <v>1148995</v>
      </c>
      <c r="AC19" s="288">
        <v>1148995</v>
      </c>
      <c r="AD19" s="288">
        <v>1098995</v>
      </c>
      <c r="AE19" s="288">
        <v>618570.08000000007</v>
      </c>
      <c r="AF19" s="288">
        <v>487185.74999999994</v>
      </c>
      <c r="AG19" s="288">
        <v>486985.72</v>
      </c>
      <c r="AH19" s="289">
        <v>0.42383623949625537</v>
      </c>
      <c r="AI19" s="288">
        <v>662009.28</v>
      </c>
      <c r="AJ19" s="288">
        <v>50000</v>
      </c>
      <c r="AK19" s="288">
        <v>530424.91999999993</v>
      </c>
      <c r="AL19" s="288">
        <v>480424.91999999993</v>
      </c>
      <c r="AM19" s="288">
        <v>131384.33000000013</v>
      </c>
      <c r="AN19" s="290">
        <v>200.02999999996973</v>
      </c>
      <c r="AO19" s="288">
        <v>333807</v>
      </c>
      <c r="AP19" s="288">
        <v>198454.21</v>
      </c>
      <c r="AQ19" s="288">
        <v>198454.21</v>
      </c>
      <c r="AR19" s="288">
        <v>112094.09</v>
      </c>
      <c r="AS19" s="288">
        <v>112094.09</v>
      </c>
      <c r="AT19" s="288">
        <v>112094.09</v>
      </c>
      <c r="AU19" s="289">
        <v>0.5648360395075519</v>
      </c>
      <c r="AV19" s="288">
        <v>86360.12</v>
      </c>
      <c r="AW19" s="288">
        <v>0</v>
      </c>
      <c r="AX19" s="288">
        <v>86360.12</v>
      </c>
      <c r="AY19" s="288">
        <v>86360.12</v>
      </c>
      <c r="AZ19" s="288">
        <v>0</v>
      </c>
      <c r="BA19" s="290">
        <v>0</v>
      </c>
      <c r="BB19" s="288">
        <v>0</v>
      </c>
      <c r="BC19" s="288">
        <v>0</v>
      </c>
      <c r="BD19" s="288">
        <v>0</v>
      </c>
      <c r="BE19" s="288">
        <v>0</v>
      </c>
      <c r="BF19" s="288">
        <v>0</v>
      </c>
      <c r="BG19" s="288">
        <v>0</v>
      </c>
      <c r="BH19" s="289" t="e">
        <v>#DIV/0!</v>
      </c>
      <c r="BI19" s="288">
        <v>0</v>
      </c>
      <c r="BJ19" s="288">
        <v>0</v>
      </c>
      <c r="BK19" s="288">
        <v>0</v>
      </c>
      <c r="BL19" s="288">
        <v>0</v>
      </c>
      <c r="BM19" s="288">
        <v>0</v>
      </c>
      <c r="BN19" s="290">
        <v>0</v>
      </c>
      <c r="BO19" s="291">
        <v>0</v>
      </c>
      <c r="BP19" s="291">
        <v>0</v>
      </c>
      <c r="BQ19" s="291">
        <v>0</v>
      </c>
      <c r="BR19" s="291">
        <v>0</v>
      </c>
      <c r="BS19" s="291">
        <v>0</v>
      </c>
      <c r="BT19" s="291">
        <v>0</v>
      </c>
      <c r="BU19" s="289" t="e">
        <v>#DIV/0!</v>
      </c>
      <c r="BV19" s="288">
        <v>0</v>
      </c>
      <c r="BW19" s="288">
        <v>0</v>
      </c>
      <c r="BX19" s="288">
        <v>0</v>
      </c>
      <c r="BY19" s="288">
        <v>0</v>
      </c>
      <c r="BZ19" s="288">
        <v>0</v>
      </c>
      <c r="CA19" s="288">
        <v>0</v>
      </c>
    </row>
    <row r="20" spans="1:79" s="273" customFormat="1" ht="24" x14ac:dyDescent="0.2">
      <c r="A20" s="279" t="s">
        <v>94</v>
      </c>
      <c r="B20" s="280">
        <v>3500000</v>
      </c>
      <c r="C20" s="280">
        <v>3364647.21</v>
      </c>
      <c r="D20" s="280">
        <v>3314647.21</v>
      </c>
      <c r="E20" s="280">
        <v>2531217.5499999998</v>
      </c>
      <c r="F20" s="280">
        <v>1953751.4800000002</v>
      </c>
      <c r="G20" s="280">
        <v>1953551.45</v>
      </c>
      <c r="H20" s="281">
        <v>0.58061107987603844</v>
      </c>
      <c r="I20" s="280">
        <v>1411095.76</v>
      </c>
      <c r="J20" s="280">
        <v>50000</v>
      </c>
      <c r="K20" s="280">
        <v>833429.66000000015</v>
      </c>
      <c r="L20" s="280">
        <v>783429.66000000015</v>
      </c>
      <c r="M20" s="280">
        <v>577466.0699999996</v>
      </c>
      <c r="N20" s="282">
        <v>200.03000000026077</v>
      </c>
      <c r="O20" s="280">
        <v>2017198</v>
      </c>
      <c r="P20" s="280">
        <v>2017198</v>
      </c>
      <c r="Q20" s="280">
        <v>2017198</v>
      </c>
      <c r="R20" s="280">
        <v>1800553.38</v>
      </c>
      <c r="S20" s="280">
        <v>1354471.6400000001</v>
      </c>
      <c r="T20" s="280">
        <v>1354471.6400000001</v>
      </c>
      <c r="U20" s="281">
        <v>0.67146191895887275</v>
      </c>
      <c r="V20" s="280">
        <v>662726.35999999987</v>
      </c>
      <c r="W20" s="280">
        <v>0</v>
      </c>
      <c r="X20" s="280">
        <v>216644.62000000011</v>
      </c>
      <c r="Y20" s="280">
        <v>216644.62000000011</v>
      </c>
      <c r="Z20" s="280">
        <v>446081.73999999976</v>
      </c>
      <c r="AA20" s="282">
        <v>0</v>
      </c>
      <c r="AB20" s="280">
        <v>1148995</v>
      </c>
      <c r="AC20" s="280">
        <v>1148995</v>
      </c>
      <c r="AD20" s="280">
        <v>1098995</v>
      </c>
      <c r="AE20" s="280">
        <v>618570.08000000007</v>
      </c>
      <c r="AF20" s="280">
        <v>487185.74999999994</v>
      </c>
      <c r="AG20" s="280">
        <v>486985.72</v>
      </c>
      <c r="AH20" s="281">
        <v>0.42383623949625537</v>
      </c>
      <c r="AI20" s="280">
        <v>662009.28</v>
      </c>
      <c r="AJ20" s="280">
        <v>50000</v>
      </c>
      <c r="AK20" s="280">
        <v>530424.91999999993</v>
      </c>
      <c r="AL20" s="280">
        <v>480424.91999999993</v>
      </c>
      <c r="AM20" s="280">
        <v>131384.33000000013</v>
      </c>
      <c r="AN20" s="282">
        <v>200.02999999996973</v>
      </c>
      <c r="AO20" s="280">
        <v>333807</v>
      </c>
      <c r="AP20" s="280">
        <v>198454.21</v>
      </c>
      <c r="AQ20" s="280">
        <v>198454.21</v>
      </c>
      <c r="AR20" s="280">
        <v>112094.09</v>
      </c>
      <c r="AS20" s="280">
        <v>112094.09</v>
      </c>
      <c r="AT20" s="280">
        <v>112094.09</v>
      </c>
      <c r="AU20" s="281">
        <v>0.5648360395075519</v>
      </c>
      <c r="AV20" s="280">
        <v>86360.12</v>
      </c>
      <c r="AW20" s="280">
        <v>0</v>
      </c>
      <c r="AX20" s="280">
        <v>86360.12</v>
      </c>
      <c r="AY20" s="280">
        <v>86360.12</v>
      </c>
      <c r="AZ20" s="280">
        <v>0</v>
      </c>
      <c r="BA20" s="282">
        <v>0</v>
      </c>
      <c r="BB20" s="280">
        <v>0</v>
      </c>
      <c r="BC20" s="280">
        <v>0</v>
      </c>
      <c r="BD20" s="280">
        <v>0</v>
      </c>
      <c r="BE20" s="280">
        <v>0</v>
      </c>
      <c r="BF20" s="280">
        <v>0</v>
      </c>
      <c r="BG20" s="280">
        <v>0</v>
      </c>
      <c r="BH20" s="281" t="e">
        <v>#DIV/0!</v>
      </c>
      <c r="BI20" s="280">
        <v>0</v>
      </c>
      <c r="BJ20" s="280">
        <v>0</v>
      </c>
      <c r="BK20" s="280">
        <v>0</v>
      </c>
      <c r="BL20" s="280">
        <v>0</v>
      </c>
      <c r="BM20" s="280">
        <v>0</v>
      </c>
      <c r="BN20" s="282">
        <v>0</v>
      </c>
      <c r="BO20" s="283">
        <v>0</v>
      </c>
      <c r="BP20" s="283">
        <v>0</v>
      </c>
      <c r="BQ20" s="283">
        <v>0</v>
      </c>
      <c r="BR20" s="283">
        <v>0</v>
      </c>
      <c r="BS20" s="283">
        <v>0</v>
      </c>
      <c r="BT20" s="283">
        <v>0</v>
      </c>
      <c r="BU20" s="281" t="e">
        <v>#DIV/0!</v>
      </c>
      <c r="BV20" s="280">
        <v>0</v>
      </c>
      <c r="BW20" s="280">
        <v>0</v>
      </c>
      <c r="BX20" s="280">
        <v>0</v>
      </c>
      <c r="BY20" s="280">
        <v>0</v>
      </c>
      <c r="BZ20" s="280">
        <v>0</v>
      </c>
      <c r="CA20" s="280">
        <v>0</v>
      </c>
    </row>
    <row r="21" spans="1:79" s="273" customFormat="1" ht="36" x14ac:dyDescent="0.2">
      <c r="A21" s="284" t="s">
        <v>95</v>
      </c>
      <c r="B21" s="285">
        <v>3306538</v>
      </c>
      <c r="C21" s="285">
        <v>3155932.21</v>
      </c>
      <c r="D21" s="285">
        <v>3105932.21</v>
      </c>
      <c r="E21" s="285">
        <v>2447380.5499999998</v>
      </c>
      <c r="F21" s="285">
        <v>1874177.4800000002</v>
      </c>
      <c r="G21" s="285">
        <v>1874137.45</v>
      </c>
      <c r="H21" s="286">
        <v>0.5938459147067674</v>
      </c>
      <c r="I21" s="285">
        <v>1281794.76</v>
      </c>
      <c r="J21" s="285">
        <v>50000</v>
      </c>
      <c r="K21" s="285">
        <v>708551.66000000015</v>
      </c>
      <c r="L21" s="285">
        <v>658551.66000000015</v>
      </c>
      <c r="M21" s="285">
        <v>573203.0699999996</v>
      </c>
      <c r="N21" s="287">
        <v>40.03000000026077</v>
      </c>
      <c r="O21" s="285">
        <v>2017198</v>
      </c>
      <c r="P21" s="285">
        <v>2017198</v>
      </c>
      <c r="Q21" s="285">
        <v>2017198</v>
      </c>
      <c r="R21" s="285">
        <v>1800553.38</v>
      </c>
      <c r="S21" s="285">
        <v>1354471.6400000001</v>
      </c>
      <c r="T21" s="285">
        <v>1354471.6400000001</v>
      </c>
      <c r="U21" s="286">
        <v>0.67146191895887275</v>
      </c>
      <c r="V21" s="285">
        <v>662726.35999999987</v>
      </c>
      <c r="W21" s="285">
        <v>0</v>
      </c>
      <c r="X21" s="285">
        <v>216644.62000000011</v>
      </c>
      <c r="Y21" s="285">
        <v>216644.62000000011</v>
      </c>
      <c r="Z21" s="285">
        <v>446081.73999999976</v>
      </c>
      <c r="AA21" s="287">
        <v>0</v>
      </c>
      <c r="AB21" s="285">
        <v>955533</v>
      </c>
      <c r="AC21" s="285">
        <v>940280</v>
      </c>
      <c r="AD21" s="285">
        <v>890280</v>
      </c>
      <c r="AE21" s="285">
        <v>534733.08000000007</v>
      </c>
      <c r="AF21" s="285">
        <v>407611.74999999994</v>
      </c>
      <c r="AG21" s="285">
        <v>407571.72</v>
      </c>
      <c r="AH21" s="286">
        <v>0.43345782107457348</v>
      </c>
      <c r="AI21" s="285">
        <v>532708.28</v>
      </c>
      <c r="AJ21" s="285">
        <v>50000</v>
      </c>
      <c r="AK21" s="285">
        <v>405546.91999999993</v>
      </c>
      <c r="AL21" s="285">
        <v>355546.91999999993</v>
      </c>
      <c r="AM21" s="285">
        <v>127121.33000000013</v>
      </c>
      <c r="AN21" s="287">
        <v>40.029999999969732</v>
      </c>
      <c r="AO21" s="285">
        <v>333807</v>
      </c>
      <c r="AP21" s="285">
        <v>198454.21</v>
      </c>
      <c r="AQ21" s="285">
        <v>198454.21</v>
      </c>
      <c r="AR21" s="285">
        <v>112094.09</v>
      </c>
      <c r="AS21" s="285">
        <v>112094.09</v>
      </c>
      <c r="AT21" s="285">
        <v>112094.09</v>
      </c>
      <c r="AU21" s="286">
        <v>0.5648360395075519</v>
      </c>
      <c r="AV21" s="285">
        <v>86360.12</v>
      </c>
      <c r="AW21" s="285">
        <v>0</v>
      </c>
      <c r="AX21" s="285">
        <v>86360.12</v>
      </c>
      <c r="AY21" s="285">
        <v>86360.12</v>
      </c>
      <c r="AZ21" s="285">
        <v>0</v>
      </c>
      <c r="BA21" s="287">
        <v>0</v>
      </c>
      <c r="BB21" s="285">
        <v>0</v>
      </c>
      <c r="BC21" s="285">
        <v>0</v>
      </c>
      <c r="BD21" s="285">
        <v>0</v>
      </c>
      <c r="BE21" s="285">
        <v>0</v>
      </c>
      <c r="BF21" s="285">
        <v>0</v>
      </c>
      <c r="BG21" s="285">
        <v>0</v>
      </c>
      <c r="BH21" s="286" t="e">
        <v>#DIV/0!</v>
      </c>
      <c r="BI21" s="285">
        <v>0</v>
      </c>
      <c r="BJ21" s="285">
        <v>0</v>
      </c>
      <c r="BK21" s="285">
        <v>0</v>
      </c>
      <c r="BL21" s="285">
        <v>0</v>
      </c>
      <c r="BM21" s="285">
        <v>0</v>
      </c>
      <c r="BN21" s="287">
        <v>0</v>
      </c>
      <c r="BO21" s="285">
        <v>0</v>
      </c>
      <c r="BP21" s="285">
        <v>0</v>
      </c>
      <c r="BQ21" s="285">
        <v>0</v>
      </c>
      <c r="BR21" s="285">
        <v>0</v>
      </c>
      <c r="BS21" s="285">
        <v>0</v>
      </c>
      <c r="BT21" s="285">
        <v>0</v>
      </c>
      <c r="BU21" s="286" t="e">
        <v>#DIV/0!</v>
      </c>
      <c r="BV21" s="285">
        <v>0</v>
      </c>
      <c r="BW21" s="285">
        <v>0</v>
      </c>
      <c r="BX21" s="285">
        <v>0</v>
      </c>
      <c r="BY21" s="285">
        <v>0</v>
      </c>
      <c r="BZ21" s="285">
        <v>0</v>
      </c>
      <c r="CA21" s="285">
        <v>0</v>
      </c>
    </row>
    <row r="22" spans="1:79" s="273" customFormat="1" ht="24" x14ac:dyDescent="0.2">
      <c r="A22" s="284" t="s">
        <v>96</v>
      </c>
      <c r="B22" s="285">
        <v>113335</v>
      </c>
      <c r="C22" s="285">
        <v>105588</v>
      </c>
      <c r="D22" s="285">
        <v>105588</v>
      </c>
      <c r="E22" s="285">
        <v>1718</v>
      </c>
      <c r="F22" s="285">
        <v>1718</v>
      </c>
      <c r="G22" s="285">
        <v>1718</v>
      </c>
      <c r="H22" s="286">
        <v>1.6270788347160663E-2</v>
      </c>
      <c r="I22" s="285">
        <v>103870</v>
      </c>
      <c r="J22" s="285">
        <v>0</v>
      </c>
      <c r="K22" s="285">
        <v>103870</v>
      </c>
      <c r="L22" s="285">
        <v>103870</v>
      </c>
      <c r="M22" s="285">
        <v>0</v>
      </c>
      <c r="N22" s="287">
        <v>0</v>
      </c>
      <c r="O22" s="285">
        <v>0</v>
      </c>
      <c r="P22" s="285">
        <v>0</v>
      </c>
      <c r="Q22" s="285">
        <v>0</v>
      </c>
      <c r="R22" s="285">
        <v>0</v>
      </c>
      <c r="S22" s="285">
        <v>0</v>
      </c>
      <c r="T22" s="285">
        <v>0</v>
      </c>
      <c r="U22" s="286" t="e">
        <v>#DIV/0!</v>
      </c>
      <c r="V22" s="285">
        <v>0</v>
      </c>
      <c r="W22" s="285">
        <v>0</v>
      </c>
      <c r="X22" s="285">
        <v>0</v>
      </c>
      <c r="Y22" s="285">
        <v>0</v>
      </c>
      <c r="Z22" s="285">
        <v>0</v>
      </c>
      <c r="AA22" s="287">
        <v>0</v>
      </c>
      <c r="AB22" s="285">
        <v>113335</v>
      </c>
      <c r="AC22" s="285">
        <v>105588</v>
      </c>
      <c r="AD22" s="285">
        <v>105588</v>
      </c>
      <c r="AE22" s="285">
        <v>1718</v>
      </c>
      <c r="AF22" s="285">
        <v>1718</v>
      </c>
      <c r="AG22" s="285">
        <v>1718</v>
      </c>
      <c r="AH22" s="286">
        <v>1.6270788347160663E-2</v>
      </c>
      <c r="AI22" s="285">
        <v>103870</v>
      </c>
      <c r="AJ22" s="285">
        <v>0</v>
      </c>
      <c r="AK22" s="285">
        <v>103870</v>
      </c>
      <c r="AL22" s="285">
        <v>103870</v>
      </c>
      <c r="AM22" s="285">
        <v>0</v>
      </c>
      <c r="AN22" s="287">
        <v>0</v>
      </c>
      <c r="AO22" s="285">
        <v>0</v>
      </c>
      <c r="AP22" s="285">
        <v>0</v>
      </c>
      <c r="AQ22" s="285">
        <v>0</v>
      </c>
      <c r="AR22" s="285">
        <v>0</v>
      </c>
      <c r="AS22" s="285">
        <v>0</v>
      </c>
      <c r="AT22" s="285">
        <v>0</v>
      </c>
      <c r="AU22" s="286" t="e">
        <v>#DIV/0!</v>
      </c>
      <c r="AV22" s="285">
        <v>0</v>
      </c>
      <c r="AW22" s="285">
        <v>0</v>
      </c>
      <c r="AX22" s="285">
        <v>0</v>
      </c>
      <c r="AY22" s="285">
        <v>0</v>
      </c>
      <c r="AZ22" s="285">
        <v>0</v>
      </c>
      <c r="BA22" s="287">
        <v>0</v>
      </c>
      <c r="BB22" s="285">
        <v>0</v>
      </c>
      <c r="BC22" s="285">
        <v>0</v>
      </c>
      <c r="BD22" s="285">
        <v>0</v>
      </c>
      <c r="BE22" s="285">
        <v>0</v>
      </c>
      <c r="BF22" s="285">
        <v>0</v>
      </c>
      <c r="BG22" s="285">
        <v>0</v>
      </c>
      <c r="BH22" s="286" t="e">
        <v>#DIV/0!</v>
      </c>
      <c r="BI22" s="285">
        <v>0</v>
      </c>
      <c r="BJ22" s="285">
        <v>0</v>
      </c>
      <c r="BK22" s="285">
        <v>0</v>
      </c>
      <c r="BL22" s="285">
        <v>0</v>
      </c>
      <c r="BM22" s="285">
        <v>0</v>
      </c>
      <c r="BN22" s="287">
        <v>0</v>
      </c>
      <c r="BO22" s="285">
        <v>0</v>
      </c>
      <c r="BP22" s="285">
        <v>0</v>
      </c>
      <c r="BQ22" s="285">
        <v>0</v>
      </c>
      <c r="BR22" s="285">
        <v>0</v>
      </c>
      <c r="BS22" s="285">
        <v>0</v>
      </c>
      <c r="BT22" s="285">
        <v>0</v>
      </c>
      <c r="BU22" s="286" t="e">
        <v>#DIV/0!</v>
      </c>
      <c r="BV22" s="285">
        <v>0</v>
      </c>
      <c r="BW22" s="285">
        <v>0</v>
      </c>
      <c r="BX22" s="285">
        <v>0</v>
      </c>
      <c r="BY22" s="285">
        <v>0</v>
      </c>
      <c r="BZ22" s="285">
        <v>0</v>
      </c>
      <c r="CA22" s="285">
        <v>0</v>
      </c>
    </row>
    <row r="23" spans="1:79" s="273" customFormat="1" ht="48" x14ac:dyDescent="0.2">
      <c r="A23" s="284" t="s">
        <v>97</v>
      </c>
      <c r="B23" s="285">
        <v>0</v>
      </c>
      <c r="C23" s="285">
        <v>0</v>
      </c>
      <c r="D23" s="285">
        <v>0</v>
      </c>
      <c r="E23" s="285">
        <v>0</v>
      </c>
      <c r="F23" s="285">
        <v>0</v>
      </c>
      <c r="G23" s="285">
        <v>0</v>
      </c>
      <c r="H23" s="286" t="e">
        <v>#DIV/0!</v>
      </c>
      <c r="I23" s="285">
        <v>0</v>
      </c>
      <c r="J23" s="285">
        <v>0</v>
      </c>
      <c r="K23" s="285">
        <v>0</v>
      </c>
      <c r="L23" s="285">
        <v>0</v>
      </c>
      <c r="M23" s="285">
        <v>0</v>
      </c>
      <c r="N23" s="287">
        <v>0</v>
      </c>
      <c r="O23" s="285">
        <v>0</v>
      </c>
      <c r="P23" s="285">
        <v>0</v>
      </c>
      <c r="Q23" s="285">
        <v>0</v>
      </c>
      <c r="R23" s="285">
        <v>0</v>
      </c>
      <c r="S23" s="285">
        <v>0</v>
      </c>
      <c r="T23" s="285">
        <v>0</v>
      </c>
      <c r="U23" s="286" t="e">
        <v>#DIV/0!</v>
      </c>
      <c r="V23" s="285">
        <v>0</v>
      </c>
      <c r="W23" s="285">
        <v>0</v>
      </c>
      <c r="X23" s="285">
        <v>0</v>
      </c>
      <c r="Y23" s="285">
        <v>0</v>
      </c>
      <c r="Z23" s="285">
        <v>0</v>
      </c>
      <c r="AA23" s="287">
        <v>0</v>
      </c>
      <c r="AB23" s="285">
        <v>0</v>
      </c>
      <c r="AC23" s="285">
        <v>0</v>
      </c>
      <c r="AD23" s="285">
        <v>0</v>
      </c>
      <c r="AE23" s="285">
        <v>0</v>
      </c>
      <c r="AF23" s="285">
        <v>0</v>
      </c>
      <c r="AG23" s="285">
        <v>0</v>
      </c>
      <c r="AH23" s="286" t="e">
        <v>#DIV/0!</v>
      </c>
      <c r="AI23" s="285">
        <v>0</v>
      </c>
      <c r="AJ23" s="285">
        <v>0</v>
      </c>
      <c r="AK23" s="285">
        <v>0</v>
      </c>
      <c r="AL23" s="285">
        <v>0</v>
      </c>
      <c r="AM23" s="285">
        <v>0</v>
      </c>
      <c r="AN23" s="287">
        <v>0</v>
      </c>
      <c r="AO23" s="285">
        <v>0</v>
      </c>
      <c r="AP23" s="285">
        <v>0</v>
      </c>
      <c r="AQ23" s="285">
        <v>0</v>
      </c>
      <c r="AR23" s="285">
        <v>0</v>
      </c>
      <c r="AS23" s="285">
        <v>0</v>
      </c>
      <c r="AT23" s="285">
        <v>0</v>
      </c>
      <c r="AU23" s="286" t="e">
        <v>#DIV/0!</v>
      </c>
      <c r="AV23" s="285">
        <v>0</v>
      </c>
      <c r="AW23" s="285">
        <v>0</v>
      </c>
      <c r="AX23" s="285">
        <v>0</v>
      </c>
      <c r="AY23" s="285">
        <v>0</v>
      </c>
      <c r="AZ23" s="285">
        <v>0</v>
      </c>
      <c r="BA23" s="287">
        <v>0</v>
      </c>
      <c r="BB23" s="285">
        <v>0</v>
      </c>
      <c r="BC23" s="285">
        <v>0</v>
      </c>
      <c r="BD23" s="285">
        <v>0</v>
      </c>
      <c r="BE23" s="285">
        <v>0</v>
      </c>
      <c r="BF23" s="285">
        <v>0</v>
      </c>
      <c r="BG23" s="285">
        <v>0</v>
      </c>
      <c r="BH23" s="286" t="e">
        <v>#DIV/0!</v>
      </c>
      <c r="BI23" s="285">
        <v>0</v>
      </c>
      <c r="BJ23" s="285">
        <v>0</v>
      </c>
      <c r="BK23" s="285">
        <v>0</v>
      </c>
      <c r="BL23" s="285">
        <v>0</v>
      </c>
      <c r="BM23" s="285">
        <v>0</v>
      </c>
      <c r="BN23" s="287">
        <v>0</v>
      </c>
      <c r="BO23" s="285">
        <v>0</v>
      </c>
      <c r="BP23" s="285">
        <v>0</v>
      </c>
      <c r="BQ23" s="285">
        <v>0</v>
      </c>
      <c r="BR23" s="285">
        <v>0</v>
      </c>
      <c r="BS23" s="285">
        <v>0</v>
      </c>
      <c r="BT23" s="285">
        <v>0</v>
      </c>
      <c r="BU23" s="286" t="e">
        <v>#DIV/0!</v>
      </c>
      <c r="BV23" s="285">
        <v>0</v>
      </c>
      <c r="BW23" s="285">
        <v>0</v>
      </c>
      <c r="BX23" s="285">
        <v>0</v>
      </c>
      <c r="BY23" s="285">
        <v>0</v>
      </c>
      <c r="BZ23" s="285">
        <v>0</v>
      </c>
      <c r="CA23" s="285">
        <v>0</v>
      </c>
    </row>
    <row r="24" spans="1:79" s="273" customFormat="1" ht="24" x14ac:dyDescent="0.2">
      <c r="A24" s="284" t="s">
        <v>98</v>
      </c>
      <c r="B24" s="285">
        <v>80127</v>
      </c>
      <c r="C24" s="285">
        <v>103127</v>
      </c>
      <c r="D24" s="285">
        <v>103127</v>
      </c>
      <c r="E24" s="285">
        <v>82119</v>
      </c>
      <c r="F24" s="285">
        <v>77856</v>
      </c>
      <c r="G24" s="285">
        <v>77696</v>
      </c>
      <c r="H24" s="286">
        <v>0.75340114615958964</v>
      </c>
      <c r="I24" s="285">
        <v>25431</v>
      </c>
      <c r="J24" s="285">
        <v>0</v>
      </c>
      <c r="K24" s="285">
        <v>21008</v>
      </c>
      <c r="L24" s="285">
        <v>21008</v>
      </c>
      <c r="M24" s="285">
        <v>4263</v>
      </c>
      <c r="N24" s="287">
        <v>160</v>
      </c>
      <c r="O24" s="285">
        <v>0</v>
      </c>
      <c r="P24" s="285">
        <v>0</v>
      </c>
      <c r="Q24" s="285">
        <v>0</v>
      </c>
      <c r="R24" s="285">
        <v>0</v>
      </c>
      <c r="S24" s="285">
        <v>0</v>
      </c>
      <c r="T24" s="285">
        <v>0</v>
      </c>
      <c r="U24" s="286" t="e">
        <v>#DIV/0!</v>
      </c>
      <c r="V24" s="285">
        <v>0</v>
      </c>
      <c r="W24" s="285">
        <v>0</v>
      </c>
      <c r="X24" s="285">
        <v>0</v>
      </c>
      <c r="Y24" s="285">
        <v>0</v>
      </c>
      <c r="Z24" s="285">
        <v>0</v>
      </c>
      <c r="AA24" s="287">
        <v>0</v>
      </c>
      <c r="AB24" s="285">
        <v>80127</v>
      </c>
      <c r="AC24" s="285">
        <v>103127</v>
      </c>
      <c r="AD24" s="285">
        <v>103127</v>
      </c>
      <c r="AE24" s="285">
        <v>82119</v>
      </c>
      <c r="AF24" s="285">
        <v>77856</v>
      </c>
      <c r="AG24" s="285">
        <v>77696</v>
      </c>
      <c r="AH24" s="286">
        <v>0.75340114615958964</v>
      </c>
      <c r="AI24" s="285">
        <v>25431</v>
      </c>
      <c r="AJ24" s="285">
        <v>0</v>
      </c>
      <c r="AK24" s="285">
        <v>21008</v>
      </c>
      <c r="AL24" s="285">
        <v>21008</v>
      </c>
      <c r="AM24" s="285">
        <v>4263</v>
      </c>
      <c r="AN24" s="287">
        <v>160</v>
      </c>
      <c r="AO24" s="285">
        <v>0</v>
      </c>
      <c r="AP24" s="285">
        <v>0</v>
      </c>
      <c r="AQ24" s="285">
        <v>0</v>
      </c>
      <c r="AR24" s="285">
        <v>0</v>
      </c>
      <c r="AS24" s="285">
        <v>0</v>
      </c>
      <c r="AT24" s="285">
        <v>0</v>
      </c>
      <c r="AU24" s="286" t="e">
        <v>#DIV/0!</v>
      </c>
      <c r="AV24" s="285">
        <v>0</v>
      </c>
      <c r="AW24" s="285">
        <v>0</v>
      </c>
      <c r="AX24" s="285">
        <v>0</v>
      </c>
      <c r="AY24" s="285">
        <v>0</v>
      </c>
      <c r="AZ24" s="285">
        <v>0</v>
      </c>
      <c r="BA24" s="287">
        <v>0</v>
      </c>
      <c r="BB24" s="285">
        <v>0</v>
      </c>
      <c r="BC24" s="285">
        <v>0</v>
      </c>
      <c r="BD24" s="285">
        <v>0</v>
      </c>
      <c r="BE24" s="285">
        <v>0</v>
      </c>
      <c r="BF24" s="285">
        <v>0</v>
      </c>
      <c r="BG24" s="285">
        <v>0</v>
      </c>
      <c r="BH24" s="286" t="e">
        <v>#DIV/0!</v>
      </c>
      <c r="BI24" s="285">
        <v>0</v>
      </c>
      <c r="BJ24" s="285">
        <v>0</v>
      </c>
      <c r="BK24" s="285">
        <v>0</v>
      </c>
      <c r="BL24" s="285">
        <v>0</v>
      </c>
      <c r="BM24" s="285">
        <v>0</v>
      </c>
      <c r="BN24" s="287">
        <v>0</v>
      </c>
      <c r="BO24" s="285">
        <v>0</v>
      </c>
      <c r="BP24" s="285">
        <v>0</v>
      </c>
      <c r="BQ24" s="285">
        <v>0</v>
      </c>
      <c r="BR24" s="285">
        <v>0</v>
      </c>
      <c r="BS24" s="285">
        <v>0</v>
      </c>
      <c r="BT24" s="285">
        <v>0</v>
      </c>
      <c r="BU24" s="286" t="e">
        <v>#DIV/0!</v>
      </c>
      <c r="BV24" s="285">
        <v>0</v>
      </c>
      <c r="BW24" s="285">
        <v>0</v>
      </c>
      <c r="BX24" s="285">
        <v>0</v>
      </c>
      <c r="BY24" s="285">
        <v>0</v>
      </c>
      <c r="BZ24" s="285">
        <v>0</v>
      </c>
      <c r="CA24" s="285">
        <v>0</v>
      </c>
    </row>
    <row r="25" spans="1:79" s="273" customFormat="1" x14ac:dyDescent="0.2">
      <c r="A25" s="279" t="s">
        <v>1104</v>
      </c>
      <c r="B25" s="280">
        <v>0</v>
      </c>
      <c r="C25" s="280">
        <v>0</v>
      </c>
      <c r="D25" s="280">
        <v>0</v>
      </c>
      <c r="E25" s="280">
        <v>0</v>
      </c>
      <c r="F25" s="280">
        <v>0</v>
      </c>
      <c r="G25" s="280">
        <v>0</v>
      </c>
      <c r="H25" s="281" t="e">
        <v>#DIV/0!</v>
      </c>
      <c r="I25" s="280">
        <v>0</v>
      </c>
      <c r="J25" s="280">
        <v>0</v>
      </c>
      <c r="K25" s="280">
        <v>0</v>
      </c>
      <c r="L25" s="280">
        <v>0</v>
      </c>
      <c r="M25" s="280">
        <v>0</v>
      </c>
      <c r="N25" s="282">
        <v>0</v>
      </c>
      <c r="O25" s="280">
        <v>0</v>
      </c>
      <c r="P25" s="280">
        <v>0</v>
      </c>
      <c r="Q25" s="280">
        <v>0</v>
      </c>
      <c r="R25" s="280">
        <v>0</v>
      </c>
      <c r="S25" s="280">
        <v>0</v>
      </c>
      <c r="T25" s="280">
        <v>0</v>
      </c>
      <c r="U25" s="281" t="e">
        <v>#DIV/0!</v>
      </c>
      <c r="V25" s="280">
        <v>0</v>
      </c>
      <c r="W25" s="280">
        <v>0</v>
      </c>
      <c r="X25" s="280">
        <v>0</v>
      </c>
      <c r="Y25" s="280">
        <v>0</v>
      </c>
      <c r="Z25" s="280">
        <v>0</v>
      </c>
      <c r="AA25" s="282">
        <v>0</v>
      </c>
      <c r="AB25" s="280">
        <v>0</v>
      </c>
      <c r="AC25" s="280">
        <v>0</v>
      </c>
      <c r="AD25" s="280">
        <v>0</v>
      </c>
      <c r="AE25" s="280">
        <v>0</v>
      </c>
      <c r="AF25" s="280">
        <v>0</v>
      </c>
      <c r="AG25" s="280">
        <v>0</v>
      </c>
      <c r="AH25" s="281" t="e">
        <v>#DIV/0!</v>
      </c>
      <c r="AI25" s="280">
        <v>0</v>
      </c>
      <c r="AJ25" s="280">
        <v>0</v>
      </c>
      <c r="AK25" s="280">
        <v>0</v>
      </c>
      <c r="AL25" s="280">
        <v>0</v>
      </c>
      <c r="AM25" s="280">
        <v>0</v>
      </c>
      <c r="AN25" s="282">
        <v>0</v>
      </c>
      <c r="AO25" s="280">
        <v>0</v>
      </c>
      <c r="AP25" s="280">
        <v>0</v>
      </c>
      <c r="AQ25" s="280">
        <v>0</v>
      </c>
      <c r="AR25" s="280">
        <v>0</v>
      </c>
      <c r="AS25" s="280">
        <v>0</v>
      </c>
      <c r="AT25" s="280">
        <v>0</v>
      </c>
      <c r="AU25" s="281" t="e">
        <v>#DIV/0!</v>
      </c>
      <c r="AV25" s="280">
        <v>0</v>
      </c>
      <c r="AW25" s="280">
        <v>0</v>
      </c>
      <c r="AX25" s="280">
        <v>0</v>
      </c>
      <c r="AY25" s="280">
        <v>0</v>
      </c>
      <c r="AZ25" s="280">
        <v>0</v>
      </c>
      <c r="BA25" s="282">
        <v>0</v>
      </c>
      <c r="BB25" s="280">
        <v>0</v>
      </c>
      <c r="BC25" s="280">
        <v>0</v>
      </c>
      <c r="BD25" s="280">
        <v>0</v>
      </c>
      <c r="BE25" s="280">
        <v>0</v>
      </c>
      <c r="BF25" s="280">
        <v>0</v>
      </c>
      <c r="BG25" s="280">
        <v>0</v>
      </c>
      <c r="BH25" s="281" t="e">
        <v>#DIV/0!</v>
      </c>
      <c r="BI25" s="280">
        <v>0</v>
      </c>
      <c r="BJ25" s="280">
        <v>0</v>
      </c>
      <c r="BK25" s="280">
        <v>0</v>
      </c>
      <c r="BL25" s="280">
        <v>0</v>
      </c>
      <c r="BM25" s="280">
        <v>0</v>
      </c>
      <c r="BN25" s="282">
        <v>0</v>
      </c>
      <c r="BO25" s="283">
        <v>0</v>
      </c>
      <c r="BP25" s="283">
        <v>0</v>
      </c>
      <c r="BQ25" s="283">
        <v>0</v>
      </c>
      <c r="BR25" s="283">
        <v>0</v>
      </c>
      <c r="BS25" s="283">
        <v>0</v>
      </c>
      <c r="BT25" s="283">
        <v>0</v>
      </c>
      <c r="BU25" s="281" t="e">
        <v>#DIV/0!</v>
      </c>
      <c r="BV25" s="280">
        <v>0</v>
      </c>
      <c r="BW25" s="280">
        <v>0</v>
      </c>
      <c r="BX25" s="280">
        <v>0</v>
      </c>
      <c r="BY25" s="280">
        <v>0</v>
      </c>
      <c r="BZ25" s="280">
        <v>0</v>
      </c>
      <c r="CA25" s="280">
        <v>0</v>
      </c>
    </row>
    <row r="26" spans="1:79" s="273" customFormat="1" ht="24" x14ac:dyDescent="0.2">
      <c r="A26" s="284" t="s">
        <v>1105</v>
      </c>
      <c r="B26" s="292">
        <v>0</v>
      </c>
      <c r="C26" s="292">
        <v>0</v>
      </c>
      <c r="D26" s="292">
        <v>0</v>
      </c>
      <c r="E26" s="292">
        <v>0</v>
      </c>
      <c r="F26" s="292">
        <v>0</v>
      </c>
      <c r="G26" s="292">
        <v>0</v>
      </c>
      <c r="H26" s="286" t="e">
        <v>#DIV/0!</v>
      </c>
      <c r="I26" s="285">
        <v>0</v>
      </c>
      <c r="J26" s="285">
        <v>0</v>
      </c>
      <c r="K26" s="285">
        <v>0</v>
      </c>
      <c r="L26" s="285">
        <v>0</v>
      </c>
      <c r="M26" s="285">
        <v>0</v>
      </c>
      <c r="N26" s="287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292">
        <v>0</v>
      </c>
      <c r="U26" s="286" t="e">
        <v>#DIV/0!</v>
      </c>
      <c r="V26" s="285">
        <v>0</v>
      </c>
      <c r="W26" s="285">
        <v>0</v>
      </c>
      <c r="X26" s="285">
        <v>0</v>
      </c>
      <c r="Y26" s="285">
        <v>0</v>
      </c>
      <c r="Z26" s="285">
        <v>0</v>
      </c>
      <c r="AA26" s="287">
        <v>0</v>
      </c>
      <c r="AB26" s="292">
        <v>0</v>
      </c>
      <c r="AC26" s="292">
        <v>0</v>
      </c>
      <c r="AD26" s="292">
        <v>0</v>
      </c>
      <c r="AE26" s="292">
        <v>0</v>
      </c>
      <c r="AF26" s="292">
        <v>0</v>
      </c>
      <c r="AG26" s="292">
        <v>0</v>
      </c>
      <c r="AH26" s="286" t="e">
        <v>#DIV/0!</v>
      </c>
      <c r="AI26" s="285">
        <v>0</v>
      </c>
      <c r="AJ26" s="285">
        <v>0</v>
      </c>
      <c r="AK26" s="285">
        <v>0</v>
      </c>
      <c r="AL26" s="285">
        <v>0</v>
      </c>
      <c r="AM26" s="285">
        <v>0</v>
      </c>
      <c r="AN26" s="287">
        <v>0</v>
      </c>
      <c r="AO26" s="292">
        <v>0</v>
      </c>
      <c r="AP26" s="292">
        <v>0</v>
      </c>
      <c r="AQ26" s="292">
        <v>0</v>
      </c>
      <c r="AR26" s="292">
        <v>0</v>
      </c>
      <c r="AS26" s="292">
        <v>0</v>
      </c>
      <c r="AT26" s="292">
        <v>0</v>
      </c>
      <c r="AU26" s="286" t="e">
        <v>#DIV/0!</v>
      </c>
      <c r="AV26" s="285">
        <v>0</v>
      </c>
      <c r="AW26" s="285">
        <v>0</v>
      </c>
      <c r="AX26" s="285">
        <v>0</v>
      </c>
      <c r="AY26" s="285">
        <v>0</v>
      </c>
      <c r="AZ26" s="285">
        <v>0</v>
      </c>
      <c r="BA26" s="287">
        <v>0</v>
      </c>
      <c r="BB26" s="292">
        <v>0</v>
      </c>
      <c r="BC26" s="292">
        <v>0</v>
      </c>
      <c r="BD26" s="292">
        <v>0</v>
      </c>
      <c r="BE26" s="292">
        <v>0</v>
      </c>
      <c r="BF26" s="292">
        <v>0</v>
      </c>
      <c r="BG26" s="292">
        <v>0</v>
      </c>
      <c r="BH26" s="286" t="e">
        <v>#DIV/0!</v>
      </c>
      <c r="BI26" s="285">
        <v>0</v>
      </c>
      <c r="BJ26" s="285">
        <v>0</v>
      </c>
      <c r="BK26" s="285">
        <v>0</v>
      </c>
      <c r="BL26" s="285">
        <v>0</v>
      </c>
      <c r="BM26" s="285">
        <v>0</v>
      </c>
      <c r="BN26" s="287">
        <v>0</v>
      </c>
      <c r="BO26" s="292">
        <v>0</v>
      </c>
      <c r="BP26" s="292">
        <v>0</v>
      </c>
      <c r="BQ26" s="292">
        <v>0</v>
      </c>
      <c r="BR26" s="292">
        <v>0</v>
      </c>
      <c r="BS26" s="292">
        <v>0</v>
      </c>
      <c r="BT26" s="292">
        <v>0</v>
      </c>
      <c r="BU26" s="286" t="e">
        <v>#DIV/0!</v>
      </c>
      <c r="BV26" s="285">
        <v>0</v>
      </c>
      <c r="BW26" s="285">
        <v>0</v>
      </c>
      <c r="BX26" s="285">
        <v>0</v>
      </c>
      <c r="BY26" s="285">
        <v>0</v>
      </c>
      <c r="BZ26" s="285">
        <v>0</v>
      </c>
      <c r="CA26" s="285">
        <v>0</v>
      </c>
    </row>
    <row r="27" spans="1:79" s="273" customFormat="1" ht="24" x14ac:dyDescent="0.2">
      <c r="A27" s="284" t="s">
        <v>1106</v>
      </c>
      <c r="B27" s="292">
        <v>0</v>
      </c>
      <c r="C27" s="292">
        <v>0</v>
      </c>
      <c r="D27" s="292">
        <v>0</v>
      </c>
      <c r="E27" s="292">
        <v>0</v>
      </c>
      <c r="F27" s="292">
        <v>0</v>
      </c>
      <c r="G27" s="292">
        <v>0</v>
      </c>
      <c r="H27" s="286" t="e">
        <v>#DIV/0!</v>
      </c>
      <c r="I27" s="285">
        <v>0</v>
      </c>
      <c r="J27" s="285">
        <v>0</v>
      </c>
      <c r="K27" s="285">
        <v>0</v>
      </c>
      <c r="L27" s="285">
        <v>0</v>
      </c>
      <c r="M27" s="285">
        <v>0</v>
      </c>
      <c r="N27" s="287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292">
        <v>0</v>
      </c>
      <c r="U27" s="286" t="e">
        <v>#DIV/0!</v>
      </c>
      <c r="V27" s="285">
        <v>0</v>
      </c>
      <c r="W27" s="285">
        <v>0</v>
      </c>
      <c r="X27" s="285">
        <v>0</v>
      </c>
      <c r="Y27" s="285">
        <v>0</v>
      </c>
      <c r="Z27" s="285">
        <v>0</v>
      </c>
      <c r="AA27" s="287">
        <v>0</v>
      </c>
      <c r="AB27" s="292">
        <v>0</v>
      </c>
      <c r="AC27" s="292">
        <v>0</v>
      </c>
      <c r="AD27" s="292">
        <v>0</v>
      </c>
      <c r="AE27" s="292">
        <v>0</v>
      </c>
      <c r="AF27" s="292">
        <v>0</v>
      </c>
      <c r="AG27" s="292">
        <v>0</v>
      </c>
      <c r="AH27" s="286" t="e">
        <v>#DIV/0!</v>
      </c>
      <c r="AI27" s="285">
        <v>0</v>
      </c>
      <c r="AJ27" s="285">
        <v>0</v>
      </c>
      <c r="AK27" s="285">
        <v>0</v>
      </c>
      <c r="AL27" s="285">
        <v>0</v>
      </c>
      <c r="AM27" s="285">
        <v>0</v>
      </c>
      <c r="AN27" s="287">
        <v>0</v>
      </c>
      <c r="AO27" s="292">
        <v>0</v>
      </c>
      <c r="AP27" s="292">
        <v>0</v>
      </c>
      <c r="AQ27" s="292">
        <v>0</v>
      </c>
      <c r="AR27" s="292">
        <v>0</v>
      </c>
      <c r="AS27" s="292">
        <v>0</v>
      </c>
      <c r="AT27" s="292">
        <v>0</v>
      </c>
      <c r="AU27" s="286" t="e">
        <v>#DIV/0!</v>
      </c>
      <c r="AV27" s="285">
        <v>0</v>
      </c>
      <c r="AW27" s="285">
        <v>0</v>
      </c>
      <c r="AX27" s="285">
        <v>0</v>
      </c>
      <c r="AY27" s="285">
        <v>0</v>
      </c>
      <c r="AZ27" s="285">
        <v>0</v>
      </c>
      <c r="BA27" s="287">
        <v>0</v>
      </c>
      <c r="BB27" s="292">
        <v>0</v>
      </c>
      <c r="BC27" s="292">
        <v>0</v>
      </c>
      <c r="BD27" s="292">
        <v>0</v>
      </c>
      <c r="BE27" s="292">
        <v>0</v>
      </c>
      <c r="BF27" s="292">
        <v>0</v>
      </c>
      <c r="BG27" s="292">
        <v>0</v>
      </c>
      <c r="BH27" s="286" t="e">
        <v>#DIV/0!</v>
      </c>
      <c r="BI27" s="285">
        <v>0</v>
      </c>
      <c r="BJ27" s="285">
        <v>0</v>
      </c>
      <c r="BK27" s="285">
        <v>0</v>
      </c>
      <c r="BL27" s="285">
        <v>0</v>
      </c>
      <c r="BM27" s="285">
        <v>0</v>
      </c>
      <c r="BN27" s="287">
        <v>0</v>
      </c>
      <c r="BO27" s="292">
        <v>0</v>
      </c>
      <c r="BP27" s="292">
        <v>0</v>
      </c>
      <c r="BQ27" s="292">
        <v>0</v>
      </c>
      <c r="BR27" s="292">
        <v>0</v>
      </c>
      <c r="BS27" s="292">
        <v>0</v>
      </c>
      <c r="BT27" s="292">
        <v>0</v>
      </c>
      <c r="BU27" s="286" t="e">
        <v>#DIV/0!</v>
      </c>
      <c r="BV27" s="285">
        <v>0</v>
      </c>
      <c r="BW27" s="285">
        <v>0</v>
      </c>
      <c r="BX27" s="285">
        <v>0</v>
      </c>
      <c r="BY27" s="285">
        <v>0</v>
      </c>
      <c r="BZ27" s="285">
        <v>0</v>
      </c>
      <c r="CA27" s="285">
        <v>0</v>
      </c>
    </row>
    <row r="28" spans="1:79" s="273" customFormat="1" ht="24" x14ac:dyDescent="0.2">
      <c r="A28" s="284" t="s">
        <v>1107</v>
      </c>
      <c r="B28" s="292">
        <v>0</v>
      </c>
      <c r="C28" s="292">
        <v>0</v>
      </c>
      <c r="D28" s="292">
        <v>0</v>
      </c>
      <c r="E28" s="292">
        <v>0</v>
      </c>
      <c r="F28" s="292">
        <v>0</v>
      </c>
      <c r="G28" s="292">
        <v>0</v>
      </c>
      <c r="H28" s="286" t="e">
        <v>#DIV/0!</v>
      </c>
      <c r="I28" s="285">
        <v>0</v>
      </c>
      <c r="J28" s="285">
        <v>0</v>
      </c>
      <c r="K28" s="285">
        <v>0</v>
      </c>
      <c r="L28" s="285">
        <v>0</v>
      </c>
      <c r="M28" s="285">
        <v>0</v>
      </c>
      <c r="N28" s="287">
        <v>0</v>
      </c>
      <c r="O28" s="292">
        <v>0</v>
      </c>
      <c r="P28" s="292">
        <v>0</v>
      </c>
      <c r="Q28" s="292">
        <v>0</v>
      </c>
      <c r="R28" s="292">
        <v>0</v>
      </c>
      <c r="S28" s="292">
        <v>0</v>
      </c>
      <c r="T28" s="292">
        <v>0</v>
      </c>
      <c r="U28" s="286" t="e">
        <v>#DIV/0!</v>
      </c>
      <c r="V28" s="285">
        <v>0</v>
      </c>
      <c r="W28" s="285">
        <v>0</v>
      </c>
      <c r="X28" s="285">
        <v>0</v>
      </c>
      <c r="Y28" s="285">
        <v>0</v>
      </c>
      <c r="Z28" s="285">
        <v>0</v>
      </c>
      <c r="AA28" s="287">
        <v>0</v>
      </c>
      <c r="AB28" s="292">
        <v>0</v>
      </c>
      <c r="AC28" s="292">
        <v>0</v>
      </c>
      <c r="AD28" s="292">
        <v>0</v>
      </c>
      <c r="AE28" s="292">
        <v>0</v>
      </c>
      <c r="AF28" s="292">
        <v>0</v>
      </c>
      <c r="AG28" s="292">
        <v>0</v>
      </c>
      <c r="AH28" s="286" t="e">
        <v>#DIV/0!</v>
      </c>
      <c r="AI28" s="285">
        <v>0</v>
      </c>
      <c r="AJ28" s="285">
        <v>0</v>
      </c>
      <c r="AK28" s="285">
        <v>0</v>
      </c>
      <c r="AL28" s="285">
        <v>0</v>
      </c>
      <c r="AM28" s="285">
        <v>0</v>
      </c>
      <c r="AN28" s="287">
        <v>0</v>
      </c>
      <c r="AO28" s="292">
        <v>0</v>
      </c>
      <c r="AP28" s="292">
        <v>0</v>
      </c>
      <c r="AQ28" s="292">
        <v>0</v>
      </c>
      <c r="AR28" s="292">
        <v>0</v>
      </c>
      <c r="AS28" s="292">
        <v>0</v>
      </c>
      <c r="AT28" s="292">
        <v>0</v>
      </c>
      <c r="AU28" s="286" t="e">
        <v>#DIV/0!</v>
      </c>
      <c r="AV28" s="285">
        <v>0</v>
      </c>
      <c r="AW28" s="285">
        <v>0</v>
      </c>
      <c r="AX28" s="285">
        <v>0</v>
      </c>
      <c r="AY28" s="285">
        <v>0</v>
      </c>
      <c r="AZ28" s="285">
        <v>0</v>
      </c>
      <c r="BA28" s="287">
        <v>0</v>
      </c>
      <c r="BB28" s="292">
        <v>0</v>
      </c>
      <c r="BC28" s="292">
        <v>0</v>
      </c>
      <c r="BD28" s="292">
        <v>0</v>
      </c>
      <c r="BE28" s="292">
        <v>0</v>
      </c>
      <c r="BF28" s="292">
        <v>0</v>
      </c>
      <c r="BG28" s="292">
        <v>0</v>
      </c>
      <c r="BH28" s="286" t="e">
        <v>#DIV/0!</v>
      </c>
      <c r="BI28" s="285">
        <v>0</v>
      </c>
      <c r="BJ28" s="285">
        <v>0</v>
      </c>
      <c r="BK28" s="285">
        <v>0</v>
      </c>
      <c r="BL28" s="285">
        <v>0</v>
      </c>
      <c r="BM28" s="285">
        <v>0</v>
      </c>
      <c r="BN28" s="287">
        <v>0</v>
      </c>
      <c r="BO28" s="292">
        <v>0</v>
      </c>
      <c r="BP28" s="292">
        <v>0</v>
      </c>
      <c r="BQ28" s="292">
        <v>0</v>
      </c>
      <c r="BR28" s="292">
        <v>0</v>
      </c>
      <c r="BS28" s="292">
        <v>0</v>
      </c>
      <c r="BT28" s="292">
        <v>0</v>
      </c>
      <c r="BU28" s="286" t="e">
        <v>#DIV/0!</v>
      </c>
      <c r="BV28" s="285">
        <v>0</v>
      </c>
      <c r="BW28" s="285">
        <v>0</v>
      </c>
      <c r="BX28" s="285">
        <v>0</v>
      </c>
      <c r="BY28" s="285">
        <v>0</v>
      </c>
      <c r="BZ28" s="285">
        <v>0</v>
      </c>
      <c r="CA28" s="285">
        <v>0</v>
      </c>
    </row>
    <row r="29" spans="1:79" s="273" customFormat="1" ht="15.75" thickBot="1" x14ac:dyDescent="0.25">
      <c r="A29" s="293" t="s">
        <v>99</v>
      </c>
      <c r="B29" s="294">
        <v>170399205</v>
      </c>
      <c r="C29" s="294">
        <v>197770416.65000001</v>
      </c>
      <c r="D29" s="294">
        <v>195720416.65000001</v>
      </c>
      <c r="E29" s="294">
        <v>138183648.38409907</v>
      </c>
      <c r="F29" s="294">
        <v>137217181.26805124</v>
      </c>
      <c r="G29" s="294">
        <v>137186013.25098741</v>
      </c>
      <c r="H29" s="295">
        <v>0.69366296322148846</v>
      </c>
      <c r="I29" s="294">
        <v>60584403.399012558</v>
      </c>
      <c r="J29" s="294">
        <v>2050000</v>
      </c>
      <c r="K29" s="294">
        <v>59586768.265900955</v>
      </c>
      <c r="L29" s="294">
        <v>57536768.265900955</v>
      </c>
      <c r="M29" s="294">
        <v>966467.11604777654</v>
      </c>
      <c r="N29" s="294">
        <v>31168.017063825391</v>
      </c>
      <c r="O29" s="296">
        <v>2017198</v>
      </c>
      <c r="P29" s="296">
        <v>2017198</v>
      </c>
      <c r="Q29" s="296">
        <v>2017198</v>
      </c>
      <c r="R29" s="296">
        <v>1800553.38</v>
      </c>
      <c r="S29" s="296">
        <v>1354471.6400000001</v>
      </c>
      <c r="T29" s="296">
        <v>1354471.6400000001</v>
      </c>
      <c r="U29" s="297">
        <v>0.67146191895887275</v>
      </c>
      <c r="V29" s="296">
        <v>662726.35999999987</v>
      </c>
      <c r="W29" s="296">
        <v>0</v>
      </c>
      <c r="X29" s="296">
        <v>216644.62000000011</v>
      </c>
      <c r="Y29" s="296">
        <v>216644.62000000011</v>
      </c>
      <c r="Z29" s="296">
        <v>446081.73999999976</v>
      </c>
      <c r="AA29" s="296">
        <v>0</v>
      </c>
      <c r="AB29" s="298">
        <v>1148995</v>
      </c>
      <c r="AC29" s="298">
        <v>1148995</v>
      </c>
      <c r="AD29" s="298">
        <v>1098995</v>
      </c>
      <c r="AE29" s="298">
        <v>618570.08000000007</v>
      </c>
      <c r="AF29" s="298">
        <v>487185.74999999994</v>
      </c>
      <c r="AG29" s="298">
        <v>486985.72</v>
      </c>
      <c r="AH29" s="299">
        <v>0.42383623949625537</v>
      </c>
      <c r="AI29" s="298">
        <v>662009.28</v>
      </c>
      <c r="AJ29" s="298">
        <v>50000</v>
      </c>
      <c r="AK29" s="298">
        <v>530424.91999999993</v>
      </c>
      <c r="AL29" s="298">
        <v>480424.91999999993</v>
      </c>
      <c r="AM29" s="298">
        <v>131384.33000000013</v>
      </c>
      <c r="AN29" s="300">
        <v>200.02999999996973</v>
      </c>
      <c r="AO29" s="296">
        <v>167233012</v>
      </c>
      <c r="AP29" s="296">
        <v>194604223.65000001</v>
      </c>
      <c r="AQ29" s="296">
        <v>192604223.65000001</v>
      </c>
      <c r="AR29" s="296">
        <v>135764524.92409906</v>
      </c>
      <c r="AS29" s="296">
        <v>135375523.87805125</v>
      </c>
      <c r="AT29" s="296">
        <v>135344555.89098743</v>
      </c>
      <c r="AU29" s="297">
        <v>0.69548621994149318</v>
      </c>
      <c r="AV29" s="296">
        <v>59259667.759012558</v>
      </c>
      <c r="AW29" s="296">
        <v>2000000</v>
      </c>
      <c r="AX29" s="296">
        <v>58839698.725900955</v>
      </c>
      <c r="AY29" s="296">
        <v>56839698.725900955</v>
      </c>
      <c r="AZ29" s="296">
        <v>389001.04604777694</v>
      </c>
      <c r="BA29" s="301">
        <v>30967.98706382513</v>
      </c>
      <c r="BB29" s="298">
        <v>0</v>
      </c>
      <c r="BC29" s="298">
        <v>0</v>
      </c>
      <c r="BD29" s="298">
        <v>0</v>
      </c>
      <c r="BE29" s="298">
        <v>0</v>
      </c>
      <c r="BF29" s="298">
        <v>0</v>
      </c>
      <c r="BG29" s="298">
        <v>0</v>
      </c>
      <c r="BH29" s="299" t="e">
        <v>#DIV/0!</v>
      </c>
      <c r="BI29" s="298">
        <v>0</v>
      </c>
      <c r="BJ29" s="298">
        <v>0</v>
      </c>
      <c r="BK29" s="298">
        <v>0</v>
      </c>
      <c r="BL29" s="298">
        <v>0</v>
      </c>
      <c r="BM29" s="298">
        <v>0</v>
      </c>
      <c r="BN29" s="302">
        <v>0</v>
      </c>
      <c r="BO29" s="296">
        <v>0</v>
      </c>
      <c r="BP29" s="296">
        <v>0</v>
      </c>
      <c r="BQ29" s="296">
        <v>0</v>
      </c>
      <c r="BR29" s="296">
        <v>0</v>
      </c>
      <c r="BS29" s="296">
        <v>0</v>
      </c>
      <c r="BT29" s="296">
        <v>0</v>
      </c>
      <c r="BU29" s="297" t="e">
        <v>#DIV/0!</v>
      </c>
      <c r="BV29" s="296">
        <v>0</v>
      </c>
      <c r="BW29" s="296">
        <v>0</v>
      </c>
      <c r="BX29" s="296">
        <v>0</v>
      </c>
      <c r="BY29" s="296">
        <v>0</v>
      </c>
      <c r="BZ29" s="296">
        <v>0</v>
      </c>
      <c r="CA29" s="301">
        <v>0</v>
      </c>
    </row>
    <row r="30" spans="1:79" ht="16.5" thickTop="1" thickBot="1" x14ac:dyDescent="0.3">
      <c r="A30" s="293" t="s">
        <v>1108</v>
      </c>
      <c r="B30" s="294">
        <v>170065398</v>
      </c>
      <c r="C30" s="294">
        <v>197571962.44</v>
      </c>
      <c r="D30" s="294">
        <v>195521962.44</v>
      </c>
      <c r="E30" s="294">
        <v>138071554.29409906</v>
      </c>
      <c r="F30" s="294">
        <v>137105087.17805123</v>
      </c>
      <c r="G30" s="294">
        <v>137073919.16098741</v>
      </c>
      <c r="H30" s="295">
        <v>0.69379236541528477</v>
      </c>
      <c r="I30" s="294">
        <v>43661596.202</v>
      </c>
      <c r="J30" s="294">
        <v>50000</v>
      </c>
      <c r="K30" s="294">
        <v>42728403.077000007</v>
      </c>
      <c r="L30" s="294">
        <v>42678403.077000007</v>
      </c>
      <c r="M30" s="294">
        <v>902633.09499999066</v>
      </c>
      <c r="N30" s="294">
        <v>30560.030000000261</v>
      </c>
      <c r="O30" s="296">
        <v>2017198</v>
      </c>
      <c r="P30" s="296">
        <v>2017198</v>
      </c>
      <c r="Q30" s="296">
        <v>2017198</v>
      </c>
      <c r="R30" s="296">
        <v>1800553.38</v>
      </c>
      <c r="S30" s="296">
        <v>1354471.6400000001</v>
      </c>
      <c r="T30" s="296">
        <v>1354471.6400000001</v>
      </c>
      <c r="U30" s="297">
        <v>0.67146191895887275</v>
      </c>
      <c r="V30" s="296">
        <v>662726.35999999987</v>
      </c>
      <c r="W30" s="296">
        <v>0</v>
      </c>
      <c r="X30" s="296">
        <v>216644.62000000011</v>
      </c>
      <c r="Y30" s="296">
        <v>216644.62000000011</v>
      </c>
      <c r="Z30" s="296">
        <v>446081.73999999976</v>
      </c>
      <c r="AA30" s="296">
        <v>0</v>
      </c>
      <c r="AB30" s="298">
        <v>1148995</v>
      </c>
      <c r="AC30" s="298">
        <v>1148995</v>
      </c>
      <c r="AD30" s="298">
        <v>1098995</v>
      </c>
      <c r="AE30" s="298">
        <v>618570.08000000007</v>
      </c>
      <c r="AF30" s="298">
        <v>487185.74999999994</v>
      </c>
      <c r="AG30" s="298">
        <v>486985.72</v>
      </c>
      <c r="AH30" s="299">
        <v>0.42383623949625537</v>
      </c>
      <c r="AI30" s="298">
        <v>662009.28</v>
      </c>
      <c r="AJ30" s="298">
        <v>50000</v>
      </c>
      <c r="AK30" s="298">
        <v>530424.91999999993</v>
      </c>
      <c r="AL30" s="298">
        <v>480424.91999999993</v>
      </c>
      <c r="AM30" s="298">
        <v>131384.33000000013</v>
      </c>
      <c r="AN30" s="300">
        <v>200.02999999996973</v>
      </c>
      <c r="AO30" s="296">
        <v>166899205</v>
      </c>
      <c r="AP30" s="296">
        <v>194405769.44</v>
      </c>
      <c r="AQ30" s="296">
        <v>192405769.44</v>
      </c>
      <c r="AR30" s="296">
        <v>135652430.83409905</v>
      </c>
      <c r="AS30" s="296">
        <v>135263429.78805125</v>
      </c>
      <c r="AT30" s="296">
        <v>135232461.80098742</v>
      </c>
      <c r="AU30" s="297">
        <v>0.69561959087188818</v>
      </c>
      <c r="AV30" s="296">
        <v>42336860.561999999</v>
      </c>
      <c r="AW30" s="296">
        <v>0</v>
      </c>
      <c r="AX30" s="296">
        <v>41981333.537000008</v>
      </c>
      <c r="AY30" s="296">
        <v>41981333.537000008</v>
      </c>
      <c r="AZ30" s="296">
        <v>325167.02499999106</v>
      </c>
      <c r="BA30" s="301">
        <v>30360</v>
      </c>
      <c r="BB30" s="303">
        <v>0</v>
      </c>
      <c r="BC30" s="303">
        <v>0</v>
      </c>
      <c r="BD30" s="303">
        <v>0</v>
      </c>
      <c r="BE30" s="303">
        <v>0</v>
      </c>
      <c r="BF30" s="303">
        <v>0</v>
      </c>
      <c r="BG30" s="303">
        <v>0</v>
      </c>
      <c r="BH30" s="299" t="e">
        <v>#DIV/0!</v>
      </c>
      <c r="BI30" s="298">
        <v>0</v>
      </c>
      <c r="BJ30" s="298">
        <v>0</v>
      </c>
      <c r="BK30" s="298">
        <v>0</v>
      </c>
      <c r="BL30" s="298">
        <v>0</v>
      </c>
      <c r="BM30" s="298">
        <v>0</v>
      </c>
      <c r="BN30" s="302">
        <v>0</v>
      </c>
      <c r="BO30" s="304">
        <v>0</v>
      </c>
      <c r="BP30" s="304">
        <v>0</v>
      </c>
      <c r="BQ30" s="304">
        <v>0</v>
      </c>
      <c r="BR30" s="304">
        <v>0</v>
      </c>
      <c r="BS30" s="304">
        <v>0</v>
      </c>
      <c r="BT30" s="304">
        <v>0</v>
      </c>
      <c r="BU30" s="297" t="e">
        <v>#DIV/0!</v>
      </c>
      <c r="BV30" s="296">
        <v>0</v>
      </c>
      <c r="BW30" s="296">
        <v>0</v>
      </c>
      <c r="BX30" s="296">
        <v>0</v>
      </c>
      <c r="BY30" s="296">
        <v>0</v>
      </c>
      <c r="BZ30" s="296">
        <v>0</v>
      </c>
      <c r="CA30" s="301">
        <v>0</v>
      </c>
    </row>
    <row r="31" spans="1:79" ht="15.75" thickTop="1" x14ac:dyDescent="0.25">
      <c r="A31" s="500"/>
      <c r="B31" s="500"/>
      <c r="C31" s="500"/>
      <c r="D31" s="500"/>
      <c r="E31" s="500"/>
      <c r="F31" s="500"/>
      <c r="G31" s="500"/>
      <c r="H31" s="500"/>
      <c r="I31" s="500"/>
      <c r="J31" s="500"/>
      <c r="K31" s="500"/>
    </row>
    <row r="32" spans="1:79" x14ac:dyDescent="0.25">
      <c r="B32" s="306"/>
      <c r="C32" s="306"/>
      <c r="D32" s="306"/>
      <c r="E32" s="306"/>
      <c r="F32" s="306"/>
      <c r="G32" s="306"/>
      <c r="AO32" s="306"/>
    </row>
    <row r="33" spans="1:79" x14ac:dyDescent="0.25">
      <c r="B33" s="306"/>
      <c r="C33" s="306"/>
      <c r="D33" s="306"/>
      <c r="E33" s="306"/>
      <c r="F33" s="306"/>
      <c r="G33" s="306"/>
      <c r="AO33" s="306"/>
    </row>
    <row r="34" spans="1:79" x14ac:dyDescent="0.25">
      <c r="B34" s="306"/>
      <c r="C34" s="306"/>
      <c r="D34" s="306"/>
      <c r="E34" s="306"/>
      <c r="F34" s="306"/>
      <c r="G34" s="306"/>
      <c r="AO34" s="306"/>
    </row>
    <row r="35" spans="1:79" x14ac:dyDescent="0.25">
      <c r="B35" s="306"/>
      <c r="C35" s="306"/>
      <c r="D35" s="306"/>
      <c r="E35" s="306"/>
      <c r="F35" s="306"/>
      <c r="G35" s="306"/>
    </row>
    <row r="36" spans="1:79" s="263" customFormat="1" ht="12.75" customHeight="1" x14ac:dyDescent="0.2">
      <c r="A36" s="487" t="s">
        <v>0</v>
      </c>
      <c r="B36" s="487"/>
      <c r="C36" s="487"/>
      <c r="D36" s="487"/>
      <c r="E36" s="487"/>
      <c r="F36" s="487"/>
      <c r="G36" s="487"/>
      <c r="H36" s="487"/>
      <c r="I36" s="487"/>
      <c r="J36" s="487"/>
      <c r="K36" s="487"/>
      <c r="L36" s="487"/>
      <c r="M36" s="487"/>
      <c r="N36" s="487"/>
      <c r="O36" s="487"/>
      <c r="P36" s="487"/>
      <c r="Q36" s="487"/>
      <c r="R36" s="487"/>
      <c r="S36" s="487"/>
      <c r="T36" s="487"/>
      <c r="U36" s="487"/>
      <c r="V36" s="487"/>
      <c r="W36" s="487"/>
      <c r="X36" s="487"/>
      <c r="Y36" s="487"/>
      <c r="Z36" s="487"/>
      <c r="AA36" s="487"/>
      <c r="AB36" s="487"/>
      <c r="AC36" s="487"/>
      <c r="AD36" s="487"/>
      <c r="AE36" s="487"/>
      <c r="AF36" s="487"/>
      <c r="AG36" s="487"/>
      <c r="AH36" s="487"/>
      <c r="AI36" s="487"/>
      <c r="AJ36" s="487"/>
      <c r="AK36" s="487"/>
      <c r="AL36" s="487"/>
      <c r="AM36" s="487"/>
      <c r="AN36" s="487"/>
      <c r="AO36" s="487"/>
      <c r="AP36" s="487"/>
      <c r="AQ36" s="487"/>
      <c r="AR36" s="487"/>
      <c r="AS36" s="487"/>
      <c r="AT36" s="487"/>
      <c r="AU36" s="487"/>
      <c r="AV36" s="487"/>
      <c r="AW36" s="487"/>
      <c r="AX36" s="487"/>
      <c r="AY36" s="487"/>
      <c r="AZ36" s="487"/>
      <c r="BA36" s="487"/>
      <c r="BB36" s="487"/>
      <c r="BC36" s="487"/>
      <c r="BD36" s="487"/>
      <c r="BE36" s="487"/>
      <c r="BF36" s="487"/>
      <c r="BG36" s="487"/>
      <c r="BH36" s="487"/>
      <c r="BI36" s="487"/>
      <c r="BJ36" s="487"/>
      <c r="BK36" s="487"/>
      <c r="BL36" s="487"/>
      <c r="BM36" s="487"/>
      <c r="BN36" s="487"/>
      <c r="BO36" s="487"/>
      <c r="BP36" s="487"/>
      <c r="BQ36" s="487"/>
      <c r="BR36" s="487"/>
      <c r="BS36" s="487"/>
      <c r="BT36" s="487"/>
      <c r="BU36" s="487"/>
      <c r="BV36" s="487"/>
      <c r="BW36" s="487"/>
      <c r="BX36" s="487"/>
      <c r="BY36" s="487"/>
      <c r="BZ36" s="487"/>
      <c r="CA36" s="487"/>
    </row>
    <row r="37" spans="1:79" s="263" customFormat="1" ht="12.75" x14ac:dyDescent="0.2">
      <c r="A37" s="487" t="s">
        <v>1109</v>
      </c>
      <c r="B37" s="487"/>
      <c r="C37" s="487"/>
      <c r="D37" s="487"/>
      <c r="E37" s="487"/>
      <c r="F37" s="487"/>
      <c r="G37" s="487"/>
      <c r="H37" s="487"/>
      <c r="I37" s="487"/>
      <c r="J37" s="487"/>
      <c r="K37" s="487"/>
      <c r="L37" s="487"/>
      <c r="M37" s="487"/>
      <c r="N37" s="487"/>
      <c r="O37" s="487"/>
      <c r="P37" s="487"/>
      <c r="Q37" s="487"/>
      <c r="R37" s="487"/>
      <c r="S37" s="487"/>
      <c r="T37" s="487"/>
      <c r="U37" s="487"/>
      <c r="V37" s="487"/>
      <c r="W37" s="487"/>
      <c r="X37" s="487"/>
      <c r="Y37" s="487"/>
      <c r="Z37" s="487"/>
      <c r="AA37" s="487"/>
      <c r="AB37" s="487"/>
      <c r="AC37" s="487"/>
      <c r="AD37" s="487"/>
      <c r="AE37" s="487"/>
      <c r="AF37" s="487"/>
      <c r="AG37" s="487"/>
      <c r="AH37" s="487"/>
      <c r="AI37" s="487"/>
      <c r="AJ37" s="487"/>
      <c r="AK37" s="487"/>
      <c r="AL37" s="487"/>
      <c r="AM37" s="487"/>
      <c r="AN37" s="487"/>
      <c r="AO37" s="487"/>
      <c r="AP37" s="487"/>
      <c r="AQ37" s="487"/>
      <c r="AR37" s="487"/>
      <c r="AS37" s="487"/>
      <c r="AT37" s="487"/>
      <c r="AU37" s="487"/>
      <c r="AV37" s="487"/>
      <c r="AW37" s="487"/>
      <c r="AX37" s="487"/>
      <c r="AY37" s="487"/>
      <c r="AZ37" s="487"/>
      <c r="BA37" s="487"/>
      <c r="BB37" s="487"/>
      <c r="BC37" s="487"/>
      <c r="BD37" s="487"/>
      <c r="BE37" s="487"/>
      <c r="BF37" s="487"/>
      <c r="BG37" s="487"/>
      <c r="BH37" s="487"/>
      <c r="BI37" s="487"/>
      <c r="BJ37" s="487"/>
      <c r="BK37" s="487"/>
      <c r="BL37" s="487"/>
      <c r="BM37" s="487"/>
      <c r="BN37" s="487"/>
      <c r="BO37" s="487"/>
      <c r="BP37" s="487"/>
      <c r="BQ37" s="487"/>
      <c r="BR37" s="487"/>
      <c r="BS37" s="487"/>
      <c r="BT37" s="487"/>
      <c r="BU37" s="487"/>
      <c r="BV37" s="487"/>
      <c r="BW37" s="487"/>
      <c r="BX37" s="487"/>
      <c r="BY37" s="487"/>
      <c r="BZ37" s="487"/>
      <c r="CA37" s="487"/>
    </row>
    <row r="38" spans="1:79" s="263" customFormat="1" ht="12.75" x14ac:dyDescent="0.2">
      <c r="A38" s="488" t="s">
        <v>1425</v>
      </c>
      <c r="B38" s="488"/>
      <c r="C38" s="488"/>
      <c r="D38" s="488"/>
      <c r="E38" s="488"/>
      <c r="F38" s="488"/>
      <c r="G38" s="488"/>
      <c r="H38" s="488"/>
      <c r="I38" s="488"/>
      <c r="J38" s="488"/>
      <c r="K38" s="488"/>
      <c r="L38" s="488"/>
      <c r="M38" s="488"/>
      <c r="N38" s="488"/>
      <c r="O38" s="488"/>
      <c r="P38" s="488"/>
      <c r="Q38" s="488"/>
      <c r="R38" s="488"/>
      <c r="S38" s="488"/>
      <c r="T38" s="488"/>
      <c r="U38" s="488"/>
      <c r="V38" s="488"/>
      <c r="W38" s="488"/>
      <c r="X38" s="488"/>
      <c r="Y38" s="488"/>
      <c r="Z38" s="488"/>
      <c r="AA38" s="488"/>
      <c r="AB38" s="488"/>
      <c r="AC38" s="488"/>
      <c r="AD38" s="488"/>
      <c r="AE38" s="488"/>
      <c r="AF38" s="488"/>
      <c r="AG38" s="488"/>
      <c r="AH38" s="488"/>
      <c r="AI38" s="488"/>
      <c r="AJ38" s="488"/>
      <c r="AK38" s="488"/>
      <c r="AL38" s="488"/>
      <c r="AM38" s="488"/>
      <c r="AN38" s="488"/>
      <c r="AO38" s="488"/>
      <c r="AP38" s="488"/>
      <c r="AQ38" s="488"/>
      <c r="AR38" s="488"/>
      <c r="AS38" s="488"/>
      <c r="AT38" s="488"/>
      <c r="AU38" s="488"/>
      <c r="AV38" s="488"/>
      <c r="AW38" s="488"/>
      <c r="AX38" s="488"/>
      <c r="AY38" s="488"/>
      <c r="AZ38" s="488"/>
      <c r="BA38" s="488"/>
      <c r="BB38" s="488"/>
      <c r="BC38" s="488"/>
      <c r="BD38" s="488"/>
      <c r="BE38" s="488"/>
      <c r="BF38" s="488"/>
      <c r="BG38" s="488"/>
      <c r="BH38" s="488"/>
      <c r="BI38" s="488"/>
      <c r="BJ38" s="488"/>
      <c r="BK38" s="488"/>
      <c r="BL38" s="488"/>
      <c r="BM38" s="488"/>
      <c r="BN38" s="488"/>
      <c r="BO38" s="488"/>
      <c r="BP38" s="488"/>
      <c r="BQ38" s="488"/>
      <c r="BR38" s="488"/>
      <c r="BS38" s="488"/>
      <c r="BT38" s="488"/>
      <c r="BU38" s="488"/>
      <c r="BV38" s="488"/>
      <c r="BW38" s="488"/>
      <c r="BX38" s="488"/>
      <c r="BY38" s="488"/>
      <c r="BZ38" s="488"/>
      <c r="CA38" s="488"/>
    </row>
    <row r="39" spans="1:79" s="263" customFormat="1" ht="12.75" thickBo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</row>
    <row r="40" spans="1:79" s="263" customFormat="1" ht="14.45" customHeight="1" thickTop="1" x14ac:dyDescent="0.2">
      <c r="A40" s="489" t="s">
        <v>79</v>
      </c>
      <c r="B40" s="492" t="s">
        <v>247</v>
      </c>
      <c r="C40" s="492"/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3"/>
      <c r="O40" s="494" t="s">
        <v>237</v>
      </c>
      <c r="P40" s="495"/>
      <c r="Q40" s="495"/>
      <c r="R40" s="495"/>
      <c r="S40" s="495"/>
      <c r="T40" s="495"/>
      <c r="U40" s="495"/>
      <c r="V40" s="495"/>
      <c r="W40" s="495"/>
      <c r="X40" s="495"/>
      <c r="Y40" s="495"/>
      <c r="Z40" s="495"/>
      <c r="AA40" s="496"/>
      <c r="AB40" s="497" t="s">
        <v>238</v>
      </c>
      <c r="AC40" s="498"/>
      <c r="AD40" s="498"/>
      <c r="AE40" s="498"/>
      <c r="AF40" s="498"/>
      <c r="AG40" s="498"/>
      <c r="AH40" s="498"/>
      <c r="AI40" s="498"/>
      <c r="AJ40" s="498"/>
      <c r="AK40" s="498"/>
      <c r="AL40" s="498"/>
      <c r="AM40" s="498"/>
      <c r="AN40" s="499"/>
      <c r="AO40" s="494" t="s">
        <v>239</v>
      </c>
      <c r="AP40" s="495"/>
      <c r="AQ40" s="495"/>
      <c r="AR40" s="495"/>
      <c r="AS40" s="495"/>
      <c r="AT40" s="495"/>
      <c r="AU40" s="495"/>
      <c r="AV40" s="495"/>
      <c r="AW40" s="495"/>
      <c r="AX40" s="495"/>
      <c r="AY40" s="495"/>
      <c r="AZ40" s="495"/>
      <c r="BA40" s="496"/>
      <c r="BB40" s="497" t="s">
        <v>241</v>
      </c>
      <c r="BC40" s="498"/>
      <c r="BD40" s="498"/>
      <c r="BE40" s="498"/>
      <c r="BF40" s="498"/>
      <c r="BG40" s="498"/>
      <c r="BH40" s="498"/>
      <c r="BI40" s="498"/>
      <c r="BJ40" s="498"/>
      <c r="BK40" s="498"/>
      <c r="BL40" s="498"/>
      <c r="BM40" s="498"/>
      <c r="BN40" s="499"/>
      <c r="BO40" s="495" t="s">
        <v>242</v>
      </c>
      <c r="BP40" s="495"/>
      <c r="BQ40" s="495"/>
      <c r="BR40" s="495"/>
      <c r="BS40" s="495"/>
      <c r="BT40" s="495"/>
      <c r="BU40" s="495"/>
      <c r="BV40" s="495"/>
      <c r="BW40" s="495"/>
      <c r="BX40" s="495"/>
      <c r="BY40" s="495"/>
      <c r="BZ40" s="495"/>
      <c r="CA40" s="496"/>
    </row>
    <row r="41" spans="1:79" s="273" customFormat="1" ht="48" x14ac:dyDescent="0.2">
      <c r="A41" s="490"/>
      <c r="B41" s="264" t="s">
        <v>2</v>
      </c>
      <c r="C41" s="264" t="s">
        <v>3</v>
      </c>
      <c r="D41" s="264" t="s">
        <v>57</v>
      </c>
      <c r="E41" s="264" t="s">
        <v>30</v>
      </c>
      <c r="F41" s="264" t="s">
        <v>58</v>
      </c>
      <c r="G41" s="264" t="s">
        <v>80</v>
      </c>
      <c r="H41" s="264" t="s">
        <v>18</v>
      </c>
      <c r="I41" s="264" t="s">
        <v>59</v>
      </c>
      <c r="J41" s="264" t="s">
        <v>60</v>
      </c>
      <c r="K41" s="264" t="s">
        <v>32</v>
      </c>
      <c r="L41" s="264" t="s">
        <v>31</v>
      </c>
      <c r="M41" s="264" t="s">
        <v>61</v>
      </c>
      <c r="N41" s="265" t="s">
        <v>62</v>
      </c>
      <c r="O41" s="266" t="s">
        <v>2</v>
      </c>
      <c r="P41" s="267" t="s">
        <v>3</v>
      </c>
      <c r="Q41" s="267" t="s">
        <v>57</v>
      </c>
      <c r="R41" s="267" t="s">
        <v>30</v>
      </c>
      <c r="S41" s="267" t="s">
        <v>58</v>
      </c>
      <c r="T41" s="267" t="s">
        <v>80</v>
      </c>
      <c r="U41" s="267" t="s">
        <v>18</v>
      </c>
      <c r="V41" s="267" t="s">
        <v>59</v>
      </c>
      <c r="W41" s="267" t="s">
        <v>60</v>
      </c>
      <c r="X41" s="267" t="s">
        <v>32</v>
      </c>
      <c r="Y41" s="267" t="s">
        <v>31</v>
      </c>
      <c r="Z41" s="267" t="s">
        <v>61</v>
      </c>
      <c r="AA41" s="268" t="s">
        <v>62</v>
      </c>
      <c r="AB41" s="269" t="s">
        <v>2</v>
      </c>
      <c r="AC41" s="270" t="s">
        <v>3</v>
      </c>
      <c r="AD41" s="270" t="s">
        <v>57</v>
      </c>
      <c r="AE41" s="270" t="s">
        <v>30</v>
      </c>
      <c r="AF41" s="270" t="s">
        <v>58</v>
      </c>
      <c r="AG41" s="270" t="s">
        <v>80</v>
      </c>
      <c r="AH41" s="270" t="s">
        <v>18</v>
      </c>
      <c r="AI41" s="270" t="s">
        <v>59</v>
      </c>
      <c r="AJ41" s="270" t="s">
        <v>60</v>
      </c>
      <c r="AK41" s="270" t="s">
        <v>32</v>
      </c>
      <c r="AL41" s="270" t="s">
        <v>31</v>
      </c>
      <c r="AM41" s="270" t="s">
        <v>61</v>
      </c>
      <c r="AN41" s="271" t="s">
        <v>62</v>
      </c>
      <c r="AO41" s="266" t="s">
        <v>2</v>
      </c>
      <c r="AP41" s="267" t="s">
        <v>3</v>
      </c>
      <c r="AQ41" s="267" t="s">
        <v>57</v>
      </c>
      <c r="AR41" s="267" t="s">
        <v>30</v>
      </c>
      <c r="AS41" s="267" t="s">
        <v>58</v>
      </c>
      <c r="AT41" s="267" t="s">
        <v>80</v>
      </c>
      <c r="AU41" s="267" t="s">
        <v>18</v>
      </c>
      <c r="AV41" s="267" t="s">
        <v>59</v>
      </c>
      <c r="AW41" s="267" t="s">
        <v>60</v>
      </c>
      <c r="AX41" s="267" t="s">
        <v>32</v>
      </c>
      <c r="AY41" s="267" t="s">
        <v>31</v>
      </c>
      <c r="AZ41" s="267" t="s">
        <v>61</v>
      </c>
      <c r="BA41" s="268" t="s">
        <v>62</v>
      </c>
      <c r="BB41" s="269" t="s">
        <v>2</v>
      </c>
      <c r="BC41" s="270" t="s">
        <v>3</v>
      </c>
      <c r="BD41" s="270" t="s">
        <v>57</v>
      </c>
      <c r="BE41" s="270" t="s">
        <v>30</v>
      </c>
      <c r="BF41" s="270" t="s">
        <v>58</v>
      </c>
      <c r="BG41" s="270" t="s">
        <v>80</v>
      </c>
      <c r="BH41" s="270" t="s">
        <v>18</v>
      </c>
      <c r="BI41" s="270" t="s">
        <v>59</v>
      </c>
      <c r="BJ41" s="270" t="s">
        <v>60</v>
      </c>
      <c r="BK41" s="270" t="s">
        <v>32</v>
      </c>
      <c r="BL41" s="270" t="s">
        <v>31</v>
      </c>
      <c r="BM41" s="270" t="s">
        <v>61</v>
      </c>
      <c r="BN41" s="271" t="s">
        <v>62</v>
      </c>
      <c r="BO41" s="272" t="s">
        <v>2</v>
      </c>
      <c r="BP41" s="267" t="s">
        <v>3</v>
      </c>
      <c r="BQ41" s="267" t="s">
        <v>57</v>
      </c>
      <c r="BR41" s="267" t="s">
        <v>30</v>
      </c>
      <c r="BS41" s="267" t="s">
        <v>58</v>
      </c>
      <c r="BT41" s="267" t="s">
        <v>80</v>
      </c>
      <c r="BU41" s="267" t="s">
        <v>18</v>
      </c>
      <c r="BV41" s="267" t="s">
        <v>59</v>
      </c>
      <c r="BW41" s="267" t="s">
        <v>60</v>
      </c>
      <c r="BX41" s="267" t="s">
        <v>32</v>
      </c>
      <c r="BY41" s="267" t="s">
        <v>31</v>
      </c>
      <c r="BZ41" s="267" t="s">
        <v>61</v>
      </c>
      <c r="CA41" s="268" t="s">
        <v>62</v>
      </c>
    </row>
    <row r="42" spans="1:79" s="273" customFormat="1" x14ac:dyDescent="0.2">
      <c r="A42" s="491"/>
      <c r="B42" s="264" t="s">
        <v>20</v>
      </c>
      <c r="C42" s="264" t="s">
        <v>21</v>
      </c>
      <c r="D42" s="264" t="s">
        <v>22</v>
      </c>
      <c r="E42" s="264" t="s">
        <v>23</v>
      </c>
      <c r="F42" s="264" t="s">
        <v>24</v>
      </c>
      <c r="G42" s="264" t="s">
        <v>63</v>
      </c>
      <c r="H42" s="264" t="s">
        <v>33</v>
      </c>
      <c r="I42" s="264" t="s">
        <v>81</v>
      </c>
      <c r="J42" s="264" t="s">
        <v>82</v>
      </c>
      <c r="K42" s="264" t="s">
        <v>83</v>
      </c>
      <c r="L42" s="264" t="s">
        <v>84</v>
      </c>
      <c r="M42" s="264" t="s">
        <v>85</v>
      </c>
      <c r="N42" s="265" t="s">
        <v>86</v>
      </c>
      <c r="O42" s="266" t="s">
        <v>20</v>
      </c>
      <c r="P42" s="267" t="s">
        <v>21</v>
      </c>
      <c r="Q42" s="267" t="s">
        <v>22</v>
      </c>
      <c r="R42" s="267" t="s">
        <v>23</v>
      </c>
      <c r="S42" s="267" t="s">
        <v>24</v>
      </c>
      <c r="T42" s="267" t="s">
        <v>63</v>
      </c>
      <c r="U42" s="267" t="s">
        <v>33</v>
      </c>
      <c r="V42" s="267" t="s">
        <v>81</v>
      </c>
      <c r="W42" s="267" t="s">
        <v>82</v>
      </c>
      <c r="X42" s="267" t="s">
        <v>83</v>
      </c>
      <c r="Y42" s="267" t="s">
        <v>84</v>
      </c>
      <c r="Z42" s="267" t="s">
        <v>85</v>
      </c>
      <c r="AA42" s="268" t="s">
        <v>86</v>
      </c>
      <c r="AB42" s="269" t="s">
        <v>20</v>
      </c>
      <c r="AC42" s="270" t="s">
        <v>21</v>
      </c>
      <c r="AD42" s="270" t="s">
        <v>22</v>
      </c>
      <c r="AE42" s="270" t="s">
        <v>23</v>
      </c>
      <c r="AF42" s="270" t="s">
        <v>24</v>
      </c>
      <c r="AG42" s="270" t="s">
        <v>63</v>
      </c>
      <c r="AH42" s="270" t="s">
        <v>33</v>
      </c>
      <c r="AI42" s="270" t="s">
        <v>81</v>
      </c>
      <c r="AJ42" s="270" t="s">
        <v>82</v>
      </c>
      <c r="AK42" s="270" t="s">
        <v>83</v>
      </c>
      <c r="AL42" s="270" t="s">
        <v>84</v>
      </c>
      <c r="AM42" s="270" t="s">
        <v>85</v>
      </c>
      <c r="AN42" s="271" t="s">
        <v>86</v>
      </c>
      <c r="AO42" s="266" t="s">
        <v>20</v>
      </c>
      <c r="AP42" s="267" t="s">
        <v>21</v>
      </c>
      <c r="AQ42" s="267" t="s">
        <v>22</v>
      </c>
      <c r="AR42" s="267" t="s">
        <v>23</v>
      </c>
      <c r="AS42" s="267" t="s">
        <v>24</v>
      </c>
      <c r="AT42" s="267" t="s">
        <v>63</v>
      </c>
      <c r="AU42" s="267" t="s">
        <v>33</v>
      </c>
      <c r="AV42" s="267" t="s">
        <v>81</v>
      </c>
      <c r="AW42" s="267" t="s">
        <v>82</v>
      </c>
      <c r="AX42" s="267" t="s">
        <v>83</v>
      </c>
      <c r="AY42" s="267" t="s">
        <v>84</v>
      </c>
      <c r="AZ42" s="267" t="s">
        <v>85</v>
      </c>
      <c r="BA42" s="268" t="s">
        <v>86</v>
      </c>
      <c r="BB42" s="269" t="s">
        <v>20</v>
      </c>
      <c r="BC42" s="270" t="s">
        <v>21</v>
      </c>
      <c r="BD42" s="270" t="s">
        <v>22</v>
      </c>
      <c r="BE42" s="270" t="s">
        <v>23</v>
      </c>
      <c r="BF42" s="270" t="s">
        <v>24</v>
      </c>
      <c r="BG42" s="270" t="s">
        <v>63</v>
      </c>
      <c r="BH42" s="270" t="s">
        <v>33</v>
      </c>
      <c r="BI42" s="270" t="s">
        <v>81</v>
      </c>
      <c r="BJ42" s="270" t="s">
        <v>82</v>
      </c>
      <c r="BK42" s="270" t="s">
        <v>83</v>
      </c>
      <c r="BL42" s="270" t="s">
        <v>84</v>
      </c>
      <c r="BM42" s="270" t="s">
        <v>85</v>
      </c>
      <c r="BN42" s="271" t="s">
        <v>86</v>
      </c>
      <c r="BO42" s="272" t="s">
        <v>20</v>
      </c>
      <c r="BP42" s="267" t="s">
        <v>21</v>
      </c>
      <c r="BQ42" s="267" t="s">
        <v>22</v>
      </c>
      <c r="BR42" s="267" t="s">
        <v>23</v>
      </c>
      <c r="BS42" s="267" t="s">
        <v>24</v>
      </c>
      <c r="BT42" s="267" t="s">
        <v>63</v>
      </c>
      <c r="BU42" s="267" t="s">
        <v>33</v>
      </c>
      <c r="BV42" s="267" t="s">
        <v>81</v>
      </c>
      <c r="BW42" s="267" t="s">
        <v>82</v>
      </c>
      <c r="BX42" s="267" t="s">
        <v>83</v>
      </c>
      <c r="BY42" s="267" t="s">
        <v>84</v>
      </c>
      <c r="BZ42" s="267" t="s">
        <v>85</v>
      </c>
      <c r="CA42" s="268" t="s">
        <v>86</v>
      </c>
    </row>
    <row r="43" spans="1:79" s="273" customFormat="1" x14ac:dyDescent="0.2">
      <c r="A43" s="274" t="s">
        <v>1110</v>
      </c>
      <c r="B43" s="288">
        <v>333807</v>
      </c>
      <c r="C43" s="288">
        <v>333807</v>
      </c>
      <c r="D43" s="288">
        <v>291086.40000000002</v>
      </c>
      <c r="E43" s="288">
        <v>103398.51</v>
      </c>
      <c r="F43" s="288">
        <v>90828.329999999987</v>
      </c>
      <c r="G43" s="288">
        <v>90828.33</v>
      </c>
      <c r="H43" s="289">
        <v>0.27209833826133067</v>
      </c>
      <c r="I43" s="288">
        <v>242978.66999999998</v>
      </c>
      <c r="J43" s="288">
        <v>42720.599999999977</v>
      </c>
      <c r="K43" s="288">
        <v>230408.49</v>
      </c>
      <c r="L43" s="288">
        <v>187687.89</v>
      </c>
      <c r="M43" s="288">
        <v>12570.180000000008</v>
      </c>
      <c r="N43" s="290">
        <v>0</v>
      </c>
      <c r="O43" s="288">
        <v>0</v>
      </c>
      <c r="P43" s="288">
        <v>0</v>
      </c>
      <c r="Q43" s="288">
        <v>0</v>
      </c>
      <c r="R43" s="288">
        <v>0</v>
      </c>
      <c r="S43" s="288">
        <v>0</v>
      </c>
      <c r="T43" s="288">
        <v>0</v>
      </c>
      <c r="U43" s="289" t="e">
        <v>#DIV/0!</v>
      </c>
      <c r="V43" s="288">
        <v>0</v>
      </c>
      <c r="W43" s="288">
        <v>0</v>
      </c>
      <c r="X43" s="288">
        <v>0</v>
      </c>
      <c r="Y43" s="288">
        <v>0</v>
      </c>
      <c r="Z43" s="288">
        <v>0</v>
      </c>
      <c r="AA43" s="290">
        <v>0</v>
      </c>
      <c r="AB43" s="288">
        <v>333807</v>
      </c>
      <c r="AC43" s="288">
        <v>333007</v>
      </c>
      <c r="AD43" s="288">
        <v>290586.40000000002</v>
      </c>
      <c r="AE43" s="288">
        <v>103398.51</v>
      </c>
      <c r="AF43" s="288">
        <v>90828.329999999987</v>
      </c>
      <c r="AG43" s="288">
        <v>90828.33</v>
      </c>
      <c r="AH43" s="289">
        <v>0.27275201422192324</v>
      </c>
      <c r="AI43" s="288">
        <v>242178.66999999998</v>
      </c>
      <c r="AJ43" s="288">
        <v>42420.599999999977</v>
      </c>
      <c r="AK43" s="288">
        <v>229608.49</v>
      </c>
      <c r="AL43" s="288">
        <v>187187.89</v>
      </c>
      <c r="AM43" s="288">
        <v>12570.180000000008</v>
      </c>
      <c r="AN43" s="307">
        <v>0</v>
      </c>
      <c r="AO43" s="288">
        <v>0</v>
      </c>
      <c r="AP43" s="288">
        <v>0</v>
      </c>
      <c r="AQ43" s="288">
        <v>0</v>
      </c>
      <c r="AR43" s="288">
        <v>0</v>
      </c>
      <c r="AS43" s="288">
        <v>0</v>
      </c>
      <c r="AT43" s="288">
        <v>0</v>
      </c>
      <c r="AU43" s="289" t="e">
        <v>#DIV/0!</v>
      </c>
      <c r="AV43" s="288">
        <v>0</v>
      </c>
      <c r="AW43" s="288">
        <v>0</v>
      </c>
      <c r="AX43" s="288">
        <v>0</v>
      </c>
      <c r="AY43" s="288">
        <v>0</v>
      </c>
      <c r="AZ43" s="288">
        <v>0</v>
      </c>
      <c r="BA43" s="290">
        <v>0</v>
      </c>
      <c r="BB43" s="288">
        <v>0</v>
      </c>
      <c r="BC43" s="288">
        <v>800</v>
      </c>
      <c r="BD43" s="288">
        <v>500</v>
      </c>
      <c r="BE43" s="288">
        <v>0</v>
      </c>
      <c r="BF43" s="288">
        <v>0</v>
      </c>
      <c r="BG43" s="288">
        <v>0</v>
      </c>
      <c r="BH43" s="289">
        <v>0</v>
      </c>
      <c r="BI43" s="288">
        <v>800</v>
      </c>
      <c r="BJ43" s="288">
        <v>300</v>
      </c>
      <c r="BK43" s="288">
        <v>800</v>
      </c>
      <c r="BL43" s="288">
        <v>500</v>
      </c>
      <c r="BM43" s="288">
        <v>0</v>
      </c>
      <c r="BN43" s="290">
        <v>0</v>
      </c>
      <c r="BO43" s="288">
        <v>0</v>
      </c>
      <c r="BP43" s="288">
        <v>0</v>
      </c>
      <c r="BQ43" s="288">
        <v>0</v>
      </c>
      <c r="BR43" s="288">
        <v>0</v>
      </c>
      <c r="BS43" s="288">
        <v>0</v>
      </c>
      <c r="BT43" s="288">
        <v>0</v>
      </c>
      <c r="BU43" s="289" t="e">
        <v>#DIV/0!</v>
      </c>
      <c r="BV43" s="288">
        <v>0</v>
      </c>
      <c r="BW43" s="288">
        <v>0</v>
      </c>
      <c r="BX43" s="288">
        <v>0</v>
      </c>
      <c r="BY43" s="288">
        <v>0</v>
      </c>
      <c r="BZ43" s="288">
        <v>0</v>
      </c>
      <c r="CA43" s="290">
        <v>0</v>
      </c>
    </row>
    <row r="44" spans="1:79" s="273" customFormat="1" ht="24" x14ac:dyDescent="0.2">
      <c r="A44" s="279" t="s">
        <v>1111</v>
      </c>
      <c r="B44" s="280">
        <v>333807</v>
      </c>
      <c r="C44" s="280">
        <v>333807</v>
      </c>
      <c r="D44" s="280">
        <v>291086.40000000002</v>
      </c>
      <c r="E44" s="280">
        <v>103398.51</v>
      </c>
      <c r="F44" s="280">
        <v>90828.329999999987</v>
      </c>
      <c r="G44" s="280">
        <v>90828.33</v>
      </c>
      <c r="H44" s="281">
        <v>0.27209833826133067</v>
      </c>
      <c r="I44" s="280">
        <v>242978.66999999998</v>
      </c>
      <c r="J44" s="280">
        <v>42720.599999999977</v>
      </c>
      <c r="K44" s="280">
        <v>230408.49</v>
      </c>
      <c r="L44" s="280">
        <v>187687.89</v>
      </c>
      <c r="M44" s="280">
        <v>12570.180000000008</v>
      </c>
      <c r="N44" s="282">
        <v>0</v>
      </c>
      <c r="O44" s="280">
        <v>0</v>
      </c>
      <c r="P44" s="280">
        <v>0</v>
      </c>
      <c r="Q44" s="280">
        <v>0</v>
      </c>
      <c r="R44" s="280">
        <v>0</v>
      </c>
      <c r="S44" s="280">
        <v>0</v>
      </c>
      <c r="T44" s="280">
        <v>0</v>
      </c>
      <c r="U44" s="281" t="e">
        <v>#DIV/0!</v>
      </c>
      <c r="V44" s="280">
        <v>0</v>
      </c>
      <c r="W44" s="280">
        <v>0</v>
      </c>
      <c r="X44" s="280">
        <v>0</v>
      </c>
      <c r="Y44" s="280">
        <v>0</v>
      </c>
      <c r="Z44" s="280">
        <v>0</v>
      </c>
      <c r="AA44" s="282">
        <v>0</v>
      </c>
      <c r="AB44" s="280">
        <v>333807</v>
      </c>
      <c r="AC44" s="280">
        <v>333007</v>
      </c>
      <c r="AD44" s="280">
        <v>290586.40000000002</v>
      </c>
      <c r="AE44" s="280">
        <v>103398.51</v>
      </c>
      <c r="AF44" s="280">
        <v>90828.329999999987</v>
      </c>
      <c r="AG44" s="280">
        <v>90828.33</v>
      </c>
      <c r="AH44" s="281">
        <v>0.27275201422192324</v>
      </c>
      <c r="AI44" s="280">
        <v>242178.66999999998</v>
      </c>
      <c r="AJ44" s="280">
        <v>42420.599999999977</v>
      </c>
      <c r="AK44" s="280">
        <v>229608.49</v>
      </c>
      <c r="AL44" s="280">
        <v>187187.89</v>
      </c>
      <c r="AM44" s="280">
        <v>12570.180000000008</v>
      </c>
      <c r="AN44" s="308">
        <v>0</v>
      </c>
      <c r="AO44" s="280">
        <v>0</v>
      </c>
      <c r="AP44" s="280">
        <v>0</v>
      </c>
      <c r="AQ44" s="280">
        <v>0</v>
      </c>
      <c r="AR44" s="280">
        <v>0</v>
      </c>
      <c r="AS44" s="280">
        <v>0</v>
      </c>
      <c r="AT44" s="280">
        <v>0</v>
      </c>
      <c r="AU44" s="281" t="e">
        <v>#DIV/0!</v>
      </c>
      <c r="AV44" s="280">
        <v>0</v>
      </c>
      <c r="AW44" s="280">
        <v>0</v>
      </c>
      <c r="AX44" s="280">
        <v>0</v>
      </c>
      <c r="AY44" s="280">
        <v>0</v>
      </c>
      <c r="AZ44" s="280">
        <v>0</v>
      </c>
      <c r="BA44" s="282">
        <v>0</v>
      </c>
      <c r="BB44" s="280">
        <v>0</v>
      </c>
      <c r="BC44" s="280">
        <v>800</v>
      </c>
      <c r="BD44" s="280">
        <v>500</v>
      </c>
      <c r="BE44" s="280">
        <v>0</v>
      </c>
      <c r="BF44" s="280">
        <v>0</v>
      </c>
      <c r="BG44" s="280">
        <v>0</v>
      </c>
      <c r="BH44" s="281">
        <v>0</v>
      </c>
      <c r="BI44" s="280">
        <v>800</v>
      </c>
      <c r="BJ44" s="280">
        <v>300</v>
      </c>
      <c r="BK44" s="280">
        <v>800</v>
      </c>
      <c r="BL44" s="280">
        <v>500</v>
      </c>
      <c r="BM44" s="280">
        <v>0</v>
      </c>
      <c r="BN44" s="282">
        <v>0</v>
      </c>
      <c r="BO44" s="280">
        <v>0</v>
      </c>
      <c r="BP44" s="280">
        <v>0</v>
      </c>
      <c r="BQ44" s="280">
        <v>0</v>
      </c>
      <c r="BR44" s="280">
        <v>0</v>
      </c>
      <c r="BS44" s="280">
        <v>0</v>
      </c>
      <c r="BT44" s="280">
        <v>0</v>
      </c>
      <c r="BU44" s="281" t="e">
        <v>#DIV/0!</v>
      </c>
      <c r="BV44" s="280">
        <v>0</v>
      </c>
      <c r="BW44" s="280">
        <v>0</v>
      </c>
      <c r="BX44" s="280">
        <v>0</v>
      </c>
      <c r="BY44" s="280">
        <v>0</v>
      </c>
      <c r="BZ44" s="280">
        <v>0</v>
      </c>
      <c r="CA44" s="282">
        <v>0</v>
      </c>
    </row>
    <row r="45" spans="1:79" s="273" customFormat="1" ht="24" x14ac:dyDescent="0.2">
      <c r="A45" s="284" t="s">
        <v>1112</v>
      </c>
      <c r="B45" s="292">
        <v>188177</v>
      </c>
      <c r="C45" s="292">
        <v>188177</v>
      </c>
      <c r="D45" s="292">
        <v>159807</v>
      </c>
      <c r="E45" s="292">
        <v>103398.51</v>
      </c>
      <c r="F45" s="292">
        <v>90828.329999999987</v>
      </c>
      <c r="G45" s="292">
        <v>90828.33</v>
      </c>
      <c r="H45" s="286">
        <v>0.48267498153334359</v>
      </c>
      <c r="I45" s="285">
        <v>97348.67</v>
      </c>
      <c r="J45" s="285">
        <v>28370</v>
      </c>
      <c r="K45" s="285">
        <v>84778.49</v>
      </c>
      <c r="L45" s="285">
        <v>56408.490000000005</v>
      </c>
      <c r="M45" s="285">
        <v>12570.180000000008</v>
      </c>
      <c r="N45" s="287">
        <v>0</v>
      </c>
      <c r="O45" s="292">
        <v>0</v>
      </c>
      <c r="P45" s="292">
        <v>0</v>
      </c>
      <c r="Q45" s="292">
        <v>0</v>
      </c>
      <c r="R45" s="292">
        <v>0</v>
      </c>
      <c r="S45" s="292">
        <v>0</v>
      </c>
      <c r="T45" s="292">
        <v>0</v>
      </c>
      <c r="U45" s="285" t="e">
        <v>#DIV/0!</v>
      </c>
      <c r="V45" s="285">
        <v>0</v>
      </c>
      <c r="W45" s="285">
        <v>0</v>
      </c>
      <c r="X45" s="285">
        <v>0</v>
      </c>
      <c r="Y45" s="285">
        <v>0</v>
      </c>
      <c r="Z45" s="285">
        <v>0</v>
      </c>
      <c r="AA45" s="287">
        <v>0</v>
      </c>
      <c r="AB45" s="292">
        <v>188177</v>
      </c>
      <c r="AC45" s="292">
        <v>187377</v>
      </c>
      <c r="AD45" s="292">
        <v>159307</v>
      </c>
      <c r="AE45" s="292">
        <v>103398.51</v>
      </c>
      <c r="AF45" s="292">
        <v>90828.329999999987</v>
      </c>
      <c r="AG45" s="292">
        <v>90828.33</v>
      </c>
      <c r="AH45" s="285">
        <v>0.48473574664980229</v>
      </c>
      <c r="AI45" s="285">
        <v>96548.67</v>
      </c>
      <c r="AJ45" s="285">
        <v>28070</v>
      </c>
      <c r="AK45" s="285">
        <v>83978.49</v>
      </c>
      <c r="AL45" s="285">
        <v>55908.490000000005</v>
      </c>
      <c r="AM45" s="285">
        <v>12570.180000000008</v>
      </c>
      <c r="AN45" s="309">
        <v>0</v>
      </c>
      <c r="AO45" s="292">
        <v>0</v>
      </c>
      <c r="AP45" s="292">
        <v>0</v>
      </c>
      <c r="AQ45" s="292">
        <v>0</v>
      </c>
      <c r="AR45" s="292">
        <v>0</v>
      </c>
      <c r="AS45" s="292">
        <v>0</v>
      </c>
      <c r="AT45" s="292">
        <v>0</v>
      </c>
      <c r="AU45" s="285" t="e">
        <v>#DIV/0!</v>
      </c>
      <c r="AV45" s="285">
        <v>0</v>
      </c>
      <c r="AW45" s="285">
        <v>0</v>
      </c>
      <c r="AX45" s="285">
        <v>0</v>
      </c>
      <c r="AY45" s="285">
        <v>0</v>
      </c>
      <c r="AZ45" s="285">
        <v>0</v>
      </c>
      <c r="BA45" s="287">
        <v>0</v>
      </c>
      <c r="BB45" s="292">
        <v>0</v>
      </c>
      <c r="BC45" s="292">
        <v>800</v>
      </c>
      <c r="BD45" s="292">
        <v>500</v>
      </c>
      <c r="BE45" s="292">
        <v>0</v>
      </c>
      <c r="BF45" s="292">
        <v>0</v>
      </c>
      <c r="BG45" s="292">
        <v>0</v>
      </c>
      <c r="BH45" s="285">
        <v>0</v>
      </c>
      <c r="BI45" s="285">
        <v>800</v>
      </c>
      <c r="BJ45" s="285">
        <v>300</v>
      </c>
      <c r="BK45" s="285">
        <v>800</v>
      </c>
      <c r="BL45" s="285">
        <v>500</v>
      </c>
      <c r="BM45" s="285">
        <v>0</v>
      </c>
      <c r="BN45" s="287">
        <v>0</v>
      </c>
      <c r="BO45" s="292">
        <v>0</v>
      </c>
      <c r="BP45" s="292">
        <v>0</v>
      </c>
      <c r="BQ45" s="292">
        <v>0</v>
      </c>
      <c r="BR45" s="292">
        <v>0</v>
      </c>
      <c r="BS45" s="292">
        <v>0</v>
      </c>
      <c r="BT45" s="292">
        <v>0</v>
      </c>
      <c r="BU45" s="285" t="e">
        <v>#DIV/0!</v>
      </c>
      <c r="BV45" s="285">
        <v>0</v>
      </c>
      <c r="BW45" s="285">
        <v>0</v>
      </c>
      <c r="BX45" s="285">
        <v>0</v>
      </c>
      <c r="BY45" s="285">
        <v>0</v>
      </c>
      <c r="BZ45" s="285">
        <v>0</v>
      </c>
      <c r="CA45" s="287">
        <v>0</v>
      </c>
    </row>
    <row r="46" spans="1:79" s="273" customFormat="1" ht="24" x14ac:dyDescent="0.2">
      <c r="A46" s="284" t="s">
        <v>1113</v>
      </c>
      <c r="B46" s="292">
        <v>145630</v>
      </c>
      <c r="C46" s="292">
        <v>145630</v>
      </c>
      <c r="D46" s="292">
        <v>131279.4</v>
      </c>
      <c r="E46" s="292">
        <v>0</v>
      </c>
      <c r="F46" s="292">
        <v>0</v>
      </c>
      <c r="G46" s="292">
        <v>0</v>
      </c>
      <c r="H46" s="286">
        <v>0</v>
      </c>
      <c r="I46" s="285">
        <v>145630</v>
      </c>
      <c r="J46" s="285">
        <v>14350.600000000006</v>
      </c>
      <c r="K46" s="285">
        <v>145630</v>
      </c>
      <c r="L46" s="285">
        <v>131279.4</v>
      </c>
      <c r="M46" s="285">
        <v>0</v>
      </c>
      <c r="N46" s="287">
        <v>0</v>
      </c>
      <c r="O46" s="292">
        <v>0</v>
      </c>
      <c r="P46" s="292">
        <v>0</v>
      </c>
      <c r="Q46" s="292">
        <v>0</v>
      </c>
      <c r="R46" s="292">
        <v>0</v>
      </c>
      <c r="S46" s="292">
        <v>0</v>
      </c>
      <c r="T46" s="292">
        <v>0</v>
      </c>
      <c r="U46" s="285" t="e">
        <v>#DIV/0!</v>
      </c>
      <c r="V46" s="285">
        <v>0</v>
      </c>
      <c r="W46" s="285">
        <v>0</v>
      </c>
      <c r="X46" s="285">
        <v>0</v>
      </c>
      <c r="Y46" s="285">
        <v>0</v>
      </c>
      <c r="Z46" s="285">
        <v>0</v>
      </c>
      <c r="AA46" s="287">
        <v>0</v>
      </c>
      <c r="AB46" s="292">
        <v>145630</v>
      </c>
      <c r="AC46" s="292">
        <v>145630</v>
      </c>
      <c r="AD46" s="292">
        <v>131279.4</v>
      </c>
      <c r="AE46" s="292">
        <v>0</v>
      </c>
      <c r="AF46" s="292">
        <v>0</v>
      </c>
      <c r="AG46" s="292">
        <v>0</v>
      </c>
      <c r="AH46" s="285">
        <v>0</v>
      </c>
      <c r="AI46" s="285">
        <v>145630</v>
      </c>
      <c r="AJ46" s="285">
        <v>14350.600000000006</v>
      </c>
      <c r="AK46" s="285">
        <v>145630</v>
      </c>
      <c r="AL46" s="285">
        <v>131279.4</v>
      </c>
      <c r="AM46" s="285">
        <v>0</v>
      </c>
      <c r="AN46" s="309">
        <v>0</v>
      </c>
      <c r="AO46" s="292">
        <v>0</v>
      </c>
      <c r="AP46" s="292">
        <v>0</v>
      </c>
      <c r="AQ46" s="292">
        <v>0</v>
      </c>
      <c r="AR46" s="292">
        <v>0</v>
      </c>
      <c r="AS46" s="292">
        <v>0</v>
      </c>
      <c r="AT46" s="292">
        <v>0</v>
      </c>
      <c r="AU46" s="285" t="e">
        <v>#DIV/0!</v>
      </c>
      <c r="AV46" s="285">
        <v>0</v>
      </c>
      <c r="AW46" s="285">
        <v>0</v>
      </c>
      <c r="AX46" s="285">
        <v>0</v>
      </c>
      <c r="AY46" s="285">
        <v>0</v>
      </c>
      <c r="AZ46" s="285">
        <v>0</v>
      </c>
      <c r="BA46" s="287">
        <v>0</v>
      </c>
      <c r="BB46" s="292">
        <v>0</v>
      </c>
      <c r="BC46" s="292">
        <v>0</v>
      </c>
      <c r="BD46" s="292">
        <v>0</v>
      </c>
      <c r="BE46" s="292">
        <v>0</v>
      </c>
      <c r="BF46" s="292">
        <v>0</v>
      </c>
      <c r="BG46" s="292">
        <v>0</v>
      </c>
      <c r="BH46" s="285" t="e">
        <v>#DIV/0!</v>
      </c>
      <c r="BI46" s="285">
        <v>0</v>
      </c>
      <c r="BJ46" s="285">
        <v>0</v>
      </c>
      <c r="BK46" s="285">
        <v>0</v>
      </c>
      <c r="BL46" s="285">
        <v>0</v>
      </c>
      <c r="BM46" s="285">
        <v>0</v>
      </c>
      <c r="BN46" s="287">
        <v>0</v>
      </c>
      <c r="BO46" s="292">
        <v>0</v>
      </c>
      <c r="BP46" s="292">
        <v>0</v>
      </c>
      <c r="BQ46" s="292">
        <v>0</v>
      </c>
      <c r="BR46" s="292">
        <v>0</v>
      </c>
      <c r="BS46" s="292">
        <v>0</v>
      </c>
      <c r="BT46" s="292">
        <v>0</v>
      </c>
      <c r="BU46" s="285" t="e">
        <v>#DIV/0!</v>
      </c>
      <c r="BV46" s="285">
        <v>0</v>
      </c>
      <c r="BW46" s="285">
        <v>0</v>
      </c>
      <c r="BX46" s="285">
        <v>0</v>
      </c>
      <c r="BY46" s="285">
        <v>0</v>
      </c>
      <c r="BZ46" s="285">
        <v>0</v>
      </c>
      <c r="CA46" s="287">
        <v>0</v>
      </c>
    </row>
    <row r="47" spans="1:79" s="273" customFormat="1" ht="22.5" customHeight="1" x14ac:dyDescent="0.2">
      <c r="A47" s="279" t="s">
        <v>1114</v>
      </c>
      <c r="B47" s="280">
        <v>0</v>
      </c>
      <c r="C47" s="280">
        <v>0</v>
      </c>
      <c r="D47" s="280">
        <v>0</v>
      </c>
      <c r="E47" s="280">
        <v>0</v>
      </c>
      <c r="F47" s="280">
        <v>0</v>
      </c>
      <c r="G47" s="280">
        <v>0</v>
      </c>
      <c r="H47" s="281" t="e">
        <v>#DIV/0!</v>
      </c>
      <c r="I47" s="280">
        <v>0</v>
      </c>
      <c r="J47" s="280">
        <v>0</v>
      </c>
      <c r="K47" s="280">
        <v>0</v>
      </c>
      <c r="L47" s="280">
        <v>0</v>
      </c>
      <c r="M47" s="280">
        <v>0</v>
      </c>
      <c r="N47" s="282">
        <v>0</v>
      </c>
      <c r="O47" s="280">
        <v>0</v>
      </c>
      <c r="P47" s="280">
        <v>0</v>
      </c>
      <c r="Q47" s="280">
        <v>0</v>
      </c>
      <c r="R47" s="280">
        <v>0</v>
      </c>
      <c r="S47" s="280">
        <v>0</v>
      </c>
      <c r="T47" s="280">
        <v>0</v>
      </c>
      <c r="U47" s="281" t="e">
        <v>#DIV/0!</v>
      </c>
      <c r="V47" s="280">
        <v>0</v>
      </c>
      <c r="W47" s="280">
        <v>0</v>
      </c>
      <c r="X47" s="280">
        <v>0</v>
      </c>
      <c r="Y47" s="280">
        <v>0</v>
      </c>
      <c r="Z47" s="280">
        <v>0</v>
      </c>
      <c r="AA47" s="282">
        <v>0</v>
      </c>
      <c r="AB47" s="280">
        <v>0</v>
      </c>
      <c r="AC47" s="280">
        <v>0</v>
      </c>
      <c r="AD47" s="280">
        <v>0</v>
      </c>
      <c r="AE47" s="280">
        <v>0</v>
      </c>
      <c r="AF47" s="280">
        <v>0</v>
      </c>
      <c r="AG47" s="280">
        <v>0</v>
      </c>
      <c r="AH47" s="281" t="e">
        <v>#DIV/0!</v>
      </c>
      <c r="AI47" s="280">
        <v>0</v>
      </c>
      <c r="AJ47" s="280">
        <v>0</v>
      </c>
      <c r="AK47" s="280">
        <v>0</v>
      </c>
      <c r="AL47" s="280">
        <v>0</v>
      </c>
      <c r="AM47" s="280">
        <v>0</v>
      </c>
      <c r="AN47" s="308">
        <v>0</v>
      </c>
      <c r="AO47" s="280">
        <v>0</v>
      </c>
      <c r="AP47" s="280">
        <v>0</v>
      </c>
      <c r="AQ47" s="280">
        <v>0</v>
      </c>
      <c r="AR47" s="280">
        <v>0</v>
      </c>
      <c r="AS47" s="280">
        <v>0</v>
      </c>
      <c r="AT47" s="280">
        <v>0</v>
      </c>
      <c r="AU47" s="281" t="e">
        <v>#DIV/0!</v>
      </c>
      <c r="AV47" s="280">
        <v>0</v>
      </c>
      <c r="AW47" s="280">
        <v>0</v>
      </c>
      <c r="AX47" s="280">
        <v>0</v>
      </c>
      <c r="AY47" s="280">
        <v>0</v>
      </c>
      <c r="AZ47" s="280">
        <v>0</v>
      </c>
      <c r="BA47" s="282">
        <v>0</v>
      </c>
      <c r="BB47" s="280">
        <v>0</v>
      </c>
      <c r="BC47" s="280">
        <v>0</v>
      </c>
      <c r="BD47" s="280">
        <v>0</v>
      </c>
      <c r="BE47" s="280">
        <v>0</v>
      </c>
      <c r="BF47" s="280">
        <v>0</v>
      </c>
      <c r="BG47" s="280">
        <v>0</v>
      </c>
      <c r="BH47" s="281" t="e">
        <v>#DIV/0!</v>
      </c>
      <c r="BI47" s="280">
        <v>0</v>
      </c>
      <c r="BJ47" s="280">
        <v>0</v>
      </c>
      <c r="BK47" s="280">
        <v>0</v>
      </c>
      <c r="BL47" s="280">
        <v>0</v>
      </c>
      <c r="BM47" s="280">
        <v>0</v>
      </c>
      <c r="BN47" s="282">
        <v>0</v>
      </c>
      <c r="BO47" s="280">
        <v>0</v>
      </c>
      <c r="BP47" s="280">
        <v>0</v>
      </c>
      <c r="BQ47" s="280">
        <v>0</v>
      </c>
      <c r="BR47" s="280">
        <v>0</v>
      </c>
      <c r="BS47" s="280">
        <v>0</v>
      </c>
      <c r="BT47" s="280">
        <v>0</v>
      </c>
      <c r="BU47" s="281" t="e">
        <v>#DIV/0!</v>
      </c>
      <c r="BV47" s="280">
        <v>0</v>
      </c>
      <c r="BW47" s="280">
        <v>0</v>
      </c>
      <c r="BX47" s="280">
        <v>0</v>
      </c>
      <c r="BY47" s="280">
        <v>0</v>
      </c>
      <c r="BZ47" s="280">
        <v>0</v>
      </c>
      <c r="CA47" s="282">
        <v>0</v>
      </c>
    </row>
    <row r="48" spans="1:79" s="273" customFormat="1" ht="24" x14ac:dyDescent="0.2">
      <c r="A48" s="284" t="s">
        <v>1115</v>
      </c>
      <c r="B48" s="292">
        <v>0</v>
      </c>
      <c r="C48" s="292">
        <v>0</v>
      </c>
      <c r="D48" s="292">
        <v>0</v>
      </c>
      <c r="E48" s="292">
        <v>0</v>
      </c>
      <c r="F48" s="292">
        <v>0</v>
      </c>
      <c r="G48" s="292">
        <v>0</v>
      </c>
      <c r="H48" s="286" t="e">
        <v>#DIV/0!</v>
      </c>
      <c r="I48" s="285">
        <v>0</v>
      </c>
      <c r="J48" s="285">
        <v>0</v>
      </c>
      <c r="K48" s="285">
        <v>0</v>
      </c>
      <c r="L48" s="285">
        <v>0</v>
      </c>
      <c r="M48" s="285">
        <v>0</v>
      </c>
      <c r="N48" s="287">
        <v>0</v>
      </c>
      <c r="O48" s="292">
        <v>0</v>
      </c>
      <c r="P48" s="292">
        <v>0</v>
      </c>
      <c r="Q48" s="292">
        <v>0</v>
      </c>
      <c r="R48" s="292">
        <v>0</v>
      </c>
      <c r="S48" s="292">
        <v>0</v>
      </c>
      <c r="T48" s="292">
        <v>0</v>
      </c>
      <c r="U48" s="285" t="e">
        <v>#DIV/0!</v>
      </c>
      <c r="V48" s="285">
        <v>0</v>
      </c>
      <c r="W48" s="285">
        <v>0</v>
      </c>
      <c r="X48" s="285">
        <v>0</v>
      </c>
      <c r="Y48" s="285">
        <v>0</v>
      </c>
      <c r="Z48" s="285">
        <v>0</v>
      </c>
      <c r="AA48" s="287">
        <v>0</v>
      </c>
      <c r="AB48" s="292">
        <v>0</v>
      </c>
      <c r="AC48" s="292">
        <v>0</v>
      </c>
      <c r="AD48" s="292">
        <v>0</v>
      </c>
      <c r="AE48" s="292">
        <v>0</v>
      </c>
      <c r="AF48" s="292">
        <v>0</v>
      </c>
      <c r="AG48" s="292">
        <v>0</v>
      </c>
      <c r="AH48" s="285" t="e">
        <v>#DIV/0!</v>
      </c>
      <c r="AI48" s="285">
        <v>0</v>
      </c>
      <c r="AJ48" s="285">
        <v>0</v>
      </c>
      <c r="AK48" s="285">
        <v>0</v>
      </c>
      <c r="AL48" s="285">
        <v>0</v>
      </c>
      <c r="AM48" s="285">
        <v>0</v>
      </c>
      <c r="AN48" s="309">
        <v>0</v>
      </c>
      <c r="AO48" s="292">
        <v>0</v>
      </c>
      <c r="AP48" s="292">
        <v>0</v>
      </c>
      <c r="AQ48" s="292">
        <v>0</v>
      </c>
      <c r="AR48" s="292">
        <v>0</v>
      </c>
      <c r="AS48" s="292">
        <v>0</v>
      </c>
      <c r="AT48" s="292">
        <v>0</v>
      </c>
      <c r="AU48" s="285" t="e">
        <v>#DIV/0!</v>
      </c>
      <c r="AV48" s="285">
        <v>0</v>
      </c>
      <c r="AW48" s="285">
        <v>0</v>
      </c>
      <c r="AX48" s="285">
        <v>0</v>
      </c>
      <c r="AY48" s="285">
        <v>0</v>
      </c>
      <c r="AZ48" s="285">
        <v>0</v>
      </c>
      <c r="BA48" s="287">
        <v>0</v>
      </c>
      <c r="BB48" s="292">
        <v>0</v>
      </c>
      <c r="BC48" s="292">
        <v>0</v>
      </c>
      <c r="BD48" s="292">
        <v>0</v>
      </c>
      <c r="BE48" s="292">
        <v>0</v>
      </c>
      <c r="BF48" s="292">
        <v>0</v>
      </c>
      <c r="BG48" s="292">
        <v>0</v>
      </c>
      <c r="BH48" s="285" t="e">
        <v>#DIV/0!</v>
      </c>
      <c r="BI48" s="285">
        <v>0</v>
      </c>
      <c r="BJ48" s="285">
        <v>0</v>
      </c>
      <c r="BK48" s="285">
        <v>0</v>
      </c>
      <c r="BL48" s="285">
        <v>0</v>
      </c>
      <c r="BM48" s="285">
        <v>0</v>
      </c>
      <c r="BN48" s="287">
        <v>0</v>
      </c>
      <c r="BO48" s="292">
        <v>0</v>
      </c>
      <c r="BP48" s="292">
        <v>0</v>
      </c>
      <c r="BQ48" s="292">
        <v>0</v>
      </c>
      <c r="BR48" s="292">
        <v>0</v>
      </c>
      <c r="BS48" s="292">
        <v>0</v>
      </c>
      <c r="BT48" s="292">
        <v>0</v>
      </c>
      <c r="BU48" s="285" t="e">
        <v>#DIV/0!</v>
      </c>
      <c r="BV48" s="285">
        <v>0</v>
      </c>
      <c r="BW48" s="285">
        <v>0</v>
      </c>
      <c r="BX48" s="285">
        <v>0</v>
      </c>
      <c r="BY48" s="285">
        <v>0</v>
      </c>
      <c r="BZ48" s="285">
        <v>0</v>
      </c>
      <c r="CA48" s="287">
        <v>0</v>
      </c>
    </row>
    <row r="49" spans="1:79" s="273" customFormat="1" ht="15.75" thickBot="1" x14ac:dyDescent="0.25">
      <c r="A49" s="293" t="s">
        <v>100</v>
      </c>
      <c r="B49" s="294">
        <v>333807</v>
      </c>
      <c r="C49" s="294">
        <v>333807</v>
      </c>
      <c r="D49" s="294">
        <v>291086.40000000002</v>
      </c>
      <c r="E49" s="294">
        <v>103398.51</v>
      </c>
      <c r="F49" s="294">
        <v>90828.329999999987</v>
      </c>
      <c r="G49" s="294">
        <v>90828.33</v>
      </c>
      <c r="H49" s="295">
        <v>0.27209833826133067</v>
      </c>
      <c r="I49" s="294">
        <v>242978.66999999998</v>
      </c>
      <c r="J49" s="294">
        <v>42720.599999999977</v>
      </c>
      <c r="K49" s="294">
        <v>230408.49</v>
      </c>
      <c r="L49" s="294">
        <v>187687.89</v>
      </c>
      <c r="M49" s="294">
        <v>12570.180000000008</v>
      </c>
      <c r="N49" s="310">
        <v>0</v>
      </c>
      <c r="O49" s="296">
        <v>0</v>
      </c>
      <c r="P49" s="296">
        <v>0</v>
      </c>
      <c r="Q49" s="296">
        <v>0</v>
      </c>
      <c r="R49" s="296">
        <v>0</v>
      </c>
      <c r="S49" s="296">
        <v>0</v>
      </c>
      <c r="T49" s="296">
        <v>0</v>
      </c>
      <c r="U49" s="296" t="e">
        <v>#DIV/0!</v>
      </c>
      <c r="V49" s="296">
        <v>0</v>
      </c>
      <c r="W49" s="296">
        <v>0</v>
      </c>
      <c r="X49" s="296">
        <v>0</v>
      </c>
      <c r="Y49" s="296">
        <v>0</v>
      </c>
      <c r="Z49" s="296">
        <v>0</v>
      </c>
      <c r="AA49" s="301">
        <v>0</v>
      </c>
      <c r="AB49" s="296">
        <v>333807</v>
      </c>
      <c r="AC49" s="296">
        <v>333007</v>
      </c>
      <c r="AD49" s="296">
        <v>290586.40000000002</v>
      </c>
      <c r="AE49" s="296">
        <v>103398.51</v>
      </c>
      <c r="AF49" s="296">
        <v>90828.329999999987</v>
      </c>
      <c r="AG49" s="296">
        <v>90828.33</v>
      </c>
      <c r="AH49" s="299">
        <v>0.27275201422192324</v>
      </c>
      <c r="AI49" s="298">
        <v>242178.66999999998</v>
      </c>
      <c r="AJ49" s="298">
        <v>42420.599999999977</v>
      </c>
      <c r="AK49" s="298">
        <v>229608.49</v>
      </c>
      <c r="AL49" s="298">
        <v>187187.89</v>
      </c>
      <c r="AM49" s="298">
        <v>12570.180000000008</v>
      </c>
      <c r="AN49" s="302">
        <v>0</v>
      </c>
      <c r="AO49" s="296">
        <v>0</v>
      </c>
      <c r="AP49" s="296">
        <v>0</v>
      </c>
      <c r="AQ49" s="296">
        <v>0</v>
      </c>
      <c r="AR49" s="296">
        <v>0</v>
      </c>
      <c r="AS49" s="296">
        <v>0</v>
      </c>
      <c r="AT49" s="296">
        <v>0</v>
      </c>
      <c r="AU49" s="297" t="e">
        <v>#DIV/0!</v>
      </c>
      <c r="AV49" s="296">
        <v>0</v>
      </c>
      <c r="AW49" s="296">
        <v>0</v>
      </c>
      <c r="AX49" s="296">
        <v>0</v>
      </c>
      <c r="AY49" s="296">
        <v>0</v>
      </c>
      <c r="AZ49" s="296">
        <v>0</v>
      </c>
      <c r="BA49" s="301">
        <v>0</v>
      </c>
      <c r="BB49" s="298">
        <v>0</v>
      </c>
      <c r="BC49" s="298">
        <v>800</v>
      </c>
      <c r="BD49" s="298">
        <v>500</v>
      </c>
      <c r="BE49" s="298">
        <v>0</v>
      </c>
      <c r="BF49" s="298">
        <v>0</v>
      </c>
      <c r="BG49" s="298">
        <v>0</v>
      </c>
      <c r="BH49" s="299">
        <v>0</v>
      </c>
      <c r="BI49" s="298">
        <v>800</v>
      </c>
      <c r="BJ49" s="298">
        <v>300</v>
      </c>
      <c r="BK49" s="298">
        <v>800</v>
      </c>
      <c r="BL49" s="298">
        <v>500</v>
      </c>
      <c r="BM49" s="298">
        <v>0</v>
      </c>
      <c r="BN49" s="302">
        <v>0</v>
      </c>
      <c r="BO49" s="296">
        <v>0</v>
      </c>
      <c r="BP49" s="296">
        <v>0</v>
      </c>
      <c r="BQ49" s="296">
        <v>0</v>
      </c>
      <c r="BR49" s="296">
        <v>0</v>
      </c>
      <c r="BS49" s="296">
        <v>0</v>
      </c>
      <c r="BT49" s="296">
        <v>0</v>
      </c>
      <c r="BU49" s="297" t="e">
        <v>#DIV/0!</v>
      </c>
      <c r="BV49" s="296">
        <v>0</v>
      </c>
      <c r="BW49" s="296">
        <v>0</v>
      </c>
      <c r="BX49" s="296">
        <v>0</v>
      </c>
      <c r="BY49" s="296">
        <v>0</v>
      </c>
      <c r="BZ49" s="296">
        <v>0</v>
      </c>
      <c r="CA49" s="301">
        <v>0</v>
      </c>
    </row>
    <row r="50" spans="1:79" ht="16.5" thickTop="1" thickBot="1" x14ac:dyDescent="0.3">
      <c r="A50" s="293" t="s">
        <v>1116</v>
      </c>
      <c r="B50" s="294">
        <v>333807</v>
      </c>
      <c r="C50" s="294">
        <v>333807</v>
      </c>
      <c r="D50" s="294">
        <v>291086.40000000002</v>
      </c>
      <c r="E50" s="294">
        <v>103398.51</v>
      </c>
      <c r="F50" s="294">
        <v>90828.329999999987</v>
      </c>
      <c r="G50" s="294">
        <v>90828.33</v>
      </c>
      <c r="H50" s="295">
        <v>0.27209833826133067</v>
      </c>
      <c r="I50" s="294">
        <v>242978.66999999998</v>
      </c>
      <c r="J50" s="294">
        <v>42720.599999999977</v>
      </c>
      <c r="K50" s="294">
        <v>230408.49</v>
      </c>
      <c r="L50" s="294">
        <v>187687.89</v>
      </c>
      <c r="M50" s="294">
        <v>12570.180000000008</v>
      </c>
      <c r="N50" s="310">
        <v>0</v>
      </c>
      <c r="O50" s="296">
        <v>0</v>
      </c>
      <c r="P50" s="296">
        <v>0</v>
      </c>
      <c r="Q50" s="296">
        <v>0</v>
      </c>
      <c r="R50" s="296">
        <v>0</v>
      </c>
      <c r="S50" s="296">
        <v>0</v>
      </c>
      <c r="T50" s="296">
        <v>0</v>
      </c>
      <c r="U50" s="296" t="e">
        <v>#DIV/0!</v>
      </c>
      <c r="V50" s="296">
        <v>0</v>
      </c>
      <c r="W50" s="296">
        <v>0</v>
      </c>
      <c r="X50" s="296">
        <v>0</v>
      </c>
      <c r="Y50" s="296">
        <v>0</v>
      </c>
      <c r="Z50" s="296">
        <v>0</v>
      </c>
      <c r="AA50" s="301">
        <v>0</v>
      </c>
      <c r="AB50" s="296">
        <v>333807</v>
      </c>
      <c r="AC50" s="296">
        <v>333007</v>
      </c>
      <c r="AD50" s="296">
        <v>290586.40000000002</v>
      </c>
      <c r="AE50" s="296">
        <v>103398.51</v>
      </c>
      <c r="AF50" s="296">
        <v>90828.329999999987</v>
      </c>
      <c r="AG50" s="296">
        <v>90828.33</v>
      </c>
      <c r="AH50" s="299">
        <v>0.27275201422192324</v>
      </c>
      <c r="AI50" s="298">
        <v>242178.66999999998</v>
      </c>
      <c r="AJ50" s="298">
        <v>42420.599999999977</v>
      </c>
      <c r="AK50" s="298">
        <v>229608.49</v>
      </c>
      <c r="AL50" s="298">
        <v>187187.89</v>
      </c>
      <c r="AM50" s="298">
        <v>12570.180000000008</v>
      </c>
      <c r="AN50" s="302">
        <v>0</v>
      </c>
      <c r="AO50" s="296">
        <v>0</v>
      </c>
      <c r="AP50" s="296">
        <v>0</v>
      </c>
      <c r="AQ50" s="296">
        <v>0</v>
      </c>
      <c r="AR50" s="296">
        <v>0</v>
      </c>
      <c r="AS50" s="296">
        <v>0</v>
      </c>
      <c r="AT50" s="296">
        <v>0</v>
      </c>
      <c r="AU50" s="297" t="e">
        <v>#DIV/0!</v>
      </c>
      <c r="AV50" s="296">
        <v>0</v>
      </c>
      <c r="AW50" s="296">
        <v>0</v>
      </c>
      <c r="AX50" s="296">
        <v>0</v>
      </c>
      <c r="AY50" s="296">
        <v>0</v>
      </c>
      <c r="AZ50" s="296">
        <v>0</v>
      </c>
      <c r="BA50" s="301">
        <v>0</v>
      </c>
      <c r="BB50" s="298">
        <v>0</v>
      </c>
      <c r="BC50" s="298">
        <v>800</v>
      </c>
      <c r="BD50" s="298">
        <v>500</v>
      </c>
      <c r="BE50" s="298">
        <v>0</v>
      </c>
      <c r="BF50" s="298">
        <v>0</v>
      </c>
      <c r="BG50" s="298">
        <v>0</v>
      </c>
      <c r="BH50" s="299">
        <v>0</v>
      </c>
      <c r="BI50" s="298">
        <v>800</v>
      </c>
      <c r="BJ50" s="298">
        <v>300</v>
      </c>
      <c r="BK50" s="298">
        <v>800</v>
      </c>
      <c r="BL50" s="298">
        <v>500</v>
      </c>
      <c r="BM50" s="298">
        <v>0</v>
      </c>
      <c r="BN50" s="302">
        <v>0</v>
      </c>
      <c r="BO50" s="296">
        <v>0</v>
      </c>
      <c r="BP50" s="296">
        <v>0</v>
      </c>
      <c r="BQ50" s="296">
        <v>0</v>
      </c>
      <c r="BR50" s="296">
        <v>0</v>
      </c>
      <c r="BS50" s="296">
        <v>0</v>
      </c>
      <c r="BT50" s="296">
        <v>0</v>
      </c>
      <c r="BU50" s="297" t="e">
        <v>#DIV/0!</v>
      </c>
      <c r="BV50" s="296">
        <v>0</v>
      </c>
      <c r="BW50" s="296">
        <v>0</v>
      </c>
      <c r="BX50" s="296">
        <v>0</v>
      </c>
      <c r="BY50" s="296">
        <v>0</v>
      </c>
      <c r="BZ50" s="296">
        <v>0</v>
      </c>
      <c r="CA50" s="301">
        <v>0</v>
      </c>
    </row>
    <row r="51" spans="1:79" ht="15.75" thickTop="1" x14ac:dyDescent="0.25">
      <c r="B51" s="306"/>
      <c r="C51" s="306"/>
      <c r="D51" s="306"/>
      <c r="E51" s="306"/>
      <c r="F51" s="306"/>
      <c r="G51" s="306"/>
    </row>
    <row r="52" spans="1:79" x14ac:dyDescent="0.25">
      <c r="B52" s="306"/>
      <c r="C52" s="306"/>
      <c r="D52" s="306"/>
      <c r="E52" s="306"/>
      <c r="F52" s="306"/>
      <c r="G52" s="306"/>
    </row>
    <row r="53" spans="1:79" x14ac:dyDescent="0.25">
      <c r="B53" s="306"/>
      <c r="C53" s="306"/>
      <c r="D53" s="306"/>
      <c r="E53" s="306"/>
      <c r="F53" s="306"/>
      <c r="G53" s="306"/>
    </row>
    <row r="54" spans="1:79" x14ac:dyDescent="0.25">
      <c r="B54" s="306"/>
      <c r="C54" s="306"/>
      <c r="D54" s="306"/>
      <c r="E54" s="306"/>
      <c r="F54" s="306"/>
      <c r="G54" s="306"/>
    </row>
    <row r="55" spans="1:79" x14ac:dyDescent="0.25">
      <c r="B55" s="306"/>
      <c r="C55" s="306"/>
      <c r="D55" s="306"/>
      <c r="E55" s="306"/>
      <c r="F55" s="306"/>
      <c r="G55" s="306"/>
    </row>
    <row r="56" spans="1:79" s="263" customFormat="1" ht="12.75" customHeight="1" x14ac:dyDescent="0.2">
      <c r="A56" s="487" t="s">
        <v>0</v>
      </c>
      <c r="B56" s="487"/>
      <c r="C56" s="487"/>
      <c r="D56" s="487"/>
      <c r="E56" s="487"/>
      <c r="F56" s="487"/>
      <c r="G56" s="487"/>
      <c r="H56" s="487"/>
      <c r="I56" s="487"/>
      <c r="J56" s="487"/>
      <c r="K56" s="487"/>
      <c r="L56" s="487"/>
      <c r="M56" s="487"/>
      <c r="N56" s="487"/>
      <c r="O56" s="487"/>
      <c r="P56" s="487"/>
      <c r="Q56" s="487"/>
      <c r="R56" s="487"/>
      <c r="S56" s="487"/>
      <c r="T56" s="487"/>
      <c r="U56" s="487"/>
      <c r="V56" s="487"/>
      <c r="W56" s="487"/>
      <c r="X56" s="487"/>
      <c r="Y56" s="487"/>
      <c r="Z56" s="487"/>
      <c r="AA56" s="487"/>
      <c r="AB56" s="487"/>
      <c r="AC56" s="487"/>
      <c r="AD56" s="487"/>
      <c r="AE56" s="487"/>
      <c r="AF56" s="487"/>
      <c r="AG56" s="487"/>
      <c r="AH56" s="487"/>
      <c r="AI56" s="487"/>
      <c r="AJ56" s="487"/>
      <c r="AK56" s="487"/>
      <c r="AL56" s="487"/>
      <c r="AM56" s="487"/>
      <c r="AN56" s="487"/>
      <c r="AO56" s="487"/>
      <c r="AP56" s="487"/>
      <c r="AQ56" s="487"/>
      <c r="AR56" s="487"/>
      <c r="AS56" s="487"/>
      <c r="AT56" s="487"/>
      <c r="AU56" s="487"/>
      <c r="AV56" s="487"/>
      <c r="AW56" s="487"/>
      <c r="AX56" s="487"/>
      <c r="AY56" s="487"/>
      <c r="AZ56" s="487"/>
      <c r="BA56" s="487"/>
      <c r="BB56" s="487"/>
      <c r="BC56" s="487"/>
      <c r="BD56" s="487"/>
      <c r="BE56" s="487"/>
      <c r="BF56" s="487"/>
      <c r="BG56" s="487"/>
      <c r="BH56" s="487"/>
      <c r="BI56" s="487"/>
      <c r="BJ56" s="487"/>
      <c r="BK56" s="487"/>
      <c r="BL56" s="487"/>
      <c r="BM56" s="487"/>
      <c r="BN56" s="487"/>
      <c r="BO56" s="487"/>
      <c r="BP56" s="487"/>
      <c r="BQ56" s="487"/>
      <c r="BR56" s="487"/>
      <c r="BS56" s="487"/>
      <c r="BT56" s="487"/>
      <c r="BU56" s="487"/>
      <c r="BV56" s="487"/>
      <c r="BW56" s="487"/>
      <c r="BX56" s="487"/>
      <c r="BY56" s="487"/>
      <c r="BZ56" s="487"/>
      <c r="CA56" s="487"/>
    </row>
    <row r="57" spans="1:79" s="263" customFormat="1" ht="12.75" x14ac:dyDescent="0.2">
      <c r="A57" s="487" t="s">
        <v>1117</v>
      </c>
      <c r="B57" s="487"/>
      <c r="C57" s="487"/>
      <c r="D57" s="487"/>
      <c r="E57" s="487"/>
      <c r="F57" s="487"/>
      <c r="G57" s="487"/>
      <c r="H57" s="487"/>
      <c r="I57" s="487"/>
      <c r="J57" s="487"/>
      <c r="K57" s="487"/>
      <c r="L57" s="487"/>
      <c r="M57" s="487"/>
      <c r="N57" s="487"/>
      <c r="O57" s="487"/>
      <c r="P57" s="487"/>
      <c r="Q57" s="487"/>
      <c r="R57" s="487"/>
      <c r="S57" s="487"/>
      <c r="T57" s="487"/>
      <c r="U57" s="487"/>
      <c r="V57" s="487"/>
      <c r="W57" s="487"/>
      <c r="X57" s="487"/>
      <c r="Y57" s="487"/>
      <c r="Z57" s="487"/>
      <c r="AA57" s="487"/>
      <c r="AB57" s="487"/>
      <c r="AC57" s="487"/>
      <c r="AD57" s="487"/>
      <c r="AE57" s="487"/>
      <c r="AF57" s="487"/>
      <c r="AG57" s="487"/>
      <c r="AH57" s="487"/>
      <c r="AI57" s="487"/>
      <c r="AJ57" s="487"/>
      <c r="AK57" s="487"/>
      <c r="AL57" s="487"/>
      <c r="AM57" s="487"/>
      <c r="AN57" s="487"/>
      <c r="AO57" s="487"/>
      <c r="AP57" s="487"/>
      <c r="AQ57" s="487"/>
      <c r="AR57" s="487"/>
      <c r="AS57" s="487"/>
      <c r="AT57" s="487"/>
      <c r="AU57" s="487"/>
      <c r="AV57" s="487"/>
      <c r="AW57" s="487"/>
      <c r="AX57" s="487"/>
      <c r="AY57" s="487"/>
      <c r="AZ57" s="487"/>
      <c r="BA57" s="487"/>
      <c r="BB57" s="487"/>
      <c r="BC57" s="487"/>
      <c r="BD57" s="487"/>
      <c r="BE57" s="487"/>
      <c r="BF57" s="487"/>
      <c r="BG57" s="487"/>
      <c r="BH57" s="487"/>
      <c r="BI57" s="487"/>
      <c r="BJ57" s="487"/>
      <c r="BK57" s="487"/>
      <c r="BL57" s="487"/>
      <c r="BM57" s="487"/>
      <c r="BN57" s="487"/>
      <c r="BO57" s="487"/>
      <c r="BP57" s="487"/>
      <c r="BQ57" s="487"/>
      <c r="BR57" s="487"/>
      <c r="BS57" s="487"/>
      <c r="BT57" s="487"/>
      <c r="BU57" s="487"/>
      <c r="BV57" s="487"/>
      <c r="BW57" s="487"/>
      <c r="BX57" s="487"/>
      <c r="BY57" s="487"/>
      <c r="BZ57" s="487"/>
      <c r="CA57" s="487"/>
    </row>
    <row r="58" spans="1:79" s="263" customFormat="1" ht="12.75" x14ac:dyDescent="0.2">
      <c r="A58" s="488" t="s">
        <v>1425</v>
      </c>
      <c r="B58" s="488"/>
      <c r="C58" s="488"/>
      <c r="D58" s="488"/>
      <c r="E58" s="488"/>
      <c r="F58" s="488"/>
      <c r="G58" s="488"/>
      <c r="H58" s="488"/>
      <c r="I58" s="488"/>
      <c r="J58" s="488"/>
      <c r="K58" s="488"/>
      <c r="L58" s="488"/>
      <c r="M58" s="488"/>
      <c r="N58" s="488"/>
      <c r="O58" s="488"/>
      <c r="P58" s="488"/>
      <c r="Q58" s="488"/>
      <c r="R58" s="488"/>
      <c r="S58" s="488"/>
      <c r="T58" s="488"/>
      <c r="U58" s="488"/>
      <c r="V58" s="488"/>
      <c r="W58" s="488"/>
      <c r="X58" s="488"/>
      <c r="Y58" s="488"/>
      <c r="Z58" s="488"/>
      <c r="AA58" s="488"/>
      <c r="AB58" s="488"/>
      <c r="AC58" s="488"/>
      <c r="AD58" s="488"/>
      <c r="AE58" s="488"/>
      <c r="AF58" s="488"/>
      <c r="AG58" s="488"/>
      <c r="AH58" s="488"/>
      <c r="AI58" s="488"/>
      <c r="AJ58" s="488"/>
      <c r="AK58" s="488"/>
      <c r="AL58" s="488"/>
      <c r="AM58" s="488"/>
      <c r="AN58" s="488"/>
      <c r="AO58" s="488"/>
      <c r="AP58" s="488"/>
      <c r="AQ58" s="488"/>
      <c r="AR58" s="488"/>
      <c r="AS58" s="488"/>
      <c r="AT58" s="488"/>
      <c r="AU58" s="488"/>
      <c r="AV58" s="488"/>
      <c r="AW58" s="488"/>
      <c r="AX58" s="488"/>
      <c r="AY58" s="488"/>
      <c r="AZ58" s="488"/>
      <c r="BA58" s="488"/>
      <c r="BB58" s="488"/>
      <c r="BC58" s="488"/>
      <c r="BD58" s="488"/>
      <c r="BE58" s="488"/>
      <c r="BF58" s="488"/>
      <c r="BG58" s="488"/>
      <c r="BH58" s="488"/>
      <c r="BI58" s="488"/>
      <c r="BJ58" s="488"/>
      <c r="BK58" s="488"/>
      <c r="BL58" s="488"/>
      <c r="BM58" s="488"/>
      <c r="BN58" s="488"/>
      <c r="BO58" s="488"/>
      <c r="BP58" s="488"/>
      <c r="BQ58" s="488"/>
      <c r="BR58" s="488"/>
      <c r="BS58" s="488"/>
      <c r="BT58" s="488"/>
      <c r="BU58" s="488"/>
      <c r="BV58" s="488"/>
      <c r="BW58" s="488"/>
      <c r="BX58" s="488"/>
      <c r="BY58" s="488"/>
      <c r="BZ58" s="488"/>
      <c r="CA58" s="488"/>
    </row>
    <row r="59" spans="1:79" s="263" customFormat="1" ht="12.75" thickBo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</row>
    <row r="60" spans="1:79" s="263" customFormat="1" ht="14.45" customHeight="1" thickTop="1" x14ac:dyDescent="0.2">
      <c r="A60" s="504" t="s">
        <v>79</v>
      </c>
      <c r="B60" s="506" t="s">
        <v>247</v>
      </c>
      <c r="C60" s="506"/>
      <c r="D60" s="506"/>
      <c r="E60" s="506"/>
      <c r="F60" s="506"/>
      <c r="G60" s="506"/>
      <c r="H60" s="506"/>
      <c r="I60" s="506"/>
      <c r="J60" s="506"/>
      <c r="K60" s="506"/>
      <c r="L60" s="506"/>
      <c r="M60" s="506"/>
      <c r="N60" s="507"/>
      <c r="O60" s="501" t="s">
        <v>237</v>
      </c>
      <c r="P60" s="502"/>
      <c r="Q60" s="502"/>
      <c r="R60" s="502"/>
      <c r="S60" s="502"/>
      <c r="T60" s="502"/>
      <c r="U60" s="502"/>
      <c r="V60" s="502"/>
      <c r="W60" s="502"/>
      <c r="X60" s="502"/>
      <c r="Y60" s="502"/>
      <c r="Z60" s="502"/>
      <c r="AA60" s="503"/>
      <c r="AB60" s="508" t="s">
        <v>238</v>
      </c>
      <c r="AC60" s="509"/>
      <c r="AD60" s="509"/>
      <c r="AE60" s="509"/>
      <c r="AF60" s="509"/>
      <c r="AG60" s="509"/>
      <c r="AH60" s="509"/>
      <c r="AI60" s="509"/>
      <c r="AJ60" s="509"/>
      <c r="AK60" s="509"/>
      <c r="AL60" s="509"/>
      <c r="AM60" s="509"/>
      <c r="AN60" s="510"/>
      <c r="AO60" s="501" t="s">
        <v>239</v>
      </c>
      <c r="AP60" s="502"/>
      <c r="AQ60" s="502"/>
      <c r="AR60" s="502"/>
      <c r="AS60" s="502"/>
      <c r="AT60" s="502"/>
      <c r="AU60" s="502"/>
      <c r="AV60" s="502"/>
      <c r="AW60" s="502"/>
      <c r="AX60" s="502"/>
      <c r="AY60" s="502"/>
      <c r="AZ60" s="502"/>
      <c r="BA60" s="503"/>
      <c r="BB60" s="508" t="s">
        <v>241</v>
      </c>
      <c r="BC60" s="509"/>
      <c r="BD60" s="509"/>
      <c r="BE60" s="509"/>
      <c r="BF60" s="509"/>
      <c r="BG60" s="509"/>
      <c r="BH60" s="509"/>
      <c r="BI60" s="509"/>
      <c r="BJ60" s="509"/>
      <c r="BK60" s="509"/>
      <c r="BL60" s="509"/>
      <c r="BM60" s="509"/>
      <c r="BN60" s="510"/>
      <c r="BO60" s="501" t="s">
        <v>242</v>
      </c>
      <c r="BP60" s="502"/>
      <c r="BQ60" s="502"/>
      <c r="BR60" s="502"/>
      <c r="BS60" s="502"/>
      <c r="BT60" s="502"/>
      <c r="BU60" s="502"/>
      <c r="BV60" s="502"/>
      <c r="BW60" s="502"/>
      <c r="BX60" s="502"/>
      <c r="BY60" s="502"/>
      <c r="BZ60" s="502"/>
      <c r="CA60" s="503"/>
    </row>
    <row r="61" spans="1:79" s="273" customFormat="1" ht="48" x14ac:dyDescent="0.2">
      <c r="A61" s="505"/>
      <c r="B61" s="264" t="s">
        <v>2</v>
      </c>
      <c r="C61" s="264" t="s">
        <v>3</v>
      </c>
      <c r="D61" s="264" t="s">
        <v>57</v>
      </c>
      <c r="E61" s="264" t="s">
        <v>30</v>
      </c>
      <c r="F61" s="264" t="s">
        <v>58</v>
      </c>
      <c r="G61" s="264" t="s">
        <v>80</v>
      </c>
      <c r="H61" s="264" t="s">
        <v>18</v>
      </c>
      <c r="I61" s="264" t="s">
        <v>59</v>
      </c>
      <c r="J61" s="264" t="s">
        <v>60</v>
      </c>
      <c r="K61" s="264" t="s">
        <v>32</v>
      </c>
      <c r="L61" s="264" t="s">
        <v>31</v>
      </c>
      <c r="M61" s="264" t="s">
        <v>61</v>
      </c>
      <c r="N61" s="265" t="s">
        <v>62</v>
      </c>
      <c r="O61" s="266" t="s">
        <v>2</v>
      </c>
      <c r="P61" s="267" t="s">
        <v>3</v>
      </c>
      <c r="Q61" s="267" t="s">
        <v>57</v>
      </c>
      <c r="R61" s="267" t="s">
        <v>30</v>
      </c>
      <c r="S61" s="267" t="s">
        <v>58</v>
      </c>
      <c r="T61" s="267" t="s">
        <v>80</v>
      </c>
      <c r="U61" s="267" t="s">
        <v>18</v>
      </c>
      <c r="V61" s="267" t="s">
        <v>59</v>
      </c>
      <c r="W61" s="267" t="s">
        <v>60</v>
      </c>
      <c r="X61" s="267" t="s">
        <v>32</v>
      </c>
      <c r="Y61" s="267" t="s">
        <v>31</v>
      </c>
      <c r="Z61" s="267" t="s">
        <v>61</v>
      </c>
      <c r="AA61" s="268" t="s">
        <v>62</v>
      </c>
      <c r="AB61" s="269" t="s">
        <v>2</v>
      </c>
      <c r="AC61" s="270" t="s">
        <v>3</v>
      </c>
      <c r="AD61" s="270" t="s">
        <v>57</v>
      </c>
      <c r="AE61" s="270" t="s">
        <v>30</v>
      </c>
      <c r="AF61" s="270" t="s">
        <v>58</v>
      </c>
      <c r="AG61" s="270" t="s">
        <v>80</v>
      </c>
      <c r="AH61" s="270" t="s">
        <v>18</v>
      </c>
      <c r="AI61" s="270" t="s">
        <v>59</v>
      </c>
      <c r="AJ61" s="270" t="s">
        <v>60</v>
      </c>
      <c r="AK61" s="270" t="s">
        <v>32</v>
      </c>
      <c r="AL61" s="270" t="s">
        <v>31</v>
      </c>
      <c r="AM61" s="270" t="s">
        <v>61</v>
      </c>
      <c r="AN61" s="271" t="s">
        <v>62</v>
      </c>
      <c r="AO61" s="266" t="s">
        <v>2</v>
      </c>
      <c r="AP61" s="267" t="s">
        <v>3</v>
      </c>
      <c r="AQ61" s="267" t="s">
        <v>57</v>
      </c>
      <c r="AR61" s="267" t="s">
        <v>30</v>
      </c>
      <c r="AS61" s="267" t="s">
        <v>58</v>
      </c>
      <c r="AT61" s="267" t="s">
        <v>80</v>
      </c>
      <c r="AU61" s="267" t="s">
        <v>18</v>
      </c>
      <c r="AV61" s="267" t="s">
        <v>59</v>
      </c>
      <c r="AW61" s="267" t="s">
        <v>60</v>
      </c>
      <c r="AX61" s="267" t="s">
        <v>32</v>
      </c>
      <c r="AY61" s="267" t="s">
        <v>31</v>
      </c>
      <c r="AZ61" s="267" t="s">
        <v>61</v>
      </c>
      <c r="BA61" s="268" t="s">
        <v>62</v>
      </c>
      <c r="BB61" s="269" t="s">
        <v>2</v>
      </c>
      <c r="BC61" s="270" t="s">
        <v>3</v>
      </c>
      <c r="BD61" s="270" t="s">
        <v>57</v>
      </c>
      <c r="BE61" s="270" t="s">
        <v>30</v>
      </c>
      <c r="BF61" s="270" t="s">
        <v>58</v>
      </c>
      <c r="BG61" s="270" t="s">
        <v>80</v>
      </c>
      <c r="BH61" s="270" t="s">
        <v>18</v>
      </c>
      <c r="BI61" s="270" t="s">
        <v>59</v>
      </c>
      <c r="BJ61" s="270" t="s">
        <v>60</v>
      </c>
      <c r="BK61" s="270" t="s">
        <v>32</v>
      </c>
      <c r="BL61" s="270" t="s">
        <v>31</v>
      </c>
      <c r="BM61" s="270" t="s">
        <v>61</v>
      </c>
      <c r="BN61" s="271" t="s">
        <v>62</v>
      </c>
      <c r="BO61" s="266" t="s">
        <v>2</v>
      </c>
      <c r="BP61" s="267" t="s">
        <v>3</v>
      </c>
      <c r="BQ61" s="267" t="s">
        <v>57</v>
      </c>
      <c r="BR61" s="267" t="s">
        <v>30</v>
      </c>
      <c r="BS61" s="267" t="s">
        <v>58</v>
      </c>
      <c r="BT61" s="267" t="s">
        <v>80</v>
      </c>
      <c r="BU61" s="267" t="s">
        <v>18</v>
      </c>
      <c r="BV61" s="267" t="s">
        <v>59</v>
      </c>
      <c r="BW61" s="267" t="s">
        <v>60</v>
      </c>
      <c r="BX61" s="267" t="s">
        <v>32</v>
      </c>
      <c r="BY61" s="267" t="s">
        <v>31</v>
      </c>
      <c r="BZ61" s="267" t="s">
        <v>61</v>
      </c>
      <c r="CA61" s="268" t="s">
        <v>62</v>
      </c>
    </row>
    <row r="62" spans="1:79" s="273" customFormat="1" x14ac:dyDescent="0.2">
      <c r="A62" s="505"/>
      <c r="B62" s="264" t="s">
        <v>20</v>
      </c>
      <c r="C62" s="264" t="s">
        <v>21</v>
      </c>
      <c r="D62" s="264" t="s">
        <v>22</v>
      </c>
      <c r="E62" s="264" t="s">
        <v>23</v>
      </c>
      <c r="F62" s="264" t="s">
        <v>24</v>
      </c>
      <c r="G62" s="264" t="s">
        <v>63</v>
      </c>
      <c r="H62" s="264" t="s">
        <v>33</v>
      </c>
      <c r="I62" s="264" t="s">
        <v>81</v>
      </c>
      <c r="J62" s="264" t="s">
        <v>82</v>
      </c>
      <c r="K62" s="264" t="s">
        <v>83</v>
      </c>
      <c r="L62" s="264" t="s">
        <v>84</v>
      </c>
      <c r="M62" s="264" t="s">
        <v>85</v>
      </c>
      <c r="N62" s="265" t="s">
        <v>86</v>
      </c>
      <c r="O62" s="266" t="s">
        <v>20</v>
      </c>
      <c r="P62" s="267" t="s">
        <v>21</v>
      </c>
      <c r="Q62" s="267" t="s">
        <v>22</v>
      </c>
      <c r="R62" s="267" t="s">
        <v>23</v>
      </c>
      <c r="S62" s="267" t="s">
        <v>24</v>
      </c>
      <c r="T62" s="267" t="s">
        <v>63</v>
      </c>
      <c r="U62" s="267" t="s">
        <v>33</v>
      </c>
      <c r="V62" s="267" t="s">
        <v>81</v>
      </c>
      <c r="W62" s="267" t="s">
        <v>82</v>
      </c>
      <c r="X62" s="267" t="s">
        <v>83</v>
      </c>
      <c r="Y62" s="267" t="s">
        <v>84</v>
      </c>
      <c r="Z62" s="267" t="s">
        <v>85</v>
      </c>
      <c r="AA62" s="268" t="s">
        <v>86</v>
      </c>
      <c r="AB62" s="269" t="s">
        <v>20</v>
      </c>
      <c r="AC62" s="270" t="s">
        <v>21</v>
      </c>
      <c r="AD62" s="270" t="s">
        <v>22</v>
      </c>
      <c r="AE62" s="270" t="s">
        <v>23</v>
      </c>
      <c r="AF62" s="270" t="s">
        <v>24</v>
      </c>
      <c r="AG62" s="270" t="s">
        <v>63</v>
      </c>
      <c r="AH62" s="270" t="s">
        <v>33</v>
      </c>
      <c r="AI62" s="270" t="s">
        <v>81</v>
      </c>
      <c r="AJ62" s="270" t="s">
        <v>82</v>
      </c>
      <c r="AK62" s="270" t="s">
        <v>83</v>
      </c>
      <c r="AL62" s="270" t="s">
        <v>84</v>
      </c>
      <c r="AM62" s="270" t="s">
        <v>85</v>
      </c>
      <c r="AN62" s="271" t="s">
        <v>86</v>
      </c>
      <c r="AO62" s="266" t="s">
        <v>20</v>
      </c>
      <c r="AP62" s="267" t="s">
        <v>21</v>
      </c>
      <c r="AQ62" s="267" t="s">
        <v>22</v>
      </c>
      <c r="AR62" s="267" t="s">
        <v>23</v>
      </c>
      <c r="AS62" s="267" t="s">
        <v>24</v>
      </c>
      <c r="AT62" s="267" t="s">
        <v>63</v>
      </c>
      <c r="AU62" s="267" t="s">
        <v>33</v>
      </c>
      <c r="AV62" s="267" t="s">
        <v>81</v>
      </c>
      <c r="AW62" s="267" t="s">
        <v>82</v>
      </c>
      <c r="AX62" s="267" t="s">
        <v>83</v>
      </c>
      <c r="AY62" s="267" t="s">
        <v>84</v>
      </c>
      <c r="AZ62" s="267" t="s">
        <v>85</v>
      </c>
      <c r="BA62" s="268" t="s">
        <v>86</v>
      </c>
      <c r="BB62" s="269" t="s">
        <v>20</v>
      </c>
      <c r="BC62" s="270" t="s">
        <v>21</v>
      </c>
      <c r="BD62" s="270" t="s">
        <v>22</v>
      </c>
      <c r="BE62" s="270" t="s">
        <v>23</v>
      </c>
      <c r="BF62" s="270" t="s">
        <v>24</v>
      </c>
      <c r="BG62" s="270" t="s">
        <v>63</v>
      </c>
      <c r="BH62" s="270" t="s">
        <v>33</v>
      </c>
      <c r="BI62" s="270" t="s">
        <v>81</v>
      </c>
      <c r="BJ62" s="270" t="s">
        <v>82</v>
      </c>
      <c r="BK62" s="270" t="s">
        <v>83</v>
      </c>
      <c r="BL62" s="270" t="s">
        <v>84</v>
      </c>
      <c r="BM62" s="270" t="s">
        <v>85</v>
      </c>
      <c r="BN62" s="271" t="s">
        <v>86</v>
      </c>
      <c r="BO62" s="266" t="s">
        <v>20</v>
      </c>
      <c r="BP62" s="267" t="s">
        <v>21</v>
      </c>
      <c r="BQ62" s="267" t="s">
        <v>22</v>
      </c>
      <c r="BR62" s="267" t="s">
        <v>23</v>
      </c>
      <c r="BS62" s="267" t="s">
        <v>24</v>
      </c>
      <c r="BT62" s="267" t="s">
        <v>63</v>
      </c>
      <c r="BU62" s="267" t="s">
        <v>33</v>
      </c>
      <c r="BV62" s="267" t="s">
        <v>81</v>
      </c>
      <c r="BW62" s="267" t="s">
        <v>82</v>
      </c>
      <c r="BX62" s="267" t="s">
        <v>83</v>
      </c>
      <c r="BY62" s="267" t="s">
        <v>84</v>
      </c>
      <c r="BZ62" s="267" t="s">
        <v>85</v>
      </c>
      <c r="CA62" s="268" t="s">
        <v>86</v>
      </c>
    </row>
    <row r="63" spans="1:79" x14ac:dyDescent="0.25">
      <c r="A63" s="274" t="s">
        <v>87</v>
      </c>
      <c r="B63" s="275">
        <v>62649205</v>
      </c>
      <c r="C63" s="275">
        <v>90155769.439999998</v>
      </c>
      <c r="D63" s="275">
        <v>88155769.439999998</v>
      </c>
      <c r="E63" s="275">
        <v>65045717.575099051</v>
      </c>
      <c r="F63" s="275">
        <v>64969298.929051265</v>
      </c>
      <c r="G63" s="275">
        <v>64968690.94198744</v>
      </c>
      <c r="H63" s="276">
        <v>0.72062710290798493</v>
      </c>
      <c r="I63" s="275">
        <v>25187078.498012558</v>
      </c>
      <c r="J63" s="275">
        <v>2000000</v>
      </c>
      <c r="K63" s="275">
        <v>25110051.864900947</v>
      </c>
      <c r="L63" s="275">
        <v>23110051.864900947</v>
      </c>
      <c r="M63" s="275">
        <v>76418.646047785878</v>
      </c>
      <c r="N63" s="277">
        <v>607.98706382513046</v>
      </c>
      <c r="O63" s="275">
        <v>0</v>
      </c>
      <c r="P63" s="275">
        <v>0</v>
      </c>
      <c r="Q63" s="275">
        <v>0</v>
      </c>
      <c r="R63" s="275">
        <v>0</v>
      </c>
      <c r="S63" s="275">
        <v>0</v>
      </c>
      <c r="T63" s="275">
        <v>0</v>
      </c>
      <c r="U63" s="276" t="e">
        <v>#DIV/0!</v>
      </c>
      <c r="V63" s="275">
        <v>0</v>
      </c>
      <c r="W63" s="275">
        <v>0</v>
      </c>
      <c r="X63" s="275">
        <v>0</v>
      </c>
      <c r="Y63" s="275">
        <v>0</v>
      </c>
      <c r="Z63" s="275">
        <v>0</v>
      </c>
      <c r="AA63" s="277">
        <v>0</v>
      </c>
      <c r="AB63" s="275">
        <v>0</v>
      </c>
      <c r="AC63" s="275">
        <v>0</v>
      </c>
      <c r="AD63" s="275">
        <v>0</v>
      </c>
      <c r="AE63" s="275">
        <v>0</v>
      </c>
      <c r="AF63" s="275">
        <v>0</v>
      </c>
      <c r="AG63" s="275">
        <v>0</v>
      </c>
      <c r="AH63" s="276" t="e">
        <v>#DIV/0!</v>
      </c>
      <c r="AI63" s="275">
        <v>0</v>
      </c>
      <c r="AJ63" s="275">
        <v>0</v>
      </c>
      <c r="AK63" s="275">
        <v>0</v>
      </c>
      <c r="AL63" s="275">
        <v>0</v>
      </c>
      <c r="AM63" s="275">
        <v>0</v>
      </c>
      <c r="AN63" s="277">
        <v>0</v>
      </c>
      <c r="AO63" s="275">
        <v>62649205</v>
      </c>
      <c r="AP63" s="275">
        <v>90155769.439999998</v>
      </c>
      <c r="AQ63" s="275">
        <v>88155769.439999998</v>
      </c>
      <c r="AR63" s="275">
        <v>65045717.575099051</v>
      </c>
      <c r="AS63" s="275">
        <v>64969298.929051265</v>
      </c>
      <c r="AT63" s="275">
        <v>64968690.94198744</v>
      </c>
      <c r="AU63" s="276">
        <v>0.72062710290798493</v>
      </c>
      <c r="AV63" s="275">
        <v>25187078.498012558</v>
      </c>
      <c r="AW63" s="275">
        <v>2000000</v>
      </c>
      <c r="AX63" s="275">
        <v>25110051.864900947</v>
      </c>
      <c r="AY63" s="275">
        <v>23110051.864900947</v>
      </c>
      <c r="AZ63" s="275">
        <v>76418.646047785878</v>
      </c>
      <c r="BA63" s="277">
        <v>607.98706382513046</v>
      </c>
      <c r="BB63" s="275">
        <v>0</v>
      </c>
      <c r="BC63" s="275">
        <v>0</v>
      </c>
      <c r="BD63" s="275">
        <v>0</v>
      </c>
      <c r="BE63" s="275">
        <v>0</v>
      </c>
      <c r="BF63" s="275">
        <v>0</v>
      </c>
      <c r="BG63" s="275">
        <v>0</v>
      </c>
      <c r="BH63" s="276" t="e">
        <v>#DIV/0!</v>
      </c>
      <c r="BI63" s="275">
        <v>0</v>
      </c>
      <c r="BJ63" s="275">
        <v>0</v>
      </c>
      <c r="BK63" s="275">
        <v>0</v>
      </c>
      <c r="BL63" s="275">
        <v>0</v>
      </c>
      <c r="BM63" s="275">
        <v>0</v>
      </c>
      <c r="BN63" s="277">
        <v>0</v>
      </c>
      <c r="BO63" s="275">
        <v>0</v>
      </c>
      <c r="BP63" s="275">
        <v>0</v>
      </c>
      <c r="BQ63" s="275">
        <v>0</v>
      </c>
      <c r="BR63" s="275">
        <v>0</v>
      </c>
      <c r="BS63" s="275">
        <v>0</v>
      </c>
      <c r="BT63" s="275">
        <v>0</v>
      </c>
      <c r="BU63" s="276" t="e">
        <v>#DIV/0!</v>
      </c>
      <c r="BV63" s="275">
        <v>0</v>
      </c>
      <c r="BW63" s="275">
        <v>0</v>
      </c>
      <c r="BX63" s="275">
        <v>0</v>
      </c>
      <c r="BY63" s="275">
        <v>0</v>
      </c>
      <c r="BZ63" s="275">
        <v>0</v>
      </c>
      <c r="CA63" s="277">
        <v>0</v>
      </c>
    </row>
    <row r="64" spans="1:79" ht="24.75" customHeight="1" x14ac:dyDescent="0.25">
      <c r="A64" s="279" t="s">
        <v>88</v>
      </c>
      <c r="B64" s="280">
        <v>16388400</v>
      </c>
      <c r="C64" s="280">
        <v>16388400</v>
      </c>
      <c r="D64" s="280">
        <v>16388400</v>
      </c>
      <c r="E64" s="280">
        <v>8136713.324000001</v>
      </c>
      <c r="F64" s="280">
        <v>8124128.699000001</v>
      </c>
      <c r="G64" s="280">
        <v>8124128.699000001</v>
      </c>
      <c r="H64" s="281">
        <v>0.49572433544458283</v>
      </c>
      <c r="I64" s="280">
        <v>8264271.300999999</v>
      </c>
      <c r="J64" s="280">
        <v>0</v>
      </c>
      <c r="K64" s="280">
        <v>8251686.675999999</v>
      </c>
      <c r="L64" s="280">
        <v>8251686.675999999</v>
      </c>
      <c r="M64" s="280">
        <v>12584.625</v>
      </c>
      <c r="N64" s="282">
        <v>0</v>
      </c>
      <c r="O64" s="280">
        <v>0</v>
      </c>
      <c r="P64" s="280">
        <v>0</v>
      </c>
      <c r="Q64" s="280">
        <v>0</v>
      </c>
      <c r="R64" s="280">
        <v>0</v>
      </c>
      <c r="S64" s="280">
        <v>0</v>
      </c>
      <c r="T64" s="280">
        <v>0</v>
      </c>
      <c r="U64" s="281" t="e">
        <v>#DIV/0!</v>
      </c>
      <c r="V64" s="280">
        <v>0</v>
      </c>
      <c r="W64" s="280">
        <v>0</v>
      </c>
      <c r="X64" s="280">
        <v>0</v>
      </c>
      <c r="Y64" s="280">
        <v>0</v>
      </c>
      <c r="Z64" s="280">
        <v>0</v>
      </c>
      <c r="AA64" s="282">
        <v>0</v>
      </c>
      <c r="AB64" s="280">
        <v>0</v>
      </c>
      <c r="AC64" s="280">
        <v>0</v>
      </c>
      <c r="AD64" s="280">
        <v>0</v>
      </c>
      <c r="AE64" s="280">
        <v>0</v>
      </c>
      <c r="AF64" s="280">
        <v>0</v>
      </c>
      <c r="AG64" s="280">
        <v>0</v>
      </c>
      <c r="AH64" s="281" t="e">
        <v>#DIV/0!</v>
      </c>
      <c r="AI64" s="280">
        <v>0</v>
      </c>
      <c r="AJ64" s="280">
        <v>0</v>
      </c>
      <c r="AK64" s="280">
        <v>0</v>
      </c>
      <c r="AL64" s="280">
        <v>0</v>
      </c>
      <c r="AM64" s="280">
        <v>0</v>
      </c>
      <c r="AN64" s="282">
        <v>0</v>
      </c>
      <c r="AO64" s="280">
        <v>16388400</v>
      </c>
      <c r="AP64" s="280">
        <v>16388400</v>
      </c>
      <c r="AQ64" s="280">
        <v>16388400</v>
      </c>
      <c r="AR64" s="280">
        <v>8136713.324000001</v>
      </c>
      <c r="AS64" s="280">
        <v>8124128.699000001</v>
      </c>
      <c r="AT64" s="280">
        <v>8124128.699000001</v>
      </c>
      <c r="AU64" s="281">
        <v>0.49572433544458283</v>
      </c>
      <c r="AV64" s="280">
        <v>8264271.300999999</v>
      </c>
      <c r="AW64" s="280">
        <v>0</v>
      </c>
      <c r="AX64" s="280">
        <v>8251686.675999999</v>
      </c>
      <c r="AY64" s="280">
        <v>8251686.675999999</v>
      </c>
      <c r="AZ64" s="280">
        <v>12584.625</v>
      </c>
      <c r="BA64" s="282">
        <v>0</v>
      </c>
      <c r="BB64" s="280">
        <v>0</v>
      </c>
      <c r="BC64" s="280">
        <v>0</v>
      </c>
      <c r="BD64" s="280">
        <v>0</v>
      </c>
      <c r="BE64" s="280">
        <v>0</v>
      </c>
      <c r="BF64" s="280">
        <v>0</v>
      </c>
      <c r="BG64" s="280">
        <v>0</v>
      </c>
      <c r="BH64" s="281" t="e">
        <v>#DIV/0!</v>
      </c>
      <c r="BI64" s="280">
        <v>0</v>
      </c>
      <c r="BJ64" s="280">
        <v>0</v>
      </c>
      <c r="BK64" s="280">
        <v>0</v>
      </c>
      <c r="BL64" s="280">
        <v>0</v>
      </c>
      <c r="BM64" s="280">
        <v>0</v>
      </c>
      <c r="BN64" s="282">
        <v>0</v>
      </c>
      <c r="BO64" s="280">
        <v>0</v>
      </c>
      <c r="BP64" s="280">
        <v>0</v>
      </c>
      <c r="BQ64" s="280">
        <v>0</v>
      </c>
      <c r="BR64" s="280">
        <v>0</v>
      </c>
      <c r="BS64" s="280">
        <v>0</v>
      </c>
      <c r="BT64" s="280">
        <v>0</v>
      </c>
      <c r="BU64" s="281" t="e">
        <v>#DIV/0!</v>
      </c>
      <c r="BV64" s="280">
        <v>0</v>
      </c>
      <c r="BW64" s="280">
        <v>0</v>
      </c>
      <c r="BX64" s="280">
        <v>0</v>
      </c>
      <c r="BY64" s="280">
        <v>0</v>
      </c>
      <c r="BZ64" s="280">
        <v>0</v>
      </c>
      <c r="CA64" s="282">
        <v>0</v>
      </c>
    </row>
    <row r="65" spans="1:79" ht="24" x14ac:dyDescent="0.25">
      <c r="A65" s="284" t="s">
        <v>89</v>
      </c>
      <c r="B65" s="285">
        <v>16388400</v>
      </c>
      <c r="C65" s="285">
        <v>16388400</v>
      </c>
      <c r="D65" s="285">
        <v>16388400</v>
      </c>
      <c r="E65" s="285">
        <v>8136713.324000001</v>
      </c>
      <c r="F65" s="285">
        <v>8124128.699000001</v>
      </c>
      <c r="G65" s="285">
        <v>8124128.699000001</v>
      </c>
      <c r="H65" s="286">
        <v>0.49572433544458283</v>
      </c>
      <c r="I65" s="285">
        <v>8264271.300999999</v>
      </c>
      <c r="J65" s="285">
        <v>0</v>
      </c>
      <c r="K65" s="285">
        <v>8251686.675999999</v>
      </c>
      <c r="L65" s="285">
        <v>8251686.675999999</v>
      </c>
      <c r="M65" s="285">
        <v>12584.625</v>
      </c>
      <c r="N65" s="287">
        <v>0</v>
      </c>
      <c r="O65" s="285">
        <v>0</v>
      </c>
      <c r="P65" s="285">
        <v>0</v>
      </c>
      <c r="Q65" s="285">
        <v>0</v>
      </c>
      <c r="R65" s="285">
        <v>0</v>
      </c>
      <c r="S65" s="285">
        <v>0</v>
      </c>
      <c r="T65" s="285">
        <v>0</v>
      </c>
      <c r="U65" s="286" t="e">
        <v>#DIV/0!</v>
      </c>
      <c r="V65" s="285">
        <v>0</v>
      </c>
      <c r="W65" s="285">
        <v>0</v>
      </c>
      <c r="X65" s="285">
        <v>0</v>
      </c>
      <c r="Y65" s="285">
        <v>0</v>
      </c>
      <c r="Z65" s="285">
        <v>0</v>
      </c>
      <c r="AA65" s="287">
        <v>0</v>
      </c>
      <c r="AB65" s="285">
        <v>0</v>
      </c>
      <c r="AC65" s="285">
        <v>0</v>
      </c>
      <c r="AD65" s="285">
        <v>0</v>
      </c>
      <c r="AE65" s="285">
        <v>0</v>
      </c>
      <c r="AF65" s="285">
        <v>0</v>
      </c>
      <c r="AG65" s="285">
        <v>0</v>
      </c>
      <c r="AH65" s="286" t="e">
        <v>#DIV/0!</v>
      </c>
      <c r="AI65" s="285">
        <v>0</v>
      </c>
      <c r="AJ65" s="285">
        <v>0</v>
      </c>
      <c r="AK65" s="285">
        <v>0</v>
      </c>
      <c r="AL65" s="285">
        <v>0</v>
      </c>
      <c r="AM65" s="285">
        <v>0</v>
      </c>
      <c r="AN65" s="287">
        <v>0</v>
      </c>
      <c r="AO65" s="285">
        <v>16388400</v>
      </c>
      <c r="AP65" s="285">
        <v>16388400</v>
      </c>
      <c r="AQ65" s="285">
        <v>16388400</v>
      </c>
      <c r="AR65" s="285">
        <v>8136713.324000001</v>
      </c>
      <c r="AS65" s="285">
        <v>8124128.699000001</v>
      </c>
      <c r="AT65" s="285">
        <v>8124128.699000001</v>
      </c>
      <c r="AU65" s="286">
        <v>0.49572433544458283</v>
      </c>
      <c r="AV65" s="285">
        <v>8264271.300999999</v>
      </c>
      <c r="AW65" s="285">
        <v>0</v>
      </c>
      <c r="AX65" s="285">
        <v>8251686.675999999</v>
      </c>
      <c r="AY65" s="285">
        <v>8251686.675999999</v>
      </c>
      <c r="AZ65" s="285">
        <v>12584.625</v>
      </c>
      <c r="BA65" s="287">
        <v>0</v>
      </c>
      <c r="BB65" s="285">
        <v>0</v>
      </c>
      <c r="BC65" s="285">
        <v>0</v>
      </c>
      <c r="BD65" s="285">
        <v>0</v>
      </c>
      <c r="BE65" s="285">
        <v>0</v>
      </c>
      <c r="BF65" s="285">
        <v>0</v>
      </c>
      <c r="BG65" s="285">
        <v>0</v>
      </c>
      <c r="BH65" s="286" t="e">
        <v>#DIV/0!</v>
      </c>
      <c r="BI65" s="285">
        <v>0</v>
      </c>
      <c r="BJ65" s="285">
        <v>0</v>
      </c>
      <c r="BK65" s="285">
        <v>0</v>
      </c>
      <c r="BL65" s="285">
        <v>0</v>
      </c>
      <c r="BM65" s="285">
        <v>0</v>
      </c>
      <c r="BN65" s="287">
        <v>0</v>
      </c>
      <c r="BO65" s="285">
        <v>0</v>
      </c>
      <c r="BP65" s="285">
        <v>0</v>
      </c>
      <c r="BQ65" s="285">
        <v>0</v>
      </c>
      <c r="BR65" s="285">
        <v>0</v>
      </c>
      <c r="BS65" s="285">
        <v>0</v>
      </c>
      <c r="BT65" s="285">
        <v>0</v>
      </c>
      <c r="BU65" s="286" t="e">
        <v>#DIV/0!</v>
      </c>
      <c r="BV65" s="285">
        <v>0</v>
      </c>
      <c r="BW65" s="285">
        <v>0</v>
      </c>
      <c r="BX65" s="285">
        <v>0</v>
      </c>
      <c r="BY65" s="285">
        <v>0</v>
      </c>
      <c r="BZ65" s="285">
        <v>0</v>
      </c>
      <c r="CA65" s="287">
        <v>0</v>
      </c>
    </row>
    <row r="66" spans="1:79" x14ac:dyDescent="0.25">
      <c r="A66" s="279" t="s">
        <v>90</v>
      </c>
      <c r="B66" s="280">
        <v>46260805</v>
      </c>
      <c r="C66" s="280">
        <v>73767369.439999998</v>
      </c>
      <c r="D66" s="280">
        <v>71767369.439999998</v>
      </c>
      <c r="E66" s="280">
        <v>56909004.25109905</v>
      </c>
      <c r="F66" s="280">
        <v>56845170.230051264</v>
      </c>
      <c r="G66" s="280">
        <v>56844562.242987439</v>
      </c>
      <c r="H66" s="281">
        <v>0.77059223711675084</v>
      </c>
      <c r="I66" s="280">
        <v>16922807.197012559</v>
      </c>
      <c r="J66" s="280">
        <v>2000000</v>
      </c>
      <c r="K66" s="280">
        <v>16858365.188900948</v>
      </c>
      <c r="L66" s="280">
        <v>14858365.188900948</v>
      </c>
      <c r="M66" s="280">
        <v>63834.021047785878</v>
      </c>
      <c r="N66" s="282">
        <v>607.98706382513046</v>
      </c>
      <c r="O66" s="280">
        <v>0</v>
      </c>
      <c r="P66" s="280">
        <v>0</v>
      </c>
      <c r="Q66" s="280">
        <v>0</v>
      </c>
      <c r="R66" s="280">
        <v>0</v>
      </c>
      <c r="S66" s="280">
        <v>0</v>
      </c>
      <c r="T66" s="280">
        <v>0</v>
      </c>
      <c r="U66" s="281" t="e">
        <v>#DIV/0!</v>
      </c>
      <c r="V66" s="280">
        <v>0</v>
      </c>
      <c r="W66" s="280">
        <v>0</v>
      </c>
      <c r="X66" s="280">
        <v>0</v>
      </c>
      <c r="Y66" s="280">
        <v>0</v>
      </c>
      <c r="Z66" s="280">
        <v>0</v>
      </c>
      <c r="AA66" s="282">
        <v>0</v>
      </c>
      <c r="AB66" s="280">
        <v>0</v>
      </c>
      <c r="AC66" s="280">
        <v>0</v>
      </c>
      <c r="AD66" s="280">
        <v>0</v>
      </c>
      <c r="AE66" s="280">
        <v>0</v>
      </c>
      <c r="AF66" s="280">
        <v>0</v>
      </c>
      <c r="AG66" s="280">
        <v>0</v>
      </c>
      <c r="AH66" s="281" t="e">
        <v>#DIV/0!</v>
      </c>
      <c r="AI66" s="280">
        <v>0</v>
      </c>
      <c r="AJ66" s="280">
        <v>0</v>
      </c>
      <c r="AK66" s="280">
        <v>0</v>
      </c>
      <c r="AL66" s="280">
        <v>0</v>
      </c>
      <c r="AM66" s="280">
        <v>0</v>
      </c>
      <c r="AN66" s="282">
        <v>0</v>
      </c>
      <c r="AO66" s="280">
        <v>46260805</v>
      </c>
      <c r="AP66" s="280">
        <v>73767369.439999998</v>
      </c>
      <c r="AQ66" s="280">
        <v>71767369.439999998</v>
      </c>
      <c r="AR66" s="280">
        <v>56909004.25109905</v>
      </c>
      <c r="AS66" s="280">
        <v>56845170.230051264</v>
      </c>
      <c r="AT66" s="280">
        <v>56844562.242987439</v>
      </c>
      <c r="AU66" s="281">
        <v>0.77059223711675084</v>
      </c>
      <c r="AV66" s="280">
        <v>16922807.197012559</v>
      </c>
      <c r="AW66" s="280">
        <v>2000000</v>
      </c>
      <c r="AX66" s="280">
        <v>16858365.188900948</v>
      </c>
      <c r="AY66" s="280">
        <v>14858365.188900948</v>
      </c>
      <c r="AZ66" s="280">
        <v>63834.021047785878</v>
      </c>
      <c r="BA66" s="282">
        <v>607.98706382513046</v>
      </c>
      <c r="BB66" s="280">
        <v>0</v>
      </c>
      <c r="BC66" s="280">
        <v>0</v>
      </c>
      <c r="BD66" s="280">
        <v>0</v>
      </c>
      <c r="BE66" s="280">
        <v>0</v>
      </c>
      <c r="BF66" s="280">
        <v>0</v>
      </c>
      <c r="BG66" s="280">
        <v>0</v>
      </c>
      <c r="BH66" s="281" t="e">
        <v>#DIV/0!</v>
      </c>
      <c r="BI66" s="280">
        <v>0</v>
      </c>
      <c r="BJ66" s="280">
        <v>0</v>
      </c>
      <c r="BK66" s="280">
        <v>0</v>
      </c>
      <c r="BL66" s="280">
        <v>0</v>
      </c>
      <c r="BM66" s="280">
        <v>0</v>
      </c>
      <c r="BN66" s="282">
        <v>0</v>
      </c>
      <c r="BO66" s="280">
        <v>0</v>
      </c>
      <c r="BP66" s="280">
        <v>0</v>
      </c>
      <c r="BQ66" s="280">
        <v>0</v>
      </c>
      <c r="BR66" s="280">
        <v>0</v>
      </c>
      <c r="BS66" s="280">
        <v>0</v>
      </c>
      <c r="BT66" s="280">
        <v>0</v>
      </c>
      <c r="BU66" s="281" t="e">
        <v>#DIV/0!</v>
      </c>
      <c r="BV66" s="280">
        <v>0</v>
      </c>
      <c r="BW66" s="280">
        <v>0</v>
      </c>
      <c r="BX66" s="280">
        <v>0</v>
      </c>
      <c r="BY66" s="280">
        <v>0</v>
      </c>
      <c r="BZ66" s="280">
        <v>0</v>
      </c>
      <c r="CA66" s="282">
        <v>0</v>
      </c>
    </row>
    <row r="67" spans="1:79" ht="24" x14ac:dyDescent="0.25">
      <c r="A67" s="284" t="s">
        <v>91</v>
      </c>
      <c r="B67" s="285">
        <v>4734502</v>
      </c>
      <c r="C67" s="285">
        <v>7489502</v>
      </c>
      <c r="D67" s="285">
        <v>7489502</v>
      </c>
      <c r="E67" s="285">
        <v>4402439.8110990552</v>
      </c>
      <c r="F67" s="285">
        <v>4338605.7900512684</v>
      </c>
      <c r="G67" s="285">
        <v>4337997.8029874396</v>
      </c>
      <c r="H67" s="286">
        <v>0.5792104472350017</v>
      </c>
      <c r="I67" s="285">
        <v>3151504.1970125604</v>
      </c>
      <c r="J67" s="285">
        <v>0</v>
      </c>
      <c r="K67" s="285">
        <v>3087062.1889009448</v>
      </c>
      <c r="L67" s="285">
        <v>3087062.1889009448</v>
      </c>
      <c r="M67" s="285">
        <v>63834.02104778681</v>
      </c>
      <c r="N67" s="287">
        <v>607.98706382885575</v>
      </c>
      <c r="O67" s="285">
        <v>0</v>
      </c>
      <c r="P67" s="285">
        <v>0</v>
      </c>
      <c r="Q67" s="285">
        <v>0</v>
      </c>
      <c r="R67" s="285">
        <v>0</v>
      </c>
      <c r="S67" s="285">
        <v>0</v>
      </c>
      <c r="T67" s="285">
        <v>0</v>
      </c>
      <c r="U67" s="286" t="e">
        <v>#DIV/0!</v>
      </c>
      <c r="V67" s="285">
        <v>0</v>
      </c>
      <c r="W67" s="285">
        <v>0</v>
      </c>
      <c r="X67" s="285">
        <v>0</v>
      </c>
      <c r="Y67" s="285">
        <v>0</v>
      </c>
      <c r="Z67" s="285">
        <v>0</v>
      </c>
      <c r="AA67" s="287">
        <v>0</v>
      </c>
      <c r="AB67" s="285">
        <v>0</v>
      </c>
      <c r="AC67" s="285">
        <v>0</v>
      </c>
      <c r="AD67" s="285">
        <v>0</v>
      </c>
      <c r="AE67" s="285">
        <v>0</v>
      </c>
      <c r="AF67" s="285">
        <v>0</v>
      </c>
      <c r="AG67" s="285">
        <v>0</v>
      </c>
      <c r="AH67" s="286" t="e">
        <v>#DIV/0!</v>
      </c>
      <c r="AI67" s="285">
        <v>0</v>
      </c>
      <c r="AJ67" s="285">
        <v>0</v>
      </c>
      <c r="AK67" s="285">
        <v>0</v>
      </c>
      <c r="AL67" s="285">
        <v>0</v>
      </c>
      <c r="AM67" s="285">
        <v>0</v>
      </c>
      <c r="AN67" s="287">
        <v>0</v>
      </c>
      <c r="AO67" s="285">
        <v>4734502</v>
      </c>
      <c r="AP67" s="285">
        <v>7489502</v>
      </c>
      <c r="AQ67" s="285">
        <v>7489502</v>
      </c>
      <c r="AR67" s="285">
        <v>4402439.8110990552</v>
      </c>
      <c r="AS67" s="285">
        <v>4338605.7900512684</v>
      </c>
      <c r="AT67" s="285">
        <v>4337997.8029874396</v>
      </c>
      <c r="AU67" s="286">
        <v>0.5792104472350017</v>
      </c>
      <c r="AV67" s="285">
        <v>3151504.1970125604</v>
      </c>
      <c r="AW67" s="285">
        <v>0</v>
      </c>
      <c r="AX67" s="285">
        <v>3087062.1889009448</v>
      </c>
      <c r="AY67" s="285">
        <v>3087062.1889009448</v>
      </c>
      <c r="AZ67" s="285">
        <v>63834.02104778681</v>
      </c>
      <c r="BA67" s="287">
        <v>607.98706382885575</v>
      </c>
      <c r="BB67" s="285">
        <v>0</v>
      </c>
      <c r="BC67" s="285">
        <v>0</v>
      </c>
      <c r="BD67" s="285">
        <v>0</v>
      </c>
      <c r="BE67" s="285">
        <v>0</v>
      </c>
      <c r="BF67" s="285">
        <v>0</v>
      </c>
      <c r="BG67" s="285">
        <v>0</v>
      </c>
      <c r="BH67" s="286" t="e">
        <v>#DIV/0!</v>
      </c>
      <c r="BI67" s="285">
        <v>0</v>
      </c>
      <c r="BJ67" s="285">
        <v>0</v>
      </c>
      <c r="BK67" s="285">
        <v>0</v>
      </c>
      <c r="BL67" s="285">
        <v>0</v>
      </c>
      <c r="BM67" s="285">
        <v>0</v>
      </c>
      <c r="BN67" s="287">
        <v>0</v>
      </c>
      <c r="BO67" s="285">
        <v>0</v>
      </c>
      <c r="BP67" s="285">
        <v>0</v>
      </c>
      <c r="BQ67" s="285">
        <v>0</v>
      </c>
      <c r="BR67" s="285">
        <v>0</v>
      </c>
      <c r="BS67" s="285">
        <v>0</v>
      </c>
      <c r="BT67" s="285">
        <v>0</v>
      </c>
      <c r="BU67" s="286" t="e">
        <v>#DIV/0!</v>
      </c>
      <c r="BV67" s="285">
        <v>0</v>
      </c>
      <c r="BW67" s="285">
        <v>0</v>
      </c>
      <c r="BX67" s="285">
        <v>0</v>
      </c>
      <c r="BY67" s="285">
        <v>0</v>
      </c>
      <c r="BZ67" s="285">
        <v>0</v>
      </c>
      <c r="CA67" s="287">
        <v>0</v>
      </c>
    </row>
    <row r="68" spans="1:79" ht="24" x14ac:dyDescent="0.25">
      <c r="A68" s="284" t="s">
        <v>1102</v>
      </c>
      <c r="B68" s="285">
        <v>41526303</v>
      </c>
      <c r="C68" s="285">
        <v>66277867.439999998</v>
      </c>
      <c r="D68" s="285">
        <v>64277867.439999998</v>
      </c>
      <c r="E68" s="285">
        <v>52506564.439999998</v>
      </c>
      <c r="F68" s="285">
        <v>52506564.439999998</v>
      </c>
      <c r="G68" s="285">
        <v>52506564.439999998</v>
      </c>
      <c r="H68" s="286">
        <v>0.79221867673296997</v>
      </c>
      <c r="I68" s="285">
        <v>13771303</v>
      </c>
      <c r="J68" s="285">
        <v>2000000</v>
      </c>
      <c r="K68" s="285">
        <v>13771303</v>
      </c>
      <c r="L68" s="285">
        <v>11771303</v>
      </c>
      <c r="M68" s="285">
        <v>0</v>
      </c>
      <c r="N68" s="287">
        <v>0</v>
      </c>
      <c r="O68" s="285">
        <v>0</v>
      </c>
      <c r="P68" s="285">
        <v>0</v>
      </c>
      <c r="Q68" s="285">
        <v>0</v>
      </c>
      <c r="R68" s="285">
        <v>0</v>
      </c>
      <c r="S68" s="285">
        <v>0</v>
      </c>
      <c r="T68" s="285">
        <v>0</v>
      </c>
      <c r="U68" s="286" t="e">
        <v>#DIV/0!</v>
      </c>
      <c r="V68" s="285">
        <v>0</v>
      </c>
      <c r="W68" s="285">
        <v>0</v>
      </c>
      <c r="X68" s="285">
        <v>0</v>
      </c>
      <c r="Y68" s="285">
        <v>0</v>
      </c>
      <c r="Z68" s="285">
        <v>0</v>
      </c>
      <c r="AA68" s="287">
        <v>0</v>
      </c>
      <c r="AB68" s="285">
        <v>0</v>
      </c>
      <c r="AC68" s="285">
        <v>0</v>
      </c>
      <c r="AD68" s="285">
        <v>0</v>
      </c>
      <c r="AE68" s="285">
        <v>0</v>
      </c>
      <c r="AF68" s="285">
        <v>0</v>
      </c>
      <c r="AG68" s="285">
        <v>0</v>
      </c>
      <c r="AH68" s="286" t="e">
        <v>#DIV/0!</v>
      </c>
      <c r="AI68" s="285">
        <v>0</v>
      </c>
      <c r="AJ68" s="285">
        <v>0</v>
      </c>
      <c r="AK68" s="285">
        <v>0</v>
      </c>
      <c r="AL68" s="285">
        <v>0</v>
      </c>
      <c r="AM68" s="285">
        <v>0</v>
      </c>
      <c r="AN68" s="287">
        <v>0</v>
      </c>
      <c r="AO68" s="285">
        <v>41526303</v>
      </c>
      <c r="AP68" s="285">
        <v>66277867.439999998</v>
      </c>
      <c r="AQ68" s="285">
        <v>64277867.439999998</v>
      </c>
      <c r="AR68" s="285">
        <v>52506564.439999998</v>
      </c>
      <c r="AS68" s="285">
        <v>52506564.439999998</v>
      </c>
      <c r="AT68" s="285">
        <v>52506564.439999998</v>
      </c>
      <c r="AU68" s="286">
        <v>0.79221867673296997</v>
      </c>
      <c r="AV68" s="285">
        <v>13771303</v>
      </c>
      <c r="AW68" s="285">
        <v>2000000</v>
      </c>
      <c r="AX68" s="285">
        <v>13771303</v>
      </c>
      <c r="AY68" s="285">
        <v>11771303</v>
      </c>
      <c r="AZ68" s="285">
        <v>0</v>
      </c>
      <c r="BA68" s="287">
        <v>0</v>
      </c>
      <c r="BB68" s="285">
        <v>0</v>
      </c>
      <c r="BC68" s="285">
        <v>0</v>
      </c>
      <c r="BD68" s="285">
        <v>0</v>
      </c>
      <c r="BE68" s="285">
        <v>0</v>
      </c>
      <c r="BF68" s="285">
        <v>0</v>
      </c>
      <c r="BG68" s="285">
        <v>0</v>
      </c>
      <c r="BH68" s="286" t="e">
        <v>#DIV/0!</v>
      </c>
      <c r="BI68" s="285">
        <v>0</v>
      </c>
      <c r="BJ68" s="285">
        <v>0</v>
      </c>
      <c r="BK68" s="285">
        <v>0</v>
      </c>
      <c r="BL68" s="285">
        <v>0</v>
      </c>
      <c r="BM68" s="285">
        <v>0</v>
      </c>
      <c r="BN68" s="287">
        <v>0</v>
      </c>
      <c r="BO68" s="285">
        <v>0</v>
      </c>
      <c r="BP68" s="285">
        <v>0</v>
      </c>
      <c r="BQ68" s="285">
        <v>0</v>
      </c>
      <c r="BR68" s="285">
        <v>0</v>
      </c>
      <c r="BS68" s="285">
        <v>0</v>
      </c>
      <c r="BT68" s="285">
        <v>0</v>
      </c>
      <c r="BU68" s="286" t="e">
        <v>#DIV/0!</v>
      </c>
      <c r="BV68" s="285">
        <v>0</v>
      </c>
      <c r="BW68" s="285">
        <v>0</v>
      </c>
      <c r="BX68" s="285">
        <v>0</v>
      </c>
      <c r="BY68" s="285">
        <v>0</v>
      </c>
      <c r="BZ68" s="285">
        <v>0</v>
      </c>
      <c r="CA68" s="287">
        <v>0</v>
      </c>
    </row>
    <row r="69" spans="1:79" x14ac:dyDescent="0.25">
      <c r="A69" s="274" t="s">
        <v>92</v>
      </c>
      <c r="B69" s="288">
        <v>104250000</v>
      </c>
      <c r="C69" s="288">
        <v>104250000</v>
      </c>
      <c r="D69" s="288">
        <v>104250000</v>
      </c>
      <c r="E69" s="288">
        <v>70606713.258999988</v>
      </c>
      <c r="F69" s="288">
        <v>70294130.858999997</v>
      </c>
      <c r="G69" s="288">
        <v>70263770.858999997</v>
      </c>
      <c r="H69" s="289">
        <v>0.67399300584172661</v>
      </c>
      <c r="I69" s="288">
        <v>33986229.141000003</v>
      </c>
      <c r="J69" s="288">
        <v>0</v>
      </c>
      <c r="K69" s="288">
        <v>33643286.741000012</v>
      </c>
      <c r="L69" s="288">
        <v>33643286.741000012</v>
      </c>
      <c r="M69" s="288">
        <v>312582.39999999106</v>
      </c>
      <c r="N69" s="290">
        <v>30360</v>
      </c>
      <c r="O69" s="288">
        <v>0</v>
      </c>
      <c r="P69" s="288">
        <v>0</v>
      </c>
      <c r="Q69" s="288">
        <v>0</v>
      </c>
      <c r="R69" s="288">
        <v>0</v>
      </c>
      <c r="S69" s="288">
        <v>0</v>
      </c>
      <c r="T69" s="288">
        <v>0</v>
      </c>
      <c r="U69" s="289" t="e">
        <v>#DIV/0!</v>
      </c>
      <c r="V69" s="288">
        <v>0</v>
      </c>
      <c r="W69" s="288">
        <v>0</v>
      </c>
      <c r="X69" s="288">
        <v>0</v>
      </c>
      <c r="Y69" s="288">
        <v>0</v>
      </c>
      <c r="Z69" s="288">
        <v>0</v>
      </c>
      <c r="AA69" s="290">
        <v>0</v>
      </c>
      <c r="AB69" s="288">
        <v>0</v>
      </c>
      <c r="AC69" s="288">
        <v>0</v>
      </c>
      <c r="AD69" s="288">
        <v>0</v>
      </c>
      <c r="AE69" s="288">
        <v>0</v>
      </c>
      <c r="AF69" s="288">
        <v>0</v>
      </c>
      <c r="AG69" s="288">
        <v>0</v>
      </c>
      <c r="AH69" s="289" t="e">
        <v>#DIV/0!</v>
      </c>
      <c r="AI69" s="288">
        <v>0</v>
      </c>
      <c r="AJ69" s="288">
        <v>0</v>
      </c>
      <c r="AK69" s="288">
        <v>0</v>
      </c>
      <c r="AL69" s="288">
        <v>0</v>
      </c>
      <c r="AM69" s="288">
        <v>0</v>
      </c>
      <c r="AN69" s="290">
        <v>0</v>
      </c>
      <c r="AO69" s="288">
        <v>104250000</v>
      </c>
      <c r="AP69" s="288">
        <v>104250000</v>
      </c>
      <c r="AQ69" s="288">
        <v>104250000</v>
      </c>
      <c r="AR69" s="288">
        <v>70606713.258999988</v>
      </c>
      <c r="AS69" s="288">
        <v>70294130.858999997</v>
      </c>
      <c r="AT69" s="288">
        <v>70263770.858999997</v>
      </c>
      <c r="AU69" s="289">
        <v>0.67399300584172661</v>
      </c>
      <c r="AV69" s="288">
        <v>33986229.141000003</v>
      </c>
      <c r="AW69" s="288">
        <v>0</v>
      </c>
      <c r="AX69" s="288">
        <v>33643286.741000012</v>
      </c>
      <c r="AY69" s="288">
        <v>33643286.741000012</v>
      </c>
      <c r="AZ69" s="288">
        <v>312582.39999999106</v>
      </c>
      <c r="BA69" s="290">
        <v>30360</v>
      </c>
      <c r="BB69" s="288">
        <v>0</v>
      </c>
      <c r="BC69" s="288">
        <v>0</v>
      </c>
      <c r="BD69" s="288">
        <v>0</v>
      </c>
      <c r="BE69" s="288">
        <v>0</v>
      </c>
      <c r="BF69" s="288">
        <v>0</v>
      </c>
      <c r="BG69" s="288">
        <v>0</v>
      </c>
      <c r="BH69" s="289" t="e">
        <v>#DIV/0!</v>
      </c>
      <c r="BI69" s="288">
        <v>0</v>
      </c>
      <c r="BJ69" s="288">
        <v>0</v>
      </c>
      <c r="BK69" s="288">
        <v>0</v>
      </c>
      <c r="BL69" s="288">
        <v>0</v>
      </c>
      <c r="BM69" s="288">
        <v>0</v>
      </c>
      <c r="BN69" s="290">
        <v>0</v>
      </c>
      <c r="BO69" s="288">
        <v>0</v>
      </c>
      <c r="BP69" s="288">
        <v>0</v>
      </c>
      <c r="BQ69" s="288">
        <v>0</v>
      </c>
      <c r="BR69" s="288">
        <v>0</v>
      </c>
      <c r="BS69" s="288">
        <v>0</v>
      </c>
      <c r="BT69" s="288">
        <v>0</v>
      </c>
      <c r="BU69" s="289" t="e">
        <v>#DIV/0!</v>
      </c>
      <c r="BV69" s="288">
        <v>0</v>
      </c>
      <c r="BW69" s="288">
        <v>0</v>
      </c>
      <c r="BX69" s="288">
        <v>0</v>
      </c>
      <c r="BY69" s="288">
        <v>0</v>
      </c>
      <c r="BZ69" s="288">
        <v>0</v>
      </c>
      <c r="CA69" s="290">
        <v>0</v>
      </c>
    </row>
    <row r="70" spans="1:79" x14ac:dyDescent="0.25">
      <c r="A70" s="279" t="s">
        <v>93</v>
      </c>
      <c r="B70" s="280">
        <v>104250000</v>
      </c>
      <c r="C70" s="280">
        <v>104250000</v>
      </c>
      <c r="D70" s="280">
        <v>104250000</v>
      </c>
      <c r="E70" s="280">
        <v>70606713.258999988</v>
      </c>
      <c r="F70" s="280">
        <v>70294130.858999997</v>
      </c>
      <c r="G70" s="280">
        <v>70263770.858999997</v>
      </c>
      <c r="H70" s="281">
        <v>0.67399300584172661</v>
      </c>
      <c r="I70" s="280">
        <v>33986229.141000003</v>
      </c>
      <c r="J70" s="280">
        <v>0</v>
      </c>
      <c r="K70" s="280">
        <v>33643286.741000012</v>
      </c>
      <c r="L70" s="280">
        <v>33643286.741000012</v>
      </c>
      <c r="M70" s="280">
        <v>312582.39999999106</v>
      </c>
      <c r="N70" s="282">
        <v>30360</v>
      </c>
      <c r="O70" s="280">
        <v>0</v>
      </c>
      <c r="P70" s="280">
        <v>0</v>
      </c>
      <c r="Q70" s="280">
        <v>0</v>
      </c>
      <c r="R70" s="280">
        <v>0</v>
      </c>
      <c r="S70" s="280">
        <v>0</v>
      </c>
      <c r="T70" s="280">
        <v>0</v>
      </c>
      <c r="U70" s="281" t="e">
        <v>#DIV/0!</v>
      </c>
      <c r="V70" s="280">
        <v>0</v>
      </c>
      <c r="W70" s="280">
        <v>0</v>
      </c>
      <c r="X70" s="280">
        <v>0</v>
      </c>
      <c r="Y70" s="280">
        <v>0</v>
      </c>
      <c r="Z70" s="280">
        <v>0</v>
      </c>
      <c r="AA70" s="282">
        <v>0</v>
      </c>
      <c r="AB70" s="280">
        <v>0</v>
      </c>
      <c r="AC70" s="280">
        <v>0</v>
      </c>
      <c r="AD70" s="280">
        <v>0</v>
      </c>
      <c r="AE70" s="280">
        <v>0</v>
      </c>
      <c r="AF70" s="280">
        <v>0</v>
      </c>
      <c r="AG70" s="280">
        <v>0</v>
      </c>
      <c r="AH70" s="281" t="e">
        <v>#DIV/0!</v>
      </c>
      <c r="AI70" s="280">
        <v>0</v>
      </c>
      <c r="AJ70" s="280">
        <v>0</v>
      </c>
      <c r="AK70" s="280">
        <v>0</v>
      </c>
      <c r="AL70" s="280">
        <v>0</v>
      </c>
      <c r="AM70" s="280">
        <v>0</v>
      </c>
      <c r="AN70" s="282">
        <v>0</v>
      </c>
      <c r="AO70" s="280">
        <v>104250000</v>
      </c>
      <c r="AP70" s="280">
        <v>104250000</v>
      </c>
      <c r="AQ70" s="280">
        <v>104250000</v>
      </c>
      <c r="AR70" s="280">
        <v>70606713.258999988</v>
      </c>
      <c r="AS70" s="280">
        <v>70294130.858999997</v>
      </c>
      <c r="AT70" s="280">
        <v>70263770.858999997</v>
      </c>
      <c r="AU70" s="281">
        <v>0.67399300584172661</v>
      </c>
      <c r="AV70" s="280">
        <v>33986229.141000003</v>
      </c>
      <c r="AW70" s="280">
        <v>0</v>
      </c>
      <c r="AX70" s="280">
        <v>33643286.741000012</v>
      </c>
      <c r="AY70" s="280">
        <v>33643286.741000012</v>
      </c>
      <c r="AZ70" s="280">
        <v>312582.39999999106</v>
      </c>
      <c r="BA70" s="282">
        <v>30360</v>
      </c>
      <c r="BB70" s="280">
        <v>0</v>
      </c>
      <c r="BC70" s="280">
        <v>0</v>
      </c>
      <c r="BD70" s="280">
        <v>0</v>
      </c>
      <c r="BE70" s="280">
        <v>0</v>
      </c>
      <c r="BF70" s="280">
        <v>0</v>
      </c>
      <c r="BG70" s="280">
        <v>0</v>
      </c>
      <c r="BH70" s="281" t="e">
        <v>#DIV/0!</v>
      </c>
      <c r="BI70" s="280">
        <v>0</v>
      </c>
      <c r="BJ70" s="280">
        <v>0</v>
      </c>
      <c r="BK70" s="280">
        <v>0</v>
      </c>
      <c r="BL70" s="280">
        <v>0</v>
      </c>
      <c r="BM70" s="280">
        <v>0</v>
      </c>
      <c r="BN70" s="282">
        <v>0</v>
      </c>
      <c r="BO70" s="280">
        <v>0</v>
      </c>
      <c r="BP70" s="280">
        <v>0</v>
      </c>
      <c r="BQ70" s="280">
        <v>0</v>
      </c>
      <c r="BR70" s="280">
        <v>0</v>
      </c>
      <c r="BS70" s="280">
        <v>0</v>
      </c>
      <c r="BT70" s="280">
        <v>0</v>
      </c>
      <c r="BU70" s="281" t="e">
        <v>#DIV/0!</v>
      </c>
      <c r="BV70" s="280">
        <v>0</v>
      </c>
      <c r="BW70" s="280">
        <v>0</v>
      </c>
      <c r="BX70" s="280">
        <v>0</v>
      </c>
      <c r="BY70" s="280">
        <v>0</v>
      </c>
      <c r="BZ70" s="280">
        <v>0</v>
      </c>
      <c r="CA70" s="282">
        <v>0</v>
      </c>
    </row>
    <row r="71" spans="1:79" ht="24" x14ac:dyDescent="0.25">
      <c r="A71" s="284" t="s">
        <v>1087</v>
      </c>
      <c r="B71" s="285">
        <v>104250000</v>
      </c>
      <c r="C71" s="285">
        <v>104250000</v>
      </c>
      <c r="D71" s="285">
        <v>104250000</v>
      </c>
      <c r="E71" s="285">
        <v>70606713.258999988</v>
      </c>
      <c r="F71" s="285">
        <v>70294130.858999997</v>
      </c>
      <c r="G71" s="285">
        <v>70263770.858999997</v>
      </c>
      <c r="H71" s="286">
        <v>0.67399300584172661</v>
      </c>
      <c r="I71" s="285">
        <v>33986229.141000003</v>
      </c>
      <c r="J71" s="285">
        <v>0</v>
      </c>
      <c r="K71" s="285">
        <v>33643286.741000012</v>
      </c>
      <c r="L71" s="285">
        <v>33643286.741000012</v>
      </c>
      <c r="M71" s="285">
        <v>312582.39999999106</v>
      </c>
      <c r="N71" s="287">
        <v>30360</v>
      </c>
      <c r="O71" s="285">
        <v>0</v>
      </c>
      <c r="P71" s="285">
        <v>0</v>
      </c>
      <c r="Q71" s="285">
        <v>0</v>
      </c>
      <c r="R71" s="285">
        <v>0</v>
      </c>
      <c r="S71" s="285">
        <v>0</v>
      </c>
      <c r="T71" s="285">
        <v>0</v>
      </c>
      <c r="U71" s="286" t="e">
        <v>#DIV/0!</v>
      </c>
      <c r="V71" s="285">
        <v>0</v>
      </c>
      <c r="W71" s="285">
        <v>0</v>
      </c>
      <c r="X71" s="285">
        <v>0</v>
      </c>
      <c r="Y71" s="285">
        <v>0</v>
      </c>
      <c r="Z71" s="285">
        <v>0</v>
      </c>
      <c r="AA71" s="287">
        <v>0</v>
      </c>
      <c r="AB71" s="285">
        <v>0</v>
      </c>
      <c r="AC71" s="285">
        <v>0</v>
      </c>
      <c r="AD71" s="285">
        <v>0</v>
      </c>
      <c r="AE71" s="285">
        <v>0</v>
      </c>
      <c r="AF71" s="285">
        <v>0</v>
      </c>
      <c r="AG71" s="285">
        <v>0</v>
      </c>
      <c r="AH71" s="286" t="e">
        <v>#DIV/0!</v>
      </c>
      <c r="AI71" s="285">
        <v>0</v>
      </c>
      <c r="AJ71" s="285">
        <v>0</v>
      </c>
      <c r="AK71" s="285">
        <v>0</v>
      </c>
      <c r="AL71" s="285">
        <v>0</v>
      </c>
      <c r="AM71" s="285">
        <v>0</v>
      </c>
      <c r="AN71" s="287">
        <v>0</v>
      </c>
      <c r="AO71" s="285">
        <v>104250000</v>
      </c>
      <c r="AP71" s="285">
        <v>104250000</v>
      </c>
      <c r="AQ71" s="285">
        <v>104250000</v>
      </c>
      <c r="AR71" s="285">
        <v>70606713.258999988</v>
      </c>
      <c r="AS71" s="285">
        <v>70294130.858999997</v>
      </c>
      <c r="AT71" s="285">
        <v>70263770.858999997</v>
      </c>
      <c r="AU71" s="286">
        <v>0.67399300584172661</v>
      </c>
      <c r="AV71" s="285">
        <v>33986229.141000003</v>
      </c>
      <c r="AW71" s="285">
        <v>0</v>
      </c>
      <c r="AX71" s="285">
        <v>33643286.741000012</v>
      </c>
      <c r="AY71" s="285">
        <v>33643286.741000012</v>
      </c>
      <c r="AZ71" s="285">
        <v>312582.39999999106</v>
      </c>
      <c r="BA71" s="287">
        <v>30360</v>
      </c>
      <c r="BB71" s="285">
        <v>0</v>
      </c>
      <c r="BC71" s="285">
        <v>0</v>
      </c>
      <c r="BD71" s="285">
        <v>0</v>
      </c>
      <c r="BE71" s="285">
        <v>0</v>
      </c>
      <c r="BF71" s="285">
        <v>0</v>
      </c>
      <c r="BG71" s="285">
        <v>0</v>
      </c>
      <c r="BH71" s="286" t="e">
        <v>#DIV/0!</v>
      </c>
      <c r="BI71" s="285">
        <v>0</v>
      </c>
      <c r="BJ71" s="285">
        <v>0</v>
      </c>
      <c r="BK71" s="285">
        <v>0</v>
      </c>
      <c r="BL71" s="285">
        <v>0</v>
      </c>
      <c r="BM71" s="285">
        <v>0</v>
      </c>
      <c r="BN71" s="287">
        <v>0</v>
      </c>
      <c r="BO71" s="285">
        <v>0</v>
      </c>
      <c r="BP71" s="285">
        <v>0</v>
      </c>
      <c r="BQ71" s="285">
        <v>0</v>
      </c>
      <c r="BR71" s="285">
        <v>0</v>
      </c>
      <c r="BS71" s="285">
        <v>0</v>
      </c>
      <c r="BT71" s="285">
        <v>0</v>
      </c>
      <c r="BU71" s="286" t="e">
        <v>#DIV/0!</v>
      </c>
      <c r="BV71" s="285">
        <v>0</v>
      </c>
      <c r="BW71" s="285">
        <v>0</v>
      </c>
      <c r="BX71" s="285">
        <v>0</v>
      </c>
      <c r="BY71" s="285">
        <v>0</v>
      </c>
      <c r="BZ71" s="285">
        <v>0</v>
      </c>
      <c r="CA71" s="287">
        <v>0</v>
      </c>
    </row>
    <row r="72" spans="1:79" x14ac:dyDescent="0.25">
      <c r="A72" s="274" t="s">
        <v>1103</v>
      </c>
      <c r="B72" s="288">
        <v>3500000</v>
      </c>
      <c r="C72" s="288">
        <v>3364647.21</v>
      </c>
      <c r="D72" s="288">
        <v>3314647.21</v>
      </c>
      <c r="E72" s="288">
        <v>2531217.5499999998</v>
      </c>
      <c r="F72" s="288">
        <v>1953751.4800000002</v>
      </c>
      <c r="G72" s="288">
        <v>1953551.45</v>
      </c>
      <c r="H72" s="289">
        <v>0.58061107987603844</v>
      </c>
      <c r="I72" s="288">
        <v>1411095.76</v>
      </c>
      <c r="J72" s="288">
        <v>50000</v>
      </c>
      <c r="K72" s="288">
        <v>833429.66000000015</v>
      </c>
      <c r="L72" s="288">
        <v>783429.66000000015</v>
      </c>
      <c r="M72" s="288">
        <v>577466.0699999996</v>
      </c>
      <c r="N72" s="290">
        <v>200.03000000026077</v>
      </c>
      <c r="O72" s="288">
        <v>2017198</v>
      </c>
      <c r="P72" s="288">
        <v>2017198</v>
      </c>
      <c r="Q72" s="288">
        <v>2017198</v>
      </c>
      <c r="R72" s="288">
        <v>1800553.38</v>
      </c>
      <c r="S72" s="288">
        <v>1354471.6400000001</v>
      </c>
      <c r="T72" s="288">
        <v>1354471.6400000001</v>
      </c>
      <c r="U72" s="289">
        <v>0.67146191895887275</v>
      </c>
      <c r="V72" s="288">
        <v>662726.35999999987</v>
      </c>
      <c r="W72" s="288">
        <v>0</v>
      </c>
      <c r="X72" s="288">
        <v>216644.62000000011</v>
      </c>
      <c r="Y72" s="288">
        <v>216644.62000000011</v>
      </c>
      <c r="Z72" s="288">
        <v>446081.73999999976</v>
      </c>
      <c r="AA72" s="290">
        <v>0</v>
      </c>
      <c r="AB72" s="288">
        <v>1148995</v>
      </c>
      <c r="AC72" s="288">
        <v>1148995</v>
      </c>
      <c r="AD72" s="288">
        <v>1098995</v>
      </c>
      <c r="AE72" s="288">
        <v>618570.08000000007</v>
      </c>
      <c r="AF72" s="288">
        <v>487185.74999999994</v>
      </c>
      <c r="AG72" s="288">
        <v>486985.72</v>
      </c>
      <c r="AH72" s="289">
        <v>0.42383623949625537</v>
      </c>
      <c r="AI72" s="288">
        <v>662009.28</v>
      </c>
      <c r="AJ72" s="288">
        <v>50000</v>
      </c>
      <c r="AK72" s="288">
        <v>530424.91999999993</v>
      </c>
      <c r="AL72" s="288">
        <v>480424.91999999993</v>
      </c>
      <c r="AM72" s="288">
        <v>131384.33000000013</v>
      </c>
      <c r="AN72" s="290">
        <v>200.02999999996973</v>
      </c>
      <c r="AO72" s="288">
        <v>333807</v>
      </c>
      <c r="AP72" s="288">
        <v>198454.21</v>
      </c>
      <c r="AQ72" s="288">
        <v>198454.21</v>
      </c>
      <c r="AR72" s="288">
        <v>112094.09</v>
      </c>
      <c r="AS72" s="288">
        <v>112094.09</v>
      </c>
      <c r="AT72" s="288">
        <v>112094.09</v>
      </c>
      <c r="AU72" s="289">
        <v>0.5648360395075519</v>
      </c>
      <c r="AV72" s="288">
        <v>86360.12</v>
      </c>
      <c r="AW72" s="288">
        <v>0</v>
      </c>
      <c r="AX72" s="288">
        <v>86360.12</v>
      </c>
      <c r="AY72" s="288">
        <v>86360.12</v>
      </c>
      <c r="AZ72" s="288">
        <v>0</v>
      </c>
      <c r="BA72" s="290">
        <v>0</v>
      </c>
      <c r="BB72" s="288">
        <v>0</v>
      </c>
      <c r="BC72" s="288">
        <v>0</v>
      </c>
      <c r="BD72" s="288">
        <v>0</v>
      </c>
      <c r="BE72" s="288">
        <v>0</v>
      </c>
      <c r="BF72" s="288">
        <v>0</v>
      </c>
      <c r="BG72" s="288">
        <v>0</v>
      </c>
      <c r="BH72" s="289" t="e">
        <v>#DIV/0!</v>
      </c>
      <c r="BI72" s="288">
        <v>0</v>
      </c>
      <c r="BJ72" s="288">
        <v>0</v>
      </c>
      <c r="BK72" s="288">
        <v>0</v>
      </c>
      <c r="BL72" s="288">
        <v>0</v>
      </c>
      <c r="BM72" s="288">
        <v>0</v>
      </c>
      <c r="BN72" s="290">
        <v>0</v>
      </c>
      <c r="BO72" s="288">
        <v>0</v>
      </c>
      <c r="BP72" s="288">
        <v>0</v>
      </c>
      <c r="BQ72" s="288">
        <v>0</v>
      </c>
      <c r="BR72" s="288">
        <v>0</v>
      </c>
      <c r="BS72" s="288">
        <v>0</v>
      </c>
      <c r="BT72" s="288">
        <v>0</v>
      </c>
      <c r="BU72" s="289" t="e">
        <v>#DIV/0!</v>
      </c>
      <c r="BV72" s="288">
        <v>0</v>
      </c>
      <c r="BW72" s="288">
        <v>0</v>
      </c>
      <c r="BX72" s="288">
        <v>0</v>
      </c>
      <c r="BY72" s="288">
        <v>0</v>
      </c>
      <c r="BZ72" s="288">
        <v>0</v>
      </c>
      <c r="CA72" s="290">
        <v>0</v>
      </c>
    </row>
    <row r="73" spans="1:79" ht="24" x14ac:dyDescent="0.25">
      <c r="A73" s="279" t="s">
        <v>94</v>
      </c>
      <c r="B73" s="280">
        <v>3500000</v>
      </c>
      <c r="C73" s="280">
        <v>3364647.21</v>
      </c>
      <c r="D73" s="280">
        <v>3314647.21</v>
      </c>
      <c r="E73" s="280">
        <v>2531217.5499999998</v>
      </c>
      <c r="F73" s="280">
        <v>1953751.4800000002</v>
      </c>
      <c r="G73" s="280">
        <v>1953551.45</v>
      </c>
      <c r="H73" s="281">
        <v>0.58061107987603844</v>
      </c>
      <c r="I73" s="280">
        <v>1411095.76</v>
      </c>
      <c r="J73" s="280">
        <v>50000</v>
      </c>
      <c r="K73" s="280">
        <v>833429.66000000015</v>
      </c>
      <c r="L73" s="280">
        <v>783429.66000000015</v>
      </c>
      <c r="M73" s="280">
        <v>577466.0699999996</v>
      </c>
      <c r="N73" s="282">
        <v>200.03000000026077</v>
      </c>
      <c r="O73" s="280">
        <v>2017198</v>
      </c>
      <c r="P73" s="280">
        <v>2017198</v>
      </c>
      <c r="Q73" s="280">
        <v>2017198</v>
      </c>
      <c r="R73" s="280">
        <v>1800553.38</v>
      </c>
      <c r="S73" s="280">
        <v>1354471.6400000001</v>
      </c>
      <c r="T73" s="280">
        <v>1354471.6400000001</v>
      </c>
      <c r="U73" s="281">
        <v>0.67146191895887275</v>
      </c>
      <c r="V73" s="280">
        <v>662726.35999999987</v>
      </c>
      <c r="W73" s="280">
        <v>0</v>
      </c>
      <c r="X73" s="280">
        <v>216644.62000000011</v>
      </c>
      <c r="Y73" s="280">
        <v>216644.62000000011</v>
      </c>
      <c r="Z73" s="280">
        <v>446081.73999999976</v>
      </c>
      <c r="AA73" s="282">
        <v>0</v>
      </c>
      <c r="AB73" s="280">
        <v>1148995</v>
      </c>
      <c r="AC73" s="280">
        <v>1148995</v>
      </c>
      <c r="AD73" s="280">
        <v>1098995</v>
      </c>
      <c r="AE73" s="280">
        <v>618570.08000000007</v>
      </c>
      <c r="AF73" s="280">
        <v>487185.74999999994</v>
      </c>
      <c r="AG73" s="280">
        <v>486985.72</v>
      </c>
      <c r="AH73" s="281">
        <v>0.42383623949625537</v>
      </c>
      <c r="AI73" s="280">
        <v>662009.28</v>
      </c>
      <c r="AJ73" s="280">
        <v>50000</v>
      </c>
      <c r="AK73" s="280">
        <v>530424.91999999993</v>
      </c>
      <c r="AL73" s="280">
        <v>480424.91999999993</v>
      </c>
      <c r="AM73" s="280">
        <v>131384.33000000013</v>
      </c>
      <c r="AN73" s="282">
        <v>200.02999999996973</v>
      </c>
      <c r="AO73" s="280">
        <v>333807</v>
      </c>
      <c r="AP73" s="280">
        <v>198454.21</v>
      </c>
      <c r="AQ73" s="280">
        <v>198454.21</v>
      </c>
      <c r="AR73" s="280">
        <v>112094.09</v>
      </c>
      <c r="AS73" s="280">
        <v>112094.09</v>
      </c>
      <c r="AT73" s="280">
        <v>112094.09</v>
      </c>
      <c r="AU73" s="281">
        <v>0.5648360395075519</v>
      </c>
      <c r="AV73" s="280">
        <v>86360.12</v>
      </c>
      <c r="AW73" s="280">
        <v>0</v>
      </c>
      <c r="AX73" s="280">
        <v>86360.12</v>
      </c>
      <c r="AY73" s="280">
        <v>86360.12</v>
      </c>
      <c r="AZ73" s="280">
        <v>0</v>
      </c>
      <c r="BA73" s="282">
        <v>0</v>
      </c>
      <c r="BB73" s="280">
        <v>0</v>
      </c>
      <c r="BC73" s="280">
        <v>0</v>
      </c>
      <c r="BD73" s="280">
        <v>0</v>
      </c>
      <c r="BE73" s="280">
        <v>0</v>
      </c>
      <c r="BF73" s="280">
        <v>0</v>
      </c>
      <c r="BG73" s="280">
        <v>0</v>
      </c>
      <c r="BH73" s="281" t="e">
        <v>#DIV/0!</v>
      </c>
      <c r="BI73" s="280">
        <v>0</v>
      </c>
      <c r="BJ73" s="280">
        <v>0</v>
      </c>
      <c r="BK73" s="280">
        <v>0</v>
      </c>
      <c r="BL73" s="280">
        <v>0</v>
      </c>
      <c r="BM73" s="280">
        <v>0</v>
      </c>
      <c r="BN73" s="282">
        <v>0</v>
      </c>
      <c r="BO73" s="280">
        <v>0</v>
      </c>
      <c r="BP73" s="280">
        <v>0</v>
      </c>
      <c r="BQ73" s="280">
        <v>0</v>
      </c>
      <c r="BR73" s="280">
        <v>0</v>
      </c>
      <c r="BS73" s="280">
        <v>0</v>
      </c>
      <c r="BT73" s="280">
        <v>0</v>
      </c>
      <c r="BU73" s="281" t="e">
        <v>#DIV/0!</v>
      </c>
      <c r="BV73" s="280">
        <v>0</v>
      </c>
      <c r="BW73" s="280">
        <v>0</v>
      </c>
      <c r="BX73" s="280">
        <v>0</v>
      </c>
      <c r="BY73" s="280">
        <v>0</v>
      </c>
      <c r="BZ73" s="280">
        <v>0</v>
      </c>
      <c r="CA73" s="282">
        <v>0</v>
      </c>
    </row>
    <row r="74" spans="1:79" ht="36" x14ac:dyDescent="0.25">
      <c r="A74" s="284" t="s">
        <v>95</v>
      </c>
      <c r="B74" s="285">
        <v>3306538</v>
      </c>
      <c r="C74" s="285">
        <v>3155932.21</v>
      </c>
      <c r="D74" s="285">
        <v>3105932.21</v>
      </c>
      <c r="E74" s="285">
        <v>2447380.5499999998</v>
      </c>
      <c r="F74" s="285">
        <v>1874177.4800000002</v>
      </c>
      <c r="G74" s="285">
        <v>1874137.45</v>
      </c>
      <c r="H74" s="286">
        <v>0.5938459147067674</v>
      </c>
      <c r="I74" s="285">
        <v>1281794.76</v>
      </c>
      <c r="J74" s="285">
        <v>50000</v>
      </c>
      <c r="K74" s="285">
        <v>708551.66000000015</v>
      </c>
      <c r="L74" s="285">
        <v>658551.66000000015</v>
      </c>
      <c r="M74" s="285">
        <v>573203.0699999996</v>
      </c>
      <c r="N74" s="287">
        <v>40.03000000026077</v>
      </c>
      <c r="O74" s="285">
        <v>2017198</v>
      </c>
      <c r="P74" s="285">
        <v>2017198</v>
      </c>
      <c r="Q74" s="285">
        <v>2017198</v>
      </c>
      <c r="R74" s="285">
        <v>1800553.38</v>
      </c>
      <c r="S74" s="285">
        <v>1354471.6400000001</v>
      </c>
      <c r="T74" s="285">
        <v>1354471.6400000001</v>
      </c>
      <c r="U74" s="286">
        <v>0.67146191895887275</v>
      </c>
      <c r="V74" s="285">
        <v>662726.35999999987</v>
      </c>
      <c r="W74" s="285">
        <v>0</v>
      </c>
      <c r="X74" s="285">
        <v>216644.62000000011</v>
      </c>
      <c r="Y74" s="285">
        <v>216644.62000000011</v>
      </c>
      <c r="Z74" s="285">
        <v>446081.73999999976</v>
      </c>
      <c r="AA74" s="287">
        <v>0</v>
      </c>
      <c r="AB74" s="285">
        <v>955533</v>
      </c>
      <c r="AC74" s="285">
        <v>940280</v>
      </c>
      <c r="AD74" s="285">
        <v>890280</v>
      </c>
      <c r="AE74" s="285">
        <v>534733.08000000007</v>
      </c>
      <c r="AF74" s="285">
        <v>407611.74999999994</v>
      </c>
      <c r="AG74" s="285">
        <v>407571.72</v>
      </c>
      <c r="AH74" s="286">
        <v>0.43345782107457348</v>
      </c>
      <c r="AI74" s="285">
        <v>532708.28</v>
      </c>
      <c r="AJ74" s="285">
        <v>50000</v>
      </c>
      <c r="AK74" s="285">
        <v>405546.91999999993</v>
      </c>
      <c r="AL74" s="285">
        <v>355546.91999999993</v>
      </c>
      <c r="AM74" s="285">
        <v>127121.33000000013</v>
      </c>
      <c r="AN74" s="287">
        <v>40.029999999969732</v>
      </c>
      <c r="AO74" s="285">
        <v>333807</v>
      </c>
      <c r="AP74" s="285">
        <v>198454.21</v>
      </c>
      <c r="AQ74" s="285">
        <v>198454.21</v>
      </c>
      <c r="AR74" s="285">
        <v>112094.09</v>
      </c>
      <c r="AS74" s="285">
        <v>112094.09</v>
      </c>
      <c r="AT74" s="285">
        <v>112094.09</v>
      </c>
      <c r="AU74" s="286">
        <v>0.5648360395075519</v>
      </c>
      <c r="AV74" s="285">
        <v>86360.12</v>
      </c>
      <c r="AW74" s="285">
        <v>0</v>
      </c>
      <c r="AX74" s="285">
        <v>86360.12</v>
      </c>
      <c r="AY74" s="285">
        <v>86360.12</v>
      </c>
      <c r="AZ74" s="285">
        <v>0</v>
      </c>
      <c r="BA74" s="287">
        <v>0</v>
      </c>
      <c r="BB74" s="285">
        <v>0</v>
      </c>
      <c r="BC74" s="285">
        <v>0</v>
      </c>
      <c r="BD74" s="285">
        <v>0</v>
      </c>
      <c r="BE74" s="285">
        <v>0</v>
      </c>
      <c r="BF74" s="285">
        <v>0</v>
      </c>
      <c r="BG74" s="285">
        <v>0</v>
      </c>
      <c r="BH74" s="286" t="e">
        <v>#DIV/0!</v>
      </c>
      <c r="BI74" s="285">
        <v>0</v>
      </c>
      <c r="BJ74" s="285">
        <v>0</v>
      </c>
      <c r="BK74" s="285">
        <v>0</v>
      </c>
      <c r="BL74" s="285">
        <v>0</v>
      </c>
      <c r="BM74" s="285">
        <v>0</v>
      </c>
      <c r="BN74" s="287">
        <v>0</v>
      </c>
      <c r="BO74" s="285">
        <v>0</v>
      </c>
      <c r="BP74" s="285">
        <v>0</v>
      </c>
      <c r="BQ74" s="285">
        <v>0</v>
      </c>
      <c r="BR74" s="285">
        <v>0</v>
      </c>
      <c r="BS74" s="285">
        <v>0</v>
      </c>
      <c r="BT74" s="285">
        <v>0</v>
      </c>
      <c r="BU74" s="286" t="e">
        <v>#DIV/0!</v>
      </c>
      <c r="BV74" s="285">
        <v>0</v>
      </c>
      <c r="BW74" s="285">
        <v>0</v>
      </c>
      <c r="BX74" s="285">
        <v>0</v>
      </c>
      <c r="BY74" s="285">
        <v>0</v>
      </c>
      <c r="BZ74" s="285">
        <v>0</v>
      </c>
      <c r="CA74" s="287">
        <v>0</v>
      </c>
    </row>
    <row r="75" spans="1:79" ht="24" x14ac:dyDescent="0.25">
      <c r="A75" s="284" t="s">
        <v>96</v>
      </c>
      <c r="B75" s="285">
        <v>113335</v>
      </c>
      <c r="C75" s="285">
        <v>105588</v>
      </c>
      <c r="D75" s="285">
        <v>105588</v>
      </c>
      <c r="E75" s="285">
        <v>1718</v>
      </c>
      <c r="F75" s="285">
        <v>1718</v>
      </c>
      <c r="G75" s="285">
        <v>1718</v>
      </c>
      <c r="H75" s="286">
        <v>1.6270788347160663E-2</v>
      </c>
      <c r="I75" s="285">
        <v>103870</v>
      </c>
      <c r="J75" s="285">
        <v>0</v>
      </c>
      <c r="K75" s="285">
        <v>103870</v>
      </c>
      <c r="L75" s="285">
        <v>103870</v>
      </c>
      <c r="M75" s="285">
        <v>0</v>
      </c>
      <c r="N75" s="287">
        <v>0</v>
      </c>
      <c r="O75" s="285">
        <v>0</v>
      </c>
      <c r="P75" s="285">
        <v>0</v>
      </c>
      <c r="Q75" s="285">
        <v>0</v>
      </c>
      <c r="R75" s="285">
        <v>0</v>
      </c>
      <c r="S75" s="285">
        <v>0</v>
      </c>
      <c r="T75" s="285">
        <v>0</v>
      </c>
      <c r="U75" s="286" t="e">
        <v>#DIV/0!</v>
      </c>
      <c r="V75" s="285">
        <v>0</v>
      </c>
      <c r="W75" s="285">
        <v>0</v>
      </c>
      <c r="X75" s="285">
        <v>0</v>
      </c>
      <c r="Y75" s="285">
        <v>0</v>
      </c>
      <c r="Z75" s="285">
        <v>0</v>
      </c>
      <c r="AA75" s="287">
        <v>0</v>
      </c>
      <c r="AB75" s="285">
        <v>113335</v>
      </c>
      <c r="AC75" s="285">
        <v>105588</v>
      </c>
      <c r="AD75" s="285">
        <v>105588</v>
      </c>
      <c r="AE75" s="285">
        <v>1718</v>
      </c>
      <c r="AF75" s="285">
        <v>1718</v>
      </c>
      <c r="AG75" s="285">
        <v>1718</v>
      </c>
      <c r="AH75" s="286">
        <v>1.6270788347160663E-2</v>
      </c>
      <c r="AI75" s="285">
        <v>103870</v>
      </c>
      <c r="AJ75" s="285">
        <v>0</v>
      </c>
      <c r="AK75" s="285">
        <v>103870</v>
      </c>
      <c r="AL75" s="285">
        <v>103870</v>
      </c>
      <c r="AM75" s="285">
        <v>0</v>
      </c>
      <c r="AN75" s="287">
        <v>0</v>
      </c>
      <c r="AO75" s="285">
        <v>0</v>
      </c>
      <c r="AP75" s="285">
        <v>0</v>
      </c>
      <c r="AQ75" s="285">
        <v>0</v>
      </c>
      <c r="AR75" s="285">
        <v>0</v>
      </c>
      <c r="AS75" s="285">
        <v>0</v>
      </c>
      <c r="AT75" s="285">
        <v>0</v>
      </c>
      <c r="AU75" s="286" t="e">
        <v>#DIV/0!</v>
      </c>
      <c r="AV75" s="285">
        <v>0</v>
      </c>
      <c r="AW75" s="285">
        <v>0</v>
      </c>
      <c r="AX75" s="285">
        <v>0</v>
      </c>
      <c r="AY75" s="285">
        <v>0</v>
      </c>
      <c r="AZ75" s="285">
        <v>0</v>
      </c>
      <c r="BA75" s="287">
        <v>0</v>
      </c>
      <c r="BB75" s="285">
        <v>0</v>
      </c>
      <c r="BC75" s="285">
        <v>0</v>
      </c>
      <c r="BD75" s="285">
        <v>0</v>
      </c>
      <c r="BE75" s="285">
        <v>0</v>
      </c>
      <c r="BF75" s="285">
        <v>0</v>
      </c>
      <c r="BG75" s="285">
        <v>0</v>
      </c>
      <c r="BH75" s="286" t="e">
        <v>#DIV/0!</v>
      </c>
      <c r="BI75" s="285">
        <v>0</v>
      </c>
      <c r="BJ75" s="285">
        <v>0</v>
      </c>
      <c r="BK75" s="285">
        <v>0</v>
      </c>
      <c r="BL75" s="285">
        <v>0</v>
      </c>
      <c r="BM75" s="285">
        <v>0</v>
      </c>
      <c r="BN75" s="287">
        <v>0</v>
      </c>
      <c r="BO75" s="285">
        <v>0</v>
      </c>
      <c r="BP75" s="285">
        <v>0</v>
      </c>
      <c r="BQ75" s="285">
        <v>0</v>
      </c>
      <c r="BR75" s="285">
        <v>0</v>
      </c>
      <c r="BS75" s="285">
        <v>0</v>
      </c>
      <c r="BT75" s="285">
        <v>0</v>
      </c>
      <c r="BU75" s="286" t="e">
        <v>#DIV/0!</v>
      </c>
      <c r="BV75" s="285">
        <v>0</v>
      </c>
      <c r="BW75" s="285">
        <v>0</v>
      </c>
      <c r="BX75" s="285">
        <v>0</v>
      </c>
      <c r="BY75" s="285">
        <v>0</v>
      </c>
      <c r="BZ75" s="285">
        <v>0</v>
      </c>
      <c r="CA75" s="287">
        <v>0</v>
      </c>
    </row>
    <row r="76" spans="1:79" ht="48" x14ac:dyDescent="0.25">
      <c r="A76" s="284" t="s">
        <v>97</v>
      </c>
      <c r="B76" s="285">
        <v>0</v>
      </c>
      <c r="C76" s="285">
        <v>0</v>
      </c>
      <c r="D76" s="285">
        <v>0</v>
      </c>
      <c r="E76" s="285">
        <v>0</v>
      </c>
      <c r="F76" s="285">
        <v>0</v>
      </c>
      <c r="G76" s="285">
        <v>0</v>
      </c>
      <c r="H76" s="286" t="e">
        <v>#DIV/0!</v>
      </c>
      <c r="I76" s="285">
        <v>0</v>
      </c>
      <c r="J76" s="285">
        <v>0</v>
      </c>
      <c r="K76" s="285">
        <v>0</v>
      </c>
      <c r="L76" s="285">
        <v>0</v>
      </c>
      <c r="M76" s="285">
        <v>0</v>
      </c>
      <c r="N76" s="287">
        <v>0</v>
      </c>
      <c r="O76" s="285">
        <v>0</v>
      </c>
      <c r="P76" s="285">
        <v>0</v>
      </c>
      <c r="Q76" s="285">
        <v>0</v>
      </c>
      <c r="R76" s="285">
        <v>0</v>
      </c>
      <c r="S76" s="285">
        <v>0</v>
      </c>
      <c r="T76" s="285">
        <v>0</v>
      </c>
      <c r="U76" s="286" t="e">
        <v>#DIV/0!</v>
      </c>
      <c r="V76" s="285">
        <v>0</v>
      </c>
      <c r="W76" s="285">
        <v>0</v>
      </c>
      <c r="X76" s="285">
        <v>0</v>
      </c>
      <c r="Y76" s="285">
        <v>0</v>
      </c>
      <c r="Z76" s="285">
        <v>0</v>
      </c>
      <c r="AA76" s="287">
        <v>0</v>
      </c>
      <c r="AB76" s="285">
        <v>0</v>
      </c>
      <c r="AC76" s="285">
        <v>0</v>
      </c>
      <c r="AD76" s="285">
        <v>0</v>
      </c>
      <c r="AE76" s="285">
        <v>0</v>
      </c>
      <c r="AF76" s="285">
        <v>0</v>
      </c>
      <c r="AG76" s="285">
        <v>0</v>
      </c>
      <c r="AH76" s="286" t="e">
        <v>#DIV/0!</v>
      </c>
      <c r="AI76" s="285">
        <v>0</v>
      </c>
      <c r="AJ76" s="285">
        <v>0</v>
      </c>
      <c r="AK76" s="285">
        <v>0</v>
      </c>
      <c r="AL76" s="285">
        <v>0</v>
      </c>
      <c r="AM76" s="285">
        <v>0</v>
      </c>
      <c r="AN76" s="287">
        <v>0</v>
      </c>
      <c r="AO76" s="285">
        <v>0</v>
      </c>
      <c r="AP76" s="285">
        <v>0</v>
      </c>
      <c r="AQ76" s="285">
        <v>0</v>
      </c>
      <c r="AR76" s="285">
        <v>0</v>
      </c>
      <c r="AS76" s="285">
        <v>0</v>
      </c>
      <c r="AT76" s="285">
        <v>0</v>
      </c>
      <c r="AU76" s="286" t="e">
        <v>#DIV/0!</v>
      </c>
      <c r="AV76" s="285">
        <v>0</v>
      </c>
      <c r="AW76" s="285">
        <v>0</v>
      </c>
      <c r="AX76" s="285">
        <v>0</v>
      </c>
      <c r="AY76" s="285">
        <v>0</v>
      </c>
      <c r="AZ76" s="285">
        <v>0</v>
      </c>
      <c r="BA76" s="287">
        <v>0</v>
      </c>
      <c r="BB76" s="285">
        <v>0</v>
      </c>
      <c r="BC76" s="285">
        <v>0</v>
      </c>
      <c r="BD76" s="285">
        <v>0</v>
      </c>
      <c r="BE76" s="285">
        <v>0</v>
      </c>
      <c r="BF76" s="285">
        <v>0</v>
      </c>
      <c r="BG76" s="285">
        <v>0</v>
      </c>
      <c r="BH76" s="286" t="e">
        <v>#DIV/0!</v>
      </c>
      <c r="BI76" s="285">
        <v>0</v>
      </c>
      <c r="BJ76" s="285">
        <v>0</v>
      </c>
      <c r="BK76" s="285">
        <v>0</v>
      </c>
      <c r="BL76" s="285">
        <v>0</v>
      </c>
      <c r="BM76" s="285">
        <v>0</v>
      </c>
      <c r="BN76" s="287">
        <v>0</v>
      </c>
      <c r="BO76" s="285">
        <v>0</v>
      </c>
      <c r="BP76" s="285">
        <v>0</v>
      </c>
      <c r="BQ76" s="285">
        <v>0</v>
      </c>
      <c r="BR76" s="285">
        <v>0</v>
      </c>
      <c r="BS76" s="285">
        <v>0</v>
      </c>
      <c r="BT76" s="285">
        <v>0</v>
      </c>
      <c r="BU76" s="286" t="e">
        <v>#DIV/0!</v>
      </c>
      <c r="BV76" s="285">
        <v>0</v>
      </c>
      <c r="BW76" s="285">
        <v>0</v>
      </c>
      <c r="BX76" s="285">
        <v>0</v>
      </c>
      <c r="BY76" s="285">
        <v>0</v>
      </c>
      <c r="BZ76" s="285">
        <v>0</v>
      </c>
      <c r="CA76" s="287">
        <v>0</v>
      </c>
    </row>
    <row r="77" spans="1:79" ht="24" x14ac:dyDescent="0.25">
      <c r="A77" s="284" t="s">
        <v>98</v>
      </c>
      <c r="B77" s="285">
        <v>80127</v>
      </c>
      <c r="C77" s="285">
        <v>103127</v>
      </c>
      <c r="D77" s="285">
        <v>103127</v>
      </c>
      <c r="E77" s="285">
        <v>82119</v>
      </c>
      <c r="F77" s="285">
        <v>77856</v>
      </c>
      <c r="G77" s="285">
        <v>77696</v>
      </c>
      <c r="H77" s="286">
        <v>0.75340114615958964</v>
      </c>
      <c r="I77" s="285">
        <v>25431</v>
      </c>
      <c r="J77" s="285">
        <v>0</v>
      </c>
      <c r="K77" s="285">
        <v>21008</v>
      </c>
      <c r="L77" s="285">
        <v>21008</v>
      </c>
      <c r="M77" s="285">
        <v>4263</v>
      </c>
      <c r="N77" s="287">
        <v>160</v>
      </c>
      <c r="O77" s="285">
        <v>0</v>
      </c>
      <c r="P77" s="285">
        <v>0</v>
      </c>
      <c r="Q77" s="285">
        <v>0</v>
      </c>
      <c r="R77" s="285">
        <v>0</v>
      </c>
      <c r="S77" s="285">
        <v>0</v>
      </c>
      <c r="T77" s="285">
        <v>0</v>
      </c>
      <c r="U77" s="286" t="e">
        <v>#DIV/0!</v>
      </c>
      <c r="V77" s="285">
        <v>0</v>
      </c>
      <c r="W77" s="285">
        <v>0</v>
      </c>
      <c r="X77" s="285">
        <v>0</v>
      </c>
      <c r="Y77" s="285">
        <v>0</v>
      </c>
      <c r="Z77" s="285">
        <v>0</v>
      </c>
      <c r="AA77" s="287">
        <v>0</v>
      </c>
      <c r="AB77" s="285">
        <v>80127</v>
      </c>
      <c r="AC77" s="285">
        <v>103127</v>
      </c>
      <c r="AD77" s="285">
        <v>103127</v>
      </c>
      <c r="AE77" s="285">
        <v>82119</v>
      </c>
      <c r="AF77" s="285">
        <v>77856</v>
      </c>
      <c r="AG77" s="285">
        <v>77696</v>
      </c>
      <c r="AH77" s="286">
        <v>0.75340114615958964</v>
      </c>
      <c r="AI77" s="285">
        <v>25431</v>
      </c>
      <c r="AJ77" s="285">
        <v>0</v>
      </c>
      <c r="AK77" s="285">
        <v>21008</v>
      </c>
      <c r="AL77" s="285">
        <v>21008</v>
      </c>
      <c r="AM77" s="285">
        <v>4263</v>
      </c>
      <c r="AN77" s="287">
        <v>160</v>
      </c>
      <c r="AO77" s="285">
        <v>0</v>
      </c>
      <c r="AP77" s="285">
        <v>0</v>
      </c>
      <c r="AQ77" s="285">
        <v>0</v>
      </c>
      <c r="AR77" s="285">
        <v>0</v>
      </c>
      <c r="AS77" s="285">
        <v>0</v>
      </c>
      <c r="AT77" s="285">
        <v>0</v>
      </c>
      <c r="AU77" s="286" t="e">
        <v>#DIV/0!</v>
      </c>
      <c r="AV77" s="285">
        <v>0</v>
      </c>
      <c r="AW77" s="285">
        <v>0</v>
      </c>
      <c r="AX77" s="285">
        <v>0</v>
      </c>
      <c r="AY77" s="285">
        <v>0</v>
      </c>
      <c r="AZ77" s="285">
        <v>0</v>
      </c>
      <c r="BA77" s="287">
        <v>0</v>
      </c>
      <c r="BB77" s="285">
        <v>0</v>
      </c>
      <c r="BC77" s="285">
        <v>0</v>
      </c>
      <c r="BD77" s="285">
        <v>0</v>
      </c>
      <c r="BE77" s="285">
        <v>0</v>
      </c>
      <c r="BF77" s="285">
        <v>0</v>
      </c>
      <c r="BG77" s="285">
        <v>0</v>
      </c>
      <c r="BH77" s="286" t="e">
        <v>#DIV/0!</v>
      </c>
      <c r="BI77" s="285">
        <v>0</v>
      </c>
      <c r="BJ77" s="285">
        <v>0</v>
      </c>
      <c r="BK77" s="285">
        <v>0</v>
      </c>
      <c r="BL77" s="285">
        <v>0</v>
      </c>
      <c r="BM77" s="285">
        <v>0</v>
      </c>
      <c r="BN77" s="287">
        <v>0</v>
      </c>
      <c r="BO77" s="285">
        <v>0</v>
      </c>
      <c r="BP77" s="285">
        <v>0</v>
      </c>
      <c r="BQ77" s="285">
        <v>0</v>
      </c>
      <c r="BR77" s="285">
        <v>0</v>
      </c>
      <c r="BS77" s="285">
        <v>0</v>
      </c>
      <c r="BT77" s="285">
        <v>0</v>
      </c>
      <c r="BU77" s="286" t="e">
        <v>#DIV/0!</v>
      </c>
      <c r="BV77" s="285">
        <v>0</v>
      </c>
      <c r="BW77" s="285">
        <v>0</v>
      </c>
      <c r="BX77" s="285">
        <v>0</v>
      </c>
      <c r="BY77" s="285">
        <v>0</v>
      </c>
      <c r="BZ77" s="285">
        <v>0</v>
      </c>
      <c r="CA77" s="287">
        <v>0</v>
      </c>
    </row>
    <row r="78" spans="1:79" x14ac:dyDescent="0.25">
      <c r="A78" s="279" t="s">
        <v>1104</v>
      </c>
      <c r="B78" s="280">
        <v>0</v>
      </c>
      <c r="C78" s="280">
        <v>0</v>
      </c>
      <c r="D78" s="280">
        <v>0</v>
      </c>
      <c r="E78" s="280">
        <v>0</v>
      </c>
      <c r="F78" s="280">
        <v>0</v>
      </c>
      <c r="G78" s="280">
        <v>0</v>
      </c>
      <c r="H78" s="281" t="e">
        <v>#DIV/0!</v>
      </c>
      <c r="I78" s="280">
        <v>0</v>
      </c>
      <c r="J78" s="280">
        <v>0</v>
      </c>
      <c r="K78" s="280">
        <v>0</v>
      </c>
      <c r="L78" s="280">
        <v>0</v>
      </c>
      <c r="M78" s="280">
        <v>0</v>
      </c>
      <c r="N78" s="282">
        <v>0</v>
      </c>
      <c r="O78" s="280">
        <v>0</v>
      </c>
      <c r="P78" s="280">
        <v>0</v>
      </c>
      <c r="Q78" s="280">
        <v>0</v>
      </c>
      <c r="R78" s="280">
        <v>0</v>
      </c>
      <c r="S78" s="280">
        <v>0</v>
      </c>
      <c r="T78" s="280">
        <v>0</v>
      </c>
      <c r="U78" s="281" t="e">
        <v>#DIV/0!</v>
      </c>
      <c r="V78" s="280">
        <v>0</v>
      </c>
      <c r="W78" s="280">
        <v>0</v>
      </c>
      <c r="X78" s="280">
        <v>0</v>
      </c>
      <c r="Y78" s="280">
        <v>0</v>
      </c>
      <c r="Z78" s="280">
        <v>0</v>
      </c>
      <c r="AA78" s="282">
        <v>0</v>
      </c>
      <c r="AB78" s="280">
        <v>0</v>
      </c>
      <c r="AC78" s="280">
        <v>0</v>
      </c>
      <c r="AD78" s="280">
        <v>0</v>
      </c>
      <c r="AE78" s="280">
        <v>0</v>
      </c>
      <c r="AF78" s="280">
        <v>0</v>
      </c>
      <c r="AG78" s="280">
        <v>0</v>
      </c>
      <c r="AH78" s="281" t="e">
        <v>#DIV/0!</v>
      </c>
      <c r="AI78" s="280">
        <v>0</v>
      </c>
      <c r="AJ78" s="280">
        <v>0</v>
      </c>
      <c r="AK78" s="280">
        <v>0</v>
      </c>
      <c r="AL78" s="280">
        <v>0</v>
      </c>
      <c r="AM78" s="280">
        <v>0</v>
      </c>
      <c r="AN78" s="282">
        <v>0</v>
      </c>
      <c r="AO78" s="280">
        <v>0</v>
      </c>
      <c r="AP78" s="280">
        <v>0</v>
      </c>
      <c r="AQ78" s="280">
        <v>0</v>
      </c>
      <c r="AR78" s="280">
        <v>0</v>
      </c>
      <c r="AS78" s="280">
        <v>0</v>
      </c>
      <c r="AT78" s="280">
        <v>0</v>
      </c>
      <c r="AU78" s="281" t="e">
        <v>#DIV/0!</v>
      </c>
      <c r="AV78" s="280">
        <v>0</v>
      </c>
      <c r="AW78" s="280">
        <v>0</v>
      </c>
      <c r="AX78" s="280">
        <v>0</v>
      </c>
      <c r="AY78" s="280">
        <v>0</v>
      </c>
      <c r="AZ78" s="280">
        <v>0</v>
      </c>
      <c r="BA78" s="282">
        <v>0</v>
      </c>
      <c r="BB78" s="280">
        <v>0</v>
      </c>
      <c r="BC78" s="280">
        <v>0</v>
      </c>
      <c r="BD78" s="280">
        <v>0</v>
      </c>
      <c r="BE78" s="280">
        <v>0</v>
      </c>
      <c r="BF78" s="280">
        <v>0</v>
      </c>
      <c r="BG78" s="280">
        <v>0</v>
      </c>
      <c r="BH78" s="281" t="e">
        <v>#DIV/0!</v>
      </c>
      <c r="BI78" s="280">
        <v>0</v>
      </c>
      <c r="BJ78" s="280">
        <v>0</v>
      </c>
      <c r="BK78" s="280">
        <v>0</v>
      </c>
      <c r="BL78" s="280">
        <v>0</v>
      </c>
      <c r="BM78" s="280">
        <v>0</v>
      </c>
      <c r="BN78" s="282">
        <v>0</v>
      </c>
      <c r="BO78" s="280">
        <v>0</v>
      </c>
      <c r="BP78" s="280">
        <v>0</v>
      </c>
      <c r="BQ78" s="280">
        <v>0</v>
      </c>
      <c r="BR78" s="280">
        <v>0</v>
      </c>
      <c r="BS78" s="280">
        <v>0</v>
      </c>
      <c r="BT78" s="280">
        <v>0</v>
      </c>
      <c r="BU78" s="281" t="e">
        <v>#DIV/0!</v>
      </c>
      <c r="BV78" s="280">
        <v>0</v>
      </c>
      <c r="BW78" s="280">
        <v>0</v>
      </c>
      <c r="BX78" s="280">
        <v>0</v>
      </c>
      <c r="BY78" s="280">
        <v>0</v>
      </c>
      <c r="BZ78" s="280">
        <v>0</v>
      </c>
      <c r="CA78" s="282">
        <v>0</v>
      </c>
    </row>
    <row r="79" spans="1:79" ht="24" x14ac:dyDescent="0.25">
      <c r="A79" s="284" t="s">
        <v>1105</v>
      </c>
      <c r="B79" s="292">
        <v>0</v>
      </c>
      <c r="C79" s="292">
        <v>0</v>
      </c>
      <c r="D79" s="292">
        <v>0</v>
      </c>
      <c r="E79" s="292">
        <v>0</v>
      </c>
      <c r="F79" s="292">
        <v>0</v>
      </c>
      <c r="G79" s="292">
        <v>0</v>
      </c>
      <c r="H79" s="286" t="e">
        <v>#DIV/0!</v>
      </c>
      <c r="I79" s="285">
        <v>0</v>
      </c>
      <c r="J79" s="285">
        <v>0</v>
      </c>
      <c r="K79" s="285">
        <v>0</v>
      </c>
      <c r="L79" s="285">
        <v>0</v>
      </c>
      <c r="M79" s="285">
        <v>0</v>
      </c>
      <c r="N79" s="287">
        <v>0</v>
      </c>
      <c r="O79" s="292">
        <v>0</v>
      </c>
      <c r="P79" s="292">
        <v>0</v>
      </c>
      <c r="Q79" s="292">
        <v>0</v>
      </c>
      <c r="R79" s="292">
        <v>0</v>
      </c>
      <c r="S79" s="292">
        <v>0</v>
      </c>
      <c r="T79" s="292">
        <v>0</v>
      </c>
      <c r="U79" s="286" t="e">
        <v>#DIV/0!</v>
      </c>
      <c r="V79" s="285">
        <v>0</v>
      </c>
      <c r="W79" s="285">
        <v>0</v>
      </c>
      <c r="X79" s="285">
        <v>0</v>
      </c>
      <c r="Y79" s="285">
        <v>0</v>
      </c>
      <c r="Z79" s="285">
        <v>0</v>
      </c>
      <c r="AA79" s="287">
        <v>0</v>
      </c>
      <c r="AB79" s="292">
        <v>0</v>
      </c>
      <c r="AC79" s="292">
        <v>0</v>
      </c>
      <c r="AD79" s="292">
        <v>0</v>
      </c>
      <c r="AE79" s="292">
        <v>0</v>
      </c>
      <c r="AF79" s="292">
        <v>0</v>
      </c>
      <c r="AG79" s="292">
        <v>0</v>
      </c>
      <c r="AH79" s="286" t="e">
        <v>#DIV/0!</v>
      </c>
      <c r="AI79" s="285">
        <v>0</v>
      </c>
      <c r="AJ79" s="285">
        <v>0</v>
      </c>
      <c r="AK79" s="285">
        <v>0</v>
      </c>
      <c r="AL79" s="285">
        <v>0</v>
      </c>
      <c r="AM79" s="285">
        <v>0</v>
      </c>
      <c r="AN79" s="287">
        <v>0</v>
      </c>
      <c r="AO79" s="292">
        <v>0</v>
      </c>
      <c r="AP79" s="292">
        <v>0</v>
      </c>
      <c r="AQ79" s="292">
        <v>0</v>
      </c>
      <c r="AR79" s="292">
        <v>0</v>
      </c>
      <c r="AS79" s="292">
        <v>0</v>
      </c>
      <c r="AT79" s="292">
        <v>0</v>
      </c>
      <c r="AU79" s="286" t="e">
        <v>#DIV/0!</v>
      </c>
      <c r="AV79" s="285">
        <v>0</v>
      </c>
      <c r="AW79" s="285">
        <v>0</v>
      </c>
      <c r="AX79" s="285">
        <v>0</v>
      </c>
      <c r="AY79" s="285">
        <v>0</v>
      </c>
      <c r="AZ79" s="285">
        <v>0</v>
      </c>
      <c r="BA79" s="287">
        <v>0</v>
      </c>
      <c r="BB79" s="292">
        <v>0</v>
      </c>
      <c r="BC79" s="292">
        <v>0</v>
      </c>
      <c r="BD79" s="292">
        <v>0</v>
      </c>
      <c r="BE79" s="292">
        <v>0</v>
      </c>
      <c r="BF79" s="292">
        <v>0</v>
      </c>
      <c r="BG79" s="292">
        <v>0</v>
      </c>
      <c r="BH79" s="286" t="e">
        <v>#DIV/0!</v>
      </c>
      <c r="BI79" s="285">
        <v>0</v>
      </c>
      <c r="BJ79" s="285">
        <v>0</v>
      </c>
      <c r="BK79" s="285">
        <v>0</v>
      </c>
      <c r="BL79" s="285">
        <v>0</v>
      </c>
      <c r="BM79" s="285">
        <v>0</v>
      </c>
      <c r="BN79" s="287">
        <v>0</v>
      </c>
      <c r="BO79" s="292">
        <v>0</v>
      </c>
      <c r="BP79" s="292">
        <v>0</v>
      </c>
      <c r="BQ79" s="292">
        <v>0</v>
      </c>
      <c r="BR79" s="292">
        <v>0</v>
      </c>
      <c r="BS79" s="292">
        <v>0</v>
      </c>
      <c r="BT79" s="292">
        <v>0</v>
      </c>
      <c r="BU79" s="286" t="e">
        <v>#DIV/0!</v>
      </c>
      <c r="BV79" s="285">
        <v>0</v>
      </c>
      <c r="BW79" s="285">
        <v>0</v>
      </c>
      <c r="BX79" s="285">
        <v>0</v>
      </c>
      <c r="BY79" s="285">
        <v>0</v>
      </c>
      <c r="BZ79" s="285">
        <v>0</v>
      </c>
      <c r="CA79" s="287">
        <v>0</v>
      </c>
    </row>
    <row r="80" spans="1:79" ht="24" x14ac:dyDescent="0.25">
      <c r="A80" s="284" t="s">
        <v>1106</v>
      </c>
      <c r="B80" s="292">
        <v>0</v>
      </c>
      <c r="C80" s="292">
        <v>0</v>
      </c>
      <c r="D80" s="292">
        <v>0</v>
      </c>
      <c r="E80" s="292">
        <v>0</v>
      </c>
      <c r="F80" s="292">
        <v>0</v>
      </c>
      <c r="G80" s="292">
        <v>0</v>
      </c>
      <c r="H80" s="286" t="e">
        <v>#DIV/0!</v>
      </c>
      <c r="I80" s="285">
        <v>0</v>
      </c>
      <c r="J80" s="285">
        <v>0</v>
      </c>
      <c r="K80" s="285">
        <v>0</v>
      </c>
      <c r="L80" s="285">
        <v>0</v>
      </c>
      <c r="M80" s="285">
        <v>0</v>
      </c>
      <c r="N80" s="287">
        <v>0</v>
      </c>
      <c r="O80" s="292">
        <v>0</v>
      </c>
      <c r="P80" s="292">
        <v>0</v>
      </c>
      <c r="Q80" s="292">
        <v>0</v>
      </c>
      <c r="R80" s="292">
        <v>0</v>
      </c>
      <c r="S80" s="292">
        <v>0</v>
      </c>
      <c r="T80" s="292">
        <v>0</v>
      </c>
      <c r="U80" s="286" t="e">
        <v>#DIV/0!</v>
      </c>
      <c r="V80" s="285">
        <v>0</v>
      </c>
      <c r="W80" s="285">
        <v>0</v>
      </c>
      <c r="X80" s="285">
        <v>0</v>
      </c>
      <c r="Y80" s="285">
        <v>0</v>
      </c>
      <c r="Z80" s="285">
        <v>0</v>
      </c>
      <c r="AA80" s="287">
        <v>0</v>
      </c>
      <c r="AB80" s="292">
        <v>0</v>
      </c>
      <c r="AC80" s="292">
        <v>0</v>
      </c>
      <c r="AD80" s="292">
        <v>0</v>
      </c>
      <c r="AE80" s="292">
        <v>0</v>
      </c>
      <c r="AF80" s="292">
        <v>0</v>
      </c>
      <c r="AG80" s="292">
        <v>0</v>
      </c>
      <c r="AH80" s="286" t="e">
        <v>#DIV/0!</v>
      </c>
      <c r="AI80" s="285">
        <v>0</v>
      </c>
      <c r="AJ80" s="285">
        <v>0</v>
      </c>
      <c r="AK80" s="285">
        <v>0</v>
      </c>
      <c r="AL80" s="285">
        <v>0</v>
      </c>
      <c r="AM80" s="285">
        <v>0</v>
      </c>
      <c r="AN80" s="287">
        <v>0</v>
      </c>
      <c r="AO80" s="292">
        <v>0</v>
      </c>
      <c r="AP80" s="292">
        <v>0</v>
      </c>
      <c r="AQ80" s="292">
        <v>0</v>
      </c>
      <c r="AR80" s="292">
        <v>0</v>
      </c>
      <c r="AS80" s="292">
        <v>0</v>
      </c>
      <c r="AT80" s="292">
        <v>0</v>
      </c>
      <c r="AU80" s="286" t="e">
        <v>#DIV/0!</v>
      </c>
      <c r="AV80" s="285">
        <v>0</v>
      </c>
      <c r="AW80" s="285">
        <v>0</v>
      </c>
      <c r="AX80" s="285">
        <v>0</v>
      </c>
      <c r="AY80" s="285">
        <v>0</v>
      </c>
      <c r="AZ80" s="285">
        <v>0</v>
      </c>
      <c r="BA80" s="287">
        <v>0</v>
      </c>
      <c r="BB80" s="292">
        <v>0</v>
      </c>
      <c r="BC80" s="292">
        <v>0</v>
      </c>
      <c r="BD80" s="292">
        <v>0</v>
      </c>
      <c r="BE80" s="292">
        <v>0</v>
      </c>
      <c r="BF80" s="292">
        <v>0</v>
      </c>
      <c r="BG80" s="292">
        <v>0</v>
      </c>
      <c r="BH80" s="286" t="e">
        <v>#DIV/0!</v>
      </c>
      <c r="BI80" s="285">
        <v>0</v>
      </c>
      <c r="BJ80" s="285">
        <v>0</v>
      </c>
      <c r="BK80" s="285">
        <v>0</v>
      </c>
      <c r="BL80" s="285">
        <v>0</v>
      </c>
      <c r="BM80" s="285">
        <v>0</v>
      </c>
      <c r="BN80" s="287">
        <v>0</v>
      </c>
      <c r="BO80" s="292">
        <v>0</v>
      </c>
      <c r="BP80" s="292">
        <v>0</v>
      </c>
      <c r="BQ80" s="292">
        <v>0</v>
      </c>
      <c r="BR80" s="292">
        <v>0</v>
      </c>
      <c r="BS80" s="292">
        <v>0</v>
      </c>
      <c r="BT80" s="292">
        <v>0</v>
      </c>
      <c r="BU80" s="286" t="e">
        <v>#DIV/0!</v>
      </c>
      <c r="BV80" s="285">
        <v>0</v>
      </c>
      <c r="BW80" s="285">
        <v>0</v>
      </c>
      <c r="BX80" s="285">
        <v>0</v>
      </c>
      <c r="BY80" s="285">
        <v>0</v>
      </c>
      <c r="BZ80" s="285">
        <v>0</v>
      </c>
      <c r="CA80" s="287">
        <v>0</v>
      </c>
    </row>
    <row r="81" spans="1:79" ht="24" x14ac:dyDescent="0.25">
      <c r="A81" s="284" t="s">
        <v>1107</v>
      </c>
      <c r="B81" s="292">
        <v>0</v>
      </c>
      <c r="C81" s="292">
        <v>0</v>
      </c>
      <c r="D81" s="292">
        <v>0</v>
      </c>
      <c r="E81" s="292">
        <v>0</v>
      </c>
      <c r="F81" s="292">
        <v>0</v>
      </c>
      <c r="G81" s="292">
        <v>0</v>
      </c>
      <c r="H81" s="286" t="e">
        <v>#DIV/0!</v>
      </c>
      <c r="I81" s="285">
        <v>0</v>
      </c>
      <c r="J81" s="285">
        <v>0</v>
      </c>
      <c r="K81" s="285">
        <v>0</v>
      </c>
      <c r="L81" s="285">
        <v>0</v>
      </c>
      <c r="M81" s="285">
        <v>0</v>
      </c>
      <c r="N81" s="287">
        <v>0</v>
      </c>
      <c r="O81" s="292">
        <v>0</v>
      </c>
      <c r="P81" s="292">
        <v>0</v>
      </c>
      <c r="Q81" s="292">
        <v>0</v>
      </c>
      <c r="R81" s="292">
        <v>0</v>
      </c>
      <c r="S81" s="292">
        <v>0</v>
      </c>
      <c r="T81" s="292">
        <v>0</v>
      </c>
      <c r="U81" s="286" t="e">
        <v>#DIV/0!</v>
      </c>
      <c r="V81" s="285">
        <v>0</v>
      </c>
      <c r="W81" s="285">
        <v>0</v>
      </c>
      <c r="X81" s="285">
        <v>0</v>
      </c>
      <c r="Y81" s="285">
        <v>0</v>
      </c>
      <c r="Z81" s="285">
        <v>0</v>
      </c>
      <c r="AA81" s="287">
        <v>0</v>
      </c>
      <c r="AB81" s="292">
        <v>0</v>
      </c>
      <c r="AC81" s="292">
        <v>0</v>
      </c>
      <c r="AD81" s="292">
        <v>0</v>
      </c>
      <c r="AE81" s="292">
        <v>0</v>
      </c>
      <c r="AF81" s="292">
        <v>0</v>
      </c>
      <c r="AG81" s="292">
        <v>0</v>
      </c>
      <c r="AH81" s="286" t="e">
        <v>#DIV/0!</v>
      </c>
      <c r="AI81" s="285">
        <v>0</v>
      </c>
      <c r="AJ81" s="285">
        <v>0</v>
      </c>
      <c r="AK81" s="285">
        <v>0</v>
      </c>
      <c r="AL81" s="285">
        <v>0</v>
      </c>
      <c r="AM81" s="285">
        <v>0</v>
      </c>
      <c r="AN81" s="287">
        <v>0</v>
      </c>
      <c r="AO81" s="292">
        <v>0</v>
      </c>
      <c r="AP81" s="292">
        <v>0</v>
      </c>
      <c r="AQ81" s="292">
        <v>0</v>
      </c>
      <c r="AR81" s="292">
        <v>0</v>
      </c>
      <c r="AS81" s="292">
        <v>0</v>
      </c>
      <c r="AT81" s="292">
        <v>0</v>
      </c>
      <c r="AU81" s="286" t="e">
        <v>#DIV/0!</v>
      </c>
      <c r="AV81" s="285">
        <v>0</v>
      </c>
      <c r="AW81" s="285">
        <v>0</v>
      </c>
      <c r="AX81" s="285">
        <v>0</v>
      </c>
      <c r="AY81" s="285">
        <v>0</v>
      </c>
      <c r="AZ81" s="285">
        <v>0</v>
      </c>
      <c r="BA81" s="287">
        <v>0</v>
      </c>
      <c r="BB81" s="292">
        <v>0</v>
      </c>
      <c r="BC81" s="292">
        <v>0</v>
      </c>
      <c r="BD81" s="292">
        <v>0</v>
      </c>
      <c r="BE81" s="292">
        <v>0</v>
      </c>
      <c r="BF81" s="292">
        <v>0</v>
      </c>
      <c r="BG81" s="292">
        <v>0</v>
      </c>
      <c r="BH81" s="286" t="e">
        <v>#DIV/0!</v>
      </c>
      <c r="BI81" s="285">
        <v>0</v>
      </c>
      <c r="BJ81" s="285">
        <v>0</v>
      </c>
      <c r="BK81" s="285">
        <v>0</v>
      </c>
      <c r="BL81" s="285">
        <v>0</v>
      </c>
      <c r="BM81" s="285">
        <v>0</v>
      </c>
      <c r="BN81" s="287">
        <v>0</v>
      </c>
      <c r="BO81" s="292">
        <v>0</v>
      </c>
      <c r="BP81" s="292">
        <v>0</v>
      </c>
      <c r="BQ81" s="292">
        <v>0</v>
      </c>
      <c r="BR81" s="292">
        <v>0</v>
      </c>
      <c r="BS81" s="292">
        <v>0</v>
      </c>
      <c r="BT81" s="292">
        <v>0</v>
      </c>
      <c r="BU81" s="286" t="e">
        <v>#DIV/0!</v>
      </c>
      <c r="BV81" s="285">
        <v>0</v>
      </c>
      <c r="BW81" s="285">
        <v>0</v>
      </c>
      <c r="BX81" s="285">
        <v>0</v>
      </c>
      <c r="BY81" s="285">
        <v>0</v>
      </c>
      <c r="BZ81" s="285">
        <v>0</v>
      </c>
      <c r="CA81" s="287">
        <v>0</v>
      </c>
    </row>
    <row r="82" spans="1:79" s="324" customFormat="1" ht="12.75" x14ac:dyDescent="0.2">
      <c r="A82" s="311" t="s">
        <v>99</v>
      </c>
      <c r="B82" s="312">
        <v>170399205</v>
      </c>
      <c r="C82" s="312">
        <v>197770416.65000001</v>
      </c>
      <c r="D82" s="312">
        <v>195720416.65000001</v>
      </c>
      <c r="E82" s="312">
        <v>138183648.38409907</v>
      </c>
      <c r="F82" s="312">
        <v>137217181.26805124</v>
      </c>
      <c r="G82" s="312">
        <v>137186013.25098741</v>
      </c>
      <c r="H82" s="313">
        <v>0.69366296322148846</v>
      </c>
      <c r="I82" s="314">
        <v>60584403.399012595</v>
      </c>
      <c r="J82" s="314">
        <v>2050000</v>
      </c>
      <c r="K82" s="314">
        <v>59586768.26590094</v>
      </c>
      <c r="L82" s="314">
        <v>57536768.26590094</v>
      </c>
      <c r="M82" s="314">
        <v>966467.11604782939</v>
      </c>
      <c r="N82" s="315">
        <v>31168.017063826323</v>
      </c>
      <c r="O82" s="316">
        <v>2017198</v>
      </c>
      <c r="P82" s="316">
        <v>2017198</v>
      </c>
      <c r="Q82" s="316">
        <v>2017198</v>
      </c>
      <c r="R82" s="316">
        <v>1800553.38</v>
      </c>
      <c r="S82" s="316">
        <v>1354471.6400000001</v>
      </c>
      <c r="T82" s="316">
        <v>1354471.6400000001</v>
      </c>
      <c r="U82" s="317">
        <v>0.67146191895887275</v>
      </c>
      <c r="V82" s="318">
        <v>662726.35999999987</v>
      </c>
      <c r="W82" s="318">
        <v>0</v>
      </c>
      <c r="X82" s="318">
        <v>216644.62000000011</v>
      </c>
      <c r="Y82" s="318">
        <v>216644.62000000011</v>
      </c>
      <c r="Z82" s="318">
        <v>446081.73999999976</v>
      </c>
      <c r="AA82" s="319">
        <v>0</v>
      </c>
      <c r="AB82" s="320">
        <v>1148995</v>
      </c>
      <c r="AC82" s="320">
        <v>1148995</v>
      </c>
      <c r="AD82" s="320">
        <v>1098995</v>
      </c>
      <c r="AE82" s="320">
        <v>618570.08000000007</v>
      </c>
      <c r="AF82" s="320">
        <v>487185.74999999994</v>
      </c>
      <c r="AG82" s="320">
        <v>486985.72</v>
      </c>
      <c r="AH82" s="321">
        <v>0.42383623949625537</v>
      </c>
      <c r="AI82" s="322">
        <v>662009.28</v>
      </c>
      <c r="AJ82" s="322">
        <v>50000</v>
      </c>
      <c r="AK82" s="322">
        <v>530424.91999999993</v>
      </c>
      <c r="AL82" s="322">
        <v>480424.91999999993</v>
      </c>
      <c r="AM82" s="322">
        <v>131384.33000000013</v>
      </c>
      <c r="AN82" s="323">
        <v>200.02999999996973</v>
      </c>
      <c r="AO82" s="316">
        <v>167233012</v>
      </c>
      <c r="AP82" s="316">
        <v>194604223.65000001</v>
      </c>
      <c r="AQ82" s="316">
        <v>192604223.65000001</v>
      </c>
      <c r="AR82" s="316">
        <v>135764524.92409906</v>
      </c>
      <c r="AS82" s="316">
        <v>135375523.87805125</v>
      </c>
      <c r="AT82" s="316">
        <v>135344555.89098743</v>
      </c>
      <c r="AU82" s="317">
        <v>0.69548621994149318</v>
      </c>
      <c r="AV82" s="318">
        <v>59259667.75901258</v>
      </c>
      <c r="AW82" s="318">
        <v>2000000</v>
      </c>
      <c r="AX82" s="318">
        <v>58839698.725900948</v>
      </c>
      <c r="AY82" s="318">
        <v>56839698.725900948</v>
      </c>
      <c r="AZ82" s="318">
        <v>389001.04604780674</v>
      </c>
      <c r="BA82" s="319">
        <v>30967.98706382513</v>
      </c>
      <c r="BB82" s="320">
        <v>0</v>
      </c>
      <c r="BC82" s="320">
        <v>0</v>
      </c>
      <c r="BD82" s="320">
        <v>0</v>
      </c>
      <c r="BE82" s="320">
        <v>0</v>
      </c>
      <c r="BF82" s="320">
        <v>0</v>
      </c>
      <c r="BG82" s="320">
        <v>0</v>
      </c>
      <c r="BH82" s="321" t="e">
        <v>#DIV/0!</v>
      </c>
      <c r="BI82" s="322">
        <v>0</v>
      </c>
      <c r="BJ82" s="322">
        <v>0</v>
      </c>
      <c r="BK82" s="322">
        <v>0</v>
      </c>
      <c r="BL82" s="322">
        <v>0</v>
      </c>
      <c r="BM82" s="322">
        <v>0</v>
      </c>
      <c r="BN82" s="323">
        <v>0</v>
      </c>
      <c r="BO82" s="316">
        <v>0</v>
      </c>
      <c r="BP82" s="316">
        <v>0</v>
      </c>
      <c r="BQ82" s="316">
        <v>0</v>
      </c>
      <c r="BR82" s="316">
        <v>0</v>
      </c>
      <c r="BS82" s="316">
        <v>0</v>
      </c>
      <c r="BT82" s="316">
        <v>0</v>
      </c>
      <c r="BU82" s="317" t="e">
        <v>#DIV/0!</v>
      </c>
      <c r="BV82" s="318">
        <v>0</v>
      </c>
      <c r="BW82" s="318">
        <v>0</v>
      </c>
      <c r="BX82" s="318">
        <v>0</v>
      </c>
      <c r="BY82" s="318">
        <v>0</v>
      </c>
      <c r="BZ82" s="318">
        <v>0</v>
      </c>
      <c r="CA82" s="319">
        <v>0</v>
      </c>
    </row>
    <row r="83" spans="1:79" x14ac:dyDescent="0.25">
      <c r="A83" s="274" t="s">
        <v>1110</v>
      </c>
      <c r="B83" s="288">
        <v>333807</v>
      </c>
      <c r="C83" s="288">
        <v>333807</v>
      </c>
      <c r="D83" s="288">
        <v>291086.40000000002</v>
      </c>
      <c r="E83" s="288">
        <v>103398.51</v>
      </c>
      <c r="F83" s="288">
        <v>90828.329999999987</v>
      </c>
      <c r="G83" s="288">
        <v>90828.33</v>
      </c>
      <c r="H83" s="289">
        <v>0.27209833826133067</v>
      </c>
      <c r="I83" s="288">
        <v>242978.66999999998</v>
      </c>
      <c r="J83" s="288">
        <v>42720.599999999977</v>
      </c>
      <c r="K83" s="288">
        <v>230408.49</v>
      </c>
      <c r="L83" s="288">
        <v>187687.89</v>
      </c>
      <c r="M83" s="288">
        <v>12570.180000000008</v>
      </c>
      <c r="N83" s="290">
        <v>0</v>
      </c>
      <c r="O83" s="288">
        <v>0</v>
      </c>
      <c r="P83" s="288">
        <v>0</v>
      </c>
      <c r="Q83" s="288">
        <v>0</v>
      </c>
      <c r="R83" s="288">
        <v>0</v>
      </c>
      <c r="S83" s="288">
        <v>0</v>
      </c>
      <c r="T83" s="288">
        <v>0</v>
      </c>
      <c r="U83" s="289" t="e">
        <v>#DIV/0!</v>
      </c>
      <c r="V83" s="288">
        <v>0</v>
      </c>
      <c r="W83" s="288">
        <v>0</v>
      </c>
      <c r="X83" s="288">
        <v>0</v>
      </c>
      <c r="Y83" s="288">
        <v>0</v>
      </c>
      <c r="Z83" s="288">
        <v>0</v>
      </c>
      <c r="AA83" s="290">
        <v>0</v>
      </c>
      <c r="AB83" s="288">
        <v>333807</v>
      </c>
      <c r="AC83" s="288">
        <v>333007</v>
      </c>
      <c r="AD83" s="288">
        <v>290586.40000000002</v>
      </c>
      <c r="AE83" s="288">
        <v>103398.51</v>
      </c>
      <c r="AF83" s="288">
        <v>90828.329999999987</v>
      </c>
      <c r="AG83" s="288">
        <v>90828.33</v>
      </c>
      <c r="AH83" s="289">
        <v>0.27275201422192324</v>
      </c>
      <c r="AI83" s="288">
        <v>242178.66999999998</v>
      </c>
      <c r="AJ83" s="288">
        <v>42420.599999999977</v>
      </c>
      <c r="AK83" s="288">
        <v>229608.49</v>
      </c>
      <c r="AL83" s="288">
        <v>187187.89</v>
      </c>
      <c r="AM83" s="288">
        <v>12570.180000000008</v>
      </c>
      <c r="AN83" s="290">
        <v>0</v>
      </c>
      <c r="AO83" s="288">
        <v>0</v>
      </c>
      <c r="AP83" s="288">
        <v>0</v>
      </c>
      <c r="AQ83" s="288">
        <v>0</v>
      </c>
      <c r="AR83" s="288">
        <v>0</v>
      </c>
      <c r="AS83" s="288">
        <v>0</v>
      </c>
      <c r="AT83" s="288">
        <v>0</v>
      </c>
      <c r="AU83" s="289" t="e">
        <v>#DIV/0!</v>
      </c>
      <c r="AV83" s="288">
        <v>0</v>
      </c>
      <c r="AW83" s="288">
        <v>0</v>
      </c>
      <c r="AX83" s="288">
        <v>0</v>
      </c>
      <c r="AY83" s="288">
        <v>0</v>
      </c>
      <c r="AZ83" s="288">
        <v>0</v>
      </c>
      <c r="BA83" s="290">
        <v>0</v>
      </c>
      <c r="BB83" s="288">
        <v>0</v>
      </c>
      <c r="BC83" s="288">
        <v>800</v>
      </c>
      <c r="BD83" s="288">
        <v>500</v>
      </c>
      <c r="BE83" s="288">
        <v>0</v>
      </c>
      <c r="BF83" s="288">
        <v>0</v>
      </c>
      <c r="BG83" s="288">
        <v>0</v>
      </c>
      <c r="BH83" s="289">
        <v>0</v>
      </c>
      <c r="BI83" s="288">
        <v>800</v>
      </c>
      <c r="BJ83" s="288">
        <v>300</v>
      </c>
      <c r="BK83" s="288">
        <v>800</v>
      </c>
      <c r="BL83" s="288">
        <v>500</v>
      </c>
      <c r="BM83" s="288">
        <v>0</v>
      </c>
      <c r="BN83" s="290">
        <v>0</v>
      </c>
      <c r="BO83" s="288">
        <v>0</v>
      </c>
      <c r="BP83" s="288">
        <v>0</v>
      </c>
      <c r="BQ83" s="288">
        <v>0</v>
      </c>
      <c r="BR83" s="288">
        <v>0</v>
      </c>
      <c r="BS83" s="288">
        <v>0</v>
      </c>
      <c r="BT83" s="288">
        <v>0</v>
      </c>
      <c r="BU83" s="289" t="e">
        <v>#DIV/0!</v>
      </c>
      <c r="BV83" s="288">
        <v>0</v>
      </c>
      <c r="BW83" s="288">
        <v>0</v>
      </c>
      <c r="BX83" s="288">
        <v>0</v>
      </c>
      <c r="BY83" s="288">
        <v>0</v>
      </c>
      <c r="BZ83" s="288">
        <v>0</v>
      </c>
      <c r="CA83" s="290">
        <v>0</v>
      </c>
    </row>
    <row r="84" spans="1:79" ht="24" x14ac:dyDescent="0.25">
      <c r="A84" s="279" t="s">
        <v>1111</v>
      </c>
      <c r="B84" s="280">
        <v>333807</v>
      </c>
      <c r="C84" s="280">
        <v>333807</v>
      </c>
      <c r="D84" s="280">
        <v>291086.40000000002</v>
      </c>
      <c r="E84" s="280">
        <v>103398.51</v>
      </c>
      <c r="F84" s="280">
        <v>90828.329999999987</v>
      </c>
      <c r="G84" s="280">
        <v>90828.33</v>
      </c>
      <c r="H84" s="281">
        <v>0.27209833826133067</v>
      </c>
      <c r="I84" s="280">
        <v>242978.66999999998</v>
      </c>
      <c r="J84" s="280">
        <v>42720.599999999977</v>
      </c>
      <c r="K84" s="280">
        <v>230408.49</v>
      </c>
      <c r="L84" s="280">
        <v>187687.89</v>
      </c>
      <c r="M84" s="280">
        <v>12570.180000000008</v>
      </c>
      <c r="N84" s="282">
        <v>0</v>
      </c>
      <c r="O84" s="280">
        <v>0</v>
      </c>
      <c r="P84" s="280">
        <v>0</v>
      </c>
      <c r="Q84" s="280">
        <v>0</v>
      </c>
      <c r="R84" s="280">
        <v>0</v>
      </c>
      <c r="S84" s="280">
        <v>0</v>
      </c>
      <c r="T84" s="280">
        <v>0</v>
      </c>
      <c r="U84" s="281" t="e">
        <v>#DIV/0!</v>
      </c>
      <c r="V84" s="280">
        <v>0</v>
      </c>
      <c r="W84" s="280">
        <v>0</v>
      </c>
      <c r="X84" s="280">
        <v>0</v>
      </c>
      <c r="Y84" s="280">
        <v>0</v>
      </c>
      <c r="Z84" s="280">
        <v>0</v>
      </c>
      <c r="AA84" s="282">
        <v>0</v>
      </c>
      <c r="AB84" s="280">
        <v>333807</v>
      </c>
      <c r="AC84" s="280">
        <v>333007</v>
      </c>
      <c r="AD84" s="280">
        <v>290586.40000000002</v>
      </c>
      <c r="AE84" s="280">
        <v>103398.51</v>
      </c>
      <c r="AF84" s="280">
        <v>90828.329999999987</v>
      </c>
      <c r="AG84" s="280">
        <v>90828.33</v>
      </c>
      <c r="AH84" s="281">
        <v>0.27275201422192324</v>
      </c>
      <c r="AI84" s="280">
        <v>242178.66999999998</v>
      </c>
      <c r="AJ84" s="280">
        <v>42420.599999999977</v>
      </c>
      <c r="AK84" s="280">
        <v>229608.49</v>
      </c>
      <c r="AL84" s="280">
        <v>187187.89</v>
      </c>
      <c r="AM84" s="280">
        <v>12570.180000000008</v>
      </c>
      <c r="AN84" s="282">
        <v>0</v>
      </c>
      <c r="AO84" s="280">
        <v>0</v>
      </c>
      <c r="AP84" s="280">
        <v>0</v>
      </c>
      <c r="AQ84" s="280">
        <v>0</v>
      </c>
      <c r="AR84" s="280">
        <v>0</v>
      </c>
      <c r="AS84" s="280">
        <v>0</v>
      </c>
      <c r="AT84" s="280">
        <v>0</v>
      </c>
      <c r="AU84" s="281" t="e">
        <v>#DIV/0!</v>
      </c>
      <c r="AV84" s="280">
        <v>0</v>
      </c>
      <c r="AW84" s="280">
        <v>0</v>
      </c>
      <c r="AX84" s="280">
        <v>0</v>
      </c>
      <c r="AY84" s="280">
        <v>0</v>
      </c>
      <c r="AZ84" s="280">
        <v>0</v>
      </c>
      <c r="BA84" s="282">
        <v>0</v>
      </c>
      <c r="BB84" s="280">
        <v>0</v>
      </c>
      <c r="BC84" s="280">
        <v>800</v>
      </c>
      <c r="BD84" s="280">
        <v>500</v>
      </c>
      <c r="BE84" s="280">
        <v>0</v>
      </c>
      <c r="BF84" s="280">
        <v>0</v>
      </c>
      <c r="BG84" s="280">
        <v>0</v>
      </c>
      <c r="BH84" s="281">
        <v>0</v>
      </c>
      <c r="BI84" s="280">
        <v>800</v>
      </c>
      <c r="BJ84" s="280">
        <v>300</v>
      </c>
      <c r="BK84" s="280">
        <v>800</v>
      </c>
      <c r="BL84" s="280">
        <v>500</v>
      </c>
      <c r="BM84" s="280">
        <v>0</v>
      </c>
      <c r="BN84" s="282">
        <v>0</v>
      </c>
      <c r="BO84" s="280">
        <v>0</v>
      </c>
      <c r="BP84" s="280">
        <v>0</v>
      </c>
      <c r="BQ84" s="280">
        <v>0</v>
      </c>
      <c r="BR84" s="280">
        <v>0</v>
      </c>
      <c r="BS84" s="280">
        <v>0</v>
      </c>
      <c r="BT84" s="280">
        <v>0</v>
      </c>
      <c r="BU84" s="281" t="e">
        <v>#DIV/0!</v>
      </c>
      <c r="BV84" s="280">
        <v>0</v>
      </c>
      <c r="BW84" s="280">
        <v>0</v>
      </c>
      <c r="BX84" s="280">
        <v>0</v>
      </c>
      <c r="BY84" s="280">
        <v>0</v>
      </c>
      <c r="BZ84" s="280">
        <v>0</v>
      </c>
      <c r="CA84" s="282">
        <v>0</v>
      </c>
    </row>
    <row r="85" spans="1:79" ht="24" x14ac:dyDescent="0.25">
      <c r="A85" s="284" t="s">
        <v>1112</v>
      </c>
      <c r="B85" s="292">
        <v>188177</v>
      </c>
      <c r="C85" s="292">
        <v>188177</v>
      </c>
      <c r="D85" s="292">
        <v>159807</v>
      </c>
      <c r="E85" s="292">
        <v>103398.51</v>
      </c>
      <c r="F85" s="292">
        <v>90828.329999999987</v>
      </c>
      <c r="G85" s="292">
        <v>90828.33</v>
      </c>
      <c r="H85" s="286">
        <v>0.48267498153334359</v>
      </c>
      <c r="I85" s="285">
        <v>97348.67</v>
      </c>
      <c r="J85" s="285">
        <v>28370</v>
      </c>
      <c r="K85" s="285">
        <v>84778.49</v>
      </c>
      <c r="L85" s="285">
        <v>56408.490000000005</v>
      </c>
      <c r="M85" s="285">
        <v>12570.180000000008</v>
      </c>
      <c r="N85" s="287">
        <v>0</v>
      </c>
      <c r="O85" s="292">
        <v>0</v>
      </c>
      <c r="P85" s="292">
        <v>0</v>
      </c>
      <c r="Q85" s="292">
        <v>0</v>
      </c>
      <c r="R85" s="292">
        <v>0</v>
      </c>
      <c r="S85" s="292">
        <v>0</v>
      </c>
      <c r="T85" s="292">
        <v>0</v>
      </c>
      <c r="U85" s="286" t="e">
        <v>#DIV/0!</v>
      </c>
      <c r="V85" s="285">
        <v>0</v>
      </c>
      <c r="W85" s="285">
        <v>0</v>
      </c>
      <c r="X85" s="285">
        <v>0</v>
      </c>
      <c r="Y85" s="285">
        <v>0</v>
      </c>
      <c r="Z85" s="285">
        <v>0</v>
      </c>
      <c r="AA85" s="287">
        <v>0</v>
      </c>
      <c r="AB85" s="292">
        <v>188177</v>
      </c>
      <c r="AC85" s="292">
        <v>187377</v>
      </c>
      <c r="AD85" s="292">
        <v>159307</v>
      </c>
      <c r="AE85" s="292">
        <v>103398.51</v>
      </c>
      <c r="AF85" s="292">
        <v>90828.329999999987</v>
      </c>
      <c r="AG85" s="292">
        <v>90828.33</v>
      </c>
      <c r="AH85" s="286">
        <v>0.48473574664980229</v>
      </c>
      <c r="AI85" s="285">
        <v>96548.67</v>
      </c>
      <c r="AJ85" s="285">
        <v>28070</v>
      </c>
      <c r="AK85" s="285">
        <v>83978.49</v>
      </c>
      <c r="AL85" s="285">
        <v>55908.490000000005</v>
      </c>
      <c r="AM85" s="285">
        <v>12570.180000000008</v>
      </c>
      <c r="AN85" s="287">
        <v>0</v>
      </c>
      <c r="AO85" s="292">
        <v>0</v>
      </c>
      <c r="AP85" s="292">
        <v>0</v>
      </c>
      <c r="AQ85" s="292">
        <v>0</v>
      </c>
      <c r="AR85" s="292">
        <v>0</v>
      </c>
      <c r="AS85" s="292">
        <v>0</v>
      </c>
      <c r="AT85" s="292">
        <v>0</v>
      </c>
      <c r="AU85" s="286" t="e">
        <v>#DIV/0!</v>
      </c>
      <c r="AV85" s="285">
        <v>0</v>
      </c>
      <c r="AW85" s="285">
        <v>0</v>
      </c>
      <c r="AX85" s="285">
        <v>0</v>
      </c>
      <c r="AY85" s="285">
        <v>0</v>
      </c>
      <c r="AZ85" s="285">
        <v>0</v>
      </c>
      <c r="BA85" s="287">
        <v>0</v>
      </c>
      <c r="BB85" s="292">
        <v>0</v>
      </c>
      <c r="BC85" s="292">
        <v>800</v>
      </c>
      <c r="BD85" s="292">
        <v>500</v>
      </c>
      <c r="BE85" s="292">
        <v>0</v>
      </c>
      <c r="BF85" s="292">
        <v>0</v>
      </c>
      <c r="BG85" s="292">
        <v>0</v>
      </c>
      <c r="BH85" s="286">
        <v>0</v>
      </c>
      <c r="BI85" s="285">
        <v>800</v>
      </c>
      <c r="BJ85" s="285">
        <v>300</v>
      </c>
      <c r="BK85" s="285">
        <v>800</v>
      </c>
      <c r="BL85" s="285">
        <v>500</v>
      </c>
      <c r="BM85" s="285">
        <v>0</v>
      </c>
      <c r="BN85" s="287">
        <v>0</v>
      </c>
      <c r="BO85" s="292">
        <v>0</v>
      </c>
      <c r="BP85" s="292">
        <v>0</v>
      </c>
      <c r="BQ85" s="292">
        <v>0</v>
      </c>
      <c r="BR85" s="292">
        <v>0</v>
      </c>
      <c r="BS85" s="292">
        <v>0</v>
      </c>
      <c r="BT85" s="292">
        <v>0</v>
      </c>
      <c r="BU85" s="286" t="e">
        <v>#DIV/0!</v>
      </c>
      <c r="BV85" s="285">
        <v>0</v>
      </c>
      <c r="BW85" s="285">
        <v>0</v>
      </c>
      <c r="BX85" s="285">
        <v>0</v>
      </c>
      <c r="BY85" s="285">
        <v>0</v>
      </c>
      <c r="BZ85" s="285">
        <v>0</v>
      </c>
      <c r="CA85" s="287">
        <v>0</v>
      </c>
    </row>
    <row r="86" spans="1:79" ht="24" x14ac:dyDescent="0.25">
      <c r="A86" s="284" t="s">
        <v>1113</v>
      </c>
      <c r="B86" s="292">
        <v>145630</v>
      </c>
      <c r="C86" s="292">
        <v>145630</v>
      </c>
      <c r="D86" s="292">
        <v>131279.4</v>
      </c>
      <c r="E86" s="292">
        <v>0</v>
      </c>
      <c r="F86" s="292">
        <v>0</v>
      </c>
      <c r="G86" s="292">
        <v>0</v>
      </c>
      <c r="H86" s="286">
        <v>0</v>
      </c>
      <c r="I86" s="285">
        <v>145630</v>
      </c>
      <c r="J86" s="285">
        <v>14350.600000000006</v>
      </c>
      <c r="K86" s="285">
        <v>145630</v>
      </c>
      <c r="L86" s="285">
        <v>131279.4</v>
      </c>
      <c r="M86" s="285">
        <v>0</v>
      </c>
      <c r="N86" s="287">
        <v>0</v>
      </c>
      <c r="O86" s="292">
        <v>0</v>
      </c>
      <c r="P86" s="292">
        <v>0</v>
      </c>
      <c r="Q86" s="292">
        <v>0</v>
      </c>
      <c r="R86" s="292">
        <v>0</v>
      </c>
      <c r="S86" s="292">
        <v>0</v>
      </c>
      <c r="T86" s="292">
        <v>0</v>
      </c>
      <c r="U86" s="286" t="e">
        <v>#DIV/0!</v>
      </c>
      <c r="V86" s="285">
        <v>0</v>
      </c>
      <c r="W86" s="285">
        <v>0</v>
      </c>
      <c r="X86" s="285">
        <v>0</v>
      </c>
      <c r="Y86" s="285">
        <v>0</v>
      </c>
      <c r="Z86" s="285">
        <v>0</v>
      </c>
      <c r="AA86" s="287">
        <v>0</v>
      </c>
      <c r="AB86" s="292">
        <v>145630</v>
      </c>
      <c r="AC86" s="292">
        <v>145630</v>
      </c>
      <c r="AD86" s="292">
        <v>131279.4</v>
      </c>
      <c r="AE86" s="292">
        <v>0</v>
      </c>
      <c r="AF86" s="292">
        <v>0</v>
      </c>
      <c r="AG86" s="292">
        <v>0</v>
      </c>
      <c r="AH86" s="286">
        <v>0</v>
      </c>
      <c r="AI86" s="285">
        <v>145630</v>
      </c>
      <c r="AJ86" s="285">
        <v>14350.600000000006</v>
      </c>
      <c r="AK86" s="285">
        <v>145630</v>
      </c>
      <c r="AL86" s="285">
        <v>131279.4</v>
      </c>
      <c r="AM86" s="285">
        <v>0</v>
      </c>
      <c r="AN86" s="287">
        <v>0</v>
      </c>
      <c r="AO86" s="292">
        <v>0</v>
      </c>
      <c r="AP86" s="292">
        <v>0</v>
      </c>
      <c r="AQ86" s="292">
        <v>0</v>
      </c>
      <c r="AR86" s="292">
        <v>0</v>
      </c>
      <c r="AS86" s="292">
        <v>0</v>
      </c>
      <c r="AT86" s="292">
        <v>0</v>
      </c>
      <c r="AU86" s="286" t="e">
        <v>#DIV/0!</v>
      </c>
      <c r="AV86" s="285">
        <v>0</v>
      </c>
      <c r="AW86" s="285">
        <v>0</v>
      </c>
      <c r="AX86" s="285">
        <v>0</v>
      </c>
      <c r="AY86" s="285">
        <v>0</v>
      </c>
      <c r="AZ86" s="285">
        <v>0</v>
      </c>
      <c r="BA86" s="287">
        <v>0</v>
      </c>
      <c r="BB86" s="292">
        <v>0</v>
      </c>
      <c r="BC86" s="292">
        <v>0</v>
      </c>
      <c r="BD86" s="292">
        <v>0</v>
      </c>
      <c r="BE86" s="292">
        <v>0</v>
      </c>
      <c r="BF86" s="292">
        <v>0</v>
      </c>
      <c r="BG86" s="292">
        <v>0</v>
      </c>
      <c r="BH86" s="286" t="e">
        <v>#DIV/0!</v>
      </c>
      <c r="BI86" s="285">
        <v>0</v>
      </c>
      <c r="BJ86" s="285">
        <v>0</v>
      </c>
      <c r="BK86" s="285">
        <v>0</v>
      </c>
      <c r="BL86" s="285">
        <v>0</v>
      </c>
      <c r="BM86" s="285">
        <v>0</v>
      </c>
      <c r="BN86" s="287">
        <v>0</v>
      </c>
      <c r="BO86" s="292">
        <v>0</v>
      </c>
      <c r="BP86" s="292">
        <v>0</v>
      </c>
      <c r="BQ86" s="292">
        <v>0</v>
      </c>
      <c r="BR86" s="292">
        <v>0</v>
      </c>
      <c r="BS86" s="292">
        <v>0</v>
      </c>
      <c r="BT86" s="292">
        <v>0</v>
      </c>
      <c r="BU86" s="286" t="e">
        <v>#DIV/0!</v>
      </c>
      <c r="BV86" s="285">
        <v>0</v>
      </c>
      <c r="BW86" s="285">
        <v>0</v>
      </c>
      <c r="BX86" s="285">
        <v>0</v>
      </c>
      <c r="BY86" s="285">
        <v>0</v>
      </c>
      <c r="BZ86" s="285">
        <v>0</v>
      </c>
      <c r="CA86" s="287">
        <v>0</v>
      </c>
    </row>
    <row r="87" spans="1:79" x14ac:dyDescent="0.25">
      <c r="A87" s="279" t="s">
        <v>1114</v>
      </c>
      <c r="B87" s="280">
        <v>0</v>
      </c>
      <c r="C87" s="280">
        <v>0</v>
      </c>
      <c r="D87" s="280">
        <v>0</v>
      </c>
      <c r="E87" s="280">
        <v>0</v>
      </c>
      <c r="F87" s="280">
        <v>0</v>
      </c>
      <c r="G87" s="280">
        <v>0</v>
      </c>
      <c r="H87" s="281" t="e">
        <v>#DIV/0!</v>
      </c>
      <c r="I87" s="280">
        <v>0</v>
      </c>
      <c r="J87" s="280">
        <v>0</v>
      </c>
      <c r="K87" s="280">
        <v>0</v>
      </c>
      <c r="L87" s="280">
        <v>0</v>
      </c>
      <c r="M87" s="280">
        <v>0</v>
      </c>
      <c r="N87" s="282">
        <v>0</v>
      </c>
      <c r="O87" s="280">
        <v>0</v>
      </c>
      <c r="P87" s="280">
        <v>0</v>
      </c>
      <c r="Q87" s="280">
        <v>0</v>
      </c>
      <c r="R87" s="280">
        <v>0</v>
      </c>
      <c r="S87" s="280">
        <v>0</v>
      </c>
      <c r="T87" s="280">
        <v>0</v>
      </c>
      <c r="U87" s="281" t="e">
        <v>#DIV/0!</v>
      </c>
      <c r="V87" s="280">
        <v>0</v>
      </c>
      <c r="W87" s="280">
        <v>0</v>
      </c>
      <c r="X87" s="280">
        <v>0</v>
      </c>
      <c r="Y87" s="280">
        <v>0</v>
      </c>
      <c r="Z87" s="280">
        <v>0</v>
      </c>
      <c r="AA87" s="282">
        <v>0</v>
      </c>
      <c r="AB87" s="280">
        <v>0</v>
      </c>
      <c r="AC87" s="280">
        <v>0</v>
      </c>
      <c r="AD87" s="280">
        <v>0</v>
      </c>
      <c r="AE87" s="280">
        <v>0</v>
      </c>
      <c r="AF87" s="280">
        <v>0</v>
      </c>
      <c r="AG87" s="280">
        <v>0</v>
      </c>
      <c r="AH87" s="281" t="e">
        <v>#DIV/0!</v>
      </c>
      <c r="AI87" s="280">
        <v>0</v>
      </c>
      <c r="AJ87" s="280">
        <v>0</v>
      </c>
      <c r="AK87" s="280">
        <v>0</v>
      </c>
      <c r="AL87" s="280">
        <v>0</v>
      </c>
      <c r="AM87" s="280">
        <v>0</v>
      </c>
      <c r="AN87" s="282">
        <v>0</v>
      </c>
      <c r="AO87" s="280">
        <v>0</v>
      </c>
      <c r="AP87" s="280">
        <v>0</v>
      </c>
      <c r="AQ87" s="280">
        <v>0</v>
      </c>
      <c r="AR87" s="280">
        <v>0</v>
      </c>
      <c r="AS87" s="280">
        <v>0</v>
      </c>
      <c r="AT87" s="280">
        <v>0</v>
      </c>
      <c r="AU87" s="281" t="e">
        <v>#DIV/0!</v>
      </c>
      <c r="AV87" s="280">
        <v>0</v>
      </c>
      <c r="AW87" s="280">
        <v>0</v>
      </c>
      <c r="AX87" s="280">
        <v>0</v>
      </c>
      <c r="AY87" s="280">
        <v>0</v>
      </c>
      <c r="AZ87" s="280">
        <v>0</v>
      </c>
      <c r="BA87" s="282">
        <v>0</v>
      </c>
      <c r="BB87" s="280">
        <v>0</v>
      </c>
      <c r="BC87" s="280">
        <v>0</v>
      </c>
      <c r="BD87" s="280">
        <v>0</v>
      </c>
      <c r="BE87" s="280">
        <v>0</v>
      </c>
      <c r="BF87" s="280">
        <v>0</v>
      </c>
      <c r="BG87" s="280">
        <v>0</v>
      </c>
      <c r="BH87" s="281" t="e">
        <v>#DIV/0!</v>
      </c>
      <c r="BI87" s="280">
        <v>0</v>
      </c>
      <c r="BJ87" s="280">
        <v>0</v>
      </c>
      <c r="BK87" s="280">
        <v>0</v>
      </c>
      <c r="BL87" s="280">
        <v>0</v>
      </c>
      <c r="BM87" s="280">
        <v>0</v>
      </c>
      <c r="BN87" s="282">
        <v>0</v>
      </c>
      <c r="BO87" s="280">
        <v>0</v>
      </c>
      <c r="BP87" s="280">
        <v>0</v>
      </c>
      <c r="BQ87" s="280">
        <v>0</v>
      </c>
      <c r="BR87" s="280">
        <v>0</v>
      </c>
      <c r="BS87" s="280">
        <v>0</v>
      </c>
      <c r="BT87" s="280">
        <v>0</v>
      </c>
      <c r="BU87" s="281" t="e">
        <v>#DIV/0!</v>
      </c>
      <c r="BV87" s="280">
        <v>0</v>
      </c>
      <c r="BW87" s="280">
        <v>0</v>
      </c>
      <c r="BX87" s="280">
        <v>0</v>
      </c>
      <c r="BY87" s="280">
        <v>0</v>
      </c>
      <c r="BZ87" s="280">
        <v>0</v>
      </c>
      <c r="CA87" s="282">
        <v>0</v>
      </c>
    </row>
    <row r="88" spans="1:79" ht="24" x14ac:dyDescent="0.25">
      <c r="A88" s="284" t="s">
        <v>1115</v>
      </c>
      <c r="B88" s="292">
        <v>0</v>
      </c>
      <c r="C88" s="292">
        <v>0</v>
      </c>
      <c r="D88" s="292">
        <v>0</v>
      </c>
      <c r="E88" s="292">
        <v>0</v>
      </c>
      <c r="F88" s="292">
        <v>0</v>
      </c>
      <c r="G88" s="292">
        <v>0</v>
      </c>
      <c r="H88" s="286" t="e">
        <v>#DIV/0!</v>
      </c>
      <c r="I88" s="285">
        <v>0</v>
      </c>
      <c r="J88" s="285">
        <v>0</v>
      </c>
      <c r="K88" s="285">
        <v>0</v>
      </c>
      <c r="L88" s="285">
        <v>0</v>
      </c>
      <c r="M88" s="285">
        <v>0</v>
      </c>
      <c r="N88" s="287">
        <v>0</v>
      </c>
      <c r="O88" s="292">
        <v>0</v>
      </c>
      <c r="P88" s="292">
        <v>0</v>
      </c>
      <c r="Q88" s="292">
        <v>0</v>
      </c>
      <c r="R88" s="292">
        <v>0</v>
      </c>
      <c r="S88" s="292">
        <v>0</v>
      </c>
      <c r="T88" s="292">
        <v>0</v>
      </c>
      <c r="U88" s="286" t="e">
        <v>#DIV/0!</v>
      </c>
      <c r="V88" s="285">
        <v>0</v>
      </c>
      <c r="W88" s="285">
        <v>0</v>
      </c>
      <c r="X88" s="285">
        <v>0</v>
      </c>
      <c r="Y88" s="285">
        <v>0</v>
      </c>
      <c r="Z88" s="285">
        <v>0</v>
      </c>
      <c r="AA88" s="287">
        <v>0</v>
      </c>
      <c r="AB88" s="292">
        <v>0</v>
      </c>
      <c r="AC88" s="292">
        <v>0</v>
      </c>
      <c r="AD88" s="292">
        <v>0</v>
      </c>
      <c r="AE88" s="292">
        <v>0</v>
      </c>
      <c r="AF88" s="292">
        <v>0</v>
      </c>
      <c r="AG88" s="292">
        <v>0</v>
      </c>
      <c r="AH88" s="286" t="e">
        <v>#DIV/0!</v>
      </c>
      <c r="AI88" s="285">
        <v>0</v>
      </c>
      <c r="AJ88" s="285">
        <v>0</v>
      </c>
      <c r="AK88" s="285">
        <v>0</v>
      </c>
      <c r="AL88" s="285">
        <v>0</v>
      </c>
      <c r="AM88" s="285">
        <v>0</v>
      </c>
      <c r="AN88" s="287">
        <v>0</v>
      </c>
      <c r="AO88" s="292">
        <v>0</v>
      </c>
      <c r="AP88" s="292">
        <v>0</v>
      </c>
      <c r="AQ88" s="292">
        <v>0</v>
      </c>
      <c r="AR88" s="292">
        <v>0</v>
      </c>
      <c r="AS88" s="292">
        <v>0</v>
      </c>
      <c r="AT88" s="292">
        <v>0</v>
      </c>
      <c r="AU88" s="286" t="e">
        <v>#DIV/0!</v>
      </c>
      <c r="AV88" s="285">
        <v>0</v>
      </c>
      <c r="AW88" s="285">
        <v>0</v>
      </c>
      <c r="AX88" s="285">
        <v>0</v>
      </c>
      <c r="AY88" s="285">
        <v>0</v>
      </c>
      <c r="AZ88" s="285">
        <v>0</v>
      </c>
      <c r="BA88" s="287">
        <v>0</v>
      </c>
      <c r="BB88" s="292">
        <v>0</v>
      </c>
      <c r="BC88" s="292">
        <v>0</v>
      </c>
      <c r="BD88" s="292">
        <v>0</v>
      </c>
      <c r="BE88" s="292">
        <v>0</v>
      </c>
      <c r="BF88" s="292">
        <v>0</v>
      </c>
      <c r="BG88" s="292">
        <v>0</v>
      </c>
      <c r="BH88" s="286" t="e">
        <v>#DIV/0!</v>
      </c>
      <c r="BI88" s="285">
        <v>0</v>
      </c>
      <c r="BJ88" s="285">
        <v>0</v>
      </c>
      <c r="BK88" s="285">
        <v>0</v>
      </c>
      <c r="BL88" s="285">
        <v>0</v>
      </c>
      <c r="BM88" s="285">
        <v>0</v>
      </c>
      <c r="BN88" s="287">
        <v>0</v>
      </c>
      <c r="BO88" s="292">
        <v>0</v>
      </c>
      <c r="BP88" s="292">
        <v>0</v>
      </c>
      <c r="BQ88" s="292">
        <v>0</v>
      </c>
      <c r="BR88" s="292">
        <v>0</v>
      </c>
      <c r="BS88" s="292">
        <v>0</v>
      </c>
      <c r="BT88" s="292">
        <v>0</v>
      </c>
      <c r="BU88" s="286" t="e">
        <v>#DIV/0!</v>
      </c>
      <c r="BV88" s="285">
        <v>0</v>
      </c>
      <c r="BW88" s="285">
        <v>0</v>
      </c>
      <c r="BX88" s="285">
        <v>0</v>
      </c>
      <c r="BY88" s="285">
        <v>0</v>
      </c>
      <c r="BZ88" s="285">
        <v>0</v>
      </c>
      <c r="CA88" s="287">
        <v>0</v>
      </c>
    </row>
    <row r="89" spans="1:79" s="324" customFormat="1" ht="12.75" x14ac:dyDescent="0.2">
      <c r="A89" s="311" t="s">
        <v>100</v>
      </c>
      <c r="B89" s="312">
        <v>333807</v>
      </c>
      <c r="C89" s="312">
        <v>333807</v>
      </c>
      <c r="D89" s="312">
        <v>291086.40000000002</v>
      </c>
      <c r="E89" s="312">
        <v>103398.51</v>
      </c>
      <c r="F89" s="312">
        <v>90828.329999999987</v>
      </c>
      <c r="G89" s="312">
        <v>90828.33</v>
      </c>
      <c r="H89" s="313">
        <v>0.27209833826133067</v>
      </c>
      <c r="I89" s="314">
        <v>242978.66999999998</v>
      </c>
      <c r="J89" s="314">
        <v>42720.599999999977</v>
      </c>
      <c r="K89" s="314">
        <v>230408.49</v>
      </c>
      <c r="L89" s="314">
        <v>187687.89</v>
      </c>
      <c r="M89" s="314">
        <v>12570.180000000008</v>
      </c>
      <c r="N89" s="315">
        <v>0</v>
      </c>
      <c r="O89" s="316">
        <v>0</v>
      </c>
      <c r="P89" s="316">
        <v>0</v>
      </c>
      <c r="Q89" s="316">
        <v>0</v>
      </c>
      <c r="R89" s="316">
        <v>0</v>
      </c>
      <c r="S89" s="316">
        <v>0</v>
      </c>
      <c r="T89" s="316">
        <v>0</v>
      </c>
      <c r="U89" s="317" t="e">
        <v>#DIV/0!</v>
      </c>
      <c r="V89" s="318">
        <v>0</v>
      </c>
      <c r="W89" s="318">
        <v>0</v>
      </c>
      <c r="X89" s="318">
        <v>0</v>
      </c>
      <c r="Y89" s="318">
        <v>0</v>
      </c>
      <c r="Z89" s="318">
        <v>0</v>
      </c>
      <c r="AA89" s="319">
        <v>0</v>
      </c>
      <c r="AB89" s="320">
        <v>333807</v>
      </c>
      <c r="AC89" s="320">
        <v>333007</v>
      </c>
      <c r="AD89" s="320">
        <v>290586.40000000002</v>
      </c>
      <c r="AE89" s="320">
        <v>103398.51</v>
      </c>
      <c r="AF89" s="320">
        <v>90828.329999999987</v>
      </c>
      <c r="AG89" s="320">
        <v>90828.33</v>
      </c>
      <c r="AH89" s="321">
        <v>0.27275201422192324</v>
      </c>
      <c r="AI89" s="322">
        <v>242178.66999999998</v>
      </c>
      <c r="AJ89" s="322">
        <v>42420.599999999977</v>
      </c>
      <c r="AK89" s="322">
        <v>229608.49</v>
      </c>
      <c r="AL89" s="322">
        <v>187187.89</v>
      </c>
      <c r="AM89" s="322">
        <v>12570.180000000008</v>
      </c>
      <c r="AN89" s="323">
        <v>0</v>
      </c>
      <c r="AO89" s="316">
        <v>0</v>
      </c>
      <c r="AP89" s="316">
        <v>0</v>
      </c>
      <c r="AQ89" s="316">
        <v>0</v>
      </c>
      <c r="AR89" s="316">
        <v>0</v>
      </c>
      <c r="AS89" s="316">
        <v>0</v>
      </c>
      <c r="AT89" s="316">
        <v>0</v>
      </c>
      <c r="AU89" s="317" t="e">
        <v>#DIV/0!</v>
      </c>
      <c r="AV89" s="318">
        <v>0</v>
      </c>
      <c r="AW89" s="318">
        <v>0</v>
      </c>
      <c r="AX89" s="318">
        <v>0</v>
      </c>
      <c r="AY89" s="318">
        <v>0</v>
      </c>
      <c r="AZ89" s="318">
        <v>0</v>
      </c>
      <c r="BA89" s="319">
        <v>0</v>
      </c>
      <c r="BB89" s="320">
        <v>0</v>
      </c>
      <c r="BC89" s="320">
        <v>800</v>
      </c>
      <c r="BD89" s="320">
        <v>500</v>
      </c>
      <c r="BE89" s="320">
        <v>0</v>
      </c>
      <c r="BF89" s="320">
        <v>0</v>
      </c>
      <c r="BG89" s="320">
        <v>0</v>
      </c>
      <c r="BH89" s="321">
        <v>0</v>
      </c>
      <c r="BI89" s="322">
        <v>800</v>
      </c>
      <c r="BJ89" s="322">
        <v>300</v>
      </c>
      <c r="BK89" s="322">
        <v>800</v>
      </c>
      <c r="BL89" s="322">
        <v>500</v>
      </c>
      <c r="BM89" s="322">
        <v>0</v>
      </c>
      <c r="BN89" s="323">
        <v>0</v>
      </c>
      <c r="BO89" s="316">
        <v>0</v>
      </c>
      <c r="BP89" s="316">
        <v>0</v>
      </c>
      <c r="BQ89" s="316">
        <v>0</v>
      </c>
      <c r="BR89" s="316">
        <v>0</v>
      </c>
      <c r="BS89" s="316">
        <v>0</v>
      </c>
      <c r="BT89" s="316">
        <v>0</v>
      </c>
      <c r="BU89" s="317" t="e">
        <v>#DIV/0!</v>
      </c>
      <c r="BV89" s="318">
        <v>0</v>
      </c>
      <c r="BW89" s="318">
        <v>0</v>
      </c>
      <c r="BX89" s="318">
        <v>0</v>
      </c>
      <c r="BY89" s="318">
        <v>0</v>
      </c>
      <c r="BZ89" s="318">
        <v>0</v>
      </c>
      <c r="CA89" s="319">
        <v>0</v>
      </c>
    </row>
    <row r="90" spans="1:79" s="324" customFormat="1" ht="15.75" thickBot="1" x14ac:dyDescent="0.25">
      <c r="A90" s="325" t="s">
        <v>1096</v>
      </c>
      <c r="B90" s="326">
        <v>170733012</v>
      </c>
      <c r="C90" s="326">
        <v>198104223.65000001</v>
      </c>
      <c r="D90" s="326">
        <v>196011503.05000001</v>
      </c>
      <c r="E90" s="326">
        <v>138287046.89409906</v>
      </c>
      <c r="F90" s="326">
        <v>137308009.59805125</v>
      </c>
      <c r="G90" s="326">
        <v>137276841.58098742</v>
      </c>
      <c r="H90" s="313">
        <v>0.69295262388509615</v>
      </c>
      <c r="I90" s="314">
        <v>60827382.069012582</v>
      </c>
      <c r="J90" s="314">
        <v>2092720.599999994</v>
      </c>
      <c r="K90" s="314">
        <v>59817176.755900949</v>
      </c>
      <c r="L90" s="314">
        <v>57724456.155900955</v>
      </c>
      <c r="M90" s="314">
        <v>979037.29604780674</v>
      </c>
      <c r="N90" s="315">
        <v>31168.017063826323</v>
      </c>
      <c r="O90" s="327">
        <v>2017198</v>
      </c>
      <c r="P90" s="327">
        <v>2017198</v>
      </c>
      <c r="Q90" s="327">
        <v>2017198</v>
      </c>
      <c r="R90" s="327">
        <v>1800553.38</v>
      </c>
      <c r="S90" s="327">
        <v>1354471.6400000001</v>
      </c>
      <c r="T90" s="327">
        <v>1354471.6400000001</v>
      </c>
      <c r="U90" s="317">
        <v>0.67146191895887275</v>
      </c>
      <c r="V90" s="318">
        <v>662726.35999999987</v>
      </c>
      <c r="W90" s="318">
        <v>0</v>
      </c>
      <c r="X90" s="318">
        <v>216644.62000000011</v>
      </c>
      <c r="Y90" s="318">
        <v>216644.62000000011</v>
      </c>
      <c r="Z90" s="318">
        <v>446081.73999999976</v>
      </c>
      <c r="AA90" s="319">
        <v>0</v>
      </c>
      <c r="AB90" s="328">
        <v>1482802</v>
      </c>
      <c r="AC90" s="328">
        <v>1482002</v>
      </c>
      <c r="AD90" s="328">
        <v>1389581.4</v>
      </c>
      <c r="AE90" s="328">
        <v>721968.59000000008</v>
      </c>
      <c r="AF90" s="328">
        <v>578014.07999999996</v>
      </c>
      <c r="AG90" s="328">
        <v>577814.04999999993</v>
      </c>
      <c r="AH90" s="321">
        <v>0.38988749677800699</v>
      </c>
      <c r="AI90" s="322">
        <v>904187.95000000007</v>
      </c>
      <c r="AJ90" s="322">
        <v>92420.600000000093</v>
      </c>
      <c r="AK90" s="322">
        <v>760033.40999999992</v>
      </c>
      <c r="AL90" s="322">
        <v>667612.80999999982</v>
      </c>
      <c r="AM90" s="322">
        <v>143954.51000000013</v>
      </c>
      <c r="AN90" s="323">
        <v>200.03000000002794</v>
      </c>
      <c r="AO90" s="327">
        <v>167233012</v>
      </c>
      <c r="AP90" s="327">
        <v>194604223.65000001</v>
      </c>
      <c r="AQ90" s="327">
        <v>192604223.65000001</v>
      </c>
      <c r="AR90" s="327">
        <v>135764524.92409906</v>
      </c>
      <c r="AS90" s="327">
        <v>135375523.87805125</v>
      </c>
      <c r="AT90" s="327">
        <v>135344555.89098743</v>
      </c>
      <c r="AU90" s="317">
        <v>0.69548621994149318</v>
      </c>
      <c r="AV90" s="318">
        <v>59259667.75901258</v>
      </c>
      <c r="AW90" s="318">
        <v>2000000</v>
      </c>
      <c r="AX90" s="318">
        <v>58839698.725900948</v>
      </c>
      <c r="AY90" s="318">
        <v>56839698.725900948</v>
      </c>
      <c r="AZ90" s="318">
        <v>389001.04604780674</v>
      </c>
      <c r="BA90" s="319">
        <v>30967.98706382513</v>
      </c>
      <c r="BB90" s="328">
        <v>0</v>
      </c>
      <c r="BC90" s="328">
        <v>800</v>
      </c>
      <c r="BD90" s="328">
        <v>500</v>
      </c>
      <c r="BE90" s="328">
        <v>0</v>
      </c>
      <c r="BF90" s="328">
        <v>0</v>
      </c>
      <c r="BG90" s="328">
        <v>0</v>
      </c>
      <c r="BH90" s="321">
        <v>0</v>
      </c>
      <c r="BI90" s="322">
        <v>800</v>
      </c>
      <c r="BJ90" s="322">
        <v>300</v>
      </c>
      <c r="BK90" s="322">
        <v>800</v>
      </c>
      <c r="BL90" s="322">
        <v>500</v>
      </c>
      <c r="BM90" s="322">
        <v>0</v>
      </c>
      <c r="BN90" s="323">
        <v>0</v>
      </c>
      <c r="BO90" s="327">
        <v>0</v>
      </c>
      <c r="BP90" s="327">
        <v>0</v>
      </c>
      <c r="BQ90" s="327">
        <v>0</v>
      </c>
      <c r="BR90" s="327">
        <v>0</v>
      </c>
      <c r="BS90" s="327">
        <v>0</v>
      </c>
      <c r="BT90" s="327">
        <v>0</v>
      </c>
      <c r="BU90" s="317" t="e">
        <v>#DIV/0!</v>
      </c>
      <c r="BV90" s="318">
        <v>0</v>
      </c>
      <c r="BW90" s="318">
        <v>0</v>
      </c>
      <c r="BX90" s="318">
        <v>0</v>
      </c>
      <c r="BY90" s="318">
        <v>0</v>
      </c>
      <c r="BZ90" s="318">
        <v>0</v>
      </c>
      <c r="CA90" s="319">
        <v>0</v>
      </c>
    </row>
    <row r="91" spans="1:79" s="341" customFormat="1" ht="16.5" thickTop="1" thickBot="1" x14ac:dyDescent="0.3">
      <c r="A91" s="325" t="s">
        <v>1118</v>
      </c>
      <c r="B91" s="329">
        <v>170399205</v>
      </c>
      <c r="C91" s="329">
        <v>197905769.44</v>
      </c>
      <c r="D91" s="329">
        <v>195813048.84</v>
      </c>
      <c r="E91" s="329">
        <v>138174952.80409905</v>
      </c>
      <c r="F91" s="329">
        <v>137195915.50805125</v>
      </c>
      <c r="G91" s="329">
        <v>137164747.49098742</v>
      </c>
      <c r="H91" s="330">
        <v>0.69308109550880115</v>
      </c>
      <c r="I91" s="331">
        <v>60741021.949012578</v>
      </c>
      <c r="J91" s="331">
        <v>2092720.599999994</v>
      </c>
      <c r="K91" s="331">
        <v>59730816.635900944</v>
      </c>
      <c r="L91" s="331">
        <v>57638096.03590095</v>
      </c>
      <c r="M91" s="331">
        <v>979037.29604780674</v>
      </c>
      <c r="N91" s="332">
        <v>31168.017063826323</v>
      </c>
      <c r="O91" s="333">
        <v>2017198</v>
      </c>
      <c r="P91" s="333">
        <v>2017198</v>
      </c>
      <c r="Q91" s="333">
        <v>2017198</v>
      </c>
      <c r="R91" s="333">
        <v>1800553.38</v>
      </c>
      <c r="S91" s="333">
        <v>1354471.6400000001</v>
      </c>
      <c r="T91" s="333">
        <v>1354471.6400000001</v>
      </c>
      <c r="U91" s="334">
        <v>0.67146191895887275</v>
      </c>
      <c r="V91" s="335">
        <v>662726.35999999987</v>
      </c>
      <c r="W91" s="335">
        <v>0</v>
      </c>
      <c r="X91" s="335">
        <v>216644.62000000011</v>
      </c>
      <c r="Y91" s="335">
        <v>216644.62000000011</v>
      </c>
      <c r="Z91" s="335">
        <v>446081.73999999976</v>
      </c>
      <c r="AA91" s="336">
        <v>0</v>
      </c>
      <c r="AB91" s="337">
        <v>1482802</v>
      </c>
      <c r="AC91" s="337">
        <v>1482002</v>
      </c>
      <c r="AD91" s="337">
        <v>1389581.4</v>
      </c>
      <c r="AE91" s="337">
        <v>721968.59000000008</v>
      </c>
      <c r="AF91" s="337">
        <v>578014.07999999996</v>
      </c>
      <c r="AG91" s="337">
        <v>577814.04999999993</v>
      </c>
      <c r="AH91" s="338">
        <v>0.38988749677800699</v>
      </c>
      <c r="AI91" s="339">
        <v>904187.95000000007</v>
      </c>
      <c r="AJ91" s="339">
        <v>92420.600000000093</v>
      </c>
      <c r="AK91" s="339">
        <v>760033.40999999992</v>
      </c>
      <c r="AL91" s="339">
        <v>667612.80999999982</v>
      </c>
      <c r="AM91" s="339">
        <v>143954.51000000013</v>
      </c>
      <c r="AN91" s="340">
        <v>200.03000000002794</v>
      </c>
      <c r="AO91" s="333">
        <v>166899205</v>
      </c>
      <c r="AP91" s="333">
        <v>194405769.44</v>
      </c>
      <c r="AQ91" s="333">
        <v>192405769.44</v>
      </c>
      <c r="AR91" s="333">
        <v>135652430.83409905</v>
      </c>
      <c r="AS91" s="333">
        <v>135263429.78805125</v>
      </c>
      <c r="AT91" s="333">
        <v>135232461.80098742</v>
      </c>
      <c r="AU91" s="334">
        <v>0.69561959087188818</v>
      </c>
      <c r="AV91" s="335">
        <v>59173307.639012575</v>
      </c>
      <c r="AW91" s="335">
        <v>2000000</v>
      </c>
      <c r="AX91" s="335">
        <v>58753338.605900943</v>
      </c>
      <c r="AY91" s="335">
        <v>56753338.605900943</v>
      </c>
      <c r="AZ91" s="335">
        <v>389001.04604780674</v>
      </c>
      <c r="BA91" s="336">
        <v>30967.98706382513</v>
      </c>
      <c r="BB91" s="337">
        <v>0</v>
      </c>
      <c r="BC91" s="337">
        <v>800</v>
      </c>
      <c r="BD91" s="337">
        <v>500</v>
      </c>
      <c r="BE91" s="337">
        <v>0</v>
      </c>
      <c r="BF91" s="337">
        <v>0</v>
      </c>
      <c r="BG91" s="337">
        <v>0</v>
      </c>
      <c r="BH91" s="338">
        <v>0</v>
      </c>
      <c r="BI91" s="339">
        <v>800</v>
      </c>
      <c r="BJ91" s="339">
        <v>300</v>
      </c>
      <c r="BK91" s="339">
        <v>800</v>
      </c>
      <c r="BL91" s="339">
        <v>500</v>
      </c>
      <c r="BM91" s="339">
        <v>0</v>
      </c>
      <c r="BN91" s="340">
        <v>0</v>
      </c>
      <c r="BO91" s="333">
        <v>0</v>
      </c>
      <c r="BP91" s="333">
        <v>0</v>
      </c>
      <c r="BQ91" s="333">
        <v>0</v>
      </c>
      <c r="BR91" s="333">
        <v>0</v>
      </c>
      <c r="BS91" s="333">
        <v>0</v>
      </c>
      <c r="BT91" s="333">
        <v>0</v>
      </c>
      <c r="BU91" s="334" t="e">
        <v>#DIV/0!</v>
      </c>
      <c r="BV91" s="335">
        <v>0</v>
      </c>
      <c r="BW91" s="335">
        <v>0</v>
      </c>
      <c r="BX91" s="335">
        <v>0</v>
      </c>
      <c r="BY91" s="335">
        <v>0</v>
      </c>
      <c r="BZ91" s="335">
        <v>0</v>
      </c>
      <c r="CA91" s="336">
        <v>0</v>
      </c>
    </row>
    <row r="92" spans="1:79" ht="15.75" thickTop="1" x14ac:dyDescent="0.25">
      <c r="B92" s="306"/>
      <c r="AO92" s="306">
        <v>333807</v>
      </c>
    </row>
    <row r="93" spans="1:79" x14ac:dyDescent="0.25">
      <c r="B93" s="306"/>
      <c r="C93" s="306"/>
      <c r="D93" s="306"/>
      <c r="E93" s="306"/>
      <c r="F93" s="306"/>
      <c r="G93" s="306"/>
    </row>
    <row r="94" spans="1:79" x14ac:dyDescent="0.25">
      <c r="B94" s="306"/>
      <c r="C94" s="306"/>
      <c r="D94" s="306"/>
      <c r="E94" s="306"/>
      <c r="F94" s="306"/>
      <c r="G94" s="306"/>
    </row>
    <row r="95" spans="1:79" x14ac:dyDescent="0.25">
      <c r="B95" s="306"/>
      <c r="C95" s="306"/>
      <c r="D95" s="306"/>
      <c r="E95" s="306"/>
      <c r="F95" s="306"/>
      <c r="G95" s="306"/>
    </row>
    <row r="96" spans="1:79" x14ac:dyDescent="0.25">
      <c r="B96" s="306"/>
      <c r="C96" s="306"/>
      <c r="D96" s="306"/>
      <c r="E96" s="306"/>
      <c r="F96" s="306"/>
      <c r="G96" s="306"/>
    </row>
    <row r="98" spans="2:2" x14ac:dyDescent="0.25">
      <c r="B98" s="306"/>
    </row>
  </sheetData>
  <sheetProtection formatCells="0" formatColumns="0" formatRows="0" autoFilter="0"/>
  <autoFilter ref="A2:CA98" xr:uid="{EF29FE92-E1C5-45EF-930E-D9098FAB0963}"/>
  <mergeCells count="31">
    <mergeCell ref="BO60:CA60"/>
    <mergeCell ref="BO40:CA40"/>
    <mergeCell ref="A56:CA56"/>
    <mergeCell ref="A57:CA57"/>
    <mergeCell ref="A58:CA58"/>
    <mergeCell ref="A60:A62"/>
    <mergeCell ref="B60:N60"/>
    <mergeCell ref="O60:AA60"/>
    <mergeCell ref="AB60:AN60"/>
    <mergeCell ref="AO60:BA60"/>
    <mergeCell ref="BB60:BN60"/>
    <mergeCell ref="A31:K31"/>
    <mergeCell ref="A36:CA36"/>
    <mergeCell ref="A37:CA37"/>
    <mergeCell ref="A38:CA38"/>
    <mergeCell ref="A40:A42"/>
    <mergeCell ref="B40:N40"/>
    <mergeCell ref="O40:AA40"/>
    <mergeCell ref="AB40:AN40"/>
    <mergeCell ref="AO40:BA40"/>
    <mergeCell ref="BB40:BN40"/>
    <mergeCell ref="A3:CA3"/>
    <mergeCell ref="A4:CA4"/>
    <mergeCell ref="A5:CA5"/>
    <mergeCell ref="A7:A9"/>
    <mergeCell ref="B7:N7"/>
    <mergeCell ref="O7:AA7"/>
    <mergeCell ref="AB7:AN7"/>
    <mergeCell ref="AO7:BA7"/>
    <mergeCell ref="BB7:BN7"/>
    <mergeCell ref="BO7:CA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ED43A-8998-4294-9568-6B38EBD0C276}">
  <dimension ref="A1:AB1000"/>
  <sheetViews>
    <sheetView topLeftCell="H1" workbookViewId="0">
      <pane ySplit="12" topLeftCell="A298" activePane="bottomLeft" state="frozen"/>
      <selection pane="bottomLeft" activeCell="S323" sqref="S323"/>
    </sheetView>
  </sheetViews>
  <sheetFormatPr defaultColWidth="14.42578125" defaultRowHeight="15" customHeight="1" x14ac:dyDescent="0.25"/>
  <cols>
    <col min="1" max="1" width="213.7109375" style="344" hidden="1" customWidth="1"/>
    <col min="2" max="2" width="58.85546875" style="344" customWidth="1"/>
    <col min="3" max="3" width="17.42578125" style="344" customWidth="1"/>
    <col min="4" max="4" width="18.42578125" style="344" customWidth="1"/>
    <col min="5" max="5" width="19.85546875" style="344" customWidth="1"/>
    <col min="6" max="6" width="16.42578125" style="344" customWidth="1"/>
    <col min="7" max="7" width="15.140625" style="344" customWidth="1"/>
    <col min="8" max="8" width="12.28515625" style="344" customWidth="1"/>
    <col min="9" max="18" width="12.7109375" style="344" customWidth="1"/>
    <col min="19" max="19" width="12.5703125" style="344" customWidth="1"/>
    <col min="20" max="20" width="15.7109375" style="344" customWidth="1"/>
    <col min="21" max="21" width="14.140625" style="344" customWidth="1"/>
    <col min="22" max="22" width="16.42578125" style="344" customWidth="1"/>
    <col min="23" max="23" width="18" style="344" customWidth="1"/>
    <col min="24" max="24" width="12.42578125" style="344" customWidth="1"/>
    <col min="25" max="25" width="13.5703125" style="344" customWidth="1"/>
    <col min="26" max="26" width="11.85546875" style="344" customWidth="1"/>
    <col min="27" max="27" width="14.5703125" style="344" customWidth="1"/>
    <col min="28" max="28" width="8.7109375" style="344" customWidth="1"/>
    <col min="29" max="16384" width="14.42578125" style="344"/>
  </cols>
  <sheetData>
    <row r="1" spans="1:28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</row>
    <row r="2" spans="1:28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  <c r="AB2" s="342"/>
    </row>
    <row r="3" spans="1:28" ht="12" customHeight="1" x14ac:dyDescent="0.25">
      <c r="A3" s="515" t="s">
        <v>87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  <c r="AB3" s="342"/>
    </row>
    <row r="4" spans="1:28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  <c r="AB4" s="342"/>
    </row>
    <row r="5" spans="1:28" ht="12" customHeight="1" x14ac:dyDescent="0.25">
      <c r="A5" s="345"/>
      <c r="B5" s="346" t="s">
        <v>1068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  <c r="AB5" s="342"/>
    </row>
    <row r="6" spans="1:28" ht="12" customHeight="1" x14ac:dyDescent="0.25">
      <c r="A6" s="345"/>
      <c r="B6" s="346" t="s">
        <v>1069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  <c r="AB6" s="342"/>
    </row>
    <row r="7" spans="1:28" ht="12" customHeight="1" x14ac:dyDescent="0.25">
      <c r="A7" s="345"/>
      <c r="B7" s="518" t="s">
        <v>1070</v>
      </c>
      <c r="C7" s="519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  <c r="AB7" s="342"/>
    </row>
    <row r="8" spans="1:28" ht="12" customHeight="1" x14ac:dyDescent="0.25">
      <c r="A8" s="345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  <c r="AB8" s="342"/>
    </row>
    <row r="9" spans="1:28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  <c r="AB9" s="342"/>
    </row>
    <row r="10" spans="1:28" ht="12" customHeight="1" x14ac:dyDescent="0.25">
      <c r="A10" s="511"/>
      <c r="B10" s="514" t="s">
        <v>1071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  <c r="AB10" s="342"/>
    </row>
    <row r="11" spans="1:28" ht="12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  <c r="AB11" s="342"/>
    </row>
    <row r="12" spans="1:28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  <c r="AB12" s="342"/>
    </row>
    <row r="13" spans="1:28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  <c r="AB13" s="359"/>
    </row>
    <row r="14" spans="1:28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  <c r="AB14" s="359"/>
    </row>
    <row r="15" spans="1:28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  <c r="AB15" s="359"/>
    </row>
    <row r="16" spans="1:28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  <c r="AB16" s="359"/>
    </row>
    <row r="17" spans="1:28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  <c r="AB17" s="359"/>
    </row>
    <row r="18" spans="1:28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  <c r="AB18" s="359"/>
    </row>
    <row r="19" spans="1:28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  <c r="AB19" s="359"/>
    </row>
    <row r="20" spans="1:28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  <c r="AB20" s="359"/>
    </row>
    <row r="21" spans="1:28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  <c r="AB21" s="359"/>
    </row>
    <row r="22" spans="1:28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  <c r="AB22" s="359"/>
    </row>
    <row r="23" spans="1:28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59"/>
    </row>
    <row r="24" spans="1:28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  <c r="AB24" s="359"/>
    </row>
    <row r="25" spans="1:28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  <c r="AB25" s="359"/>
    </row>
    <row r="26" spans="1:28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  <c r="AB26" s="359"/>
    </row>
    <row r="27" spans="1:28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  <c r="AB27" s="359"/>
    </row>
    <row r="28" spans="1:28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  <c r="AB28" s="359"/>
    </row>
    <row r="29" spans="1:28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  <c r="AB29" s="359"/>
    </row>
    <row r="30" spans="1:28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  <c r="AB30" s="359"/>
    </row>
    <row r="31" spans="1:28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  <c r="AB31" s="359"/>
    </row>
    <row r="32" spans="1:28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59"/>
    </row>
    <row r="33" spans="1:28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  <c r="AB33" s="359"/>
    </row>
    <row r="34" spans="1:28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59"/>
    </row>
    <row r="35" spans="1:28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  <c r="AB35" s="359"/>
    </row>
    <row r="36" spans="1:28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  <c r="AB36" s="359"/>
    </row>
    <row r="37" spans="1:28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  <c r="AB37" s="367"/>
    </row>
    <row r="38" spans="1:28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  <c r="AB38" s="367"/>
    </row>
    <row r="39" spans="1:28" ht="12" customHeight="1" x14ac:dyDescent="0.25">
      <c r="A39" s="354"/>
      <c r="B39" s="355" t="s">
        <v>430</v>
      </c>
      <c r="C39" s="356">
        <v>0</v>
      </c>
      <c r="D39" s="356">
        <v>0</v>
      </c>
      <c r="E39" s="356">
        <v>0</v>
      </c>
      <c r="F39" s="356">
        <v>0</v>
      </c>
      <c r="G39" s="356">
        <v>0</v>
      </c>
      <c r="H39" s="356">
        <v>0</v>
      </c>
      <c r="I39" s="356">
        <v>0</v>
      </c>
      <c r="J39" s="356">
        <v>0</v>
      </c>
      <c r="K39" s="356">
        <v>0</v>
      </c>
      <c r="L39" s="356">
        <v>0</v>
      </c>
      <c r="M39" s="356">
        <v>0</v>
      </c>
      <c r="N39" s="356">
        <v>0</v>
      </c>
      <c r="O39" s="356">
        <v>0</v>
      </c>
      <c r="P39" s="356">
        <v>0</v>
      </c>
      <c r="Q39" s="356">
        <v>0</v>
      </c>
      <c r="R39" s="356">
        <v>0</v>
      </c>
      <c r="S39" s="356">
        <v>0</v>
      </c>
      <c r="T39" s="357">
        <v>0</v>
      </c>
      <c r="U39" s="358" t="e">
        <v>#DIV/0!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  <c r="AB39" s="359"/>
    </row>
    <row r="40" spans="1:28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  <c r="AB40" s="359"/>
    </row>
    <row r="41" spans="1:28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  <c r="AB41" s="359"/>
    </row>
    <row r="42" spans="1:28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  <c r="AB42" s="359"/>
    </row>
    <row r="43" spans="1:28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  <c r="AB43" s="359"/>
    </row>
    <row r="44" spans="1:28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  <c r="AB44" s="359"/>
    </row>
    <row r="45" spans="1:28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  <c r="AB45" s="359"/>
    </row>
    <row r="46" spans="1:28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  <c r="AB46" s="359"/>
    </row>
    <row r="47" spans="1:28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  <c r="AB47" s="359"/>
    </row>
    <row r="48" spans="1:28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  <c r="AB48" s="359"/>
    </row>
    <row r="49" spans="1:28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  <c r="AB49" s="359"/>
    </row>
    <row r="50" spans="1:28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  <c r="AB50" s="359"/>
    </row>
    <row r="51" spans="1:28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  <c r="AB51" s="359"/>
    </row>
    <row r="52" spans="1:28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  <c r="AB52" s="359"/>
    </row>
    <row r="53" spans="1:28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  <c r="AB53" s="359"/>
    </row>
    <row r="54" spans="1:28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59"/>
    </row>
    <row r="55" spans="1:28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  <c r="AB55" s="367"/>
    </row>
    <row r="56" spans="1:28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  <c r="AB56" s="367"/>
    </row>
    <row r="57" spans="1:28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  <c r="AB57" s="367"/>
    </row>
    <row r="58" spans="1:28" ht="12" customHeight="1" x14ac:dyDescent="0.25">
      <c r="A58" s="354" t="s">
        <v>1158</v>
      </c>
      <c r="B58" s="360" t="s">
        <v>449</v>
      </c>
      <c r="C58" s="362">
        <v>0</v>
      </c>
      <c r="D58" s="362">
        <v>0</v>
      </c>
      <c r="E58" s="362">
        <v>0</v>
      </c>
      <c r="F58" s="362">
        <v>0</v>
      </c>
      <c r="G58" s="362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  <c r="AB58" s="367"/>
    </row>
    <row r="59" spans="1:28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  <c r="AB59" s="367"/>
    </row>
    <row r="60" spans="1:28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  <c r="AB60" s="359"/>
    </row>
    <row r="61" spans="1:28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  <c r="AB61" s="359"/>
    </row>
    <row r="62" spans="1:28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  <c r="AB62" s="359"/>
    </row>
    <row r="63" spans="1:28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  <c r="AB63" s="359"/>
    </row>
    <row r="64" spans="1:28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  <c r="AB64" s="359"/>
    </row>
    <row r="65" spans="1:28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  <c r="AB65" s="359"/>
    </row>
    <row r="66" spans="1:28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  <c r="AB66" s="359"/>
    </row>
    <row r="67" spans="1:28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  <c r="AB67" s="359"/>
    </row>
    <row r="68" spans="1:28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  <c r="AB68" s="359"/>
    </row>
    <row r="69" spans="1:28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  <c r="AB69" s="359"/>
    </row>
    <row r="70" spans="1:28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  <c r="AB70" s="359"/>
    </row>
    <row r="71" spans="1:28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  <c r="AB71" s="359"/>
    </row>
    <row r="72" spans="1:28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  <c r="AB72" s="359"/>
    </row>
    <row r="73" spans="1:28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  <c r="AB73" s="359"/>
    </row>
    <row r="74" spans="1:28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  <c r="AB74" s="359"/>
    </row>
    <row r="75" spans="1:28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  <c r="AB75" s="367"/>
    </row>
    <row r="76" spans="1:28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  <c r="AB76" s="367"/>
    </row>
    <row r="77" spans="1:28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  <c r="AB77" s="367"/>
    </row>
    <row r="78" spans="1:28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  <c r="AB78" s="367"/>
    </row>
    <row r="79" spans="1:28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  <c r="AB79" s="359"/>
    </row>
    <row r="80" spans="1:28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  <c r="AB80" s="359"/>
    </row>
    <row r="81" spans="1:28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  <c r="AB81" s="359"/>
    </row>
    <row r="82" spans="1:28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  <c r="AB82" s="359"/>
    </row>
    <row r="83" spans="1:28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  <c r="AB83" s="359"/>
    </row>
    <row r="84" spans="1:28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  <c r="AB84" s="359"/>
    </row>
    <row r="85" spans="1:28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  <c r="AB85" s="359"/>
    </row>
    <row r="86" spans="1:28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  <c r="AB86" s="359"/>
    </row>
    <row r="87" spans="1:28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  <c r="AB87" s="359"/>
    </row>
    <row r="88" spans="1:28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  <c r="AB88" s="359"/>
    </row>
    <row r="89" spans="1:28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  <c r="AB89" s="359"/>
    </row>
    <row r="90" spans="1:28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  <c r="AB90" s="359"/>
    </row>
    <row r="91" spans="1:28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  <c r="AB91" s="359"/>
    </row>
    <row r="92" spans="1:28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59"/>
    </row>
    <row r="93" spans="1:28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59"/>
    </row>
    <row r="94" spans="1:28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  <c r="AB94" s="359"/>
    </row>
    <row r="95" spans="1:28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  <c r="AB95" s="359"/>
    </row>
    <row r="96" spans="1:28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  <c r="AB96" s="359"/>
    </row>
    <row r="97" spans="1:28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  <c r="AB97" s="359"/>
    </row>
    <row r="98" spans="1:28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  <c r="AB98" s="359"/>
    </row>
    <row r="99" spans="1:28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  <c r="AB99" s="359"/>
    </row>
    <row r="100" spans="1:28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  <c r="AB100" s="359"/>
    </row>
    <row r="101" spans="1:28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59"/>
    </row>
    <row r="102" spans="1:28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59"/>
    </row>
    <row r="103" spans="1:28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  <c r="AB103" s="359"/>
    </row>
    <row r="104" spans="1:28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  <c r="AB104" s="359"/>
    </row>
    <row r="105" spans="1:28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  <c r="AB105" s="359"/>
    </row>
    <row r="106" spans="1:28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  <c r="AB106" s="359"/>
    </row>
    <row r="107" spans="1:28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59"/>
    </row>
    <row r="108" spans="1:28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  <c r="AB108" s="359"/>
    </row>
    <row r="109" spans="1:28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  <c r="AB109" s="359"/>
    </row>
    <row r="110" spans="1:28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  <c r="AB110" s="359"/>
    </row>
    <row r="111" spans="1:28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  <c r="AB111" s="359"/>
    </row>
    <row r="112" spans="1:28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  <c r="AB112" s="359"/>
    </row>
    <row r="113" spans="1:28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  <c r="AB113" s="359"/>
    </row>
    <row r="114" spans="1:28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  <c r="AB114" s="359"/>
    </row>
    <row r="115" spans="1:28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  <c r="AB115" s="359"/>
    </row>
    <row r="116" spans="1:28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  <c r="AB116" s="359"/>
    </row>
    <row r="117" spans="1:28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  <c r="AB117" s="359"/>
    </row>
    <row r="118" spans="1:28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  <c r="AB118" s="359"/>
    </row>
    <row r="119" spans="1:28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  <c r="AB119" s="359"/>
    </row>
    <row r="120" spans="1:28" ht="12" customHeight="1" x14ac:dyDescent="0.25">
      <c r="A120" s="354"/>
      <c r="B120" s="360" t="s">
        <v>511</v>
      </c>
      <c r="C120" s="361">
        <v>0</v>
      </c>
      <c r="D120" s="361">
        <v>0</v>
      </c>
      <c r="E120" s="361">
        <v>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 t="e">
        <v>#DIV/0!</v>
      </c>
      <c r="V120" s="362">
        <v>0</v>
      </c>
      <c r="W120" s="362">
        <v>0</v>
      </c>
      <c r="X120" s="362">
        <v>0</v>
      </c>
      <c r="Y120" s="362">
        <v>0</v>
      </c>
      <c r="Z120" s="362">
        <v>0</v>
      </c>
      <c r="AA120" s="362">
        <v>0</v>
      </c>
      <c r="AB120" s="359"/>
    </row>
    <row r="121" spans="1:28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  <c r="AB121" s="359"/>
    </row>
    <row r="122" spans="1:28" ht="12" customHeight="1" x14ac:dyDescent="0.25">
      <c r="A122" s="354" t="s">
        <v>1214</v>
      </c>
      <c r="B122" s="354" t="s">
        <v>513</v>
      </c>
      <c r="C122" s="365">
        <v>0</v>
      </c>
      <c r="D122" s="365">
        <v>0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 t="e">
        <v>#DIV/0!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  <c r="AB122" s="359"/>
    </row>
    <row r="123" spans="1:28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  <c r="AB123" s="359"/>
    </row>
    <row r="124" spans="1:28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  <c r="AB124" s="359"/>
    </row>
    <row r="125" spans="1:28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  <c r="AB125" s="359"/>
    </row>
    <row r="126" spans="1:28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  <c r="AB126" s="359"/>
    </row>
    <row r="127" spans="1:28" ht="12" customHeight="1" x14ac:dyDescent="0.25">
      <c r="A127" s="354"/>
      <c r="B127" s="360" t="s">
        <v>518</v>
      </c>
      <c r="C127" s="361">
        <v>0</v>
      </c>
      <c r="D127" s="361">
        <v>0</v>
      </c>
      <c r="E127" s="361">
        <v>0</v>
      </c>
      <c r="F127" s="361">
        <v>0</v>
      </c>
      <c r="G127" s="361">
        <v>0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0</v>
      </c>
      <c r="Q127" s="361">
        <v>0</v>
      </c>
      <c r="R127" s="361">
        <v>0</v>
      </c>
      <c r="S127" s="361">
        <v>0</v>
      </c>
      <c r="T127" s="362">
        <v>0</v>
      </c>
      <c r="U127" s="363" t="e">
        <v>#DIV/0!</v>
      </c>
      <c r="V127" s="362">
        <v>0</v>
      </c>
      <c r="W127" s="362">
        <v>0</v>
      </c>
      <c r="X127" s="362">
        <v>0</v>
      </c>
      <c r="Y127" s="362">
        <v>0</v>
      </c>
      <c r="Z127" s="362">
        <v>0</v>
      </c>
      <c r="AA127" s="362">
        <v>0</v>
      </c>
      <c r="AB127" s="359"/>
    </row>
    <row r="128" spans="1:28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  <c r="AB128" s="359"/>
    </row>
    <row r="129" spans="1:28" ht="12" customHeight="1" x14ac:dyDescent="0.25">
      <c r="A129" s="354" t="s">
        <v>1219</v>
      </c>
      <c r="B129" s="354" t="s">
        <v>520</v>
      </c>
      <c r="C129" s="365">
        <v>0</v>
      </c>
      <c r="D129" s="365">
        <v>0</v>
      </c>
      <c r="E129" s="365">
        <v>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  <c r="S129" s="365">
        <v>0</v>
      </c>
      <c r="T129" s="365">
        <v>0</v>
      </c>
      <c r="U129" s="366" t="e">
        <v>#DIV/0!</v>
      </c>
      <c r="V129" s="365">
        <v>0</v>
      </c>
      <c r="W129" s="365">
        <v>0</v>
      </c>
      <c r="X129" s="365">
        <v>0</v>
      </c>
      <c r="Y129" s="365">
        <v>0</v>
      </c>
      <c r="Z129" s="365">
        <v>0</v>
      </c>
      <c r="AA129" s="365">
        <v>0</v>
      </c>
      <c r="AB129" s="359"/>
    </row>
    <row r="130" spans="1:28" ht="12" customHeight="1" x14ac:dyDescent="0.25">
      <c r="A130" s="354"/>
      <c r="B130" s="360" t="s">
        <v>521</v>
      </c>
      <c r="C130" s="361">
        <v>0</v>
      </c>
      <c r="D130" s="361">
        <v>0</v>
      </c>
      <c r="E130" s="361">
        <v>0</v>
      </c>
      <c r="F130" s="361">
        <v>0</v>
      </c>
      <c r="G130" s="361">
        <v>0</v>
      </c>
      <c r="H130" s="361">
        <v>0</v>
      </c>
      <c r="I130" s="361">
        <v>0</v>
      </c>
      <c r="J130" s="361">
        <v>0</v>
      </c>
      <c r="K130" s="361">
        <v>0</v>
      </c>
      <c r="L130" s="361">
        <v>0</v>
      </c>
      <c r="M130" s="361">
        <v>0</v>
      </c>
      <c r="N130" s="361">
        <v>0</v>
      </c>
      <c r="O130" s="361">
        <v>0</v>
      </c>
      <c r="P130" s="361">
        <v>0</v>
      </c>
      <c r="Q130" s="361">
        <v>0</v>
      </c>
      <c r="R130" s="361">
        <v>0</v>
      </c>
      <c r="S130" s="361">
        <v>0</v>
      </c>
      <c r="T130" s="362">
        <v>0</v>
      </c>
      <c r="U130" s="363" t="e">
        <v>#DIV/0!</v>
      </c>
      <c r="V130" s="362">
        <v>0</v>
      </c>
      <c r="W130" s="362">
        <v>0</v>
      </c>
      <c r="X130" s="362">
        <v>0</v>
      </c>
      <c r="Y130" s="362">
        <v>0</v>
      </c>
      <c r="Z130" s="362">
        <v>0</v>
      </c>
      <c r="AA130" s="362">
        <v>0</v>
      </c>
      <c r="AB130" s="359"/>
    </row>
    <row r="131" spans="1:28" ht="12" customHeight="1" x14ac:dyDescent="0.25">
      <c r="A131" s="354" t="s">
        <v>1220</v>
      </c>
      <c r="B131" s="364" t="s">
        <v>522</v>
      </c>
      <c r="C131" s="365">
        <v>0</v>
      </c>
      <c r="D131" s="365">
        <v>0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5">
        <v>0</v>
      </c>
      <c r="L131" s="365">
        <v>0</v>
      </c>
      <c r="M131" s="365">
        <v>0</v>
      </c>
      <c r="N131" s="365">
        <v>0</v>
      </c>
      <c r="O131" s="365">
        <v>0</v>
      </c>
      <c r="P131" s="365">
        <v>0</v>
      </c>
      <c r="Q131" s="365">
        <v>0</v>
      </c>
      <c r="R131" s="365">
        <v>0</v>
      </c>
      <c r="S131" s="365">
        <v>0</v>
      </c>
      <c r="T131" s="365">
        <v>0</v>
      </c>
      <c r="U131" s="366" t="e">
        <v>#DIV/0!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  <c r="AB131" s="359"/>
    </row>
    <row r="132" spans="1:28" ht="12" customHeight="1" x14ac:dyDescent="0.25">
      <c r="A132" s="354" t="s">
        <v>1221</v>
      </c>
      <c r="B132" s="364" t="s">
        <v>523</v>
      </c>
      <c r="C132" s="365">
        <v>0</v>
      </c>
      <c r="D132" s="365">
        <v>0</v>
      </c>
      <c r="E132" s="365">
        <v>0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 t="e">
        <v>#DIV/0!</v>
      </c>
      <c r="V132" s="365">
        <v>0</v>
      </c>
      <c r="W132" s="365">
        <v>0</v>
      </c>
      <c r="X132" s="365">
        <v>0</v>
      </c>
      <c r="Y132" s="365">
        <v>0</v>
      </c>
      <c r="Z132" s="365">
        <v>0</v>
      </c>
      <c r="AA132" s="365">
        <v>0</v>
      </c>
      <c r="AB132" s="359"/>
    </row>
    <row r="133" spans="1:28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  <c r="AB133" s="359"/>
    </row>
    <row r="134" spans="1:28" ht="12" customHeight="1" x14ac:dyDescent="0.25">
      <c r="A134" s="354"/>
      <c r="B134" s="360" t="s">
        <v>525</v>
      </c>
      <c r="C134" s="361">
        <v>0</v>
      </c>
      <c r="D134" s="361">
        <v>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0</v>
      </c>
      <c r="U134" s="363" t="e">
        <v>#DIV/0!</v>
      </c>
      <c r="V134" s="362">
        <v>0</v>
      </c>
      <c r="W134" s="362">
        <v>0</v>
      </c>
      <c r="X134" s="362">
        <v>0</v>
      </c>
      <c r="Y134" s="362">
        <v>0</v>
      </c>
      <c r="Z134" s="362">
        <v>0</v>
      </c>
      <c r="AA134" s="362">
        <v>0</v>
      </c>
      <c r="AB134" s="359"/>
    </row>
    <row r="135" spans="1:28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  <c r="AB135" s="359"/>
    </row>
    <row r="136" spans="1:28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  <c r="AB136" s="359"/>
    </row>
    <row r="137" spans="1:28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  <c r="AB137" s="359"/>
    </row>
    <row r="138" spans="1:28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  <c r="AB138" s="359"/>
    </row>
    <row r="139" spans="1:28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  <c r="AB139" s="359"/>
    </row>
    <row r="140" spans="1:28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  <c r="AB140" s="359"/>
    </row>
    <row r="141" spans="1:28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  <c r="AB141" s="359"/>
    </row>
    <row r="142" spans="1:28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  <c r="AB142" s="359"/>
    </row>
    <row r="143" spans="1:28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  <c r="AB143" s="359"/>
    </row>
    <row r="144" spans="1:28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  <c r="AB144" s="359"/>
    </row>
    <row r="145" spans="1:28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  <c r="AB145" s="359"/>
    </row>
    <row r="146" spans="1:28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  <c r="AB146" s="359"/>
    </row>
    <row r="147" spans="1:28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  <c r="AB147" s="359"/>
    </row>
    <row r="148" spans="1:28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  <c r="AB148" s="359"/>
    </row>
    <row r="149" spans="1:28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  <c r="AB149" s="359"/>
    </row>
    <row r="150" spans="1:28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  <c r="AB150" s="359"/>
    </row>
    <row r="151" spans="1:28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  <c r="AB151" s="359"/>
    </row>
    <row r="152" spans="1:28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  <c r="AB152" s="359"/>
    </row>
    <row r="153" spans="1:28" ht="12" customHeight="1" x14ac:dyDescent="0.25">
      <c r="A153" s="354"/>
      <c r="B153" s="360" t="s">
        <v>544</v>
      </c>
      <c r="C153" s="361">
        <v>0</v>
      </c>
      <c r="D153" s="361">
        <v>0</v>
      </c>
      <c r="E153" s="361">
        <v>0</v>
      </c>
      <c r="F153" s="361">
        <v>0</v>
      </c>
      <c r="G153" s="361">
        <v>0</v>
      </c>
      <c r="H153" s="361">
        <v>0</v>
      </c>
      <c r="I153" s="361">
        <v>0</v>
      </c>
      <c r="J153" s="361">
        <v>0</v>
      </c>
      <c r="K153" s="361">
        <v>0</v>
      </c>
      <c r="L153" s="361">
        <v>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0</v>
      </c>
      <c r="U153" s="363" t="e">
        <v>#DIV/0!</v>
      </c>
      <c r="V153" s="362">
        <v>0</v>
      </c>
      <c r="W153" s="362">
        <v>0</v>
      </c>
      <c r="X153" s="362">
        <v>0</v>
      </c>
      <c r="Y153" s="362">
        <v>0</v>
      </c>
      <c r="Z153" s="362">
        <v>0</v>
      </c>
      <c r="AA153" s="362">
        <v>0</v>
      </c>
      <c r="AB153" s="359"/>
    </row>
    <row r="154" spans="1:28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  <c r="AB154" s="359"/>
    </row>
    <row r="155" spans="1:28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  <c r="AB155" s="359"/>
    </row>
    <row r="156" spans="1:28" ht="12" customHeight="1" x14ac:dyDescent="0.25">
      <c r="A156" s="354" t="s">
        <v>1242</v>
      </c>
      <c r="B156" s="354" t="s">
        <v>547</v>
      </c>
      <c r="C156" s="365">
        <v>0</v>
      </c>
      <c r="D156" s="365">
        <v>0</v>
      </c>
      <c r="E156" s="365">
        <v>0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0</v>
      </c>
      <c r="U156" s="366" t="e">
        <v>#DIV/0!</v>
      </c>
      <c r="V156" s="365">
        <v>0</v>
      </c>
      <c r="W156" s="365">
        <v>0</v>
      </c>
      <c r="X156" s="365">
        <v>0</v>
      </c>
      <c r="Y156" s="365">
        <v>0</v>
      </c>
      <c r="Z156" s="365">
        <v>0</v>
      </c>
      <c r="AA156" s="365">
        <v>0</v>
      </c>
      <c r="AB156" s="359"/>
    </row>
    <row r="157" spans="1:28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  <c r="AB157" s="359"/>
    </row>
    <row r="158" spans="1:28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  <c r="AB158" s="359"/>
    </row>
    <row r="159" spans="1:28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  <c r="AB159" s="359"/>
    </row>
    <row r="160" spans="1:28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  <c r="AB160" s="359"/>
    </row>
    <row r="161" spans="1:28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  <c r="AB161" s="359"/>
    </row>
    <row r="162" spans="1:28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  <c r="AB162" s="359"/>
    </row>
    <row r="163" spans="1:28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  <c r="AB163" s="359"/>
    </row>
    <row r="164" spans="1:28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  <c r="AB164" s="359"/>
    </row>
    <row r="165" spans="1:28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  <c r="AB165" s="359"/>
    </row>
    <row r="166" spans="1:28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  <c r="AB166" s="359"/>
    </row>
    <row r="167" spans="1:28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  <c r="AB167" s="359"/>
    </row>
    <row r="168" spans="1:28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  <c r="AB168" s="359"/>
    </row>
    <row r="169" spans="1:28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  <c r="AB169" s="359"/>
    </row>
    <row r="170" spans="1:28" ht="12" customHeight="1" x14ac:dyDescent="0.25">
      <c r="A170" s="354"/>
      <c r="B170" s="355" t="s">
        <v>561</v>
      </c>
      <c r="C170" s="356">
        <v>16388400</v>
      </c>
      <c r="D170" s="356">
        <v>16388400</v>
      </c>
      <c r="E170" s="356">
        <v>16388400</v>
      </c>
      <c r="F170" s="356">
        <v>8136713.324000001</v>
      </c>
      <c r="G170" s="356">
        <v>8124128.699000001</v>
      </c>
      <c r="H170" s="356">
        <v>773558.57</v>
      </c>
      <c r="I170" s="356">
        <v>885967.44</v>
      </c>
      <c r="J170" s="356">
        <v>943971.16500000004</v>
      </c>
      <c r="K170" s="356">
        <v>905490.99</v>
      </c>
      <c r="L170" s="356">
        <v>911064.69999999984</v>
      </c>
      <c r="M170" s="356">
        <v>917444.4700000002</v>
      </c>
      <c r="N170" s="356">
        <v>921270.69499999995</v>
      </c>
      <c r="O170" s="356">
        <v>929977.21400000015</v>
      </c>
      <c r="P170" s="356">
        <v>935383.45499999984</v>
      </c>
      <c r="Q170" s="356">
        <v>0</v>
      </c>
      <c r="R170" s="356">
        <v>0</v>
      </c>
      <c r="S170" s="356">
        <v>0</v>
      </c>
      <c r="T170" s="357">
        <v>8124128.699000001</v>
      </c>
      <c r="U170" s="358">
        <v>0.49572433544458283</v>
      </c>
      <c r="V170" s="357">
        <v>8264271.300999999</v>
      </c>
      <c r="W170" s="357">
        <v>0</v>
      </c>
      <c r="X170" s="357">
        <v>8251686.675999999</v>
      </c>
      <c r="Y170" s="357">
        <v>8251686.675999999</v>
      </c>
      <c r="Z170" s="357">
        <v>12584.625</v>
      </c>
      <c r="AA170" s="357">
        <v>0</v>
      </c>
      <c r="AB170" s="359"/>
    </row>
    <row r="171" spans="1:28" ht="12" customHeight="1" x14ac:dyDescent="0.25">
      <c r="A171" s="354"/>
      <c r="B171" s="360" t="s">
        <v>562</v>
      </c>
      <c r="C171" s="361">
        <v>0</v>
      </c>
      <c r="D171" s="361">
        <v>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 t="e">
        <v>#DIV/0!</v>
      </c>
      <c r="V171" s="362">
        <v>0</v>
      </c>
      <c r="W171" s="362">
        <v>0</v>
      </c>
      <c r="X171" s="362">
        <v>0</v>
      </c>
      <c r="Y171" s="362">
        <v>0</v>
      </c>
      <c r="Z171" s="362">
        <v>0</v>
      </c>
      <c r="AA171" s="362">
        <v>0</v>
      </c>
      <c r="AB171" s="359"/>
    </row>
    <row r="172" spans="1:28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  <c r="AB172" s="359"/>
    </row>
    <row r="173" spans="1:28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  <c r="AB173" s="359"/>
    </row>
    <row r="174" spans="1:28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  <c r="AB174" s="359"/>
    </row>
    <row r="175" spans="1:28" ht="12" customHeight="1" x14ac:dyDescent="0.25">
      <c r="A175" s="354"/>
      <c r="B175" s="354" t="s">
        <v>1257</v>
      </c>
      <c r="C175" s="365">
        <v>0</v>
      </c>
      <c r="D175" s="365">
        <v>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 t="e">
        <v>#DIV/0!</v>
      </c>
      <c r="V175" s="365">
        <v>0</v>
      </c>
      <c r="W175" s="365">
        <v>0</v>
      </c>
      <c r="X175" s="365">
        <v>0</v>
      </c>
      <c r="Y175" s="365">
        <v>0</v>
      </c>
      <c r="Z175" s="365">
        <v>0</v>
      </c>
      <c r="AA175" s="365">
        <v>0</v>
      </c>
      <c r="AB175" s="359"/>
    </row>
    <row r="176" spans="1:28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  <c r="AB176" s="359"/>
    </row>
    <row r="177" spans="1:28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  <c r="AB177" s="359"/>
    </row>
    <row r="178" spans="1:28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  <c r="AB178" s="359"/>
    </row>
    <row r="179" spans="1:28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  <c r="AB179" s="359"/>
    </row>
    <row r="180" spans="1:28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  <c r="AB180" s="359"/>
    </row>
    <row r="181" spans="1:28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  <c r="AB181" s="359"/>
    </row>
    <row r="182" spans="1:28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  <c r="AB182" s="359"/>
    </row>
    <row r="183" spans="1:28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  <c r="AB183" s="359"/>
    </row>
    <row r="184" spans="1:28" ht="12" customHeight="1" x14ac:dyDescent="0.25">
      <c r="A184" s="354"/>
      <c r="B184" s="360" t="s">
        <v>572</v>
      </c>
      <c r="C184" s="361">
        <v>16388400</v>
      </c>
      <c r="D184" s="361">
        <v>16388400</v>
      </c>
      <c r="E184" s="361">
        <v>16388400</v>
      </c>
      <c r="F184" s="361">
        <v>8136713.324000001</v>
      </c>
      <c r="G184" s="361">
        <v>8124128.699000001</v>
      </c>
      <c r="H184" s="361">
        <v>773558.57</v>
      </c>
      <c r="I184" s="361">
        <v>885967.44</v>
      </c>
      <c r="J184" s="361">
        <v>943971.16500000004</v>
      </c>
      <c r="K184" s="361">
        <v>905490.99</v>
      </c>
      <c r="L184" s="361">
        <v>911064.69999999984</v>
      </c>
      <c r="M184" s="361">
        <v>917444.4700000002</v>
      </c>
      <c r="N184" s="361">
        <v>921270.69499999995</v>
      </c>
      <c r="O184" s="361">
        <v>929977.21400000015</v>
      </c>
      <c r="P184" s="361">
        <v>935383.45499999984</v>
      </c>
      <c r="Q184" s="361">
        <v>0</v>
      </c>
      <c r="R184" s="361">
        <v>0</v>
      </c>
      <c r="S184" s="361">
        <v>0</v>
      </c>
      <c r="T184" s="362">
        <v>8124128.699000001</v>
      </c>
      <c r="U184" s="363">
        <v>0.49572433544458283</v>
      </c>
      <c r="V184" s="362">
        <v>8264271.300999999</v>
      </c>
      <c r="W184" s="362">
        <v>0</v>
      </c>
      <c r="X184" s="362">
        <v>8251686.675999999</v>
      </c>
      <c r="Y184" s="362">
        <v>8251686.675999999</v>
      </c>
      <c r="Z184" s="362">
        <v>12584.625</v>
      </c>
      <c r="AA184" s="362">
        <v>0</v>
      </c>
      <c r="AB184" s="359"/>
    </row>
    <row r="185" spans="1:28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  <c r="AB185" s="359"/>
    </row>
    <row r="186" spans="1:28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  <c r="AB186" s="359"/>
    </row>
    <row r="187" spans="1:28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  <c r="AB187" s="359"/>
    </row>
    <row r="188" spans="1:28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  <c r="AB188" s="359"/>
    </row>
    <row r="189" spans="1:28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  <c r="AB189" s="359"/>
    </row>
    <row r="190" spans="1:28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  <c r="AB190" s="359"/>
    </row>
    <row r="191" spans="1:28" ht="12" customHeight="1" x14ac:dyDescent="0.25">
      <c r="A191" s="354" t="s">
        <v>1273</v>
      </c>
      <c r="B191" s="354" t="s">
        <v>579</v>
      </c>
      <c r="C191" s="365">
        <v>188400</v>
      </c>
      <c r="D191" s="365">
        <v>188400</v>
      </c>
      <c r="E191" s="365">
        <v>188400</v>
      </c>
      <c r="F191" s="365">
        <v>64833.939999999995</v>
      </c>
      <c r="G191" s="365">
        <v>64833.939999999995</v>
      </c>
      <c r="H191" s="365">
        <v>6891.2300000000005</v>
      </c>
      <c r="I191" s="365">
        <v>6891.2300000000005</v>
      </c>
      <c r="J191" s="365">
        <v>6729.72</v>
      </c>
      <c r="K191" s="365">
        <v>6729.72</v>
      </c>
      <c r="L191" s="365">
        <v>6729.72</v>
      </c>
      <c r="M191" s="365">
        <v>9053.8000000000011</v>
      </c>
      <c r="N191" s="365">
        <v>7191.2</v>
      </c>
      <c r="O191" s="365">
        <v>7269.72</v>
      </c>
      <c r="P191" s="365">
        <v>7347.5999999999995</v>
      </c>
      <c r="Q191" s="365">
        <v>0</v>
      </c>
      <c r="R191" s="365">
        <v>0</v>
      </c>
      <c r="S191" s="365">
        <v>0</v>
      </c>
      <c r="T191" s="365">
        <v>64833.94</v>
      </c>
      <c r="U191" s="366">
        <v>0.34412919320594482</v>
      </c>
      <c r="V191" s="365">
        <v>123566.06</v>
      </c>
      <c r="W191" s="365">
        <v>0</v>
      </c>
      <c r="X191" s="365">
        <v>123566.06</v>
      </c>
      <c r="Y191" s="365">
        <v>123566.06</v>
      </c>
      <c r="Z191" s="365">
        <v>0</v>
      </c>
      <c r="AA191" s="365">
        <v>0</v>
      </c>
      <c r="AB191" s="359"/>
    </row>
    <row r="192" spans="1:28" ht="12" customHeight="1" x14ac:dyDescent="0.25">
      <c r="A192" s="354" t="s">
        <v>1274</v>
      </c>
      <c r="B192" s="354" t="s">
        <v>580</v>
      </c>
      <c r="C192" s="365">
        <v>11400000</v>
      </c>
      <c r="D192" s="365">
        <v>11400000</v>
      </c>
      <c r="E192" s="365">
        <v>11400000</v>
      </c>
      <c r="F192" s="365">
        <v>5333345.2990000006</v>
      </c>
      <c r="G192" s="365">
        <v>5321898.9290000005</v>
      </c>
      <c r="H192" s="365">
        <v>471135.86</v>
      </c>
      <c r="I192" s="365">
        <v>582543.98</v>
      </c>
      <c r="J192" s="365">
        <v>638798.76</v>
      </c>
      <c r="K192" s="365">
        <v>596965.34000000008</v>
      </c>
      <c r="L192" s="365">
        <v>596668.12999999989</v>
      </c>
      <c r="M192" s="365">
        <v>604978.28000000014</v>
      </c>
      <c r="N192" s="365">
        <v>606622.40500000003</v>
      </c>
      <c r="O192" s="365">
        <v>610579.51400000008</v>
      </c>
      <c r="P192" s="365">
        <v>613606.65999999992</v>
      </c>
      <c r="Q192" s="365">
        <v>0</v>
      </c>
      <c r="R192" s="365">
        <v>0</v>
      </c>
      <c r="S192" s="365">
        <v>0</v>
      </c>
      <c r="T192" s="365">
        <v>5321898.9290000005</v>
      </c>
      <c r="U192" s="366">
        <v>0.46683323938596494</v>
      </c>
      <c r="V192" s="365">
        <v>6078101.0709999995</v>
      </c>
      <c r="W192" s="365">
        <v>0</v>
      </c>
      <c r="X192" s="365">
        <v>6066654.7009999994</v>
      </c>
      <c r="Y192" s="365">
        <v>6066654.7009999994</v>
      </c>
      <c r="Z192" s="365">
        <v>11446.370000000112</v>
      </c>
      <c r="AA192" s="365">
        <v>0</v>
      </c>
      <c r="AB192" s="359"/>
    </row>
    <row r="193" spans="1:28" ht="12" customHeight="1" x14ac:dyDescent="0.25">
      <c r="A193" s="354" t="s">
        <v>1275</v>
      </c>
      <c r="B193" s="354" t="s">
        <v>581</v>
      </c>
      <c r="C193" s="365">
        <v>4800000</v>
      </c>
      <c r="D193" s="365">
        <v>4800000</v>
      </c>
      <c r="E193" s="365">
        <v>4800000</v>
      </c>
      <c r="F193" s="365">
        <v>2738534.085</v>
      </c>
      <c r="G193" s="365">
        <v>2737395.83</v>
      </c>
      <c r="H193" s="365">
        <v>295531.48</v>
      </c>
      <c r="I193" s="365">
        <v>296532.23</v>
      </c>
      <c r="J193" s="365">
        <v>298442.68500000006</v>
      </c>
      <c r="K193" s="365">
        <v>301795.93</v>
      </c>
      <c r="L193" s="365">
        <v>307666.84999999998</v>
      </c>
      <c r="M193" s="365">
        <v>303412.38999999996</v>
      </c>
      <c r="N193" s="365">
        <v>307457.08999999997</v>
      </c>
      <c r="O193" s="365">
        <v>312127.98000000004</v>
      </c>
      <c r="P193" s="365">
        <v>314429.19500000001</v>
      </c>
      <c r="Q193" s="365">
        <v>0</v>
      </c>
      <c r="R193" s="365">
        <v>0</v>
      </c>
      <c r="S193" s="365">
        <v>0</v>
      </c>
      <c r="T193" s="365">
        <v>2737395.8299999996</v>
      </c>
      <c r="U193" s="366">
        <v>0.57029079791666659</v>
      </c>
      <c r="V193" s="365">
        <v>2062604.1700000004</v>
      </c>
      <c r="W193" s="365">
        <v>0</v>
      </c>
      <c r="X193" s="365">
        <v>2061465.915</v>
      </c>
      <c r="Y193" s="365">
        <v>2061465.915</v>
      </c>
      <c r="Z193" s="365">
        <v>1138.2549999998882</v>
      </c>
      <c r="AA193" s="365">
        <v>0</v>
      </c>
      <c r="AB193" s="359"/>
    </row>
    <row r="194" spans="1:28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  <c r="AB194" s="359"/>
    </row>
    <row r="195" spans="1:28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  <c r="AB195" s="359"/>
    </row>
    <row r="196" spans="1:28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  <c r="AB196" s="359"/>
    </row>
    <row r="197" spans="1:28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  <c r="AB197" s="359"/>
    </row>
    <row r="198" spans="1:28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  <c r="AB198" s="359"/>
    </row>
    <row r="199" spans="1:28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  <c r="AB199" s="359"/>
    </row>
    <row r="200" spans="1:28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  <c r="AB200" s="359"/>
    </row>
    <row r="201" spans="1:28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  <c r="AB201" s="359"/>
    </row>
    <row r="202" spans="1:28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  <c r="AB202" s="359"/>
    </row>
    <row r="203" spans="1:28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  <c r="AB203" s="359"/>
    </row>
    <row r="204" spans="1:28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  <c r="AB204" s="359"/>
    </row>
    <row r="205" spans="1:28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  <c r="AB205" s="359"/>
    </row>
    <row r="206" spans="1:28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  <c r="AB206" s="359"/>
    </row>
    <row r="207" spans="1:28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  <c r="AB207" s="359"/>
    </row>
    <row r="208" spans="1:28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  <c r="AB208" s="359"/>
    </row>
    <row r="209" spans="1:28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  <c r="AB209" s="359"/>
    </row>
    <row r="210" spans="1:28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  <c r="AB210" s="359"/>
    </row>
    <row r="211" spans="1:28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  <c r="AB211" s="359"/>
    </row>
    <row r="212" spans="1:28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  <c r="AB212" s="359"/>
    </row>
    <row r="213" spans="1:28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  <c r="AB213" s="359"/>
    </row>
    <row r="214" spans="1:28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  <c r="AB214" s="359"/>
    </row>
    <row r="215" spans="1:28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  <c r="AB215" s="359"/>
    </row>
    <row r="216" spans="1:28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  <c r="AB216" s="359"/>
    </row>
    <row r="217" spans="1:28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  <c r="AB217" s="359"/>
    </row>
    <row r="218" spans="1:28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  <c r="AB218" s="359"/>
    </row>
    <row r="219" spans="1:28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  <c r="AB219" s="359"/>
    </row>
    <row r="220" spans="1:28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  <c r="AB220" s="359"/>
    </row>
    <row r="221" spans="1:28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  <c r="AB221" s="359"/>
    </row>
    <row r="222" spans="1:28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  <c r="AB222" s="359"/>
    </row>
    <row r="223" spans="1:28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  <c r="AB223" s="359"/>
    </row>
    <row r="224" spans="1:28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  <c r="AB224" s="359"/>
    </row>
    <row r="225" spans="1:28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  <c r="AB225" s="359"/>
    </row>
    <row r="226" spans="1:28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  <c r="AB226" s="359"/>
    </row>
    <row r="227" spans="1:28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  <c r="AB227" s="359"/>
    </row>
    <row r="228" spans="1:28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  <c r="AB228" s="359"/>
    </row>
    <row r="229" spans="1:28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  <c r="AB229" s="359"/>
    </row>
    <row r="230" spans="1:28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  <c r="AB230" s="359"/>
    </row>
    <row r="231" spans="1:28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  <c r="AB231" s="359"/>
    </row>
    <row r="232" spans="1:28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  <c r="AB232" s="359"/>
    </row>
    <row r="233" spans="1:28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  <c r="AB233" s="359"/>
    </row>
    <row r="234" spans="1:28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  <c r="AB234" s="359"/>
    </row>
    <row r="235" spans="1:28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  <c r="AB235" s="359"/>
    </row>
    <row r="236" spans="1:28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  <c r="AB236" s="359"/>
    </row>
    <row r="237" spans="1:28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  <c r="AB237" s="359"/>
    </row>
    <row r="238" spans="1:28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  <c r="AB238" s="359"/>
    </row>
    <row r="239" spans="1:28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  <c r="AB239" s="359"/>
    </row>
    <row r="240" spans="1:28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  <c r="AB240" s="359"/>
    </row>
    <row r="241" spans="1:28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  <c r="AB241" s="359"/>
    </row>
    <row r="242" spans="1:28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  <c r="AB242" s="359"/>
    </row>
    <row r="243" spans="1:28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  <c r="AB243" s="359"/>
    </row>
    <row r="244" spans="1:28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  <c r="AB244" s="359"/>
    </row>
    <row r="245" spans="1:28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  <c r="AB245" s="359"/>
    </row>
    <row r="246" spans="1:28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  <c r="AB246" s="359"/>
    </row>
    <row r="247" spans="1:28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  <c r="AB247" s="359"/>
    </row>
    <row r="248" spans="1:28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  <c r="AB248" s="359"/>
    </row>
    <row r="249" spans="1:28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  <c r="AB249" s="359"/>
    </row>
    <row r="250" spans="1:28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  <c r="AB250" s="359"/>
    </row>
    <row r="251" spans="1:28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  <c r="AB251" s="359"/>
    </row>
    <row r="252" spans="1:28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  <c r="AB252" s="359"/>
    </row>
    <row r="253" spans="1:28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  <c r="AB253" s="359"/>
    </row>
    <row r="254" spans="1:28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  <c r="AB254" s="359"/>
    </row>
    <row r="255" spans="1:28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  <c r="AB255" s="359"/>
    </row>
    <row r="256" spans="1:28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  <c r="AB256" s="359"/>
    </row>
    <row r="257" spans="1:28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  <c r="AB257" s="359"/>
    </row>
    <row r="258" spans="1:28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  <c r="AB258" s="359"/>
    </row>
    <row r="259" spans="1:28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  <c r="AB259" s="359"/>
    </row>
    <row r="260" spans="1:28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  <c r="AB260" s="359"/>
    </row>
    <row r="261" spans="1:28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  <c r="AB261" s="359"/>
    </row>
    <row r="262" spans="1:28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  <c r="AB262" s="359"/>
    </row>
    <row r="263" spans="1:28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  <c r="AB263" s="359"/>
    </row>
    <row r="264" spans="1:28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  <c r="AB264" s="359"/>
    </row>
    <row r="265" spans="1:28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  <c r="AB265" s="359"/>
    </row>
    <row r="266" spans="1:28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  <c r="AB266" s="359"/>
    </row>
    <row r="267" spans="1:28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  <c r="AB267" s="359"/>
    </row>
    <row r="268" spans="1:28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  <c r="AB268" s="359"/>
    </row>
    <row r="269" spans="1:28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  <c r="AB269" s="359"/>
    </row>
    <row r="270" spans="1:28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  <c r="AB270" s="359"/>
    </row>
    <row r="271" spans="1:28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  <c r="AB271" s="359"/>
    </row>
    <row r="272" spans="1:28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  <c r="AB272" s="359"/>
    </row>
    <row r="273" spans="1:28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  <c r="AB273" s="359"/>
    </row>
    <row r="274" spans="1:28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  <c r="AB274" s="359"/>
    </row>
    <row r="275" spans="1:28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  <c r="AB275" s="359"/>
    </row>
    <row r="276" spans="1:28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  <c r="AB276" s="359"/>
    </row>
    <row r="277" spans="1:28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  <c r="AB277" s="359"/>
    </row>
    <row r="278" spans="1:28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  <c r="AB278" s="359"/>
    </row>
    <row r="279" spans="1:28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  <c r="AB279" s="359"/>
    </row>
    <row r="280" spans="1:28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  <c r="AB280" s="359"/>
    </row>
    <row r="281" spans="1:28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  <c r="AB281" s="359"/>
    </row>
    <row r="282" spans="1:28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  <c r="AB282" s="359"/>
    </row>
    <row r="283" spans="1:28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  <c r="AB283" s="359"/>
    </row>
    <row r="284" spans="1:28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  <c r="AB284" s="359"/>
    </row>
    <row r="285" spans="1:28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  <c r="AB285" s="359"/>
    </row>
    <row r="286" spans="1:28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  <c r="AB286" s="359"/>
    </row>
    <row r="287" spans="1:28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  <c r="AB287" s="359"/>
    </row>
    <row r="288" spans="1:28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  <c r="AB288" s="359"/>
    </row>
    <row r="289" spans="1:28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  <c r="AB289" s="359"/>
    </row>
    <row r="290" spans="1:28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  <c r="AB290" s="359"/>
    </row>
    <row r="291" spans="1:28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  <c r="AB291" s="359"/>
    </row>
    <row r="292" spans="1:28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  <c r="AB292" s="359"/>
    </row>
    <row r="293" spans="1:28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  <c r="AB293" s="359"/>
    </row>
    <row r="294" spans="1:28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  <c r="AB294" s="359"/>
    </row>
    <row r="295" spans="1:28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  <c r="AB295" s="359"/>
    </row>
    <row r="296" spans="1:28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  <c r="AB296" s="359"/>
    </row>
    <row r="297" spans="1:28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  <c r="AB297" s="359"/>
    </row>
    <row r="298" spans="1:28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  <c r="AB298" s="359"/>
    </row>
    <row r="299" spans="1:28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  <c r="AB299" s="359"/>
    </row>
    <row r="300" spans="1:28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  <c r="AB300" s="359"/>
    </row>
    <row r="301" spans="1:28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  <c r="AB301" s="359"/>
    </row>
    <row r="302" spans="1:28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  <c r="AB302" s="359"/>
    </row>
    <row r="303" spans="1:28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  <c r="AB303" s="359"/>
    </row>
    <row r="304" spans="1:28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  <c r="AB304" s="359"/>
    </row>
    <row r="305" spans="1:28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  <c r="AB305" s="359"/>
    </row>
    <row r="306" spans="1:28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  <c r="AB306" s="359"/>
    </row>
    <row r="307" spans="1:28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  <c r="AB307" s="359"/>
    </row>
    <row r="308" spans="1:28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  <c r="AB308" s="359"/>
    </row>
    <row r="309" spans="1:28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  <c r="AB309" s="359"/>
    </row>
    <row r="310" spans="1:28" ht="12" customHeight="1" x14ac:dyDescent="0.25">
      <c r="A310" s="354"/>
      <c r="B310" s="374" t="s">
        <v>35</v>
      </c>
      <c r="C310" s="375">
        <v>16388400</v>
      </c>
      <c r="D310" s="375">
        <v>16388400</v>
      </c>
      <c r="E310" s="375">
        <v>16388400</v>
      </c>
      <c r="F310" s="375">
        <v>8136713.324000001</v>
      </c>
      <c r="G310" s="375">
        <v>8124128.699000001</v>
      </c>
      <c r="H310" s="375">
        <v>773558.57</v>
      </c>
      <c r="I310" s="375">
        <v>885967.44</v>
      </c>
      <c r="J310" s="375">
        <v>943971.16500000004</v>
      </c>
      <c r="K310" s="375">
        <v>905490.99</v>
      </c>
      <c r="L310" s="375">
        <v>911064.69999999984</v>
      </c>
      <c r="M310" s="375">
        <v>917444.4700000002</v>
      </c>
      <c r="N310" s="375">
        <v>921270.69499999995</v>
      </c>
      <c r="O310" s="375">
        <v>929977.21400000015</v>
      </c>
      <c r="P310" s="375">
        <v>935383.45499999984</v>
      </c>
      <c r="Q310" s="375">
        <v>0</v>
      </c>
      <c r="R310" s="375">
        <v>0</v>
      </c>
      <c r="S310" s="375">
        <v>0</v>
      </c>
      <c r="T310" s="376">
        <v>8124128.699000001</v>
      </c>
      <c r="U310" s="377">
        <v>0.49572433544458283</v>
      </c>
      <c r="V310" s="376">
        <v>8264271.300999999</v>
      </c>
      <c r="W310" s="376">
        <v>0</v>
      </c>
      <c r="X310" s="376">
        <v>8251686.675999999</v>
      </c>
      <c r="Y310" s="376">
        <v>8251686.675999999</v>
      </c>
      <c r="Z310" s="376">
        <v>12584.625</v>
      </c>
      <c r="AA310" s="376">
        <v>0</v>
      </c>
      <c r="AB310" s="359"/>
    </row>
    <row r="311" spans="1:28" ht="12" customHeight="1" x14ac:dyDescent="0.25">
      <c r="A311" s="354"/>
      <c r="B311" s="378" t="s">
        <v>1379</v>
      </c>
      <c r="C311" s="379">
        <v>16388400</v>
      </c>
      <c r="D311" s="379">
        <v>16388400</v>
      </c>
      <c r="E311" s="379">
        <v>16388400</v>
      </c>
      <c r="F311" s="379">
        <v>8136713.324000001</v>
      </c>
      <c r="G311" s="379">
        <v>8124128.699000001</v>
      </c>
      <c r="H311" s="379">
        <v>773558.57</v>
      </c>
      <c r="I311" s="379">
        <v>885967.44</v>
      </c>
      <c r="J311" s="379">
        <v>943971.16500000004</v>
      </c>
      <c r="K311" s="379">
        <v>905490.99</v>
      </c>
      <c r="L311" s="379">
        <v>911064.69999999984</v>
      </c>
      <c r="M311" s="379">
        <v>917444.4700000002</v>
      </c>
      <c r="N311" s="379">
        <v>921270.69499999995</v>
      </c>
      <c r="O311" s="379">
        <v>929977.21400000015</v>
      </c>
      <c r="P311" s="379">
        <v>935383.45499999984</v>
      </c>
      <c r="Q311" s="379">
        <v>0</v>
      </c>
      <c r="R311" s="379">
        <v>0</v>
      </c>
      <c r="S311" s="379">
        <v>0</v>
      </c>
      <c r="T311" s="380">
        <v>8124128.699000001</v>
      </c>
      <c r="U311" s="381">
        <v>0.49572433544458283</v>
      </c>
      <c r="V311" s="380">
        <v>8264271.300999999</v>
      </c>
      <c r="W311" s="380">
        <v>0</v>
      </c>
      <c r="X311" s="380">
        <v>8251686.675999999</v>
      </c>
      <c r="Y311" s="380">
        <v>8251686.675999999</v>
      </c>
      <c r="Z311" s="380">
        <v>12584.625</v>
      </c>
      <c r="AA311" s="380">
        <v>0</v>
      </c>
      <c r="AB311" s="359"/>
    </row>
    <row r="312" spans="1:28" ht="12" customHeight="1" x14ac:dyDescent="0.25">
      <c r="A312" s="354"/>
      <c r="B312" s="382" t="s">
        <v>74</v>
      </c>
      <c r="C312" s="383">
        <v>16388400</v>
      </c>
      <c r="D312" s="383">
        <v>16388400</v>
      </c>
      <c r="E312" s="383">
        <v>16388400</v>
      </c>
      <c r="F312" s="383">
        <v>8136713.324000001</v>
      </c>
      <c r="G312" s="383">
        <v>8124128.699000001</v>
      </c>
      <c r="H312" s="383">
        <v>773558.57</v>
      </c>
      <c r="I312" s="383">
        <v>885967.44</v>
      </c>
      <c r="J312" s="383">
        <v>943971.16500000004</v>
      </c>
      <c r="K312" s="383">
        <v>905490.99</v>
      </c>
      <c r="L312" s="383">
        <v>911064.69999999984</v>
      </c>
      <c r="M312" s="383">
        <v>917444.4700000002</v>
      </c>
      <c r="N312" s="383">
        <v>921270.69499999995</v>
      </c>
      <c r="O312" s="383">
        <v>929977.21400000015</v>
      </c>
      <c r="P312" s="383">
        <v>935383.45499999984</v>
      </c>
      <c r="Q312" s="383">
        <v>0</v>
      </c>
      <c r="R312" s="383">
        <v>0</v>
      </c>
      <c r="S312" s="383">
        <v>0</v>
      </c>
      <c r="T312" s="384">
        <v>8124128.699000001</v>
      </c>
      <c r="U312" s="385">
        <v>0.49572433544458283</v>
      </c>
      <c r="V312" s="384">
        <v>8264271.300999999</v>
      </c>
      <c r="W312" s="384">
        <v>0</v>
      </c>
      <c r="X312" s="384">
        <v>8251686.675999999</v>
      </c>
      <c r="Y312" s="384">
        <v>8251686.675999999</v>
      </c>
      <c r="Z312" s="384">
        <v>12584.625</v>
      </c>
      <c r="AA312" s="384">
        <v>0</v>
      </c>
      <c r="AB312" s="359"/>
    </row>
    <row r="313" spans="1:28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  <c r="AB313" s="359"/>
    </row>
    <row r="314" spans="1:28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  <c r="AB314" s="359"/>
    </row>
    <row r="315" spans="1:28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  <c r="AB315" s="359"/>
    </row>
    <row r="316" spans="1:28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  <c r="AB316" s="359"/>
    </row>
    <row r="317" spans="1:28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  <c r="AB317" s="359"/>
    </row>
    <row r="318" spans="1:28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  <c r="AB318" s="359"/>
    </row>
    <row r="319" spans="1:28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  <c r="AB319" s="359"/>
    </row>
    <row r="320" spans="1:28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  <c r="AB320" s="359"/>
    </row>
    <row r="321" spans="1:28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  <c r="AB321" s="359"/>
    </row>
    <row r="322" spans="1:28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  <c r="AB322" s="359"/>
    </row>
    <row r="323" spans="1:28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  <c r="AB323" s="359"/>
    </row>
    <row r="324" spans="1:28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  <c r="AB324" s="359"/>
    </row>
    <row r="325" spans="1:28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  <c r="AB325" s="359"/>
    </row>
    <row r="326" spans="1:28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  <c r="AB326" s="359"/>
    </row>
    <row r="327" spans="1:28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  <c r="AB327" s="359"/>
    </row>
    <row r="328" spans="1:28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  <c r="AB328" s="359"/>
    </row>
    <row r="329" spans="1:28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  <c r="AB329" s="359"/>
    </row>
    <row r="330" spans="1:28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  <c r="AB330" s="359"/>
    </row>
    <row r="331" spans="1:28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  <c r="AB331" s="359"/>
    </row>
    <row r="332" spans="1:28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  <c r="AB332" s="359"/>
    </row>
    <row r="333" spans="1:28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  <c r="AB333" s="359"/>
    </row>
    <row r="334" spans="1:28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  <c r="AB334" s="359"/>
    </row>
    <row r="335" spans="1:28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  <c r="AB335" s="359"/>
    </row>
    <row r="336" spans="1:28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  <c r="AB336" s="359"/>
    </row>
    <row r="337" spans="1:28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  <c r="AB337" s="359"/>
    </row>
    <row r="338" spans="1:28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  <c r="AB338" s="359"/>
    </row>
    <row r="339" spans="1:28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  <c r="AB339" s="359"/>
    </row>
    <row r="340" spans="1:28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  <c r="AB340" s="359"/>
    </row>
    <row r="341" spans="1:28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  <c r="AB341" s="359"/>
    </row>
    <row r="342" spans="1:28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  <c r="AB342" s="359"/>
    </row>
    <row r="343" spans="1:28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  <c r="AB343" s="359"/>
    </row>
    <row r="344" spans="1:28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  <c r="AB344" s="359"/>
    </row>
    <row r="345" spans="1:28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  <c r="AB345" s="359"/>
    </row>
    <row r="346" spans="1:28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  <c r="AB346" s="359"/>
    </row>
    <row r="347" spans="1:28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  <c r="AB347" s="359"/>
    </row>
    <row r="348" spans="1:28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  <c r="AB348" s="359"/>
    </row>
    <row r="349" spans="1:28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  <c r="AB349" s="359"/>
    </row>
    <row r="350" spans="1:28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  <c r="AB350" s="359"/>
    </row>
    <row r="351" spans="1:28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  <c r="AB351" s="359"/>
    </row>
    <row r="352" spans="1:28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  <c r="AB352" s="359"/>
    </row>
    <row r="353" spans="1:28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  <c r="AB353" s="359"/>
    </row>
    <row r="354" spans="1:28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  <c r="AB354" s="359"/>
    </row>
    <row r="355" spans="1:28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  <c r="AB355" s="359"/>
    </row>
    <row r="356" spans="1:28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  <c r="AB356" s="359"/>
    </row>
    <row r="357" spans="1:28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  <c r="AB357" s="359"/>
    </row>
    <row r="358" spans="1:28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  <c r="AB358" s="359"/>
    </row>
    <row r="359" spans="1:28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  <c r="AB359" s="359"/>
    </row>
    <row r="360" spans="1:28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  <c r="AB360" s="359"/>
    </row>
    <row r="361" spans="1:28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  <c r="AB361" s="359"/>
    </row>
    <row r="362" spans="1:28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  <c r="AB362" s="359"/>
    </row>
    <row r="363" spans="1:28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  <c r="AB363" s="359"/>
    </row>
    <row r="364" spans="1:28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  <c r="AB364" s="359"/>
    </row>
    <row r="365" spans="1:28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  <c r="AB365" s="359"/>
    </row>
    <row r="366" spans="1:28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  <c r="AB366" s="359"/>
    </row>
    <row r="367" spans="1:28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  <c r="AB367" s="359"/>
    </row>
    <row r="368" spans="1:28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  <c r="AB368" s="359"/>
    </row>
    <row r="369" spans="1:28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  <c r="AB369" s="359"/>
    </row>
    <row r="370" spans="1:28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  <c r="AB370" s="359"/>
    </row>
    <row r="371" spans="1:28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  <c r="AB371" s="359"/>
    </row>
    <row r="372" spans="1:28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  <c r="AB372" s="359"/>
    </row>
    <row r="373" spans="1:28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  <c r="AB373" s="359"/>
    </row>
    <row r="374" spans="1:28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  <c r="AB374" s="359"/>
    </row>
    <row r="375" spans="1:28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  <c r="AB375" s="359"/>
    </row>
    <row r="376" spans="1:28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  <c r="AB376" s="359"/>
    </row>
    <row r="377" spans="1:28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  <c r="AB377" s="359"/>
    </row>
    <row r="378" spans="1:28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  <c r="AB378" s="359"/>
    </row>
    <row r="379" spans="1:28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  <c r="AB379" s="359"/>
    </row>
    <row r="380" spans="1:28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  <c r="AB380" s="359"/>
    </row>
    <row r="381" spans="1:28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  <c r="AB381" s="359"/>
    </row>
    <row r="382" spans="1:28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  <c r="AB382" s="359"/>
    </row>
    <row r="383" spans="1:28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  <c r="AB383" s="359"/>
    </row>
    <row r="384" spans="1:28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  <c r="AB384" s="359"/>
    </row>
    <row r="385" spans="1:28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  <c r="AB385" s="359"/>
    </row>
    <row r="386" spans="1:28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  <c r="AB386" s="359"/>
    </row>
    <row r="387" spans="1:28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  <c r="AB387" s="359"/>
    </row>
    <row r="388" spans="1:28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  <c r="AB388" s="359"/>
    </row>
    <row r="389" spans="1:28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  <c r="AB389" s="359"/>
    </row>
    <row r="390" spans="1:28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  <c r="AB390" s="359"/>
    </row>
    <row r="391" spans="1:28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  <c r="AB391" s="359"/>
    </row>
    <row r="392" spans="1:28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  <c r="AB392" s="359"/>
    </row>
    <row r="393" spans="1:28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  <c r="AB393" s="359"/>
    </row>
    <row r="394" spans="1:28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  <c r="AB394" s="359"/>
    </row>
    <row r="395" spans="1:28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  <c r="AB395" s="359"/>
    </row>
    <row r="396" spans="1:28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  <c r="AB396" s="359"/>
    </row>
    <row r="397" spans="1:28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  <c r="AB397" s="359"/>
    </row>
    <row r="398" spans="1:28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  <c r="AB398" s="359"/>
    </row>
    <row r="399" spans="1:28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  <c r="AB399" s="359"/>
    </row>
    <row r="400" spans="1:28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  <c r="AB400" s="359"/>
    </row>
    <row r="401" spans="1:28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  <c r="AB401" s="359"/>
    </row>
    <row r="402" spans="1:28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  <c r="AB402" s="359"/>
    </row>
    <row r="403" spans="1:28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  <c r="AB403" s="359"/>
    </row>
    <row r="404" spans="1:28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  <c r="AB404" s="359"/>
    </row>
    <row r="405" spans="1:28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  <c r="AB405" s="359"/>
    </row>
    <row r="406" spans="1:28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  <c r="AB406" s="359"/>
    </row>
    <row r="407" spans="1:28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  <c r="AB407" s="359"/>
    </row>
    <row r="408" spans="1:28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  <c r="AB408" s="359"/>
    </row>
    <row r="409" spans="1:28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  <c r="AB409" s="359"/>
    </row>
    <row r="410" spans="1:28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  <c r="AB410" s="359"/>
    </row>
    <row r="411" spans="1:28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  <c r="AB411" s="359"/>
    </row>
    <row r="412" spans="1:28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  <c r="AB412" s="359"/>
    </row>
    <row r="413" spans="1:28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  <c r="AB413" s="359"/>
    </row>
    <row r="414" spans="1:28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  <c r="AB414" s="359"/>
    </row>
    <row r="415" spans="1:28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  <c r="AB415" s="359"/>
    </row>
    <row r="416" spans="1:28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  <c r="AB416" s="359"/>
    </row>
    <row r="417" spans="1:28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  <c r="AB417" s="359"/>
    </row>
    <row r="418" spans="1:28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  <c r="AB418" s="359"/>
    </row>
    <row r="419" spans="1:28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  <c r="AB419" s="359"/>
    </row>
    <row r="420" spans="1:28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  <c r="AB420" s="359"/>
    </row>
    <row r="421" spans="1:28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  <c r="AB421" s="359"/>
    </row>
    <row r="422" spans="1:28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  <c r="AB422" s="359"/>
    </row>
    <row r="423" spans="1:28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  <c r="AB423" s="359"/>
    </row>
    <row r="424" spans="1:28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  <c r="AB424" s="359"/>
    </row>
    <row r="425" spans="1:28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  <c r="AB425" s="359"/>
    </row>
    <row r="426" spans="1:28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  <c r="AB426" s="359"/>
    </row>
    <row r="427" spans="1:28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  <c r="AB427" s="359"/>
    </row>
    <row r="428" spans="1:28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  <c r="AB428" s="359"/>
    </row>
    <row r="429" spans="1:28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  <c r="AB429" s="359"/>
    </row>
    <row r="430" spans="1:28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  <c r="AB430" s="359"/>
    </row>
    <row r="431" spans="1:28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  <c r="AB431" s="359"/>
    </row>
    <row r="432" spans="1:28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  <c r="AB432" s="359"/>
    </row>
    <row r="433" spans="1:28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  <c r="AB433" s="359"/>
    </row>
    <row r="434" spans="1:28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  <c r="AB434" s="359"/>
    </row>
    <row r="435" spans="1:28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  <c r="AB435" s="359"/>
    </row>
    <row r="436" spans="1:28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  <c r="AB436" s="359"/>
    </row>
    <row r="437" spans="1:28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  <c r="AB437" s="359"/>
    </row>
    <row r="438" spans="1:28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  <c r="AB438" s="359"/>
    </row>
    <row r="439" spans="1:28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  <c r="AB439" s="359"/>
    </row>
    <row r="440" spans="1:28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  <c r="AB440" s="359"/>
    </row>
    <row r="441" spans="1:28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  <c r="AB441" s="359"/>
    </row>
    <row r="442" spans="1:28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  <c r="AB442" s="359"/>
    </row>
    <row r="443" spans="1:28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  <c r="AB443" s="359"/>
    </row>
    <row r="444" spans="1:28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  <c r="AB444" s="359"/>
    </row>
    <row r="445" spans="1:28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  <c r="AB445" s="359"/>
    </row>
    <row r="446" spans="1:28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  <c r="AB446" s="359"/>
    </row>
    <row r="447" spans="1:28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  <c r="AB447" s="359"/>
    </row>
    <row r="448" spans="1:28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  <c r="AB448" s="359"/>
    </row>
    <row r="449" spans="1:28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  <c r="AB449" s="359"/>
    </row>
    <row r="450" spans="1:28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  <c r="AB450" s="359"/>
    </row>
    <row r="451" spans="1:28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  <c r="AB451" s="359"/>
    </row>
    <row r="452" spans="1:28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  <c r="AB452" s="359"/>
    </row>
    <row r="453" spans="1:28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  <c r="AB453" s="359"/>
    </row>
    <row r="454" spans="1:28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  <c r="AB454" s="359"/>
    </row>
    <row r="455" spans="1:28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  <c r="AB455" s="359"/>
    </row>
    <row r="456" spans="1:28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  <c r="AB456" s="359"/>
    </row>
    <row r="457" spans="1:28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  <c r="AB457" s="359"/>
    </row>
    <row r="458" spans="1:28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  <c r="AB458" s="359"/>
    </row>
    <row r="459" spans="1:28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  <c r="AB459" s="359"/>
    </row>
    <row r="460" spans="1:28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  <c r="AB460" s="359"/>
    </row>
    <row r="461" spans="1:28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  <c r="AB461" s="359"/>
    </row>
    <row r="462" spans="1:28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  <c r="AB462" s="359"/>
    </row>
    <row r="463" spans="1:28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  <c r="AB463" s="359"/>
    </row>
    <row r="464" spans="1:28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  <c r="AB464" s="359"/>
    </row>
    <row r="465" spans="1:28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  <c r="AB465" s="359"/>
    </row>
    <row r="466" spans="1:28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  <c r="AB466" s="359"/>
    </row>
    <row r="467" spans="1:28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  <c r="AB467" s="359"/>
    </row>
    <row r="468" spans="1:28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  <c r="AB468" s="359"/>
    </row>
    <row r="469" spans="1:28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  <c r="AB469" s="359"/>
    </row>
    <row r="470" spans="1:28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  <c r="AB470" s="359"/>
    </row>
    <row r="471" spans="1:28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  <c r="AB471" s="359"/>
    </row>
    <row r="472" spans="1:28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  <c r="AB472" s="359"/>
    </row>
    <row r="473" spans="1:28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  <c r="AB473" s="359"/>
    </row>
    <row r="474" spans="1:28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  <c r="AB474" s="359"/>
    </row>
    <row r="475" spans="1:28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  <c r="AB475" s="359"/>
    </row>
    <row r="476" spans="1:28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  <c r="AB476" s="359"/>
    </row>
    <row r="477" spans="1:28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  <c r="AB477" s="359"/>
    </row>
    <row r="478" spans="1:28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  <c r="AB478" s="359"/>
    </row>
    <row r="479" spans="1:28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  <c r="AB479" s="359"/>
    </row>
    <row r="480" spans="1:28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  <c r="AB480" s="359"/>
    </row>
    <row r="481" spans="1:28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  <c r="AB481" s="359"/>
    </row>
    <row r="482" spans="1:28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  <c r="AB482" s="359"/>
    </row>
    <row r="483" spans="1:28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  <c r="AB483" s="359"/>
    </row>
    <row r="484" spans="1:28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  <c r="AB484" s="359"/>
    </row>
    <row r="485" spans="1:28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  <c r="AB485" s="359"/>
    </row>
    <row r="486" spans="1:28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  <c r="AB486" s="359"/>
    </row>
    <row r="487" spans="1:28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  <c r="AB487" s="359"/>
    </row>
    <row r="488" spans="1:28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  <c r="AB488" s="359"/>
    </row>
    <row r="489" spans="1:28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  <c r="AB489" s="359"/>
    </row>
    <row r="490" spans="1:28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  <c r="AB490" s="359"/>
    </row>
    <row r="491" spans="1:28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  <c r="AB491" s="359"/>
    </row>
    <row r="492" spans="1:28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  <c r="AB492" s="359"/>
    </row>
    <row r="493" spans="1:28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  <c r="AB493" s="359"/>
    </row>
    <row r="494" spans="1:28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  <c r="AB494" s="359"/>
    </row>
    <row r="495" spans="1:28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  <c r="AB495" s="359"/>
    </row>
    <row r="496" spans="1:28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  <c r="AB496" s="359"/>
    </row>
    <row r="497" spans="1:28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  <c r="AB497" s="359"/>
    </row>
    <row r="498" spans="1:28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  <c r="AB498" s="359"/>
    </row>
    <row r="499" spans="1:28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  <c r="AB499" s="359"/>
    </row>
    <row r="500" spans="1:28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  <c r="AB500" s="359"/>
    </row>
    <row r="501" spans="1:28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  <c r="AB501" s="359"/>
    </row>
    <row r="502" spans="1:28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  <c r="AB502" s="359"/>
    </row>
    <row r="503" spans="1:28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  <c r="AB503" s="359"/>
    </row>
    <row r="504" spans="1:28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  <c r="AB504" s="359"/>
    </row>
    <row r="505" spans="1:28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  <c r="AB505" s="359"/>
    </row>
    <row r="506" spans="1:28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  <c r="AB506" s="359"/>
    </row>
    <row r="507" spans="1:28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  <c r="AB507" s="359"/>
    </row>
    <row r="508" spans="1:28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  <c r="AB508" s="359"/>
    </row>
    <row r="509" spans="1:28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  <c r="AB509" s="359"/>
    </row>
    <row r="510" spans="1:28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  <c r="AB510" s="359"/>
    </row>
    <row r="511" spans="1:28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  <c r="AB511" s="359"/>
    </row>
    <row r="512" spans="1:28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  <c r="AB512" s="359"/>
    </row>
    <row r="513" spans="1:28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  <c r="AB513" s="359"/>
    </row>
    <row r="514" spans="1:28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  <c r="AB514" s="359"/>
    </row>
    <row r="515" spans="1:28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  <c r="AB515" s="359"/>
    </row>
    <row r="516" spans="1:28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  <c r="AB516" s="359"/>
    </row>
    <row r="517" spans="1:28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  <c r="AB517" s="359"/>
    </row>
    <row r="518" spans="1:28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  <c r="AB518" s="359"/>
    </row>
    <row r="519" spans="1:28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  <c r="AB519" s="359"/>
    </row>
    <row r="520" spans="1:28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  <c r="AB520" s="359"/>
    </row>
    <row r="521" spans="1:28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  <c r="AB521" s="359"/>
    </row>
    <row r="522" spans="1:28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  <c r="AB522" s="359"/>
    </row>
    <row r="523" spans="1:28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  <c r="AB523" s="359"/>
    </row>
    <row r="524" spans="1:28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  <c r="AB524" s="359"/>
    </row>
    <row r="525" spans="1:28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  <c r="AB525" s="359"/>
    </row>
    <row r="526" spans="1:28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  <c r="AB526" s="359"/>
    </row>
    <row r="527" spans="1:28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  <c r="AB527" s="359"/>
    </row>
    <row r="528" spans="1:28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  <c r="AB528" s="359"/>
    </row>
    <row r="529" spans="1:28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  <c r="AB529" s="359"/>
    </row>
    <row r="530" spans="1:28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  <c r="AB530" s="359"/>
    </row>
    <row r="531" spans="1:28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  <c r="AB531" s="359"/>
    </row>
    <row r="532" spans="1:28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  <c r="AB532" s="359"/>
    </row>
    <row r="533" spans="1:28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  <c r="AB533" s="359"/>
    </row>
    <row r="534" spans="1:28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  <c r="AB534" s="359"/>
    </row>
    <row r="535" spans="1:28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  <c r="AB535" s="359"/>
    </row>
    <row r="536" spans="1:28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  <c r="AB536" s="359"/>
    </row>
    <row r="537" spans="1:28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  <c r="AB537" s="359"/>
    </row>
    <row r="538" spans="1:28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  <c r="AB538" s="359"/>
    </row>
    <row r="539" spans="1:28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  <c r="AB539" s="359"/>
    </row>
    <row r="540" spans="1:28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  <c r="AB540" s="359"/>
    </row>
    <row r="541" spans="1:28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  <c r="AB541" s="359"/>
    </row>
    <row r="542" spans="1:28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  <c r="AB542" s="359"/>
    </row>
    <row r="543" spans="1:28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  <c r="AB543" s="359"/>
    </row>
    <row r="544" spans="1:28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  <c r="AB544" s="359"/>
    </row>
    <row r="545" spans="1:28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  <c r="AB545" s="359"/>
    </row>
    <row r="546" spans="1:28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  <c r="AB546" s="359"/>
    </row>
    <row r="547" spans="1:28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  <c r="AB547" s="359"/>
    </row>
    <row r="548" spans="1:28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  <c r="AB548" s="359"/>
    </row>
    <row r="549" spans="1:28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  <c r="AB549" s="359"/>
    </row>
    <row r="550" spans="1:28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  <c r="AB550" s="359"/>
    </row>
    <row r="551" spans="1:28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  <c r="AB551" s="359"/>
    </row>
    <row r="552" spans="1:28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  <c r="AB552" s="359"/>
    </row>
    <row r="553" spans="1:28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  <c r="AB553" s="359"/>
    </row>
    <row r="554" spans="1:28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  <c r="AB554" s="359"/>
    </row>
    <row r="555" spans="1:28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  <c r="AB555" s="359"/>
    </row>
    <row r="556" spans="1:28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  <c r="AB556" s="359"/>
    </row>
    <row r="557" spans="1:28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  <c r="AB557" s="359"/>
    </row>
    <row r="558" spans="1:28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  <c r="AB558" s="359"/>
    </row>
    <row r="559" spans="1:28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  <c r="AB559" s="359"/>
    </row>
    <row r="560" spans="1:28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  <c r="AB560" s="359"/>
    </row>
    <row r="561" spans="1:28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  <c r="AB561" s="359"/>
    </row>
    <row r="562" spans="1:28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  <c r="AB562" s="359"/>
    </row>
    <row r="563" spans="1:28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  <c r="AB563" s="359"/>
    </row>
    <row r="564" spans="1:28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  <c r="AB564" s="359"/>
    </row>
    <row r="565" spans="1:28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  <c r="AB565" s="359"/>
    </row>
    <row r="566" spans="1:28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  <c r="AB566" s="359"/>
    </row>
    <row r="567" spans="1:28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  <c r="AB567" s="359"/>
    </row>
    <row r="568" spans="1:28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  <c r="AB568" s="359"/>
    </row>
    <row r="569" spans="1:28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  <c r="AB569" s="359"/>
    </row>
    <row r="570" spans="1:28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  <c r="AB570" s="359"/>
    </row>
    <row r="571" spans="1:28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  <c r="AB571" s="359"/>
    </row>
    <row r="572" spans="1:28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  <c r="AB572" s="359"/>
    </row>
    <row r="573" spans="1:28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  <c r="AB573" s="359"/>
    </row>
    <row r="574" spans="1:28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  <c r="AB574" s="359"/>
    </row>
    <row r="575" spans="1:28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  <c r="AB575" s="359"/>
    </row>
    <row r="576" spans="1:28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  <c r="AB576" s="359"/>
    </row>
    <row r="577" spans="1:28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  <c r="AB577" s="359"/>
    </row>
    <row r="578" spans="1:28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  <c r="AB578" s="359"/>
    </row>
    <row r="579" spans="1:28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  <c r="AB579" s="359"/>
    </row>
    <row r="580" spans="1:28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  <c r="AB580" s="359"/>
    </row>
    <row r="581" spans="1:28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  <c r="AB581" s="359"/>
    </row>
    <row r="582" spans="1:28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  <c r="AB582" s="359"/>
    </row>
    <row r="583" spans="1:28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  <c r="AB583" s="359"/>
    </row>
    <row r="584" spans="1:28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  <c r="AB584" s="359"/>
    </row>
    <row r="585" spans="1:28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  <c r="AB585" s="359"/>
    </row>
    <row r="586" spans="1:28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  <c r="AB586" s="359"/>
    </row>
    <row r="587" spans="1:28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  <c r="AB587" s="359"/>
    </row>
    <row r="588" spans="1:28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  <c r="AB588" s="359"/>
    </row>
    <row r="589" spans="1:28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  <c r="AB589" s="359"/>
    </row>
    <row r="590" spans="1:28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  <c r="AB590" s="359"/>
    </row>
    <row r="591" spans="1:28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  <c r="AB591" s="359"/>
    </row>
    <row r="592" spans="1:28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  <c r="AB592" s="359"/>
    </row>
    <row r="593" spans="1:28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  <c r="AB593" s="359"/>
    </row>
    <row r="594" spans="1:28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  <c r="AB594" s="359"/>
    </row>
    <row r="595" spans="1:28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  <c r="AB595" s="359"/>
    </row>
    <row r="596" spans="1:28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  <c r="AB596" s="359"/>
    </row>
    <row r="597" spans="1:28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  <c r="AB597" s="359"/>
    </row>
    <row r="598" spans="1:28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  <c r="AB598" s="359"/>
    </row>
    <row r="599" spans="1:28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  <c r="AB599" s="359"/>
    </row>
    <row r="600" spans="1:28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  <c r="AB600" s="359"/>
    </row>
    <row r="601" spans="1:28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  <c r="AB601" s="359"/>
    </row>
    <row r="602" spans="1:28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  <c r="AB602" s="359"/>
    </row>
    <row r="603" spans="1:28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  <c r="AB603" s="359"/>
    </row>
    <row r="604" spans="1:28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  <c r="AB604" s="359"/>
    </row>
    <row r="605" spans="1:28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  <c r="AB605" s="359"/>
    </row>
    <row r="606" spans="1:28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  <c r="AB606" s="359"/>
    </row>
    <row r="607" spans="1:28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  <c r="AB607" s="359"/>
    </row>
    <row r="608" spans="1:28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  <c r="AB608" s="359"/>
    </row>
    <row r="609" spans="1:28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  <c r="AB609" s="359"/>
    </row>
    <row r="610" spans="1:28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  <c r="AB610" s="359"/>
    </row>
    <row r="611" spans="1:28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  <c r="AB611" s="359"/>
    </row>
    <row r="612" spans="1:28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  <c r="AB612" s="359"/>
    </row>
    <row r="613" spans="1:28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  <c r="AB613" s="359"/>
    </row>
    <row r="614" spans="1:28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  <c r="AB614" s="359"/>
    </row>
    <row r="615" spans="1:28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  <c r="AB615" s="359"/>
    </row>
    <row r="616" spans="1:28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  <c r="AB616" s="359"/>
    </row>
    <row r="617" spans="1:28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  <c r="AB617" s="359"/>
    </row>
    <row r="618" spans="1:28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  <c r="AB618" s="359"/>
    </row>
    <row r="619" spans="1:28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  <c r="AB619" s="359"/>
    </row>
    <row r="620" spans="1:28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  <c r="AB620" s="359"/>
    </row>
    <row r="621" spans="1:28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  <c r="AB621" s="359"/>
    </row>
    <row r="622" spans="1:28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  <c r="AB622" s="359"/>
    </row>
    <row r="623" spans="1:28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  <c r="AB623" s="359"/>
    </row>
    <row r="624" spans="1:28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  <c r="AB624" s="359"/>
    </row>
    <row r="625" spans="1:28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  <c r="AB625" s="359"/>
    </row>
    <row r="626" spans="1:28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  <c r="AB626" s="359"/>
    </row>
    <row r="627" spans="1:28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  <c r="AB627" s="359"/>
    </row>
    <row r="628" spans="1:28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  <c r="AB628" s="359"/>
    </row>
    <row r="629" spans="1:28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  <c r="AB629" s="359"/>
    </row>
    <row r="630" spans="1:28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  <c r="AB630" s="359"/>
    </row>
    <row r="631" spans="1:28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  <c r="AB631" s="359"/>
    </row>
    <row r="632" spans="1:28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  <c r="AB632" s="359"/>
    </row>
    <row r="633" spans="1:28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  <c r="AB633" s="359"/>
    </row>
    <row r="634" spans="1:28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  <c r="AB634" s="359"/>
    </row>
    <row r="635" spans="1:28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  <c r="AB635" s="359"/>
    </row>
    <row r="636" spans="1:28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  <c r="AB636" s="359"/>
    </row>
    <row r="637" spans="1:28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  <c r="AB637" s="359"/>
    </row>
    <row r="638" spans="1:28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  <c r="AB638" s="359"/>
    </row>
    <row r="639" spans="1:28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  <c r="AB639" s="359"/>
    </row>
    <row r="640" spans="1:28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  <c r="AB640" s="359"/>
    </row>
    <row r="641" spans="1:28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  <c r="AB641" s="359"/>
    </row>
    <row r="642" spans="1:28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  <c r="AB642" s="359"/>
    </row>
    <row r="643" spans="1:28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  <c r="AB643" s="359"/>
    </row>
    <row r="644" spans="1:28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  <c r="AB644" s="359"/>
    </row>
    <row r="645" spans="1:28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  <c r="AB645" s="359"/>
    </row>
    <row r="646" spans="1:28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  <c r="AB646" s="359"/>
    </row>
    <row r="647" spans="1:28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  <c r="AB647" s="359"/>
    </row>
    <row r="648" spans="1:28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  <c r="AB648" s="359"/>
    </row>
    <row r="649" spans="1:28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  <c r="AB649" s="359"/>
    </row>
    <row r="650" spans="1:28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  <c r="AB650" s="359"/>
    </row>
    <row r="651" spans="1:28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  <c r="AB651" s="359"/>
    </row>
    <row r="652" spans="1:28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  <c r="AB652" s="359"/>
    </row>
    <row r="653" spans="1:28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  <c r="AB653" s="359"/>
    </row>
    <row r="654" spans="1:28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  <c r="AB654" s="359"/>
    </row>
    <row r="655" spans="1:28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  <c r="AB655" s="359"/>
    </row>
    <row r="656" spans="1:28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  <c r="AB656" s="359"/>
    </row>
    <row r="657" spans="1:28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  <c r="AB657" s="359"/>
    </row>
    <row r="658" spans="1:28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  <c r="AB658" s="359"/>
    </row>
    <row r="659" spans="1:28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  <c r="AB659" s="359"/>
    </row>
    <row r="660" spans="1:28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  <c r="AB660" s="359"/>
    </row>
    <row r="661" spans="1:28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  <c r="AB661" s="359"/>
    </row>
    <row r="662" spans="1:28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  <c r="AB662" s="359"/>
    </row>
    <row r="663" spans="1:28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  <c r="AB663" s="359"/>
    </row>
    <row r="664" spans="1:28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  <c r="AB664" s="359"/>
    </row>
    <row r="665" spans="1:28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  <c r="AB665" s="359"/>
    </row>
    <row r="666" spans="1:28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  <c r="AB666" s="359"/>
    </row>
    <row r="667" spans="1:28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  <c r="AB667" s="359"/>
    </row>
    <row r="668" spans="1:28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  <c r="AB668" s="359"/>
    </row>
    <row r="669" spans="1:28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  <c r="AB669" s="359"/>
    </row>
    <row r="670" spans="1:28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  <c r="AB670" s="359"/>
    </row>
    <row r="671" spans="1:28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  <c r="AB671" s="359"/>
    </row>
    <row r="672" spans="1:28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  <c r="AB672" s="359"/>
    </row>
    <row r="673" spans="1:28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  <c r="AB673" s="359"/>
    </row>
    <row r="674" spans="1:28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  <c r="AB674" s="359"/>
    </row>
    <row r="675" spans="1:28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  <c r="AB675" s="359"/>
    </row>
    <row r="676" spans="1:28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  <c r="AB676" s="359"/>
    </row>
    <row r="677" spans="1:28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  <c r="AB677" s="359"/>
    </row>
    <row r="678" spans="1:28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  <c r="AB678" s="359"/>
    </row>
    <row r="679" spans="1:28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  <c r="AB679" s="359"/>
    </row>
    <row r="680" spans="1:28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  <c r="AB680" s="359"/>
    </row>
    <row r="681" spans="1:28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  <c r="AB681" s="359"/>
    </row>
    <row r="682" spans="1:28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  <c r="AB682" s="359"/>
    </row>
    <row r="683" spans="1:28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  <c r="AB683" s="359"/>
    </row>
    <row r="684" spans="1:28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  <c r="AB684" s="359"/>
    </row>
    <row r="685" spans="1:28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  <c r="AB685" s="359"/>
    </row>
    <row r="686" spans="1:28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  <c r="AB686" s="359"/>
    </row>
    <row r="687" spans="1:28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  <c r="AB687" s="359"/>
    </row>
    <row r="688" spans="1:28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  <c r="AB688" s="359"/>
    </row>
    <row r="689" spans="1:28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  <c r="AB689" s="359"/>
    </row>
    <row r="690" spans="1:28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  <c r="AB690" s="359"/>
    </row>
    <row r="691" spans="1:28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  <c r="AB691" s="359"/>
    </row>
    <row r="692" spans="1:28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  <c r="AB692" s="359"/>
    </row>
    <row r="693" spans="1:28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  <c r="AB693" s="359"/>
    </row>
    <row r="694" spans="1:28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  <c r="AB694" s="359"/>
    </row>
    <row r="695" spans="1:28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  <c r="AB695" s="359"/>
    </row>
    <row r="696" spans="1:28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  <c r="AB696" s="359"/>
    </row>
    <row r="697" spans="1:28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  <c r="AB697" s="359"/>
    </row>
    <row r="698" spans="1:28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  <c r="AB698" s="359"/>
    </row>
    <row r="699" spans="1:28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  <c r="AB699" s="359"/>
    </row>
    <row r="700" spans="1:28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  <c r="AB700" s="359"/>
    </row>
    <row r="701" spans="1:28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  <c r="AB701" s="359"/>
    </row>
    <row r="702" spans="1:28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  <c r="AB702" s="359"/>
    </row>
    <row r="703" spans="1:28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  <c r="AB703" s="359"/>
    </row>
    <row r="704" spans="1:28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  <c r="AB704" s="359"/>
    </row>
    <row r="705" spans="1:28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  <c r="AB705" s="359"/>
    </row>
    <row r="706" spans="1:28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  <c r="AB706" s="359"/>
    </row>
    <row r="707" spans="1:28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  <c r="AB707" s="359"/>
    </row>
    <row r="708" spans="1:28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  <c r="AB708" s="359"/>
    </row>
    <row r="709" spans="1:28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  <c r="AB709" s="359"/>
    </row>
    <row r="710" spans="1:28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  <c r="AB710" s="359"/>
    </row>
    <row r="711" spans="1:28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  <c r="AB711" s="359"/>
    </row>
    <row r="712" spans="1:28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  <c r="AB712" s="359"/>
    </row>
    <row r="713" spans="1:28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  <c r="AB713" s="359"/>
    </row>
    <row r="714" spans="1:28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  <c r="AB714" s="359"/>
    </row>
    <row r="715" spans="1:28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  <c r="AB715" s="359"/>
    </row>
    <row r="716" spans="1:28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  <c r="AB716" s="359"/>
    </row>
    <row r="717" spans="1:28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  <c r="AB717" s="359"/>
    </row>
    <row r="718" spans="1:28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  <c r="AB718" s="359"/>
    </row>
    <row r="719" spans="1:28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  <c r="AB719" s="359"/>
    </row>
    <row r="720" spans="1:28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  <c r="AB720" s="359"/>
    </row>
    <row r="721" spans="1:28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  <c r="AB721" s="359"/>
    </row>
    <row r="722" spans="1:28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  <c r="AB722" s="359"/>
    </row>
    <row r="723" spans="1:28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  <c r="AB723" s="359"/>
    </row>
    <row r="724" spans="1:28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  <c r="AB724" s="359"/>
    </row>
    <row r="725" spans="1:28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  <c r="AB725" s="359"/>
    </row>
    <row r="726" spans="1:28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  <c r="AB726" s="359"/>
    </row>
    <row r="727" spans="1:28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  <c r="AB727" s="359"/>
    </row>
    <row r="728" spans="1:28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  <c r="AB728" s="359"/>
    </row>
    <row r="729" spans="1:28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  <c r="AB729" s="359"/>
    </row>
    <row r="730" spans="1:28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  <c r="AB730" s="359"/>
    </row>
    <row r="731" spans="1:28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  <c r="AB731" s="359"/>
    </row>
    <row r="732" spans="1:28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  <c r="AB732" s="359"/>
    </row>
    <row r="733" spans="1:28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  <c r="AB733" s="359"/>
    </row>
    <row r="734" spans="1:28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  <c r="AB734" s="359"/>
    </row>
    <row r="735" spans="1:28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  <c r="AB735" s="359"/>
    </row>
    <row r="736" spans="1:28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  <c r="AB736" s="359"/>
    </row>
    <row r="737" spans="1:28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  <c r="AB737" s="359"/>
    </row>
    <row r="738" spans="1:28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  <c r="AB738" s="359"/>
    </row>
    <row r="739" spans="1:28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  <c r="AB739" s="359"/>
    </row>
    <row r="740" spans="1:28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  <c r="AB740" s="359"/>
    </row>
    <row r="741" spans="1:28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  <c r="AB741" s="359"/>
    </row>
    <row r="742" spans="1:28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  <c r="AB742" s="359"/>
    </row>
    <row r="743" spans="1:28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  <c r="AB743" s="359"/>
    </row>
    <row r="744" spans="1:28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  <c r="AB744" s="359"/>
    </row>
    <row r="745" spans="1:28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  <c r="AB745" s="359"/>
    </row>
    <row r="746" spans="1:28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  <c r="AB746" s="359"/>
    </row>
    <row r="747" spans="1:28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  <c r="AB747" s="359"/>
    </row>
    <row r="748" spans="1:28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  <c r="AB748" s="359"/>
    </row>
    <row r="749" spans="1:28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  <c r="AB749" s="359"/>
    </row>
    <row r="750" spans="1:28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  <c r="AB750" s="359"/>
    </row>
    <row r="751" spans="1:28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  <c r="AB751" s="359"/>
    </row>
    <row r="752" spans="1:28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  <c r="AB752" s="359"/>
    </row>
    <row r="753" spans="1:28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  <c r="AB753" s="359"/>
    </row>
    <row r="754" spans="1:28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  <c r="AB754" s="359"/>
    </row>
    <row r="755" spans="1:28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  <c r="AB755" s="359"/>
    </row>
    <row r="756" spans="1:28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  <c r="AB756" s="359"/>
    </row>
    <row r="757" spans="1:28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  <c r="AB757" s="359"/>
    </row>
    <row r="758" spans="1:28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  <c r="AB758" s="359"/>
    </row>
    <row r="759" spans="1:28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  <c r="AB759" s="359"/>
    </row>
    <row r="760" spans="1:28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  <c r="AB760" s="359"/>
    </row>
    <row r="761" spans="1:28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  <c r="AB761" s="359"/>
    </row>
    <row r="762" spans="1:28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  <c r="AB762" s="359"/>
    </row>
    <row r="763" spans="1:28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  <c r="AB763" s="359"/>
    </row>
    <row r="764" spans="1:28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  <c r="AB764" s="359"/>
    </row>
    <row r="765" spans="1:28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  <c r="AB765" s="359"/>
    </row>
    <row r="766" spans="1:28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  <c r="AB766" s="359"/>
    </row>
    <row r="767" spans="1:28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  <c r="AB767" s="359"/>
    </row>
    <row r="768" spans="1:28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  <c r="AB768" s="359"/>
    </row>
    <row r="769" spans="1:28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  <c r="AB769" s="359"/>
    </row>
    <row r="770" spans="1:28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  <c r="AB770" s="359"/>
    </row>
    <row r="771" spans="1:28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  <c r="AB771" s="359"/>
    </row>
    <row r="772" spans="1:28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  <c r="AB772" s="359"/>
    </row>
    <row r="773" spans="1:28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  <c r="AB773" s="359"/>
    </row>
    <row r="774" spans="1:28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  <c r="AB774" s="359"/>
    </row>
    <row r="775" spans="1:28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  <c r="AB775" s="359"/>
    </row>
    <row r="776" spans="1:28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  <c r="AB776" s="359"/>
    </row>
    <row r="777" spans="1:28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  <c r="AB777" s="359"/>
    </row>
    <row r="778" spans="1:28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  <c r="AB778" s="359"/>
    </row>
    <row r="779" spans="1:28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  <c r="AB779" s="359"/>
    </row>
    <row r="780" spans="1:28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  <c r="AB780" s="359"/>
    </row>
    <row r="781" spans="1:28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  <c r="AB781" s="359"/>
    </row>
    <row r="782" spans="1:28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  <c r="AB782" s="359"/>
    </row>
    <row r="783" spans="1:28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  <c r="AB783" s="359"/>
    </row>
    <row r="784" spans="1:28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  <c r="AB784" s="359"/>
    </row>
    <row r="785" spans="1:28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  <c r="AB785" s="359"/>
    </row>
    <row r="786" spans="1:28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  <c r="AB786" s="359"/>
    </row>
    <row r="787" spans="1:28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  <c r="AB787" s="359"/>
    </row>
    <row r="788" spans="1:28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  <c r="AB788" s="359"/>
    </row>
    <row r="789" spans="1:28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  <c r="AB789" s="359"/>
    </row>
    <row r="790" spans="1:28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  <c r="AB790" s="359"/>
    </row>
    <row r="791" spans="1:28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  <c r="AB791" s="359"/>
    </row>
    <row r="792" spans="1:28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  <c r="AB792" s="359"/>
    </row>
    <row r="793" spans="1:28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  <c r="AB793" s="359"/>
    </row>
    <row r="794" spans="1:28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  <c r="AB794" s="359"/>
    </row>
    <row r="795" spans="1:28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  <c r="AB795" s="359"/>
    </row>
    <row r="796" spans="1:28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  <c r="AB796" s="359"/>
    </row>
    <row r="797" spans="1:28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  <c r="AB797" s="359"/>
    </row>
    <row r="798" spans="1:28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  <c r="AB798" s="359"/>
    </row>
    <row r="799" spans="1:28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  <c r="AB799" s="359"/>
    </row>
    <row r="800" spans="1:28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  <c r="AB800" s="359"/>
    </row>
    <row r="801" spans="1:28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  <c r="AB801" s="359"/>
    </row>
    <row r="802" spans="1:28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  <c r="AB802" s="359"/>
    </row>
    <row r="803" spans="1:28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  <c r="AB803" s="359"/>
    </row>
    <row r="804" spans="1:28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  <c r="AB804" s="359"/>
    </row>
    <row r="805" spans="1:28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  <c r="AB805" s="359"/>
    </row>
    <row r="806" spans="1:28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  <c r="AB806" s="359"/>
    </row>
    <row r="807" spans="1:28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  <c r="AB807" s="359"/>
    </row>
    <row r="808" spans="1:28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  <c r="AB808" s="359"/>
    </row>
    <row r="809" spans="1:28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  <c r="AB809" s="359"/>
    </row>
    <row r="810" spans="1:28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  <c r="AB810" s="359"/>
    </row>
    <row r="811" spans="1:28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  <c r="AB811" s="359"/>
    </row>
    <row r="812" spans="1:28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  <c r="AB812" s="359"/>
    </row>
    <row r="813" spans="1:28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  <c r="AB813" s="359"/>
    </row>
    <row r="814" spans="1:28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  <c r="AB814" s="359"/>
    </row>
    <row r="815" spans="1:28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  <c r="AB815" s="359"/>
    </row>
    <row r="816" spans="1:28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  <c r="AB816" s="359"/>
    </row>
    <row r="817" spans="1:28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  <c r="AB817" s="359"/>
    </row>
    <row r="818" spans="1:28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  <c r="AB818" s="359"/>
    </row>
    <row r="819" spans="1:28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  <c r="AB819" s="359"/>
    </row>
    <row r="820" spans="1:28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  <c r="AB820" s="359"/>
    </row>
    <row r="821" spans="1:28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  <c r="AB821" s="359"/>
    </row>
    <row r="822" spans="1:28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  <c r="AB822" s="359"/>
    </row>
    <row r="823" spans="1:28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  <c r="AB823" s="359"/>
    </row>
    <row r="824" spans="1:28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  <c r="AB824" s="359"/>
    </row>
    <row r="825" spans="1:28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  <c r="AB825" s="359"/>
    </row>
    <row r="826" spans="1:28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  <c r="AB826" s="359"/>
    </row>
    <row r="827" spans="1:28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  <c r="AB827" s="359"/>
    </row>
    <row r="828" spans="1:28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  <c r="AB828" s="359"/>
    </row>
    <row r="829" spans="1:28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  <c r="AB829" s="359"/>
    </row>
    <row r="830" spans="1:28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  <c r="AB830" s="359"/>
    </row>
    <row r="831" spans="1:28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  <c r="AB831" s="359"/>
    </row>
    <row r="832" spans="1:28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  <c r="AB832" s="359"/>
    </row>
    <row r="833" spans="1:28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  <c r="AB833" s="359"/>
    </row>
    <row r="834" spans="1:28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  <c r="AB834" s="359"/>
    </row>
    <row r="835" spans="1:28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  <c r="AB835" s="359"/>
    </row>
    <row r="836" spans="1:28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  <c r="AB836" s="359"/>
    </row>
    <row r="837" spans="1:28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  <c r="AB837" s="359"/>
    </row>
    <row r="838" spans="1:28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  <c r="AB838" s="359"/>
    </row>
    <row r="839" spans="1:28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  <c r="AB839" s="359"/>
    </row>
    <row r="840" spans="1:28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  <c r="AB840" s="359"/>
    </row>
    <row r="841" spans="1:28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  <c r="AB841" s="359"/>
    </row>
    <row r="842" spans="1:28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  <c r="AB842" s="359"/>
    </row>
    <row r="843" spans="1:28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  <c r="AB843" s="359"/>
    </row>
    <row r="844" spans="1:28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  <c r="AB844" s="359"/>
    </row>
    <row r="845" spans="1:28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  <c r="AB845" s="359"/>
    </row>
    <row r="846" spans="1:28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  <c r="AB846" s="359"/>
    </row>
    <row r="847" spans="1:28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  <c r="AB847" s="359"/>
    </row>
    <row r="848" spans="1:28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  <c r="AB848" s="359"/>
    </row>
    <row r="849" spans="1:28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  <c r="AB849" s="359"/>
    </row>
    <row r="850" spans="1:28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  <c r="AB850" s="359"/>
    </row>
    <row r="851" spans="1:28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  <c r="AB851" s="359"/>
    </row>
    <row r="852" spans="1:28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  <c r="AB852" s="359"/>
    </row>
    <row r="853" spans="1:28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  <c r="AB853" s="359"/>
    </row>
    <row r="854" spans="1:28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  <c r="AB854" s="359"/>
    </row>
    <row r="855" spans="1:28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  <c r="AB855" s="359"/>
    </row>
    <row r="856" spans="1:28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  <c r="AB856" s="359"/>
    </row>
    <row r="857" spans="1:28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  <c r="AB857" s="359"/>
    </row>
    <row r="858" spans="1:28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  <c r="AB858" s="359"/>
    </row>
    <row r="859" spans="1:28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  <c r="AB859" s="359"/>
    </row>
    <row r="860" spans="1:28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  <c r="AB860" s="359"/>
    </row>
    <row r="861" spans="1:28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  <c r="AB861" s="359"/>
    </row>
    <row r="862" spans="1:28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  <c r="AB862" s="359"/>
    </row>
    <row r="863" spans="1:28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  <c r="AB863" s="359"/>
    </row>
    <row r="864" spans="1:28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  <c r="AB864" s="359"/>
    </row>
    <row r="865" spans="1:28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  <c r="AB865" s="359"/>
    </row>
    <row r="866" spans="1:28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  <c r="AB866" s="359"/>
    </row>
    <row r="867" spans="1:28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  <c r="AB867" s="359"/>
    </row>
    <row r="868" spans="1:28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  <c r="AB868" s="359"/>
    </row>
    <row r="869" spans="1:28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  <c r="AB869" s="359"/>
    </row>
    <row r="870" spans="1:28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  <c r="AB870" s="359"/>
    </row>
    <row r="871" spans="1:28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  <c r="AB871" s="359"/>
    </row>
    <row r="872" spans="1:28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  <c r="AB872" s="359"/>
    </row>
    <row r="873" spans="1:28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  <c r="AB873" s="359"/>
    </row>
    <row r="874" spans="1:28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  <c r="AB874" s="359"/>
    </row>
    <row r="875" spans="1:28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  <c r="AB875" s="359"/>
    </row>
    <row r="876" spans="1:28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  <c r="AB876" s="359"/>
    </row>
    <row r="877" spans="1:28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  <c r="AB877" s="359"/>
    </row>
    <row r="878" spans="1:28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  <c r="AB878" s="359"/>
    </row>
    <row r="879" spans="1:28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  <c r="AB879" s="359"/>
    </row>
    <row r="880" spans="1:28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  <c r="AB880" s="359"/>
    </row>
    <row r="881" spans="1:28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  <c r="AB881" s="359"/>
    </row>
    <row r="882" spans="1:28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  <c r="AB882" s="359"/>
    </row>
    <row r="883" spans="1:28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  <c r="AB883" s="359"/>
    </row>
    <row r="884" spans="1:28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  <c r="AB884" s="359"/>
    </row>
    <row r="885" spans="1:28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  <c r="AB885" s="359"/>
    </row>
    <row r="886" spans="1:28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  <c r="AB886" s="359"/>
    </row>
    <row r="887" spans="1:28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  <c r="AB887" s="359"/>
    </row>
    <row r="888" spans="1:28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  <c r="AB888" s="359"/>
    </row>
    <row r="889" spans="1:28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  <c r="AB889" s="359"/>
    </row>
    <row r="890" spans="1:28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  <c r="AB890" s="359"/>
    </row>
    <row r="891" spans="1:28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  <c r="AB891" s="359"/>
    </row>
    <row r="892" spans="1:28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  <c r="AB892" s="359"/>
    </row>
    <row r="893" spans="1:28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  <c r="AB893" s="359"/>
    </row>
    <row r="894" spans="1:28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  <c r="AB894" s="359"/>
    </row>
    <row r="895" spans="1:28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  <c r="AB895" s="359"/>
    </row>
    <row r="896" spans="1:28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  <c r="AB896" s="359"/>
    </row>
    <row r="897" spans="1:28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  <c r="AB897" s="359"/>
    </row>
    <row r="898" spans="1:28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  <c r="AB898" s="359"/>
    </row>
    <row r="899" spans="1:28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  <c r="AB899" s="359"/>
    </row>
    <row r="900" spans="1:28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  <c r="AB900" s="359"/>
    </row>
    <row r="901" spans="1:28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  <c r="AB901" s="359"/>
    </row>
    <row r="902" spans="1:28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  <c r="AB902" s="359"/>
    </row>
    <row r="903" spans="1:28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  <c r="AB903" s="359"/>
    </row>
    <row r="904" spans="1:28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  <c r="AB904" s="359"/>
    </row>
    <row r="905" spans="1:28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  <c r="AB905" s="359"/>
    </row>
    <row r="906" spans="1:28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  <c r="AB906" s="359"/>
    </row>
    <row r="907" spans="1:28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  <c r="AB907" s="359"/>
    </row>
    <row r="908" spans="1:28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  <c r="AB908" s="359"/>
    </row>
    <row r="909" spans="1:28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  <c r="AB909" s="359"/>
    </row>
    <row r="910" spans="1:28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  <c r="AB910" s="359"/>
    </row>
    <row r="911" spans="1:28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  <c r="AB911" s="359"/>
    </row>
    <row r="912" spans="1:28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  <c r="AB912" s="359"/>
    </row>
    <row r="913" spans="1:28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  <c r="AB913" s="359"/>
    </row>
    <row r="914" spans="1:28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  <c r="AB914" s="359"/>
    </row>
    <row r="915" spans="1:28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  <c r="AB915" s="359"/>
    </row>
    <row r="916" spans="1:28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  <c r="AB916" s="359"/>
    </row>
    <row r="917" spans="1:28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  <c r="AB917" s="359"/>
    </row>
    <row r="918" spans="1:28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  <c r="AB918" s="359"/>
    </row>
    <row r="919" spans="1:28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  <c r="AB919" s="359"/>
    </row>
    <row r="920" spans="1:28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  <c r="AB920" s="359"/>
    </row>
    <row r="921" spans="1:28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  <c r="AB921" s="359"/>
    </row>
    <row r="922" spans="1:28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  <c r="AB922" s="359"/>
    </row>
    <row r="923" spans="1:28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  <c r="AB923" s="359"/>
    </row>
    <row r="924" spans="1:28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  <c r="AB924" s="359"/>
    </row>
    <row r="925" spans="1:28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  <c r="AB925" s="359"/>
    </row>
    <row r="926" spans="1:28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  <c r="AB926" s="359"/>
    </row>
    <row r="927" spans="1:28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  <c r="AB927" s="359"/>
    </row>
    <row r="928" spans="1:28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  <c r="AB928" s="359"/>
    </row>
    <row r="929" spans="1:28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  <c r="AB929" s="359"/>
    </row>
    <row r="930" spans="1:28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  <c r="AB930" s="359"/>
    </row>
    <row r="931" spans="1:28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  <c r="AB931" s="359"/>
    </row>
    <row r="932" spans="1:28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  <c r="AB932" s="359"/>
    </row>
    <row r="933" spans="1:28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  <c r="AB933" s="359"/>
    </row>
    <row r="934" spans="1:28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  <c r="AB934" s="359"/>
    </row>
    <row r="935" spans="1:28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  <c r="AB935" s="359"/>
    </row>
    <row r="936" spans="1:28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  <c r="AB936" s="359"/>
    </row>
    <row r="937" spans="1:28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  <c r="AB937" s="359"/>
    </row>
    <row r="938" spans="1:28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  <c r="AB938" s="359"/>
    </row>
    <row r="939" spans="1:28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  <c r="AB939" s="359"/>
    </row>
    <row r="940" spans="1:28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  <c r="AB940" s="359"/>
    </row>
    <row r="941" spans="1:28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  <c r="AB941" s="359"/>
    </row>
    <row r="942" spans="1:28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  <c r="AB942" s="359"/>
    </row>
    <row r="943" spans="1:28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  <c r="AB943" s="359"/>
    </row>
    <row r="944" spans="1:28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  <c r="AB944" s="359"/>
    </row>
    <row r="945" spans="1:28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  <c r="AB945" s="359"/>
    </row>
    <row r="946" spans="1:28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  <c r="AB946" s="359"/>
    </row>
    <row r="947" spans="1:28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  <c r="AB947" s="359"/>
    </row>
    <row r="948" spans="1:28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  <c r="AB948" s="359"/>
    </row>
    <row r="949" spans="1:28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  <c r="AB949" s="359"/>
    </row>
    <row r="950" spans="1:28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  <c r="AB950" s="359"/>
    </row>
    <row r="951" spans="1:28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  <c r="AB951" s="359"/>
    </row>
    <row r="952" spans="1:28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  <c r="AB952" s="359"/>
    </row>
    <row r="953" spans="1:28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  <c r="AB953" s="359"/>
    </row>
    <row r="954" spans="1:28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  <c r="AB954" s="359"/>
    </row>
    <row r="955" spans="1:28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  <c r="AB955" s="359"/>
    </row>
    <row r="956" spans="1:28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  <c r="AB956" s="359"/>
    </row>
    <row r="957" spans="1:28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  <c r="AB957" s="359"/>
    </row>
    <row r="958" spans="1:28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  <c r="AB958" s="359"/>
    </row>
    <row r="959" spans="1:28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  <c r="AB959" s="359"/>
    </row>
    <row r="960" spans="1:28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  <c r="AB960" s="359"/>
    </row>
    <row r="961" spans="1:28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  <c r="AB961" s="359"/>
    </row>
    <row r="962" spans="1:28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  <c r="AB962" s="359"/>
    </row>
    <row r="963" spans="1:28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  <c r="AB963" s="359"/>
    </row>
    <row r="964" spans="1:28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  <c r="AB964" s="359"/>
    </row>
    <row r="965" spans="1:28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  <c r="AB965" s="359"/>
    </row>
    <row r="966" spans="1:28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  <c r="AB966" s="359"/>
    </row>
    <row r="967" spans="1:28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  <c r="AB967" s="359"/>
    </row>
    <row r="968" spans="1:28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  <c r="AB968" s="359"/>
    </row>
    <row r="969" spans="1:28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  <c r="AB969" s="359"/>
    </row>
    <row r="970" spans="1:28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  <c r="AB970" s="359"/>
    </row>
    <row r="971" spans="1:28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  <c r="AB971" s="359"/>
    </row>
    <row r="972" spans="1:28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  <c r="AB972" s="359"/>
    </row>
    <row r="973" spans="1:28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  <c r="AB973" s="359"/>
    </row>
    <row r="974" spans="1:28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  <c r="AB974" s="359"/>
    </row>
    <row r="975" spans="1:28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  <c r="AB975" s="359"/>
    </row>
    <row r="976" spans="1:28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  <c r="AB976" s="359"/>
    </row>
    <row r="977" spans="1:28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  <c r="AB977" s="359"/>
    </row>
    <row r="978" spans="1:28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  <c r="AB978" s="359"/>
    </row>
    <row r="979" spans="1:28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  <c r="AB979" s="359"/>
    </row>
    <row r="980" spans="1:28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  <c r="AB980" s="359"/>
    </row>
    <row r="981" spans="1:28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  <c r="AB981" s="359"/>
    </row>
    <row r="982" spans="1:28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  <c r="AB982" s="359"/>
    </row>
    <row r="983" spans="1:28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  <c r="AB983" s="359"/>
    </row>
    <row r="984" spans="1:28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  <c r="AB984" s="359"/>
    </row>
    <row r="985" spans="1:28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  <c r="AB985" s="359"/>
    </row>
    <row r="986" spans="1:28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  <c r="AB986" s="359"/>
    </row>
    <row r="987" spans="1:28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  <c r="AB987" s="359"/>
    </row>
    <row r="988" spans="1:28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  <c r="AB988" s="359"/>
    </row>
    <row r="989" spans="1:28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  <c r="AB989" s="359"/>
    </row>
    <row r="990" spans="1:28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  <c r="AB990" s="359"/>
    </row>
    <row r="991" spans="1:28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  <c r="AB991" s="359"/>
    </row>
    <row r="992" spans="1:28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  <c r="AB992" s="359"/>
    </row>
    <row r="993" spans="1:28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  <c r="AB993" s="359"/>
    </row>
    <row r="994" spans="1:28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  <c r="AB994" s="359"/>
    </row>
    <row r="995" spans="1:28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  <c r="AB995" s="359"/>
    </row>
    <row r="996" spans="1:28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  <c r="AB996" s="359"/>
    </row>
    <row r="997" spans="1:28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  <c r="AB997" s="359"/>
    </row>
    <row r="998" spans="1:28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  <c r="AB998" s="359"/>
    </row>
    <row r="999" spans="1:28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  <c r="AB999" s="359"/>
    </row>
    <row r="1000" spans="1:28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  <c r="AB1000" s="359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C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C1BAC-1A78-473C-9CD1-3A2AC5E06E98}">
  <dimension ref="A1:AA1000"/>
  <sheetViews>
    <sheetView topLeftCell="B1" workbookViewId="0">
      <pane ySplit="12" topLeftCell="A304" activePane="bottomLeft" state="frozen"/>
      <selection pane="bottomLeft" activeCell="D319" sqref="D319"/>
    </sheetView>
  </sheetViews>
  <sheetFormatPr defaultColWidth="14.42578125" defaultRowHeight="15" customHeight="1" x14ac:dyDescent="0.25"/>
  <cols>
    <col min="1" max="1" width="189.140625" style="344" hidden="1" customWidth="1"/>
    <col min="2" max="2" width="79.28515625" style="344" customWidth="1"/>
    <col min="3" max="3" width="16" style="344" customWidth="1"/>
    <col min="4" max="4" width="15.5703125" style="344" customWidth="1"/>
    <col min="5" max="5" width="14.28515625" style="344" customWidth="1"/>
    <col min="6" max="6" width="15.85546875" style="344" customWidth="1"/>
    <col min="7" max="7" width="14.28515625" style="344" customWidth="1"/>
    <col min="8" max="8" width="8.85546875" style="344" customWidth="1"/>
    <col min="9" max="9" width="10.85546875" style="344" customWidth="1"/>
    <col min="10" max="14" width="8.7109375" style="344" bestFit="1" customWidth="1"/>
    <col min="15" max="15" width="8.5703125" style="344" customWidth="1"/>
    <col min="16" max="16" width="11" style="344" customWidth="1"/>
    <col min="17" max="17" width="9.5703125" style="344" customWidth="1"/>
    <col min="18" max="19" width="11.42578125" style="344" customWidth="1"/>
    <col min="20" max="20" width="13.7109375" style="344" customWidth="1"/>
    <col min="21" max="21" width="11.42578125" style="344" customWidth="1"/>
    <col min="22" max="22" width="17.7109375" style="344" customWidth="1"/>
    <col min="23" max="23" width="20" style="344" customWidth="1"/>
    <col min="24" max="24" width="17.7109375" style="344" customWidth="1"/>
    <col min="25" max="25" width="21.85546875" style="344" customWidth="1"/>
    <col min="26" max="26" width="19.7109375" style="344" customWidth="1"/>
    <col min="27" max="27" width="15.7109375" style="344" customWidth="1"/>
    <col min="28" max="16384" width="14.42578125" style="344"/>
  </cols>
  <sheetData>
    <row r="1" spans="1:27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7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</row>
    <row r="3" spans="1:27" ht="12" customHeight="1" x14ac:dyDescent="0.25">
      <c r="A3" s="515" t="s">
        <v>87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</row>
    <row r="4" spans="1:27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</row>
    <row r="5" spans="1:27" ht="12" customHeight="1" x14ac:dyDescent="0.25">
      <c r="A5" s="359"/>
      <c r="B5" s="346" t="s">
        <v>1068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</row>
    <row r="6" spans="1:27" ht="12" customHeight="1" x14ac:dyDescent="0.25">
      <c r="A6" s="359"/>
      <c r="B6" s="346" t="s">
        <v>1072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</row>
    <row r="7" spans="1:27" ht="12" customHeight="1" x14ac:dyDescent="0.25">
      <c r="A7" s="359"/>
      <c r="B7" s="518" t="s">
        <v>1073</v>
      </c>
      <c r="C7" s="519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</row>
    <row r="8" spans="1:27" ht="12" customHeight="1" x14ac:dyDescent="0.25">
      <c r="A8" s="359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</row>
    <row r="9" spans="1:27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</row>
    <row r="10" spans="1:27" ht="29.25" customHeight="1" x14ac:dyDescent="0.25">
      <c r="A10" s="511"/>
      <c r="B10" s="514" t="s">
        <v>1074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</row>
    <row r="11" spans="1:27" ht="19.5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</row>
    <row r="12" spans="1:27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</row>
    <row r="13" spans="1:27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</row>
    <row r="14" spans="1:27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</row>
    <row r="15" spans="1:27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</row>
    <row r="16" spans="1:27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</row>
    <row r="17" spans="1:27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</row>
    <row r="18" spans="1:27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</row>
    <row r="19" spans="1:27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</row>
    <row r="20" spans="1:27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</row>
    <row r="21" spans="1:27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</row>
    <row r="22" spans="1:27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</row>
    <row r="23" spans="1:27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</row>
    <row r="24" spans="1:27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</row>
    <row r="25" spans="1:27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</row>
    <row r="26" spans="1:27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</row>
    <row r="27" spans="1:27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</row>
    <row r="28" spans="1:27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</row>
    <row r="29" spans="1:27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</row>
    <row r="30" spans="1:27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</row>
    <row r="31" spans="1:27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</row>
    <row r="32" spans="1:27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</row>
    <row r="33" spans="1:27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</row>
    <row r="34" spans="1:27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</row>
    <row r="35" spans="1:27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</row>
    <row r="36" spans="1:27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</row>
    <row r="37" spans="1:27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</row>
    <row r="38" spans="1:27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</row>
    <row r="39" spans="1:27" ht="12" customHeight="1" x14ac:dyDescent="0.25">
      <c r="A39" s="354"/>
      <c r="B39" s="355" t="s">
        <v>430</v>
      </c>
      <c r="C39" s="356">
        <v>0</v>
      </c>
      <c r="D39" s="356">
        <v>0</v>
      </c>
      <c r="E39" s="356">
        <v>0</v>
      </c>
      <c r="F39" s="356">
        <v>0</v>
      </c>
      <c r="G39" s="356">
        <v>0</v>
      </c>
      <c r="H39" s="356">
        <v>0</v>
      </c>
      <c r="I39" s="356">
        <v>0</v>
      </c>
      <c r="J39" s="356">
        <v>0</v>
      </c>
      <c r="K39" s="356">
        <v>0</v>
      </c>
      <c r="L39" s="356">
        <v>0</v>
      </c>
      <c r="M39" s="356">
        <v>0</v>
      </c>
      <c r="N39" s="356">
        <v>0</v>
      </c>
      <c r="O39" s="356">
        <v>0</v>
      </c>
      <c r="P39" s="356">
        <v>0</v>
      </c>
      <c r="Q39" s="356">
        <v>0</v>
      </c>
      <c r="R39" s="356">
        <v>0</v>
      </c>
      <c r="S39" s="356">
        <v>0</v>
      </c>
      <c r="T39" s="357">
        <v>0</v>
      </c>
      <c r="U39" s="358" t="e">
        <v>#DIV/0!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</row>
    <row r="40" spans="1:27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</row>
    <row r="41" spans="1:27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</row>
    <row r="42" spans="1:27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</row>
    <row r="43" spans="1:27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</row>
    <row r="44" spans="1:27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</row>
    <row r="45" spans="1:27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</row>
    <row r="46" spans="1:27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</row>
    <row r="47" spans="1:27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</row>
    <row r="48" spans="1:27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</row>
    <row r="49" spans="1:27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</row>
    <row r="50" spans="1:27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</row>
    <row r="51" spans="1:27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</row>
    <row r="52" spans="1:27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</row>
    <row r="53" spans="1:27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</row>
    <row r="54" spans="1:27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</row>
    <row r="55" spans="1:27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</row>
    <row r="56" spans="1:27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</row>
    <row r="57" spans="1:27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</row>
    <row r="58" spans="1:27" ht="12" customHeight="1" x14ac:dyDescent="0.25">
      <c r="A58" s="354" t="s">
        <v>1158</v>
      </c>
      <c r="B58" s="360" t="s">
        <v>449</v>
      </c>
      <c r="C58" s="362">
        <v>0</v>
      </c>
      <c r="D58" s="362">
        <v>0</v>
      </c>
      <c r="E58" s="362">
        <v>0</v>
      </c>
      <c r="F58" s="362">
        <v>0</v>
      </c>
      <c r="G58" s="362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</row>
    <row r="59" spans="1:27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</row>
    <row r="60" spans="1:27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</row>
    <row r="61" spans="1:27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</row>
    <row r="62" spans="1:27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</row>
    <row r="63" spans="1:27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</row>
    <row r="64" spans="1:27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</row>
    <row r="65" spans="1:27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</row>
    <row r="66" spans="1:27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</row>
    <row r="67" spans="1:27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</row>
    <row r="68" spans="1:27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</row>
    <row r="69" spans="1:27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</row>
    <row r="70" spans="1:27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</row>
    <row r="71" spans="1:27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</row>
    <row r="72" spans="1:27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</row>
    <row r="73" spans="1:27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</row>
    <row r="74" spans="1:27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</row>
    <row r="75" spans="1:27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</row>
    <row r="76" spans="1:27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</row>
    <row r="77" spans="1:27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</row>
    <row r="78" spans="1:27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</row>
    <row r="79" spans="1:27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</row>
    <row r="80" spans="1:27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</row>
    <row r="81" spans="1:27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</row>
    <row r="82" spans="1:27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</row>
    <row r="83" spans="1:27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</row>
    <row r="84" spans="1:27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</row>
    <row r="85" spans="1:27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</row>
    <row r="86" spans="1:27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</row>
    <row r="87" spans="1:27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</row>
    <row r="88" spans="1:27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</row>
    <row r="89" spans="1:27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</row>
    <row r="90" spans="1:27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</row>
    <row r="91" spans="1:27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</row>
    <row r="92" spans="1:27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</row>
    <row r="93" spans="1:27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</row>
    <row r="94" spans="1:27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</row>
    <row r="95" spans="1:27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</row>
    <row r="96" spans="1:27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</row>
    <row r="97" spans="1:27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</row>
    <row r="98" spans="1:27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</row>
    <row r="99" spans="1:27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</row>
    <row r="100" spans="1:27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</row>
    <row r="101" spans="1:27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</row>
    <row r="102" spans="1:27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</row>
    <row r="103" spans="1:27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</row>
    <row r="104" spans="1:27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</row>
    <row r="105" spans="1:27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</row>
    <row r="106" spans="1:27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</row>
    <row r="107" spans="1:27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</row>
    <row r="108" spans="1:27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</row>
    <row r="109" spans="1:27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</row>
    <row r="110" spans="1:27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</row>
    <row r="111" spans="1:27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</row>
    <row r="112" spans="1:27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</row>
    <row r="113" spans="1:27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</row>
    <row r="114" spans="1:27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</row>
    <row r="115" spans="1:27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</row>
    <row r="116" spans="1:27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</row>
    <row r="117" spans="1:27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</row>
    <row r="118" spans="1:27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</row>
    <row r="119" spans="1:27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</row>
    <row r="120" spans="1:27" ht="12" customHeight="1" x14ac:dyDescent="0.25">
      <c r="A120" s="354"/>
      <c r="B120" s="360" t="s">
        <v>511</v>
      </c>
      <c r="C120" s="361">
        <v>0</v>
      </c>
      <c r="D120" s="361">
        <v>0</v>
      </c>
      <c r="E120" s="361">
        <v>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 t="e">
        <v>#DIV/0!</v>
      </c>
      <c r="V120" s="362">
        <v>0</v>
      </c>
      <c r="W120" s="362">
        <v>0</v>
      </c>
      <c r="X120" s="362">
        <v>0</v>
      </c>
      <c r="Y120" s="362">
        <v>0</v>
      </c>
      <c r="Z120" s="362">
        <v>0</v>
      </c>
      <c r="AA120" s="362">
        <v>0</v>
      </c>
    </row>
    <row r="121" spans="1:27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</row>
    <row r="122" spans="1:27" ht="12" customHeight="1" x14ac:dyDescent="0.25">
      <c r="A122" s="354" t="s">
        <v>1214</v>
      </c>
      <c r="B122" s="354" t="s">
        <v>513</v>
      </c>
      <c r="C122" s="365">
        <v>0</v>
      </c>
      <c r="D122" s="365">
        <v>0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 t="e">
        <v>#DIV/0!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</row>
    <row r="123" spans="1:27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</row>
    <row r="124" spans="1:27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</row>
    <row r="125" spans="1:27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</row>
    <row r="126" spans="1:27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</row>
    <row r="127" spans="1:27" ht="12" customHeight="1" x14ac:dyDescent="0.25">
      <c r="A127" s="354"/>
      <c r="B127" s="360" t="s">
        <v>518</v>
      </c>
      <c r="C127" s="361">
        <v>0</v>
      </c>
      <c r="D127" s="361">
        <v>0</v>
      </c>
      <c r="E127" s="361">
        <v>0</v>
      </c>
      <c r="F127" s="361">
        <v>0</v>
      </c>
      <c r="G127" s="361">
        <v>0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0</v>
      </c>
      <c r="Q127" s="361">
        <v>0</v>
      </c>
      <c r="R127" s="361">
        <v>0</v>
      </c>
      <c r="S127" s="361">
        <v>0</v>
      </c>
      <c r="T127" s="362">
        <v>0</v>
      </c>
      <c r="U127" s="363" t="e">
        <v>#DIV/0!</v>
      </c>
      <c r="V127" s="362">
        <v>0</v>
      </c>
      <c r="W127" s="362">
        <v>0</v>
      </c>
      <c r="X127" s="362">
        <v>0</v>
      </c>
      <c r="Y127" s="362">
        <v>0</v>
      </c>
      <c r="Z127" s="362">
        <v>0</v>
      </c>
      <c r="AA127" s="362">
        <v>0</v>
      </c>
    </row>
    <row r="128" spans="1:27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</row>
    <row r="129" spans="1:27" ht="12" customHeight="1" x14ac:dyDescent="0.25">
      <c r="A129" s="354" t="s">
        <v>1219</v>
      </c>
      <c r="B129" s="354" t="s">
        <v>520</v>
      </c>
      <c r="C129" s="365">
        <v>0</v>
      </c>
      <c r="D129" s="365">
        <v>0</v>
      </c>
      <c r="E129" s="365">
        <v>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  <c r="S129" s="365">
        <v>0</v>
      </c>
      <c r="T129" s="365">
        <v>0</v>
      </c>
      <c r="U129" s="366" t="e">
        <v>#DIV/0!</v>
      </c>
      <c r="V129" s="365">
        <v>0</v>
      </c>
      <c r="W129" s="365">
        <v>0</v>
      </c>
      <c r="X129" s="365">
        <v>0</v>
      </c>
      <c r="Y129" s="365">
        <v>0</v>
      </c>
      <c r="Z129" s="365">
        <v>0</v>
      </c>
      <c r="AA129" s="365">
        <v>0</v>
      </c>
    </row>
    <row r="130" spans="1:27" ht="12" customHeight="1" x14ac:dyDescent="0.25">
      <c r="A130" s="354"/>
      <c r="B130" s="360" t="s">
        <v>521</v>
      </c>
      <c r="C130" s="361">
        <v>0</v>
      </c>
      <c r="D130" s="361">
        <v>0</v>
      </c>
      <c r="E130" s="361">
        <v>0</v>
      </c>
      <c r="F130" s="361">
        <v>0</v>
      </c>
      <c r="G130" s="361">
        <v>0</v>
      </c>
      <c r="H130" s="361">
        <v>0</v>
      </c>
      <c r="I130" s="361">
        <v>0</v>
      </c>
      <c r="J130" s="361">
        <v>0</v>
      </c>
      <c r="K130" s="361">
        <v>0</v>
      </c>
      <c r="L130" s="361">
        <v>0</v>
      </c>
      <c r="M130" s="361">
        <v>0</v>
      </c>
      <c r="N130" s="361">
        <v>0</v>
      </c>
      <c r="O130" s="361">
        <v>0</v>
      </c>
      <c r="P130" s="361">
        <v>0</v>
      </c>
      <c r="Q130" s="361">
        <v>0</v>
      </c>
      <c r="R130" s="361">
        <v>0</v>
      </c>
      <c r="S130" s="361">
        <v>0</v>
      </c>
      <c r="T130" s="362">
        <v>0</v>
      </c>
      <c r="U130" s="363" t="e">
        <v>#DIV/0!</v>
      </c>
      <c r="V130" s="362">
        <v>0</v>
      </c>
      <c r="W130" s="362">
        <v>0</v>
      </c>
      <c r="X130" s="362">
        <v>0</v>
      </c>
      <c r="Y130" s="362">
        <v>0</v>
      </c>
      <c r="Z130" s="362">
        <v>0</v>
      </c>
      <c r="AA130" s="362">
        <v>0</v>
      </c>
    </row>
    <row r="131" spans="1:27" ht="12" customHeight="1" x14ac:dyDescent="0.25">
      <c r="A131" s="354" t="s">
        <v>1220</v>
      </c>
      <c r="B131" s="364" t="s">
        <v>522</v>
      </c>
      <c r="C131" s="365">
        <v>0</v>
      </c>
      <c r="D131" s="365">
        <v>0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5">
        <v>0</v>
      </c>
      <c r="L131" s="365">
        <v>0</v>
      </c>
      <c r="M131" s="365">
        <v>0</v>
      </c>
      <c r="N131" s="365">
        <v>0</v>
      </c>
      <c r="O131" s="365">
        <v>0</v>
      </c>
      <c r="P131" s="365">
        <v>0</v>
      </c>
      <c r="Q131" s="365">
        <v>0</v>
      </c>
      <c r="R131" s="365">
        <v>0</v>
      </c>
      <c r="S131" s="365">
        <v>0</v>
      </c>
      <c r="T131" s="365">
        <v>0</v>
      </c>
      <c r="U131" s="366" t="e">
        <v>#DIV/0!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</row>
    <row r="132" spans="1:27" ht="12" customHeight="1" x14ac:dyDescent="0.25">
      <c r="A132" s="354" t="s">
        <v>1221</v>
      </c>
      <c r="B132" s="364" t="s">
        <v>523</v>
      </c>
      <c r="C132" s="365">
        <v>0</v>
      </c>
      <c r="D132" s="365">
        <v>0</v>
      </c>
      <c r="E132" s="365">
        <v>0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 t="e">
        <v>#DIV/0!</v>
      </c>
      <c r="V132" s="365">
        <v>0</v>
      </c>
      <c r="W132" s="365">
        <v>0</v>
      </c>
      <c r="X132" s="365">
        <v>0</v>
      </c>
      <c r="Y132" s="365">
        <v>0</v>
      </c>
      <c r="Z132" s="365">
        <v>0</v>
      </c>
      <c r="AA132" s="365">
        <v>0</v>
      </c>
    </row>
    <row r="133" spans="1:27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</row>
    <row r="134" spans="1:27" ht="12" customHeight="1" x14ac:dyDescent="0.25">
      <c r="A134" s="354"/>
      <c r="B134" s="360" t="s">
        <v>525</v>
      </c>
      <c r="C134" s="361">
        <v>0</v>
      </c>
      <c r="D134" s="361">
        <v>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0</v>
      </c>
      <c r="U134" s="363" t="e">
        <v>#DIV/0!</v>
      </c>
      <c r="V134" s="362">
        <v>0</v>
      </c>
      <c r="W134" s="362">
        <v>0</v>
      </c>
      <c r="X134" s="362">
        <v>0</v>
      </c>
      <c r="Y134" s="362">
        <v>0</v>
      </c>
      <c r="Z134" s="362">
        <v>0</v>
      </c>
      <c r="AA134" s="362">
        <v>0</v>
      </c>
    </row>
    <row r="135" spans="1:27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</row>
    <row r="136" spans="1:27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</row>
    <row r="137" spans="1:27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</row>
    <row r="138" spans="1:27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</row>
    <row r="139" spans="1:27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</row>
    <row r="140" spans="1:27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</row>
    <row r="141" spans="1:27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</row>
    <row r="142" spans="1:27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</row>
    <row r="143" spans="1:27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</row>
    <row r="144" spans="1:27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</row>
    <row r="145" spans="1:27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</row>
    <row r="146" spans="1:27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</row>
    <row r="147" spans="1:27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</row>
    <row r="148" spans="1:27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</row>
    <row r="149" spans="1:27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</row>
    <row r="150" spans="1:27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</row>
    <row r="151" spans="1:27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</row>
    <row r="152" spans="1:27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</row>
    <row r="153" spans="1:27" ht="12" customHeight="1" x14ac:dyDescent="0.25">
      <c r="A153" s="354"/>
      <c r="B153" s="360" t="s">
        <v>544</v>
      </c>
      <c r="C153" s="361">
        <v>0</v>
      </c>
      <c r="D153" s="361">
        <v>0</v>
      </c>
      <c r="E153" s="361">
        <v>0</v>
      </c>
      <c r="F153" s="361">
        <v>0</v>
      </c>
      <c r="G153" s="361">
        <v>0</v>
      </c>
      <c r="H153" s="361">
        <v>0</v>
      </c>
      <c r="I153" s="361">
        <v>0</v>
      </c>
      <c r="J153" s="361">
        <v>0</v>
      </c>
      <c r="K153" s="361">
        <v>0</v>
      </c>
      <c r="L153" s="361">
        <v>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0</v>
      </c>
      <c r="U153" s="363" t="e">
        <v>#DIV/0!</v>
      </c>
      <c r="V153" s="362">
        <v>0</v>
      </c>
      <c r="W153" s="362">
        <v>0</v>
      </c>
      <c r="X153" s="362">
        <v>0</v>
      </c>
      <c r="Y153" s="362">
        <v>0</v>
      </c>
      <c r="Z153" s="362">
        <v>0</v>
      </c>
      <c r="AA153" s="362">
        <v>0</v>
      </c>
    </row>
    <row r="154" spans="1:27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</row>
    <row r="155" spans="1:27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</row>
    <row r="156" spans="1:27" ht="12" customHeight="1" x14ac:dyDescent="0.25">
      <c r="A156" s="354" t="s">
        <v>1242</v>
      </c>
      <c r="B156" s="354" t="s">
        <v>547</v>
      </c>
      <c r="C156" s="365">
        <v>0</v>
      </c>
      <c r="D156" s="365">
        <v>0</v>
      </c>
      <c r="E156" s="365">
        <v>0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0</v>
      </c>
      <c r="U156" s="366" t="e">
        <v>#DIV/0!</v>
      </c>
      <c r="V156" s="365">
        <v>0</v>
      </c>
      <c r="W156" s="365">
        <v>0</v>
      </c>
      <c r="X156" s="365">
        <v>0</v>
      </c>
      <c r="Y156" s="365">
        <v>0</v>
      </c>
      <c r="Z156" s="365">
        <v>0</v>
      </c>
      <c r="AA156" s="365">
        <v>0</v>
      </c>
    </row>
    <row r="157" spans="1:27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</row>
    <row r="158" spans="1:27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</row>
    <row r="159" spans="1:27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</row>
    <row r="160" spans="1:27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</row>
    <row r="161" spans="1:27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</row>
    <row r="162" spans="1:27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</row>
    <row r="163" spans="1:27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</row>
    <row r="164" spans="1:27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</row>
    <row r="165" spans="1:27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</row>
    <row r="166" spans="1:27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</row>
    <row r="167" spans="1:27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</row>
    <row r="168" spans="1:27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</row>
    <row r="169" spans="1:27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</row>
    <row r="170" spans="1:27" ht="12" customHeight="1" x14ac:dyDescent="0.25">
      <c r="A170" s="354"/>
      <c r="B170" s="355" t="s">
        <v>561</v>
      </c>
      <c r="C170" s="356">
        <v>4734502</v>
      </c>
      <c r="D170" s="356">
        <v>7489502</v>
      </c>
      <c r="E170" s="356">
        <v>7489502</v>
      </c>
      <c r="F170" s="356">
        <v>4402439.8110990552</v>
      </c>
      <c r="G170" s="356">
        <v>4338605.7900512684</v>
      </c>
      <c r="H170" s="356">
        <v>372223.86000000004</v>
      </c>
      <c r="I170" s="356">
        <v>455954.12599999999</v>
      </c>
      <c r="J170" s="356">
        <v>501094.98</v>
      </c>
      <c r="K170" s="356">
        <v>489692.31000000006</v>
      </c>
      <c r="L170" s="356">
        <v>502657.20999999996</v>
      </c>
      <c r="M170" s="356">
        <v>482659.34299999999</v>
      </c>
      <c r="N170" s="356">
        <v>478089.86817300349</v>
      </c>
      <c r="O170" s="356">
        <v>552926.73881443613</v>
      </c>
      <c r="P170" s="356">
        <v>502699.36699999997</v>
      </c>
      <c r="Q170" s="356">
        <v>0</v>
      </c>
      <c r="R170" s="356">
        <v>0</v>
      </c>
      <c r="S170" s="356">
        <v>0</v>
      </c>
      <c r="T170" s="357">
        <v>4337997.8029874396</v>
      </c>
      <c r="U170" s="358">
        <v>0.5792104472350017</v>
      </c>
      <c r="V170" s="357">
        <v>3151504.1970125604</v>
      </c>
      <c r="W170" s="357">
        <v>0</v>
      </c>
      <c r="X170" s="357">
        <v>3087062.1889009448</v>
      </c>
      <c r="Y170" s="357">
        <v>3087062.1889009448</v>
      </c>
      <c r="Z170" s="357">
        <v>63834.02104778681</v>
      </c>
      <c r="AA170" s="357">
        <v>607.98706382885575</v>
      </c>
    </row>
    <row r="171" spans="1:27" ht="12" customHeight="1" x14ac:dyDescent="0.25">
      <c r="A171" s="354"/>
      <c r="B171" s="360" t="s">
        <v>562</v>
      </c>
      <c r="C171" s="361">
        <v>0</v>
      </c>
      <c r="D171" s="361">
        <v>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 t="e">
        <v>#DIV/0!</v>
      </c>
      <c r="V171" s="362">
        <v>0</v>
      </c>
      <c r="W171" s="362">
        <v>0</v>
      </c>
      <c r="X171" s="362">
        <v>0</v>
      </c>
      <c r="Y171" s="362">
        <v>0</v>
      </c>
      <c r="Z171" s="362">
        <v>0</v>
      </c>
      <c r="AA171" s="362">
        <v>0</v>
      </c>
    </row>
    <row r="172" spans="1:27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</row>
    <row r="173" spans="1:27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</row>
    <row r="174" spans="1:27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</row>
    <row r="175" spans="1:27" ht="12" customHeight="1" x14ac:dyDescent="0.25">
      <c r="A175" s="354"/>
      <c r="B175" s="354" t="s">
        <v>1257</v>
      </c>
      <c r="C175" s="365">
        <v>0</v>
      </c>
      <c r="D175" s="365">
        <v>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 t="e">
        <v>#DIV/0!</v>
      </c>
      <c r="V175" s="365">
        <v>0</v>
      </c>
      <c r="W175" s="365">
        <v>0</v>
      </c>
      <c r="X175" s="365">
        <v>0</v>
      </c>
      <c r="Y175" s="365">
        <v>0</v>
      </c>
      <c r="Z175" s="365">
        <v>0</v>
      </c>
      <c r="AA175" s="365">
        <v>0</v>
      </c>
    </row>
    <row r="176" spans="1:27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</row>
    <row r="177" spans="1:27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</row>
    <row r="178" spans="1:27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</row>
    <row r="179" spans="1:27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</row>
    <row r="180" spans="1:27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</row>
    <row r="181" spans="1:27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</row>
    <row r="182" spans="1:27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</row>
    <row r="183" spans="1:27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</row>
    <row r="184" spans="1:27" ht="12" customHeight="1" x14ac:dyDescent="0.25">
      <c r="A184" s="354"/>
      <c r="B184" s="360" t="s">
        <v>572</v>
      </c>
      <c r="C184" s="361">
        <v>4734502</v>
      </c>
      <c r="D184" s="361">
        <v>7489502</v>
      </c>
      <c r="E184" s="361">
        <v>7489502</v>
      </c>
      <c r="F184" s="361">
        <v>4402439.8110990552</v>
      </c>
      <c r="G184" s="361">
        <v>4338605.7900512684</v>
      </c>
      <c r="H184" s="361">
        <v>372223.86000000004</v>
      </c>
      <c r="I184" s="361">
        <v>455954.12599999999</v>
      </c>
      <c r="J184" s="361">
        <v>501094.98</v>
      </c>
      <c r="K184" s="361">
        <v>489692.31000000006</v>
      </c>
      <c r="L184" s="361">
        <v>502657.20999999996</v>
      </c>
      <c r="M184" s="361">
        <v>482659.34299999999</v>
      </c>
      <c r="N184" s="361">
        <v>478089.86817300349</v>
      </c>
      <c r="O184" s="361">
        <v>552926.73881443613</v>
      </c>
      <c r="P184" s="361">
        <v>502699.36699999997</v>
      </c>
      <c r="Q184" s="361">
        <v>0</v>
      </c>
      <c r="R184" s="361">
        <v>0</v>
      </c>
      <c r="S184" s="361">
        <v>0</v>
      </c>
      <c r="T184" s="362">
        <v>4337997.8029874396</v>
      </c>
      <c r="U184" s="363">
        <v>0.5792104472350017</v>
      </c>
      <c r="V184" s="362">
        <v>3151504.1970125604</v>
      </c>
      <c r="W184" s="362">
        <v>0</v>
      </c>
      <c r="X184" s="362">
        <v>3087062.1889009448</v>
      </c>
      <c r="Y184" s="362">
        <v>3087062.1889009448</v>
      </c>
      <c r="Z184" s="362">
        <v>63834.02104778681</v>
      </c>
      <c r="AA184" s="362">
        <v>607.98706382885575</v>
      </c>
    </row>
    <row r="185" spans="1:27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</row>
    <row r="186" spans="1:27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</row>
    <row r="187" spans="1:27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</row>
    <row r="188" spans="1:27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</row>
    <row r="189" spans="1:27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</row>
    <row r="190" spans="1:27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</row>
    <row r="191" spans="1:27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</row>
    <row r="192" spans="1:27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</row>
    <row r="193" spans="1:27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</row>
    <row r="194" spans="1:27" ht="12" customHeight="1" x14ac:dyDescent="0.25">
      <c r="A194" s="354" t="s">
        <v>1276</v>
      </c>
      <c r="B194" s="354" t="s">
        <v>582</v>
      </c>
      <c r="C194" s="365">
        <v>68100</v>
      </c>
      <c r="D194" s="365">
        <v>73100</v>
      </c>
      <c r="E194" s="365">
        <v>73100</v>
      </c>
      <c r="F194" s="365">
        <v>61424.374999999978</v>
      </c>
      <c r="G194" s="365">
        <v>59950.738999999987</v>
      </c>
      <c r="H194" s="365">
        <v>7027.15</v>
      </c>
      <c r="I194" s="365">
        <v>4094.9439999999995</v>
      </c>
      <c r="J194" s="365">
        <v>4028.2999999999997</v>
      </c>
      <c r="K194" s="365">
        <v>3094.6699999999996</v>
      </c>
      <c r="L194" s="365">
        <v>4137.16</v>
      </c>
      <c r="M194" s="365">
        <v>5715.625</v>
      </c>
      <c r="N194" s="365">
        <v>4768.6099999999988</v>
      </c>
      <c r="O194" s="365">
        <v>19057.87</v>
      </c>
      <c r="P194" s="365">
        <v>8026.41</v>
      </c>
      <c r="Q194" s="365">
        <v>0</v>
      </c>
      <c r="R194" s="365">
        <v>0</v>
      </c>
      <c r="S194" s="365">
        <v>0</v>
      </c>
      <c r="T194" s="365">
        <v>59950.739000000001</v>
      </c>
      <c r="U194" s="366">
        <v>0.82011954856361147</v>
      </c>
      <c r="V194" s="365">
        <v>13149.260999999999</v>
      </c>
      <c r="W194" s="365">
        <v>0</v>
      </c>
      <c r="X194" s="365">
        <v>11675.625000000022</v>
      </c>
      <c r="Y194" s="365">
        <v>11675.625000000022</v>
      </c>
      <c r="Z194" s="365">
        <v>1473.6359999999913</v>
      </c>
      <c r="AA194" s="365">
        <v>0</v>
      </c>
    </row>
    <row r="195" spans="1:27" ht="12" customHeight="1" x14ac:dyDescent="0.25">
      <c r="A195" s="354" t="s">
        <v>1277</v>
      </c>
      <c r="B195" s="354" t="s">
        <v>583</v>
      </c>
      <c r="C195" s="365">
        <v>788402</v>
      </c>
      <c r="D195" s="365">
        <v>4288402</v>
      </c>
      <c r="E195" s="365">
        <v>4288402</v>
      </c>
      <c r="F195" s="365">
        <v>2513829.6409999998</v>
      </c>
      <c r="G195" s="365">
        <v>2508420.091</v>
      </c>
      <c r="H195" s="365">
        <v>200231.12</v>
      </c>
      <c r="I195" s="365">
        <v>264477.40999999997</v>
      </c>
      <c r="J195" s="365">
        <v>308001.19500000001</v>
      </c>
      <c r="K195" s="365">
        <v>275509.96000000002</v>
      </c>
      <c r="L195" s="365">
        <v>285791.51</v>
      </c>
      <c r="M195" s="365">
        <v>286458.25400000002</v>
      </c>
      <c r="N195" s="365">
        <v>286853.11</v>
      </c>
      <c r="O195" s="365">
        <v>296763.64400000003</v>
      </c>
      <c r="P195" s="365">
        <v>304333.88799999998</v>
      </c>
      <c r="Q195" s="365">
        <v>0</v>
      </c>
      <c r="R195" s="365">
        <v>0</v>
      </c>
      <c r="S195" s="365">
        <v>0</v>
      </c>
      <c r="T195" s="365">
        <v>2508420.0909999995</v>
      </c>
      <c r="U195" s="366">
        <v>0.58493119138550898</v>
      </c>
      <c r="V195" s="365">
        <v>1779981.9090000005</v>
      </c>
      <c r="W195" s="365">
        <v>0</v>
      </c>
      <c r="X195" s="365">
        <v>1774572.3590000002</v>
      </c>
      <c r="Y195" s="365">
        <v>1774572.3590000002</v>
      </c>
      <c r="Z195" s="365">
        <v>5409.5499999998137</v>
      </c>
      <c r="AA195" s="365">
        <v>0</v>
      </c>
    </row>
    <row r="196" spans="1:27" ht="12" customHeight="1" x14ac:dyDescent="0.25">
      <c r="A196" s="354" t="s">
        <v>1278</v>
      </c>
      <c r="B196" s="354" t="s">
        <v>584</v>
      </c>
      <c r="C196" s="365">
        <v>977000</v>
      </c>
      <c r="D196" s="365">
        <v>1227000</v>
      </c>
      <c r="E196" s="365">
        <v>1227000</v>
      </c>
      <c r="F196" s="365">
        <v>887683.51300000004</v>
      </c>
      <c r="G196" s="365">
        <v>886136.10699999984</v>
      </c>
      <c r="H196" s="365">
        <v>86023.99</v>
      </c>
      <c r="I196" s="365">
        <v>89133.754000000001</v>
      </c>
      <c r="J196" s="365">
        <v>91142.834999999992</v>
      </c>
      <c r="K196" s="365">
        <v>92283.78</v>
      </c>
      <c r="L196" s="365">
        <v>95536.16</v>
      </c>
      <c r="M196" s="365">
        <v>103911.50400000002</v>
      </c>
      <c r="N196" s="365">
        <v>107175.065</v>
      </c>
      <c r="O196" s="365">
        <v>111956.35999999999</v>
      </c>
      <c r="P196" s="365">
        <v>108452.429</v>
      </c>
      <c r="Q196" s="365">
        <v>0</v>
      </c>
      <c r="R196" s="365">
        <v>0</v>
      </c>
      <c r="S196" s="365">
        <v>0</v>
      </c>
      <c r="T196" s="365">
        <v>885615.87699999998</v>
      </c>
      <c r="U196" s="366">
        <v>0.7217733308883455</v>
      </c>
      <c r="V196" s="365">
        <v>341384.12300000002</v>
      </c>
      <c r="W196" s="365">
        <v>0</v>
      </c>
      <c r="X196" s="365">
        <v>339316.48699999996</v>
      </c>
      <c r="Y196" s="365">
        <v>339316.48699999996</v>
      </c>
      <c r="Z196" s="365">
        <v>1547.4060000001919</v>
      </c>
      <c r="AA196" s="365">
        <v>520.22999999986496</v>
      </c>
    </row>
    <row r="197" spans="1:27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</row>
    <row r="198" spans="1:27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</row>
    <row r="199" spans="1:27" ht="12" customHeight="1" x14ac:dyDescent="0.25">
      <c r="A199" s="354" t="s">
        <v>1281</v>
      </c>
      <c r="B199" s="354" t="s">
        <v>587</v>
      </c>
      <c r="C199" s="365">
        <v>1000000</v>
      </c>
      <c r="D199" s="365">
        <v>1000000</v>
      </c>
      <c r="E199" s="365">
        <v>1000000</v>
      </c>
      <c r="F199" s="365">
        <v>556106.11000000022</v>
      </c>
      <c r="G199" s="365">
        <v>507441.08899999951</v>
      </c>
      <c r="H199" s="365">
        <v>45194.210000000006</v>
      </c>
      <c r="I199" s="365">
        <v>62493.349999999991</v>
      </c>
      <c r="J199" s="365">
        <v>58881.68</v>
      </c>
      <c r="K199" s="365">
        <v>84670.430000000008</v>
      </c>
      <c r="L199" s="365">
        <v>71026.5</v>
      </c>
      <c r="M199" s="365">
        <v>49912.929999999993</v>
      </c>
      <c r="N199" s="365">
        <v>35289.280999999995</v>
      </c>
      <c r="O199" s="365">
        <v>51219.152000000002</v>
      </c>
      <c r="P199" s="365">
        <v>48753.56</v>
      </c>
      <c r="Q199" s="365">
        <v>0</v>
      </c>
      <c r="R199" s="365">
        <v>0</v>
      </c>
      <c r="S199" s="365">
        <v>0</v>
      </c>
      <c r="T199" s="365">
        <v>507441.09299999999</v>
      </c>
      <c r="U199" s="366">
        <v>0.50744109299999995</v>
      </c>
      <c r="V199" s="365">
        <v>492558.90700000001</v>
      </c>
      <c r="W199" s="365">
        <v>0</v>
      </c>
      <c r="X199" s="365">
        <v>443893.88999999978</v>
      </c>
      <c r="Y199" s="365">
        <v>443893.88999999978</v>
      </c>
      <c r="Z199" s="365">
        <v>48665.021000000706</v>
      </c>
      <c r="AA199" s="365">
        <v>-4.0000004810281098E-3</v>
      </c>
    </row>
    <row r="200" spans="1:27" ht="12" customHeight="1" x14ac:dyDescent="0.25">
      <c r="A200" s="354" t="s">
        <v>1282</v>
      </c>
      <c r="B200" s="354" t="s">
        <v>588</v>
      </c>
      <c r="C200" s="365">
        <v>50000</v>
      </c>
      <c r="D200" s="365">
        <v>50000</v>
      </c>
      <c r="E200" s="365">
        <v>50000</v>
      </c>
      <c r="F200" s="365">
        <v>13795.14</v>
      </c>
      <c r="G200" s="365">
        <v>11814.55</v>
      </c>
      <c r="H200" s="365">
        <v>773.31</v>
      </c>
      <c r="I200" s="365">
        <v>861.04</v>
      </c>
      <c r="J200" s="365">
        <v>1519.21</v>
      </c>
      <c r="K200" s="365">
        <v>1902.08</v>
      </c>
      <c r="L200" s="365">
        <v>1857.8500000000001</v>
      </c>
      <c r="M200" s="365">
        <v>628.81000000000006</v>
      </c>
      <c r="N200" s="365">
        <v>1332.6399999999999</v>
      </c>
      <c r="O200" s="365">
        <v>1783.96</v>
      </c>
      <c r="P200" s="365">
        <v>1155.6500000000001</v>
      </c>
      <c r="Q200" s="365">
        <v>0</v>
      </c>
      <c r="R200" s="365">
        <v>0</v>
      </c>
      <c r="S200" s="365">
        <v>0</v>
      </c>
      <c r="T200" s="365">
        <v>11814.550000000001</v>
      </c>
      <c r="U200" s="366">
        <v>0.23629100000000003</v>
      </c>
      <c r="V200" s="365">
        <v>38185.449999999997</v>
      </c>
      <c r="W200" s="365">
        <v>0</v>
      </c>
      <c r="X200" s="365">
        <v>36204.86</v>
      </c>
      <c r="Y200" s="365">
        <v>36204.86</v>
      </c>
      <c r="Z200" s="365">
        <v>1980.5900000000001</v>
      </c>
      <c r="AA200" s="365">
        <v>0</v>
      </c>
    </row>
    <row r="201" spans="1:27" ht="12" customHeight="1" x14ac:dyDescent="0.25">
      <c r="A201" s="354" t="s">
        <v>1283</v>
      </c>
      <c r="B201" s="354" t="s">
        <v>589</v>
      </c>
      <c r="C201" s="365">
        <v>1000</v>
      </c>
      <c r="D201" s="365">
        <v>1000</v>
      </c>
      <c r="E201" s="365">
        <v>1000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>
        <v>0</v>
      </c>
      <c r="V201" s="365">
        <v>1000</v>
      </c>
      <c r="W201" s="365">
        <v>0</v>
      </c>
      <c r="X201" s="365">
        <v>1000</v>
      </c>
      <c r="Y201" s="365">
        <v>1000</v>
      </c>
      <c r="Z201" s="365">
        <v>0</v>
      </c>
      <c r="AA201" s="365">
        <v>0</v>
      </c>
    </row>
    <row r="202" spans="1:27" ht="12" customHeight="1" x14ac:dyDescent="0.25">
      <c r="A202" s="354" t="s">
        <v>1284</v>
      </c>
      <c r="B202" s="354" t="s">
        <v>590</v>
      </c>
      <c r="C202" s="365">
        <v>550000</v>
      </c>
      <c r="D202" s="365">
        <v>550000</v>
      </c>
      <c r="E202" s="365">
        <v>550000</v>
      </c>
      <c r="F202" s="365">
        <v>362072.63209905423</v>
      </c>
      <c r="G202" s="365">
        <v>357364.41405126947</v>
      </c>
      <c r="H202" s="365">
        <v>32974.080000000002</v>
      </c>
      <c r="I202" s="365">
        <v>34893.628000000004</v>
      </c>
      <c r="J202" s="365">
        <v>37521.759999999995</v>
      </c>
      <c r="K202" s="365">
        <v>32231.390000000003</v>
      </c>
      <c r="L202" s="365">
        <v>44308.03</v>
      </c>
      <c r="M202" s="365">
        <v>36032.219999999994</v>
      </c>
      <c r="N202" s="365">
        <v>41381.322173003464</v>
      </c>
      <c r="O202" s="365">
        <v>70437.542814436179</v>
      </c>
      <c r="P202" s="365">
        <v>27584.440000000002</v>
      </c>
      <c r="Q202" s="365">
        <v>0</v>
      </c>
      <c r="R202" s="365">
        <v>0</v>
      </c>
      <c r="S202" s="365">
        <v>0</v>
      </c>
      <c r="T202" s="365">
        <v>357364.41298743966</v>
      </c>
      <c r="U202" s="366">
        <v>0.64975347815898121</v>
      </c>
      <c r="V202" s="365">
        <v>192635.58701256034</v>
      </c>
      <c r="W202" s="365">
        <v>0</v>
      </c>
      <c r="X202" s="365">
        <v>187927.36790094577</v>
      </c>
      <c r="Y202" s="365">
        <v>187927.36790094577</v>
      </c>
      <c r="Z202" s="365">
        <v>4708.2180477847578</v>
      </c>
      <c r="AA202" s="365">
        <v>1.0638298117555678E-3</v>
      </c>
    </row>
    <row r="203" spans="1:27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</row>
    <row r="204" spans="1:27" ht="12" customHeight="1" x14ac:dyDescent="0.25">
      <c r="A204" s="354" t="s">
        <v>1286</v>
      </c>
      <c r="B204" s="354" t="s">
        <v>592</v>
      </c>
      <c r="C204" s="365">
        <v>1300000</v>
      </c>
      <c r="D204" s="365">
        <v>300000</v>
      </c>
      <c r="E204" s="365">
        <v>300000</v>
      </c>
      <c r="F204" s="365">
        <v>7528.4</v>
      </c>
      <c r="G204" s="365">
        <v>7478.8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1289.8399999999999</v>
      </c>
      <c r="O204" s="365">
        <v>1708.2099999999998</v>
      </c>
      <c r="P204" s="365">
        <v>4392.99</v>
      </c>
      <c r="Q204" s="365">
        <v>0</v>
      </c>
      <c r="R204" s="365">
        <v>0</v>
      </c>
      <c r="S204" s="365">
        <v>0</v>
      </c>
      <c r="T204" s="365">
        <v>7391.0399999999991</v>
      </c>
      <c r="U204" s="366">
        <v>2.4636799999999997E-2</v>
      </c>
      <c r="V204" s="365">
        <v>292608.96000000002</v>
      </c>
      <c r="W204" s="365">
        <v>0</v>
      </c>
      <c r="X204" s="365">
        <v>292471.59999999998</v>
      </c>
      <c r="Y204" s="365">
        <v>292471.59999999998</v>
      </c>
      <c r="Z204" s="365">
        <v>49.599999999999454</v>
      </c>
      <c r="AA204" s="365">
        <v>87.760000000001128</v>
      </c>
    </row>
    <row r="205" spans="1:27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</row>
    <row r="206" spans="1:27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</row>
    <row r="207" spans="1:27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</row>
    <row r="208" spans="1:27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</row>
    <row r="209" spans="1:27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</row>
    <row r="210" spans="1:27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</row>
    <row r="211" spans="1:27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</row>
    <row r="212" spans="1:27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</row>
    <row r="213" spans="1:27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</row>
    <row r="214" spans="1:27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</row>
    <row r="215" spans="1:27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</row>
    <row r="216" spans="1:27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</row>
    <row r="217" spans="1:27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</row>
    <row r="218" spans="1:27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</row>
    <row r="219" spans="1:27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</row>
    <row r="220" spans="1:27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</row>
    <row r="221" spans="1:27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</row>
    <row r="222" spans="1:27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</row>
    <row r="223" spans="1:27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</row>
    <row r="224" spans="1:27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</row>
    <row r="225" spans="1:27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</row>
    <row r="226" spans="1:27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</row>
    <row r="227" spans="1:27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</row>
    <row r="228" spans="1:27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</row>
    <row r="229" spans="1:27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</row>
    <row r="230" spans="1:27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</row>
    <row r="231" spans="1:27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</row>
    <row r="232" spans="1:27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</row>
    <row r="233" spans="1:27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</row>
    <row r="234" spans="1:27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</row>
    <row r="235" spans="1:27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</row>
    <row r="236" spans="1:27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</row>
    <row r="237" spans="1:27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</row>
    <row r="238" spans="1:27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</row>
    <row r="239" spans="1:27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</row>
    <row r="240" spans="1:27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</row>
    <row r="241" spans="1:27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</row>
    <row r="242" spans="1:27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</row>
    <row r="243" spans="1:27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</row>
    <row r="244" spans="1:27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</row>
    <row r="245" spans="1:27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</row>
    <row r="246" spans="1:27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</row>
    <row r="247" spans="1:27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</row>
    <row r="248" spans="1:27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</row>
    <row r="249" spans="1:27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</row>
    <row r="250" spans="1:27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</row>
    <row r="251" spans="1:27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</row>
    <row r="252" spans="1:27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</row>
    <row r="253" spans="1:27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</row>
    <row r="254" spans="1:27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</row>
    <row r="255" spans="1:27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</row>
    <row r="256" spans="1:27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</row>
    <row r="257" spans="1:27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</row>
    <row r="258" spans="1:27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</row>
    <row r="259" spans="1:27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</row>
    <row r="260" spans="1:27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</row>
    <row r="261" spans="1:27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</row>
    <row r="262" spans="1:27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</row>
    <row r="263" spans="1:27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</row>
    <row r="264" spans="1:27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</row>
    <row r="265" spans="1:27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</row>
    <row r="266" spans="1:27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</row>
    <row r="267" spans="1:27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</row>
    <row r="268" spans="1:27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</row>
    <row r="269" spans="1:27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</row>
    <row r="270" spans="1:27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</row>
    <row r="271" spans="1:27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</row>
    <row r="272" spans="1:27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</row>
    <row r="273" spans="1:27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</row>
    <row r="274" spans="1:27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</row>
    <row r="275" spans="1:27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</row>
    <row r="276" spans="1:27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</row>
    <row r="277" spans="1:27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</row>
    <row r="278" spans="1:27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</row>
    <row r="279" spans="1:27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</row>
    <row r="280" spans="1:27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</row>
    <row r="281" spans="1:27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</row>
    <row r="282" spans="1:27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</row>
    <row r="283" spans="1:27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</row>
    <row r="284" spans="1:27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</row>
    <row r="285" spans="1:27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</row>
    <row r="286" spans="1:27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</row>
    <row r="287" spans="1:27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</row>
    <row r="288" spans="1:27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</row>
    <row r="289" spans="1:27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</row>
    <row r="290" spans="1:27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</row>
    <row r="291" spans="1:27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</row>
    <row r="292" spans="1:27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</row>
    <row r="293" spans="1:27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</row>
    <row r="294" spans="1:27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</row>
    <row r="295" spans="1:27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</row>
    <row r="296" spans="1:27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</row>
    <row r="297" spans="1:27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</row>
    <row r="298" spans="1:27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</row>
    <row r="299" spans="1:27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</row>
    <row r="300" spans="1:27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</row>
    <row r="301" spans="1:27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</row>
    <row r="302" spans="1:27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</row>
    <row r="303" spans="1:27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</row>
    <row r="304" spans="1:27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</row>
    <row r="305" spans="1:27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</row>
    <row r="306" spans="1:27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</row>
    <row r="307" spans="1:27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</row>
    <row r="308" spans="1:27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</row>
    <row r="309" spans="1:27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</row>
    <row r="310" spans="1:27" ht="12" customHeight="1" x14ac:dyDescent="0.25">
      <c r="A310" s="354"/>
      <c r="B310" s="374" t="s">
        <v>35</v>
      </c>
      <c r="C310" s="375">
        <v>4734502</v>
      </c>
      <c r="D310" s="375">
        <v>7489502</v>
      </c>
      <c r="E310" s="375">
        <v>7489502</v>
      </c>
      <c r="F310" s="375">
        <v>4402439.8110990552</v>
      </c>
      <c r="G310" s="375">
        <v>4338605.7900512684</v>
      </c>
      <c r="H310" s="375">
        <v>372223.86000000004</v>
      </c>
      <c r="I310" s="375">
        <v>455954.12599999999</v>
      </c>
      <c r="J310" s="375">
        <v>501094.98</v>
      </c>
      <c r="K310" s="375">
        <v>489692.31000000006</v>
      </c>
      <c r="L310" s="375">
        <v>502657.20999999996</v>
      </c>
      <c r="M310" s="375">
        <v>482659.34299999999</v>
      </c>
      <c r="N310" s="375">
        <v>478089.86817300349</v>
      </c>
      <c r="O310" s="375">
        <v>552926.73881443613</v>
      </c>
      <c r="P310" s="375">
        <v>502699.36699999997</v>
      </c>
      <c r="Q310" s="375">
        <v>0</v>
      </c>
      <c r="R310" s="375">
        <v>0</v>
      </c>
      <c r="S310" s="375">
        <v>0</v>
      </c>
      <c r="T310" s="376">
        <v>4337997.8029874396</v>
      </c>
      <c r="U310" s="377">
        <v>0.5792104472350017</v>
      </c>
      <c r="V310" s="376">
        <v>3151504.1970125604</v>
      </c>
      <c r="W310" s="376">
        <v>0</v>
      </c>
      <c r="X310" s="376">
        <v>3087062.1889009448</v>
      </c>
      <c r="Y310" s="376">
        <v>3087062.1889009448</v>
      </c>
      <c r="Z310" s="376">
        <v>63834.02104778681</v>
      </c>
      <c r="AA310" s="376">
        <v>607.98706382885575</v>
      </c>
    </row>
    <row r="311" spans="1:27" ht="12" customHeight="1" x14ac:dyDescent="0.25">
      <c r="A311" s="354"/>
      <c r="B311" s="378" t="s">
        <v>1379</v>
      </c>
      <c r="C311" s="379">
        <v>4734502</v>
      </c>
      <c r="D311" s="379">
        <v>7489502</v>
      </c>
      <c r="E311" s="379">
        <v>7489502</v>
      </c>
      <c r="F311" s="379">
        <v>4402439.8110990552</v>
      </c>
      <c r="G311" s="379">
        <v>4338605.7900512684</v>
      </c>
      <c r="H311" s="379">
        <v>372223.86000000004</v>
      </c>
      <c r="I311" s="379">
        <v>455954.12599999999</v>
      </c>
      <c r="J311" s="379">
        <v>501094.98</v>
      </c>
      <c r="K311" s="379">
        <v>489692.31000000006</v>
      </c>
      <c r="L311" s="379">
        <v>502657.20999999996</v>
      </c>
      <c r="M311" s="379">
        <v>482659.34299999999</v>
      </c>
      <c r="N311" s="379">
        <v>478089.86817300349</v>
      </c>
      <c r="O311" s="379">
        <v>552926.73881443613</v>
      </c>
      <c r="P311" s="379">
        <v>502699.36699999997</v>
      </c>
      <c r="Q311" s="379">
        <v>0</v>
      </c>
      <c r="R311" s="379">
        <v>0</v>
      </c>
      <c r="S311" s="379">
        <v>0</v>
      </c>
      <c r="T311" s="380">
        <v>4337997.8029874396</v>
      </c>
      <c r="U311" s="381">
        <v>0.5792104472350017</v>
      </c>
      <c r="V311" s="380">
        <v>3151504.1970125604</v>
      </c>
      <c r="W311" s="380">
        <v>0</v>
      </c>
      <c r="X311" s="380">
        <v>3087062.1889009448</v>
      </c>
      <c r="Y311" s="380">
        <v>3087062.1889009448</v>
      </c>
      <c r="Z311" s="380">
        <v>63834.02104778681</v>
      </c>
      <c r="AA311" s="380">
        <v>607.98706382885575</v>
      </c>
    </row>
    <row r="312" spans="1:27" ht="12" customHeight="1" x14ac:dyDescent="0.25">
      <c r="A312" s="354"/>
      <c r="B312" s="382" t="s">
        <v>74</v>
      </c>
      <c r="C312" s="383">
        <v>4734502</v>
      </c>
      <c r="D312" s="383">
        <v>7489502</v>
      </c>
      <c r="E312" s="383">
        <v>7489502</v>
      </c>
      <c r="F312" s="383">
        <v>4402439.8110990552</v>
      </c>
      <c r="G312" s="383">
        <v>4338605.7900512684</v>
      </c>
      <c r="H312" s="383">
        <v>372223.86000000004</v>
      </c>
      <c r="I312" s="383">
        <v>455954.12599999999</v>
      </c>
      <c r="J312" s="383">
        <v>501094.98</v>
      </c>
      <c r="K312" s="383">
        <v>489692.31000000006</v>
      </c>
      <c r="L312" s="383">
        <v>502657.20999999996</v>
      </c>
      <c r="M312" s="383">
        <v>482659.34299999999</v>
      </c>
      <c r="N312" s="383">
        <v>478089.86817300349</v>
      </c>
      <c r="O312" s="383">
        <v>552926.73881443613</v>
      </c>
      <c r="P312" s="383">
        <v>502699.36699999997</v>
      </c>
      <c r="Q312" s="383">
        <v>0</v>
      </c>
      <c r="R312" s="383">
        <v>0</v>
      </c>
      <c r="S312" s="383">
        <v>0</v>
      </c>
      <c r="T312" s="384">
        <v>4337997.8029874396</v>
      </c>
      <c r="U312" s="385">
        <v>0.5792104472350017</v>
      </c>
      <c r="V312" s="384">
        <v>3151504.1970125604</v>
      </c>
      <c r="W312" s="384">
        <v>0</v>
      </c>
      <c r="X312" s="384">
        <v>3087062.1889009448</v>
      </c>
      <c r="Y312" s="384">
        <v>3087062.1889009448</v>
      </c>
      <c r="Z312" s="384">
        <v>63834.02104778681</v>
      </c>
      <c r="AA312" s="384">
        <v>607.98706382885575</v>
      </c>
    </row>
    <row r="313" spans="1:27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</row>
    <row r="314" spans="1:27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</row>
    <row r="315" spans="1:27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</row>
    <row r="316" spans="1:27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</row>
    <row r="317" spans="1:27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</row>
    <row r="318" spans="1:27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</row>
    <row r="319" spans="1:27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</row>
    <row r="320" spans="1:27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</row>
    <row r="321" spans="1:27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</row>
    <row r="322" spans="1:27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</row>
    <row r="323" spans="1:27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</row>
    <row r="324" spans="1:27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</row>
    <row r="325" spans="1:27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</row>
    <row r="326" spans="1:27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</row>
    <row r="327" spans="1:27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</row>
    <row r="328" spans="1:27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</row>
    <row r="329" spans="1:27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</row>
    <row r="330" spans="1:27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</row>
    <row r="331" spans="1:27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</row>
    <row r="332" spans="1:27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</row>
    <row r="333" spans="1:27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</row>
    <row r="334" spans="1:27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</row>
    <row r="335" spans="1:27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</row>
    <row r="336" spans="1:27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</row>
    <row r="337" spans="1:27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</row>
    <row r="338" spans="1:27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</row>
    <row r="339" spans="1:27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</row>
    <row r="340" spans="1:27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</row>
    <row r="341" spans="1:27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</row>
    <row r="342" spans="1:27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</row>
    <row r="343" spans="1:27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</row>
    <row r="344" spans="1:27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</row>
    <row r="345" spans="1:27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</row>
    <row r="346" spans="1:27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</row>
    <row r="347" spans="1:27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</row>
    <row r="348" spans="1:27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</row>
    <row r="349" spans="1:27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</row>
    <row r="350" spans="1:27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</row>
    <row r="351" spans="1:27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</row>
    <row r="352" spans="1:27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</row>
    <row r="353" spans="1:27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</row>
    <row r="354" spans="1:27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</row>
    <row r="355" spans="1:27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</row>
    <row r="356" spans="1:27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</row>
    <row r="357" spans="1:27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</row>
    <row r="358" spans="1:27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</row>
    <row r="359" spans="1:27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</row>
    <row r="360" spans="1:27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</row>
    <row r="361" spans="1:27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</row>
    <row r="362" spans="1:27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</row>
    <row r="363" spans="1:27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</row>
    <row r="364" spans="1:27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</row>
    <row r="365" spans="1:27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</row>
    <row r="366" spans="1:27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</row>
    <row r="367" spans="1:27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</row>
    <row r="368" spans="1:27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</row>
    <row r="369" spans="1:27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</row>
    <row r="370" spans="1:27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</row>
    <row r="371" spans="1:27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</row>
    <row r="372" spans="1:27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</row>
    <row r="373" spans="1:27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</row>
    <row r="374" spans="1:27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</row>
    <row r="375" spans="1:27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</row>
    <row r="376" spans="1:27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</row>
    <row r="377" spans="1:27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</row>
    <row r="378" spans="1:27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</row>
    <row r="379" spans="1:27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</row>
    <row r="380" spans="1:27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</row>
    <row r="381" spans="1:27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</row>
    <row r="382" spans="1:27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</row>
    <row r="383" spans="1:27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</row>
    <row r="384" spans="1:27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</row>
    <row r="385" spans="1:27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</row>
    <row r="386" spans="1:27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</row>
    <row r="387" spans="1:27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</row>
    <row r="388" spans="1:27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</row>
    <row r="389" spans="1:27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</row>
    <row r="390" spans="1:27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</row>
    <row r="391" spans="1:27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</row>
    <row r="392" spans="1:27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</row>
    <row r="393" spans="1:27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</row>
    <row r="394" spans="1:27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</row>
    <row r="395" spans="1:27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</row>
    <row r="396" spans="1:27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</row>
    <row r="397" spans="1:27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</row>
    <row r="398" spans="1:27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</row>
    <row r="399" spans="1:27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</row>
    <row r="400" spans="1:27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</row>
    <row r="401" spans="1:27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</row>
    <row r="402" spans="1:27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</row>
    <row r="403" spans="1:27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</row>
    <row r="404" spans="1:27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</row>
    <row r="405" spans="1:27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</row>
    <row r="406" spans="1:27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</row>
    <row r="407" spans="1:27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</row>
    <row r="408" spans="1:27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</row>
    <row r="409" spans="1:27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</row>
    <row r="410" spans="1:27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</row>
    <row r="411" spans="1:27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</row>
    <row r="412" spans="1:27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</row>
    <row r="413" spans="1:27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</row>
    <row r="414" spans="1:27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</row>
    <row r="415" spans="1:27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</row>
    <row r="416" spans="1:27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</row>
    <row r="417" spans="1:27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</row>
    <row r="418" spans="1:27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</row>
    <row r="419" spans="1:27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</row>
    <row r="420" spans="1:27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</row>
    <row r="421" spans="1:27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</row>
    <row r="422" spans="1:27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</row>
    <row r="423" spans="1:27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</row>
    <row r="424" spans="1:27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</row>
    <row r="425" spans="1:27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</row>
    <row r="426" spans="1:27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</row>
    <row r="427" spans="1:27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</row>
    <row r="428" spans="1:27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</row>
    <row r="429" spans="1:27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</row>
    <row r="430" spans="1:27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</row>
    <row r="431" spans="1:27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</row>
    <row r="432" spans="1:27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</row>
    <row r="433" spans="1:27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</row>
    <row r="434" spans="1:27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</row>
    <row r="435" spans="1:27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</row>
    <row r="436" spans="1:27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</row>
    <row r="437" spans="1:27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</row>
    <row r="438" spans="1:27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</row>
    <row r="439" spans="1:27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</row>
    <row r="440" spans="1:27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</row>
    <row r="441" spans="1:27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</row>
    <row r="442" spans="1:27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</row>
    <row r="443" spans="1:27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</row>
    <row r="444" spans="1:27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</row>
    <row r="445" spans="1:27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</row>
    <row r="446" spans="1:27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</row>
    <row r="447" spans="1:27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</row>
    <row r="448" spans="1:27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</row>
    <row r="449" spans="1:27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</row>
    <row r="450" spans="1:27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</row>
    <row r="451" spans="1:27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</row>
    <row r="452" spans="1:27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</row>
    <row r="453" spans="1:27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</row>
    <row r="454" spans="1:27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</row>
    <row r="455" spans="1:27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</row>
    <row r="456" spans="1:27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</row>
    <row r="457" spans="1:27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</row>
    <row r="458" spans="1:27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</row>
    <row r="459" spans="1:27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</row>
    <row r="460" spans="1:27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</row>
    <row r="461" spans="1:27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</row>
    <row r="462" spans="1:27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</row>
    <row r="463" spans="1:27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</row>
    <row r="464" spans="1:27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</row>
    <row r="465" spans="1:27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</row>
    <row r="466" spans="1:27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</row>
    <row r="467" spans="1:27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</row>
    <row r="468" spans="1:27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</row>
    <row r="469" spans="1:27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</row>
    <row r="470" spans="1:27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</row>
    <row r="471" spans="1:27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</row>
    <row r="472" spans="1:27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</row>
    <row r="473" spans="1:27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</row>
    <row r="474" spans="1:27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</row>
    <row r="475" spans="1:27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</row>
    <row r="476" spans="1:27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</row>
    <row r="477" spans="1:27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</row>
    <row r="478" spans="1:27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</row>
    <row r="479" spans="1:27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</row>
    <row r="480" spans="1:27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</row>
    <row r="481" spans="1:27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</row>
    <row r="482" spans="1:27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</row>
    <row r="483" spans="1:27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</row>
    <row r="484" spans="1:27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</row>
    <row r="485" spans="1:27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</row>
    <row r="486" spans="1:27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</row>
    <row r="487" spans="1:27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</row>
    <row r="488" spans="1:27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</row>
    <row r="489" spans="1:27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</row>
    <row r="490" spans="1:27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</row>
    <row r="491" spans="1:27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</row>
    <row r="492" spans="1:27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</row>
    <row r="493" spans="1:27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</row>
    <row r="494" spans="1:27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</row>
    <row r="495" spans="1:27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</row>
    <row r="496" spans="1:27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</row>
    <row r="497" spans="1:27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</row>
    <row r="498" spans="1:27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</row>
    <row r="499" spans="1:27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</row>
    <row r="500" spans="1:27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</row>
    <row r="501" spans="1:27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</row>
    <row r="502" spans="1:27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</row>
    <row r="503" spans="1:27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</row>
    <row r="504" spans="1:27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</row>
    <row r="505" spans="1:27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</row>
    <row r="506" spans="1:27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</row>
    <row r="507" spans="1:27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</row>
    <row r="508" spans="1:27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</row>
    <row r="509" spans="1:27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</row>
    <row r="510" spans="1:27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</row>
    <row r="511" spans="1:27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</row>
    <row r="512" spans="1:27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</row>
    <row r="513" spans="1:27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</row>
    <row r="514" spans="1:27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</row>
    <row r="515" spans="1:27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</row>
    <row r="516" spans="1:27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</row>
    <row r="517" spans="1:27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</row>
    <row r="518" spans="1:27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</row>
    <row r="519" spans="1:27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</row>
    <row r="520" spans="1:27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</row>
    <row r="521" spans="1:27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</row>
    <row r="522" spans="1:27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</row>
    <row r="523" spans="1:27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</row>
    <row r="524" spans="1:27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</row>
    <row r="525" spans="1:27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</row>
    <row r="526" spans="1:27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</row>
    <row r="527" spans="1:27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</row>
    <row r="528" spans="1:27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</row>
    <row r="529" spans="1:27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</row>
    <row r="530" spans="1:27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</row>
    <row r="531" spans="1:27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</row>
    <row r="532" spans="1:27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</row>
    <row r="533" spans="1:27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</row>
    <row r="534" spans="1:27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</row>
    <row r="535" spans="1:27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</row>
    <row r="536" spans="1:27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</row>
    <row r="537" spans="1:27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</row>
    <row r="538" spans="1:27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</row>
    <row r="539" spans="1:27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</row>
    <row r="540" spans="1:27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</row>
    <row r="541" spans="1:27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</row>
    <row r="542" spans="1:27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</row>
    <row r="543" spans="1:27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</row>
    <row r="544" spans="1:27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</row>
    <row r="545" spans="1:27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</row>
    <row r="546" spans="1:27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</row>
    <row r="547" spans="1:27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</row>
    <row r="548" spans="1:27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</row>
    <row r="549" spans="1:27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</row>
    <row r="550" spans="1:27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</row>
    <row r="551" spans="1:27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</row>
    <row r="552" spans="1:27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</row>
    <row r="553" spans="1:27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</row>
    <row r="554" spans="1:27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</row>
    <row r="555" spans="1:27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</row>
    <row r="556" spans="1:27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</row>
    <row r="557" spans="1:27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</row>
    <row r="558" spans="1:27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</row>
    <row r="559" spans="1:27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</row>
    <row r="560" spans="1:27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</row>
    <row r="561" spans="1:27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</row>
    <row r="562" spans="1:27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</row>
    <row r="563" spans="1:27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</row>
    <row r="564" spans="1:27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</row>
    <row r="565" spans="1:27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</row>
    <row r="566" spans="1:27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</row>
    <row r="567" spans="1:27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</row>
    <row r="568" spans="1:27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</row>
    <row r="569" spans="1:27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</row>
    <row r="570" spans="1:27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</row>
    <row r="571" spans="1:27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</row>
    <row r="572" spans="1:27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</row>
    <row r="573" spans="1:27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</row>
    <row r="574" spans="1:27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</row>
    <row r="575" spans="1:27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</row>
    <row r="576" spans="1:27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</row>
    <row r="577" spans="1:27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</row>
    <row r="578" spans="1:27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</row>
    <row r="579" spans="1:27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</row>
    <row r="580" spans="1:27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</row>
    <row r="581" spans="1:27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</row>
    <row r="582" spans="1:27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</row>
    <row r="583" spans="1:27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</row>
    <row r="584" spans="1:27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</row>
    <row r="585" spans="1:27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</row>
    <row r="586" spans="1:27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</row>
    <row r="587" spans="1:27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</row>
    <row r="588" spans="1:27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</row>
    <row r="589" spans="1:27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</row>
    <row r="590" spans="1:27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</row>
    <row r="591" spans="1:27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</row>
    <row r="592" spans="1:27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</row>
    <row r="593" spans="1:27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</row>
    <row r="594" spans="1:27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</row>
    <row r="595" spans="1:27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</row>
    <row r="596" spans="1:27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</row>
    <row r="597" spans="1:27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</row>
    <row r="598" spans="1:27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</row>
    <row r="599" spans="1:27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</row>
    <row r="600" spans="1:27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</row>
    <row r="601" spans="1:27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</row>
    <row r="602" spans="1:27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</row>
    <row r="603" spans="1:27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</row>
    <row r="604" spans="1:27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</row>
    <row r="605" spans="1:27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</row>
    <row r="606" spans="1:27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</row>
    <row r="607" spans="1:27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</row>
    <row r="608" spans="1:27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</row>
    <row r="609" spans="1:27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</row>
    <row r="610" spans="1:27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</row>
    <row r="611" spans="1:27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</row>
    <row r="612" spans="1:27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</row>
    <row r="613" spans="1:27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</row>
    <row r="614" spans="1:27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</row>
    <row r="615" spans="1:27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</row>
    <row r="616" spans="1:27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</row>
    <row r="617" spans="1:27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</row>
    <row r="618" spans="1:27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</row>
    <row r="619" spans="1:27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</row>
    <row r="620" spans="1:27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</row>
    <row r="621" spans="1:27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</row>
    <row r="622" spans="1:27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</row>
    <row r="623" spans="1:27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</row>
    <row r="624" spans="1:27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</row>
    <row r="625" spans="1:27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</row>
    <row r="626" spans="1:27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</row>
    <row r="627" spans="1:27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</row>
    <row r="628" spans="1:27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</row>
    <row r="629" spans="1:27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</row>
    <row r="630" spans="1:27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</row>
    <row r="631" spans="1:27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</row>
    <row r="632" spans="1:27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</row>
    <row r="633" spans="1:27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</row>
    <row r="634" spans="1:27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</row>
    <row r="635" spans="1:27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</row>
    <row r="636" spans="1:27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</row>
    <row r="637" spans="1:27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</row>
    <row r="638" spans="1:27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</row>
    <row r="639" spans="1:27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</row>
    <row r="640" spans="1:27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</row>
    <row r="641" spans="1:27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</row>
    <row r="642" spans="1:27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</row>
    <row r="643" spans="1:27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</row>
    <row r="644" spans="1:27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</row>
    <row r="645" spans="1:27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</row>
    <row r="646" spans="1:27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</row>
    <row r="647" spans="1:27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</row>
    <row r="648" spans="1:27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</row>
    <row r="649" spans="1:27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</row>
    <row r="650" spans="1:27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</row>
    <row r="651" spans="1:27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</row>
    <row r="652" spans="1:27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</row>
    <row r="653" spans="1:27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</row>
    <row r="654" spans="1:27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</row>
    <row r="655" spans="1:27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</row>
    <row r="656" spans="1:27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</row>
    <row r="657" spans="1:27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</row>
    <row r="658" spans="1:27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</row>
    <row r="659" spans="1:27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</row>
    <row r="660" spans="1:27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</row>
    <row r="661" spans="1:27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</row>
    <row r="662" spans="1:27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</row>
    <row r="663" spans="1:27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</row>
    <row r="664" spans="1:27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</row>
    <row r="665" spans="1:27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</row>
    <row r="666" spans="1:27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</row>
    <row r="667" spans="1:27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</row>
    <row r="668" spans="1:27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</row>
    <row r="669" spans="1:27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</row>
    <row r="670" spans="1:27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</row>
    <row r="671" spans="1:27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</row>
    <row r="672" spans="1:27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</row>
    <row r="673" spans="1:27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</row>
    <row r="674" spans="1:27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</row>
    <row r="675" spans="1:27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</row>
    <row r="676" spans="1:27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</row>
    <row r="677" spans="1:27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</row>
    <row r="678" spans="1:27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</row>
    <row r="679" spans="1:27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</row>
    <row r="680" spans="1:27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</row>
    <row r="681" spans="1:27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</row>
    <row r="682" spans="1:27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</row>
    <row r="683" spans="1:27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</row>
    <row r="684" spans="1:27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</row>
    <row r="685" spans="1:27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</row>
    <row r="686" spans="1:27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</row>
    <row r="687" spans="1:27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</row>
    <row r="688" spans="1:27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</row>
    <row r="689" spans="1:27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</row>
    <row r="690" spans="1:27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</row>
    <row r="691" spans="1:27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</row>
    <row r="692" spans="1:27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</row>
    <row r="693" spans="1:27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</row>
    <row r="694" spans="1:27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</row>
    <row r="695" spans="1:27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</row>
    <row r="696" spans="1:27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</row>
    <row r="697" spans="1:27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</row>
    <row r="698" spans="1:27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</row>
    <row r="699" spans="1:27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</row>
    <row r="700" spans="1:27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</row>
    <row r="701" spans="1:27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</row>
    <row r="702" spans="1:27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</row>
    <row r="703" spans="1:27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</row>
    <row r="704" spans="1:27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</row>
    <row r="705" spans="1:27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</row>
    <row r="706" spans="1:27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</row>
    <row r="707" spans="1:27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</row>
    <row r="708" spans="1:27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</row>
    <row r="709" spans="1:27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</row>
    <row r="710" spans="1:27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</row>
    <row r="711" spans="1:27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</row>
    <row r="712" spans="1:27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</row>
    <row r="713" spans="1:27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</row>
    <row r="714" spans="1:27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</row>
    <row r="715" spans="1:27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</row>
    <row r="716" spans="1:27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</row>
    <row r="717" spans="1:27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</row>
    <row r="718" spans="1:27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</row>
    <row r="719" spans="1:27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</row>
    <row r="720" spans="1:27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</row>
    <row r="721" spans="1:27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</row>
    <row r="722" spans="1:27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</row>
    <row r="723" spans="1:27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</row>
    <row r="724" spans="1:27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</row>
    <row r="725" spans="1:27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</row>
    <row r="726" spans="1:27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</row>
    <row r="727" spans="1:27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</row>
    <row r="728" spans="1:27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</row>
    <row r="729" spans="1:27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</row>
    <row r="730" spans="1:27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</row>
    <row r="731" spans="1:27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</row>
    <row r="732" spans="1:27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</row>
    <row r="733" spans="1:27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</row>
    <row r="734" spans="1:27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</row>
    <row r="735" spans="1:27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</row>
    <row r="736" spans="1:27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</row>
    <row r="737" spans="1:27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</row>
    <row r="738" spans="1:27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</row>
    <row r="739" spans="1:27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</row>
    <row r="740" spans="1:27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</row>
    <row r="741" spans="1:27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</row>
    <row r="742" spans="1:27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</row>
    <row r="743" spans="1:27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</row>
    <row r="744" spans="1:27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</row>
    <row r="745" spans="1:27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</row>
    <row r="746" spans="1:27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</row>
    <row r="747" spans="1:27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</row>
    <row r="748" spans="1:27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</row>
    <row r="749" spans="1:27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</row>
    <row r="750" spans="1:27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</row>
    <row r="751" spans="1:27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</row>
    <row r="752" spans="1:27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</row>
    <row r="753" spans="1:27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</row>
    <row r="754" spans="1:27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</row>
    <row r="755" spans="1:27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</row>
    <row r="756" spans="1:27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</row>
    <row r="757" spans="1:27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</row>
    <row r="758" spans="1:27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</row>
    <row r="759" spans="1:27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</row>
    <row r="760" spans="1:27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</row>
    <row r="761" spans="1:27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</row>
    <row r="762" spans="1:27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</row>
    <row r="763" spans="1:27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</row>
    <row r="764" spans="1:27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</row>
    <row r="765" spans="1:27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</row>
    <row r="766" spans="1:27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</row>
    <row r="767" spans="1:27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</row>
    <row r="768" spans="1:27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</row>
    <row r="769" spans="1:27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</row>
    <row r="770" spans="1:27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</row>
    <row r="771" spans="1:27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</row>
    <row r="772" spans="1:27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</row>
    <row r="773" spans="1:27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</row>
    <row r="774" spans="1:27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</row>
    <row r="775" spans="1:27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</row>
    <row r="776" spans="1:27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</row>
    <row r="777" spans="1:27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</row>
    <row r="778" spans="1:27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</row>
    <row r="779" spans="1:27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</row>
    <row r="780" spans="1:27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</row>
    <row r="781" spans="1:27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</row>
    <row r="782" spans="1:27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</row>
    <row r="783" spans="1:27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</row>
    <row r="784" spans="1:27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</row>
    <row r="785" spans="1:27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</row>
    <row r="786" spans="1:27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</row>
    <row r="787" spans="1:27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</row>
    <row r="788" spans="1:27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</row>
    <row r="789" spans="1:27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</row>
    <row r="790" spans="1:27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</row>
    <row r="791" spans="1:27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</row>
    <row r="792" spans="1:27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</row>
    <row r="793" spans="1:27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</row>
    <row r="794" spans="1:27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</row>
    <row r="795" spans="1:27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</row>
    <row r="796" spans="1:27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</row>
    <row r="797" spans="1:27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</row>
    <row r="798" spans="1:27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</row>
    <row r="799" spans="1:27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</row>
    <row r="800" spans="1:27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</row>
    <row r="801" spans="1:27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</row>
    <row r="802" spans="1:27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</row>
    <row r="803" spans="1:27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</row>
    <row r="804" spans="1:27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</row>
    <row r="805" spans="1:27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</row>
    <row r="806" spans="1:27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</row>
    <row r="807" spans="1:27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</row>
    <row r="808" spans="1:27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</row>
    <row r="809" spans="1:27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</row>
    <row r="810" spans="1:27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</row>
    <row r="811" spans="1:27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</row>
    <row r="812" spans="1:27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</row>
    <row r="813" spans="1:27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</row>
    <row r="814" spans="1:27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</row>
    <row r="815" spans="1:27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</row>
    <row r="816" spans="1:27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</row>
    <row r="817" spans="1:27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</row>
    <row r="818" spans="1:27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</row>
    <row r="819" spans="1:27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</row>
    <row r="820" spans="1:27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</row>
    <row r="821" spans="1:27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</row>
    <row r="822" spans="1:27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</row>
    <row r="823" spans="1:27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</row>
    <row r="824" spans="1:27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</row>
    <row r="825" spans="1:27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</row>
    <row r="826" spans="1:27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</row>
    <row r="827" spans="1:27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</row>
    <row r="828" spans="1:27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</row>
    <row r="829" spans="1:27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</row>
    <row r="830" spans="1:27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</row>
    <row r="831" spans="1:27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</row>
    <row r="832" spans="1:27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</row>
    <row r="833" spans="1:27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</row>
    <row r="834" spans="1:27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</row>
    <row r="835" spans="1:27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</row>
    <row r="836" spans="1:27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</row>
    <row r="837" spans="1:27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</row>
    <row r="838" spans="1:27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</row>
    <row r="839" spans="1:27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</row>
    <row r="840" spans="1:27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</row>
    <row r="841" spans="1:27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</row>
    <row r="842" spans="1:27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</row>
    <row r="843" spans="1:27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</row>
    <row r="844" spans="1:27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</row>
    <row r="845" spans="1:27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</row>
    <row r="846" spans="1:27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</row>
    <row r="847" spans="1:27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</row>
    <row r="848" spans="1:27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</row>
    <row r="849" spans="1:27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</row>
    <row r="850" spans="1:27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</row>
    <row r="851" spans="1:27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</row>
    <row r="852" spans="1:27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</row>
    <row r="853" spans="1:27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</row>
    <row r="854" spans="1:27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</row>
    <row r="855" spans="1:27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</row>
    <row r="856" spans="1:27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</row>
    <row r="857" spans="1:27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</row>
    <row r="858" spans="1:27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</row>
    <row r="859" spans="1:27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</row>
    <row r="860" spans="1:27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</row>
    <row r="861" spans="1:27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</row>
    <row r="862" spans="1:27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</row>
    <row r="863" spans="1:27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</row>
    <row r="864" spans="1:27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</row>
    <row r="865" spans="1:27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</row>
    <row r="866" spans="1:27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</row>
    <row r="867" spans="1:27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</row>
    <row r="868" spans="1:27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</row>
    <row r="869" spans="1:27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</row>
    <row r="870" spans="1:27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</row>
    <row r="871" spans="1:27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</row>
    <row r="872" spans="1:27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</row>
    <row r="873" spans="1:27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</row>
    <row r="874" spans="1:27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</row>
    <row r="875" spans="1:27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</row>
    <row r="876" spans="1:27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</row>
    <row r="877" spans="1:27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</row>
    <row r="878" spans="1:27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</row>
    <row r="879" spans="1:27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</row>
    <row r="880" spans="1:27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</row>
    <row r="881" spans="1:27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</row>
    <row r="882" spans="1:27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</row>
    <row r="883" spans="1:27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</row>
    <row r="884" spans="1:27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</row>
    <row r="885" spans="1:27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</row>
    <row r="886" spans="1:27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</row>
    <row r="887" spans="1:27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</row>
    <row r="888" spans="1:27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</row>
    <row r="889" spans="1:27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</row>
    <row r="890" spans="1:27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</row>
    <row r="891" spans="1:27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</row>
    <row r="892" spans="1:27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</row>
    <row r="893" spans="1:27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</row>
    <row r="894" spans="1:27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</row>
    <row r="895" spans="1:27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</row>
    <row r="896" spans="1:27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</row>
    <row r="897" spans="1:27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</row>
    <row r="898" spans="1:27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</row>
    <row r="899" spans="1:27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</row>
    <row r="900" spans="1:27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</row>
    <row r="901" spans="1:27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</row>
    <row r="902" spans="1:27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</row>
    <row r="903" spans="1:27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</row>
    <row r="904" spans="1:27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</row>
    <row r="905" spans="1:27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</row>
    <row r="906" spans="1:27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</row>
    <row r="907" spans="1:27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</row>
    <row r="908" spans="1:27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</row>
    <row r="909" spans="1:27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</row>
    <row r="910" spans="1:27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</row>
    <row r="911" spans="1:27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</row>
    <row r="912" spans="1:27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</row>
    <row r="913" spans="1:27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</row>
    <row r="914" spans="1:27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</row>
    <row r="915" spans="1:27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</row>
    <row r="916" spans="1:27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</row>
    <row r="917" spans="1:27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</row>
    <row r="918" spans="1:27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</row>
    <row r="919" spans="1:27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</row>
    <row r="920" spans="1:27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</row>
    <row r="921" spans="1:27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</row>
    <row r="922" spans="1:27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</row>
    <row r="923" spans="1:27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</row>
    <row r="924" spans="1:27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</row>
    <row r="925" spans="1:27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</row>
    <row r="926" spans="1:27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</row>
    <row r="927" spans="1:27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</row>
    <row r="928" spans="1:27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</row>
    <row r="929" spans="1:27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</row>
    <row r="930" spans="1:27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</row>
    <row r="931" spans="1:27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</row>
    <row r="932" spans="1:27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</row>
    <row r="933" spans="1:27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</row>
    <row r="934" spans="1:27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</row>
    <row r="935" spans="1:27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</row>
    <row r="936" spans="1:27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</row>
    <row r="937" spans="1:27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</row>
    <row r="938" spans="1:27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</row>
    <row r="939" spans="1:27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</row>
    <row r="940" spans="1:27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</row>
    <row r="941" spans="1:27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</row>
    <row r="942" spans="1:27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</row>
    <row r="943" spans="1:27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</row>
    <row r="944" spans="1:27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</row>
    <row r="945" spans="1:27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</row>
    <row r="946" spans="1:27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</row>
    <row r="947" spans="1:27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</row>
    <row r="948" spans="1:27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</row>
    <row r="949" spans="1:27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</row>
    <row r="950" spans="1:27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</row>
    <row r="951" spans="1:27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</row>
    <row r="952" spans="1:27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</row>
    <row r="953" spans="1:27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</row>
    <row r="954" spans="1:27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</row>
    <row r="955" spans="1:27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</row>
    <row r="956" spans="1:27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</row>
    <row r="957" spans="1:27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</row>
    <row r="958" spans="1:27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</row>
    <row r="959" spans="1:27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</row>
    <row r="960" spans="1:27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</row>
    <row r="961" spans="1:27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</row>
    <row r="962" spans="1:27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</row>
    <row r="963" spans="1:27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</row>
    <row r="964" spans="1:27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</row>
    <row r="965" spans="1:27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</row>
    <row r="966" spans="1:27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</row>
    <row r="967" spans="1:27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</row>
    <row r="968" spans="1:27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</row>
    <row r="969" spans="1:27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</row>
    <row r="970" spans="1:27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</row>
    <row r="971" spans="1:27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</row>
    <row r="972" spans="1:27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</row>
    <row r="973" spans="1:27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</row>
    <row r="974" spans="1:27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</row>
    <row r="975" spans="1:27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</row>
    <row r="976" spans="1:27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</row>
    <row r="977" spans="1:27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</row>
    <row r="978" spans="1:27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</row>
    <row r="979" spans="1:27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</row>
    <row r="980" spans="1:27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</row>
    <row r="981" spans="1:27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</row>
    <row r="982" spans="1:27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</row>
    <row r="983" spans="1:27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</row>
    <row r="984" spans="1:27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</row>
    <row r="985" spans="1:27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</row>
    <row r="986" spans="1:27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</row>
    <row r="987" spans="1:27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</row>
    <row r="988" spans="1:27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</row>
    <row r="989" spans="1:27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</row>
    <row r="990" spans="1:27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</row>
    <row r="991" spans="1:27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</row>
    <row r="992" spans="1:27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</row>
    <row r="993" spans="1:27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</row>
    <row r="994" spans="1:27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</row>
    <row r="995" spans="1:27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</row>
    <row r="996" spans="1:27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</row>
    <row r="997" spans="1:27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</row>
    <row r="998" spans="1:27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</row>
    <row r="999" spans="1:27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</row>
    <row r="1000" spans="1:27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C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61AA6-7639-414A-8E92-06DE07D7F6E6}">
  <dimension ref="A1:AA1000"/>
  <sheetViews>
    <sheetView topLeftCell="B1" workbookViewId="0">
      <pane ySplit="12" topLeftCell="A301" activePane="bottomLeft" state="frozen"/>
      <selection pane="bottomLeft" activeCell="D319" sqref="D319"/>
    </sheetView>
  </sheetViews>
  <sheetFormatPr defaultColWidth="14.42578125" defaultRowHeight="15" customHeight="1" x14ac:dyDescent="0.25"/>
  <cols>
    <col min="1" max="1" width="181.28515625" style="344" hidden="1" customWidth="1"/>
    <col min="2" max="2" width="79.28515625" style="344" customWidth="1"/>
    <col min="3" max="4" width="16.42578125" style="344" customWidth="1"/>
    <col min="5" max="5" width="14.28515625" style="344" customWidth="1"/>
    <col min="6" max="6" width="15.85546875" style="344" customWidth="1"/>
    <col min="7" max="7" width="14.28515625" style="344" customWidth="1"/>
    <col min="8" max="8" width="8.85546875" style="344" customWidth="1"/>
    <col min="9" max="9" width="10.85546875" style="344" customWidth="1"/>
    <col min="10" max="10" width="10" style="344" bestFit="1" customWidth="1"/>
    <col min="11" max="13" width="9.5703125" style="344" customWidth="1"/>
    <col min="14" max="14" width="10.85546875" style="344" bestFit="1" customWidth="1"/>
    <col min="15" max="15" width="9.5703125" style="344" customWidth="1"/>
    <col min="16" max="16" width="11" style="344" customWidth="1"/>
    <col min="17" max="17" width="9.5703125" style="344" customWidth="1"/>
    <col min="18" max="19" width="11.42578125" style="344" customWidth="1"/>
    <col min="20" max="20" width="17" style="344" customWidth="1"/>
    <col min="21" max="21" width="11.85546875" style="344" customWidth="1"/>
    <col min="22" max="22" width="17.7109375" style="344" customWidth="1"/>
    <col min="23" max="23" width="18" style="344" customWidth="1"/>
    <col min="24" max="24" width="15.140625" style="344" customWidth="1"/>
    <col min="25" max="25" width="16.28515625" style="344" customWidth="1"/>
    <col min="26" max="26" width="19.28515625" style="344" customWidth="1"/>
    <col min="27" max="27" width="17.140625" style="344" customWidth="1"/>
    <col min="28" max="16384" width="14.42578125" style="344"/>
  </cols>
  <sheetData>
    <row r="1" spans="1:27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7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</row>
    <row r="3" spans="1:27" ht="12" customHeight="1" x14ac:dyDescent="0.25">
      <c r="A3" s="515" t="s">
        <v>87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</row>
    <row r="4" spans="1:27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</row>
    <row r="5" spans="1:27" ht="12" customHeight="1" x14ac:dyDescent="0.25">
      <c r="A5" s="359"/>
      <c r="B5" s="346" t="s">
        <v>1068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</row>
    <row r="6" spans="1:27" ht="12" customHeight="1" x14ac:dyDescent="0.25">
      <c r="A6" s="359"/>
      <c r="B6" s="346" t="s">
        <v>1072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</row>
    <row r="7" spans="1:27" ht="12" customHeight="1" x14ac:dyDescent="0.25">
      <c r="A7" s="359"/>
      <c r="B7" s="518" t="s">
        <v>1380</v>
      </c>
      <c r="C7" s="519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</row>
    <row r="8" spans="1:27" ht="12" customHeight="1" x14ac:dyDescent="0.25">
      <c r="A8" s="359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</row>
    <row r="9" spans="1:27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</row>
    <row r="10" spans="1:27" ht="26.25" customHeight="1" x14ac:dyDescent="0.25">
      <c r="A10" s="511"/>
      <c r="B10" s="514" t="s">
        <v>1381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</row>
    <row r="11" spans="1:27" ht="27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</row>
    <row r="12" spans="1:27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</row>
    <row r="13" spans="1:27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</row>
    <row r="14" spans="1:27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</row>
    <row r="15" spans="1:27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</row>
    <row r="16" spans="1:27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</row>
    <row r="17" spans="1:27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</row>
    <row r="18" spans="1:27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</row>
    <row r="19" spans="1:27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</row>
    <row r="20" spans="1:27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</row>
    <row r="21" spans="1:27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</row>
    <row r="22" spans="1:27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</row>
    <row r="23" spans="1:27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</row>
    <row r="24" spans="1:27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</row>
    <row r="25" spans="1:27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</row>
    <row r="26" spans="1:27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</row>
    <row r="27" spans="1:27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</row>
    <row r="28" spans="1:27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</row>
    <row r="29" spans="1:27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</row>
    <row r="30" spans="1:27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</row>
    <row r="31" spans="1:27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</row>
    <row r="32" spans="1:27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</row>
    <row r="33" spans="1:27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</row>
    <row r="34" spans="1:27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</row>
    <row r="35" spans="1:27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</row>
    <row r="36" spans="1:27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</row>
    <row r="37" spans="1:27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</row>
    <row r="38" spans="1:27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</row>
    <row r="39" spans="1:27" ht="12" customHeight="1" x14ac:dyDescent="0.25">
      <c r="A39" s="354"/>
      <c r="B39" s="355" t="s">
        <v>430</v>
      </c>
      <c r="C39" s="356">
        <v>0</v>
      </c>
      <c r="D39" s="356">
        <v>0</v>
      </c>
      <c r="E39" s="356">
        <v>0</v>
      </c>
      <c r="F39" s="356">
        <v>0</v>
      </c>
      <c r="G39" s="356">
        <v>0</v>
      </c>
      <c r="H39" s="356">
        <v>0</v>
      </c>
      <c r="I39" s="356">
        <v>0</v>
      </c>
      <c r="J39" s="356">
        <v>0</v>
      </c>
      <c r="K39" s="356">
        <v>0</v>
      </c>
      <c r="L39" s="356">
        <v>0</v>
      </c>
      <c r="M39" s="356">
        <v>0</v>
      </c>
      <c r="N39" s="356">
        <v>0</v>
      </c>
      <c r="O39" s="356">
        <v>0</v>
      </c>
      <c r="P39" s="356">
        <v>0</v>
      </c>
      <c r="Q39" s="356">
        <v>0</v>
      </c>
      <c r="R39" s="356">
        <v>0</v>
      </c>
      <c r="S39" s="356">
        <v>0</v>
      </c>
      <c r="T39" s="357">
        <v>0</v>
      </c>
      <c r="U39" s="358" t="e">
        <v>#DIV/0!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</row>
    <row r="40" spans="1:27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</row>
    <row r="41" spans="1:27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</row>
    <row r="42" spans="1:27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</row>
    <row r="43" spans="1:27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</row>
    <row r="44" spans="1:27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</row>
    <row r="45" spans="1:27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</row>
    <row r="46" spans="1:27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</row>
    <row r="47" spans="1:27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</row>
    <row r="48" spans="1:27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</row>
    <row r="49" spans="1:27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</row>
    <row r="50" spans="1:27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</row>
    <row r="51" spans="1:27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</row>
    <row r="52" spans="1:27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</row>
    <row r="53" spans="1:27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</row>
    <row r="54" spans="1:27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</row>
    <row r="55" spans="1:27" ht="12" customHeight="1" x14ac:dyDescent="0.25">
      <c r="A55" s="354" t="s">
        <v>1155</v>
      </c>
      <c r="B55" s="360" t="s">
        <v>446</v>
      </c>
      <c r="C55" s="365">
        <v>0</v>
      </c>
      <c r="D55" s="365">
        <v>0</v>
      </c>
      <c r="E55" s="365">
        <v>0</v>
      </c>
      <c r="F55" s="365">
        <v>0</v>
      </c>
      <c r="G55" s="365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</row>
    <row r="56" spans="1:27" ht="12" customHeight="1" x14ac:dyDescent="0.25">
      <c r="A56" s="354" t="s">
        <v>1156</v>
      </c>
      <c r="B56" s="360" t="s">
        <v>447</v>
      </c>
      <c r="C56" s="365">
        <v>0</v>
      </c>
      <c r="D56" s="365">
        <v>0</v>
      </c>
      <c r="E56" s="365">
        <v>0</v>
      </c>
      <c r="F56" s="365">
        <v>0</v>
      </c>
      <c r="G56" s="365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</row>
    <row r="57" spans="1:27" ht="12" customHeight="1" x14ac:dyDescent="0.25">
      <c r="A57" s="354" t="s">
        <v>1157</v>
      </c>
      <c r="B57" s="360" t="s">
        <v>448</v>
      </c>
      <c r="C57" s="365">
        <v>0</v>
      </c>
      <c r="D57" s="365">
        <v>0</v>
      </c>
      <c r="E57" s="365">
        <v>0</v>
      </c>
      <c r="F57" s="365">
        <v>0</v>
      </c>
      <c r="G57" s="365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</row>
    <row r="58" spans="1:27" ht="12" customHeight="1" x14ac:dyDescent="0.25">
      <c r="A58" s="354" t="s">
        <v>1158</v>
      </c>
      <c r="B58" s="360" t="s">
        <v>449</v>
      </c>
      <c r="C58" s="365">
        <v>0</v>
      </c>
      <c r="D58" s="365">
        <v>0</v>
      </c>
      <c r="E58" s="365">
        <v>0</v>
      </c>
      <c r="F58" s="365">
        <v>0</v>
      </c>
      <c r="G58" s="365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</row>
    <row r="59" spans="1:27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</row>
    <row r="60" spans="1:27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</row>
    <row r="61" spans="1:27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</row>
    <row r="62" spans="1:27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</row>
    <row r="63" spans="1:27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</row>
    <row r="64" spans="1:27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</row>
    <row r="65" spans="1:27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</row>
    <row r="66" spans="1:27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</row>
    <row r="67" spans="1:27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</row>
    <row r="68" spans="1:27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</row>
    <row r="69" spans="1:27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</row>
    <row r="70" spans="1:27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</row>
    <row r="71" spans="1:27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</row>
    <row r="72" spans="1:27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</row>
    <row r="73" spans="1:27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</row>
    <row r="74" spans="1:27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</row>
    <row r="75" spans="1:27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</row>
    <row r="76" spans="1:27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</row>
    <row r="77" spans="1:27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</row>
    <row r="78" spans="1:27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</row>
    <row r="79" spans="1:27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</row>
    <row r="80" spans="1:27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</row>
    <row r="81" spans="1:27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</row>
    <row r="82" spans="1:27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</row>
    <row r="83" spans="1:27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</row>
    <row r="84" spans="1:27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</row>
    <row r="85" spans="1:27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</row>
    <row r="86" spans="1:27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</row>
    <row r="87" spans="1:27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</row>
    <row r="88" spans="1:27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</row>
    <row r="89" spans="1:27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</row>
    <row r="90" spans="1:27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</row>
    <row r="91" spans="1:27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</row>
    <row r="92" spans="1:27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</row>
    <row r="93" spans="1:27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</row>
    <row r="94" spans="1:27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</row>
    <row r="95" spans="1:27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</row>
    <row r="96" spans="1:27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</row>
    <row r="97" spans="1:27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</row>
    <row r="98" spans="1:27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</row>
    <row r="99" spans="1:27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</row>
    <row r="100" spans="1:27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</row>
    <row r="101" spans="1:27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</row>
    <row r="102" spans="1:27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</row>
    <row r="103" spans="1:27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</row>
    <row r="104" spans="1:27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</row>
    <row r="105" spans="1:27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</row>
    <row r="106" spans="1:27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</row>
    <row r="107" spans="1:27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</row>
    <row r="108" spans="1:27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</row>
    <row r="109" spans="1:27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</row>
    <row r="110" spans="1:27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</row>
    <row r="111" spans="1:27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</row>
    <row r="112" spans="1:27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</row>
    <row r="113" spans="1:27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</row>
    <row r="114" spans="1:27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</row>
    <row r="115" spans="1:27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</row>
    <row r="116" spans="1:27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</row>
    <row r="117" spans="1:27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</row>
    <row r="118" spans="1:27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</row>
    <row r="119" spans="1:27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</row>
    <row r="120" spans="1:27" ht="12" customHeight="1" x14ac:dyDescent="0.25">
      <c r="A120" s="354"/>
      <c r="B120" s="360" t="s">
        <v>511</v>
      </c>
      <c r="C120" s="361">
        <v>0</v>
      </c>
      <c r="D120" s="361">
        <v>0</v>
      </c>
      <c r="E120" s="361">
        <v>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 t="e">
        <v>#DIV/0!</v>
      </c>
      <c r="V120" s="362">
        <v>0</v>
      </c>
      <c r="W120" s="362">
        <v>0</v>
      </c>
      <c r="X120" s="362">
        <v>0</v>
      </c>
      <c r="Y120" s="362">
        <v>0</v>
      </c>
      <c r="Z120" s="362">
        <v>0</v>
      </c>
      <c r="AA120" s="362">
        <v>0</v>
      </c>
    </row>
    <row r="121" spans="1:27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</row>
    <row r="122" spans="1:27" ht="12" customHeight="1" x14ac:dyDescent="0.25">
      <c r="A122" s="354" t="s">
        <v>1214</v>
      </c>
      <c r="B122" s="354" t="s">
        <v>513</v>
      </c>
      <c r="C122" s="365">
        <v>0</v>
      </c>
      <c r="D122" s="365">
        <v>0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 t="e">
        <v>#DIV/0!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</row>
    <row r="123" spans="1:27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</row>
    <row r="124" spans="1:27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</row>
    <row r="125" spans="1:27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</row>
    <row r="126" spans="1:27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</row>
    <row r="127" spans="1:27" ht="12" customHeight="1" x14ac:dyDescent="0.25">
      <c r="A127" s="354"/>
      <c r="B127" s="360" t="s">
        <v>518</v>
      </c>
      <c r="C127" s="361">
        <v>0</v>
      </c>
      <c r="D127" s="361">
        <v>0</v>
      </c>
      <c r="E127" s="361">
        <v>0</v>
      </c>
      <c r="F127" s="361">
        <v>0</v>
      </c>
      <c r="G127" s="361">
        <v>0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0</v>
      </c>
      <c r="Q127" s="361">
        <v>0</v>
      </c>
      <c r="R127" s="361">
        <v>0</v>
      </c>
      <c r="S127" s="361">
        <v>0</v>
      </c>
      <c r="T127" s="362">
        <v>0</v>
      </c>
      <c r="U127" s="363" t="e">
        <v>#DIV/0!</v>
      </c>
      <c r="V127" s="362">
        <v>0</v>
      </c>
      <c r="W127" s="362">
        <v>0</v>
      </c>
      <c r="X127" s="362">
        <v>0</v>
      </c>
      <c r="Y127" s="362">
        <v>0</v>
      </c>
      <c r="Z127" s="362">
        <v>0</v>
      </c>
      <c r="AA127" s="362">
        <v>0</v>
      </c>
    </row>
    <row r="128" spans="1:27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</row>
    <row r="129" spans="1:27" ht="12" customHeight="1" x14ac:dyDescent="0.25">
      <c r="A129" s="354" t="s">
        <v>1219</v>
      </c>
      <c r="B129" s="354" t="s">
        <v>520</v>
      </c>
      <c r="C129" s="365">
        <v>0</v>
      </c>
      <c r="D129" s="365">
        <v>0</v>
      </c>
      <c r="E129" s="365">
        <v>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  <c r="S129" s="365">
        <v>0</v>
      </c>
      <c r="T129" s="365">
        <v>0</v>
      </c>
      <c r="U129" s="366" t="e">
        <v>#DIV/0!</v>
      </c>
      <c r="V129" s="365">
        <v>0</v>
      </c>
      <c r="W129" s="365">
        <v>0</v>
      </c>
      <c r="X129" s="365">
        <v>0</v>
      </c>
      <c r="Y129" s="365">
        <v>0</v>
      </c>
      <c r="Z129" s="365">
        <v>0</v>
      </c>
      <c r="AA129" s="365">
        <v>0</v>
      </c>
    </row>
    <row r="130" spans="1:27" ht="12" customHeight="1" x14ac:dyDescent="0.25">
      <c r="A130" s="354"/>
      <c r="B130" s="360" t="s">
        <v>521</v>
      </c>
      <c r="C130" s="361">
        <v>0</v>
      </c>
      <c r="D130" s="361">
        <v>0</v>
      </c>
      <c r="E130" s="361">
        <v>0</v>
      </c>
      <c r="F130" s="361">
        <v>0</v>
      </c>
      <c r="G130" s="361">
        <v>0</v>
      </c>
      <c r="H130" s="361">
        <v>0</v>
      </c>
      <c r="I130" s="361">
        <v>0</v>
      </c>
      <c r="J130" s="361">
        <v>0</v>
      </c>
      <c r="K130" s="361">
        <v>0</v>
      </c>
      <c r="L130" s="361">
        <v>0</v>
      </c>
      <c r="M130" s="361">
        <v>0</v>
      </c>
      <c r="N130" s="361">
        <v>0</v>
      </c>
      <c r="O130" s="361">
        <v>0</v>
      </c>
      <c r="P130" s="361">
        <v>0</v>
      </c>
      <c r="Q130" s="361">
        <v>0</v>
      </c>
      <c r="R130" s="361">
        <v>0</v>
      </c>
      <c r="S130" s="361">
        <v>0</v>
      </c>
      <c r="T130" s="362">
        <v>0</v>
      </c>
      <c r="U130" s="363" t="e">
        <v>#DIV/0!</v>
      </c>
      <c r="V130" s="362">
        <v>0</v>
      </c>
      <c r="W130" s="362">
        <v>0</v>
      </c>
      <c r="X130" s="362">
        <v>0</v>
      </c>
      <c r="Y130" s="362">
        <v>0</v>
      </c>
      <c r="Z130" s="362">
        <v>0</v>
      </c>
      <c r="AA130" s="362">
        <v>0</v>
      </c>
    </row>
    <row r="131" spans="1:27" ht="12" customHeight="1" x14ac:dyDescent="0.25">
      <c r="A131" s="354" t="s">
        <v>1220</v>
      </c>
      <c r="B131" s="364" t="s">
        <v>522</v>
      </c>
      <c r="C131" s="365">
        <v>0</v>
      </c>
      <c r="D131" s="365">
        <v>0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5">
        <v>0</v>
      </c>
      <c r="L131" s="365">
        <v>0</v>
      </c>
      <c r="M131" s="365">
        <v>0</v>
      </c>
      <c r="N131" s="365">
        <v>0</v>
      </c>
      <c r="O131" s="365">
        <v>0</v>
      </c>
      <c r="P131" s="365">
        <v>0</v>
      </c>
      <c r="Q131" s="365">
        <v>0</v>
      </c>
      <c r="R131" s="365">
        <v>0</v>
      </c>
      <c r="S131" s="365">
        <v>0</v>
      </c>
      <c r="T131" s="365">
        <v>0</v>
      </c>
      <c r="U131" s="366" t="e">
        <v>#DIV/0!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</row>
    <row r="132" spans="1:27" ht="12" customHeight="1" x14ac:dyDescent="0.25">
      <c r="A132" s="354" t="s">
        <v>1221</v>
      </c>
      <c r="B132" s="364" t="s">
        <v>523</v>
      </c>
      <c r="C132" s="365">
        <v>0</v>
      </c>
      <c r="D132" s="365">
        <v>0</v>
      </c>
      <c r="E132" s="365">
        <v>0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 t="e">
        <v>#DIV/0!</v>
      </c>
      <c r="V132" s="365">
        <v>0</v>
      </c>
      <c r="W132" s="365">
        <v>0</v>
      </c>
      <c r="X132" s="365">
        <v>0</v>
      </c>
      <c r="Y132" s="365">
        <v>0</v>
      </c>
      <c r="Z132" s="365">
        <v>0</v>
      </c>
      <c r="AA132" s="365">
        <v>0</v>
      </c>
    </row>
    <row r="133" spans="1:27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</row>
    <row r="134" spans="1:27" ht="12" customHeight="1" x14ac:dyDescent="0.25">
      <c r="A134" s="354"/>
      <c r="B134" s="360" t="s">
        <v>525</v>
      </c>
      <c r="C134" s="361">
        <v>0</v>
      </c>
      <c r="D134" s="361">
        <v>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0</v>
      </c>
      <c r="U134" s="363" t="e">
        <v>#DIV/0!</v>
      </c>
      <c r="V134" s="362">
        <v>0</v>
      </c>
      <c r="W134" s="362">
        <v>0</v>
      </c>
      <c r="X134" s="362">
        <v>0</v>
      </c>
      <c r="Y134" s="362">
        <v>0</v>
      </c>
      <c r="Z134" s="362">
        <v>0</v>
      </c>
      <c r="AA134" s="362">
        <v>0</v>
      </c>
    </row>
    <row r="135" spans="1:27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</row>
    <row r="136" spans="1:27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</row>
    <row r="137" spans="1:27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</row>
    <row r="138" spans="1:27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</row>
    <row r="139" spans="1:27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</row>
    <row r="140" spans="1:27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</row>
    <row r="141" spans="1:27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</row>
    <row r="142" spans="1:27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</row>
    <row r="143" spans="1:27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</row>
    <row r="144" spans="1:27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</row>
    <row r="145" spans="1:27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</row>
    <row r="146" spans="1:27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</row>
    <row r="147" spans="1:27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</row>
    <row r="148" spans="1:27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</row>
    <row r="149" spans="1:27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</row>
    <row r="150" spans="1:27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</row>
    <row r="151" spans="1:27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</row>
    <row r="152" spans="1:27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</row>
    <row r="153" spans="1:27" ht="12" customHeight="1" x14ac:dyDescent="0.25">
      <c r="A153" s="354"/>
      <c r="B153" s="360" t="s">
        <v>544</v>
      </c>
      <c r="C153" s="361">
        <v>0</v>
      </c>
      <c r="D153" s="361">
        <v>0</v>
      </c>
      <c r="E153" s="361">
        <v>0</v>
      </c>
      <c r="F153" s="361">
        <v>0</v>
      </c>
      <c r="G153" s="361">
        <v>0</v>
      </c>
      <c r="H153" s="361">
        <v>0</v>
      </c>
      <c r="I153" s="361">
        <v>0</v>
      </c>
      <c r="J153" s="361">
        <v>0</v>
      </c>
      <c r="K153" s="361">
        <v>0</v>
      </c>
      <c r="L153" s="361">
        <v>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0</v>
      </c>
      <c r="U153" s="363" t="e">
        <v>#DIV/0!</v>
      </c>
      <c r="V153" s="362">
        <v>0</v>
      </c>
      <c r="W153" s="362">
        <v>0</v>
      </c>
      <c r="X153" s="362">
        <v>0</v>
      </c>
      <c r="Y153" s="362">
        <v>0</v>
      </c>
      <c r="Z153" s="362">
        <v>0</v>
      </c>
      <c r="AA153" s="362">
        <v>0</v>
      </c>
    </row>
    <row r="154" spans="1:27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</row>
    <row r="155" spans="1:27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</row>
    <row r="156" spans="1:27" ht="12" customHeight="1" x14ac:dyDescent="0.25">
      <c r="A156" s="354" t="s">
        <v>1242</v>
      </c>
      <c r="B156" s="354" t="s">
        <v>547</v>
      </c>
      <c r="C156" s="365">
        <v>0</v>
      </c>
      <c r="D156" s="365">
        <v>0</v>
      </c>
      <c r="E156" s="365">
        <v>0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0</v>
      </c>
      <c r="U156" s="366" t="e">
        <v>#DIV/0!</v>
      </c>
      <c r="V156" s="365">
        <v>0</v>
      </c>
      <c r="W156" s="365">
        <v>0</v>
      </c>
      <c r="X156" s="365">
        <v>0</v>
      </c>
      <c r="Y156" s="365">
        <v>0</v>
      </c>
      <c r="Z156" s="365">
        <v>0</v>
      </c>
      <c r="AA156" s="365">
        <v>0</v>
      </c>
    </row>
    <row r="157" spans="1:27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</row>
    <row r="158" spans="1:27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</row>
    <row r="159" spans="1:27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</row>
    <row r="160" spans="1:27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</row>
    <row r="161" spans="1:27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</row>
    <row r="162" spans="1:27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</row>
    <row r="163" spans="1:27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</row>
    <row r="164" spans="1:27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</row>
    <row r="165" spans="1:27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</row>
    <row r="166" spans="1:27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</row>
    <row r="167" spans="1:27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</row>
    <row r="168" spans="1:27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</row>
    <row r="169" spans="1:27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</row>
    <row r="170" spans="1:27" ht="12" customHeight="1" x14ac:dyDescent="0.25">
      <c r="A170" s="354"/>
      <c r="B170" s="355" t="s">
        <v>561</v>
      </c>
      <c r="C170" s="356">
        <v>41526303</v>
      </c>
      <c r="D170" s="356">
        <v>66277867.439999998</v>
      </c>
      <c r="E170" s="356">
        <v>64277867.439999998</v>
      </c>
      <c r="F170" s="356">
        <v>52506564.439999998</v>
      </c>
      <c r="G170" s="356">
        <v>52506564.439999998</v>
      </c>
      <c r="H170" s="356">
        <v>0</v>
      </c>
      <c r="I170" s="356">
        <v>24686564.440000001</v>
      </c>
      <c r="J170" s="356">
        <v>2820000</v>
      </c>
      <c r="K170" s="356">
        <v>0</v>
      </c>
      <c r="L170" s="356">
        <v>0</v>
      </c>
      <c r="M170" s="356">
        <v>0</v>
      </c>
      <c r="N170" s="356">
        <v>25000000</v>
      </c>
      <c r="O170" s="356">
        <v>0</v>
      </c>
      <c r="P170" s="356">
        <v>0</v>
      </c>
      <c r="Q170" s="356">
        <v>0</v>
      </c>
      <c r="R170" s="356">
        <v>0</v>
      </c>
      <c r="S170" s="356">
        <v>0</v>
      </c>
      <c r="T170" s="357">
        <v>52506564.439999998</v>
      </c>
      <c r="U170" s="358">
        <v>0.79221867673296997</v>
      </c>
      <c r="V170" s="357">
        <v>13771303</v>
      </c>
      <c r="W170" s="357">
        <v>2000000</v>
      </c>
      <c r="X170" s="357">
        <v>13771303</v>
      </c>
      <c r="Y170" s="357">
        <v>11771303</v>
      </c>
      <c r="Z170" s="357">
        <v>0</v>
      </c>
      <c r="AA170" s="357">
        <v>0</v>
      </c>
    </row>
    <row r="171" spans="1:27" ht="12" customHeight="1" x14ac:dyDescent="0.25">
      <c r="A171" s="354"/>
      <c r="B171" s="360" t="s">
        <v>562</v>
      </c>
      <c r="C171" s="361">
        <v>2000000</v>
      </c>
      <c r="D171" s="361">
        <v>2000000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>
        <v>0</v>
      </c>
      <c r="V171" s="362">
        <v>2000000</v>
      </c>
      <c r="W171" s="362">
        <v>2000000</v>
      </c>
      <c r="X171" s="362">
        <v>2000000</v>
      </c>
      <c r="Y171" s="362">
        <v>0</v>
      </c>
      <c r="Z171" s="362">
        <v>0</v>
      </c>
      <c r="AA171" s="362">
        <v>0</v>
      </c>
    </row>
    <row r="172" spans="1:27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</row>
    <row r="173" spans="1:27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</row>
    <row r="174" spans="1:27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</row>
    <row r="175" spans="1:27" ht="12" customHeight="1" x14ac:dyDescent="0.25">
      <c r="A175" s="354"/>
      <c r="B175" s="354" t="s">
        <v>1257</v>
      </c>
      <c r="C175" s="365">
        <v>2000000</v>
      </c>
      <c r="D175" s="365">
        <v>2000000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>
        <v>0</v>
      </c>
      <c r="V175" s="365">
        <v>2000000</v>
      </c>
      <c r="W175" s="365">
        <v>2000000</v>
      </c>
      <c r="X175" s="365">
        <v>2000000</v>
      </c>
      <c r="Y175" s="365">
        <v>0</v>
      </c>
      <c r="Z175" s="365">
        <v>0</v>
      </c>
      <c r="AA175" s="365">
        <v>0</v>
      </c>
    </row>
    <row r="176" spans="1:27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</row>
    <row r="177" spans="1:27" ht="12" customHeight="1" x14ac:dyDescent="0.25">
      <c r="A177" s="354" t="s">
        <v>1260</v>
      </c>
      <c r="B177" s="364" t="s">
        <v>1261</v>
      </c>
      <c r="C177" s="365">
        <v>2000000</v>
      </c>
      <c r="D177" s="365">
        <v>2000000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>
        <v>0</v>
      </c>
      <c r="V177" s="365">
        <v>2000000</v>
      </c>
      <c r="W177" s="365">
        <v>2000000</v>
      </c>
      <c r="X177" s="365">
        <v>2000000</v>
      </c>
      <c r="Y177" s="365">
        <v>0</v>
      </c>
      <c r="Z177" s="365">
        <v>0</v>
      </c>
      <c r="AA177" s="365">
        <v>0</v>
      </c>
    </row>
    <row r="178" spans="1:27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</row>
    <row r="179" spans="1:27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</row>
    <row r="180" spans="1:27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</row>
    <row r="181" spans="1:27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</row>
    <row r="182" spans="1:27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</row>
    <row r="183" spans="1:27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</row>
    <row r="184" spans="1:27" ht="12" customHeight="1" x14ac:dyDescent="0.25">
      <c r="A184" s="354"/>
      <c r="B184" s="360" t="s">
        <v>572</v>
      </c>
      <c r="C184" s="361">
        <v>0</v>
      </c>
      <c r="D184" s="361">
        <v>0</v>
      </c>
      <c r="E184" s="361">
        <v>0</v>
      </c>
      <c r="F184" s="361">
        <v>0</v>
      </c>
      <c r="G184" s="361">
        <v>0</v>
      </c>
      <c r="H184" s="361">
        <v>0</v>
      </c>
      <c r="I184" s="361">
        <v>0</v>
      </c>
      <c r="J184" s="361">
        <v>0</v>
      </c>
      <c r="K184" s="361">
        <v>0</v>
      </c>
      <c r="L184" s="361">
        <v>0</v>
      </c>
      <c r="M184" s="361">
        <v>0</v>
      </c>
      <c r="N184" s="361">
        <v>0</v>
      </c>
      <c r="O184" s="361">
        <v>0</v>
      </c>
      <c r="P184" s="361">
        <v>0</v>
      </c>
      <c r="Q184" s="361">
        <v>0</v>
      </c>
      <c r="R184" s="361">
        <v>0</v>
      </c>
      <c r="S184" s="361">
        <v>0</v>
      </c>
      <c r="T184" s="362">
        <v>0</v>
      </c>
      <c r="U184" s="363" t="e">
        <v>#DIV/0!</v>
      </c>
      <c r="V184" s="362">
        <v>0</v>
      </c>
      <c r="W184" s="362">
        <v>0</v>
      </c>
      <c r="X184" s="362">
        <v>0</v>
      </c>
      <c r="Y184" s="362">
        <v>0</v>
      </c>
      <c r="Z184" s="362">
        <v>0</v>
      </c>
      <c r="AA184" s="362">
        <v>0</v>
      </c>
    </row>
    <row r="185" spans="1:27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</row>
    <row r="186" spans="1:27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</row>
    <row r="187" spans="1:27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</row>
    <row r="188" spans="1:27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</row>
    <row r="189" spans="1:27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</row>
    <row r="190" spans="1:27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</row>
    <row r="191" spans="1:27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</row>
    <row r="192" spans="1:27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</row>
    <row r="193" spans="1:27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</row>
    <row r="194" spans="1:27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</row>
    <row r="195" spans="1:27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</row>
    <row r="196" spans="1:27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</row>
    <row r="197" spans="1:27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</row>
    <row r="198" spans="1:27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</row>
    <row r="199" spans="1:27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</row>
    <row r="200" spans="1:27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</row>
    <row r="201" spans="1:27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</row>
    <row r="202" spans="1:27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</row>
    <row r="203" spans="1:27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</row>
    <row r="204" spans="1:27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</row>
    <row r="205" spans="1:27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</row>
    <row r="206" spans="1:27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</row>
    <row r="207" spans="1:27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</row>
    <row r="208" spans="1:27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</row>
    <row r="209" spans="1:27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</row>
    <row r="210" spans="1:27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</row>
    <row r="211" spans="1:27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</row>
    <row r="212" spans="1:27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</row>
    <row r="213" spans="1:27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</row>
    <row r="214" spans="1:27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</row>
    <row r="215" spans="1:27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</row>
    <row r="216" spans="1:27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</row>
    <row r="217" spans="1:27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</row>
    <row r="218" spans="1:27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</row>
    <row r="219" spans="1:27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</row>
    <row r="220" spans="1:27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</row>
    <row r="221" spans="1:27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</row>
    <row r="222" spans="1:27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</row>
    <row r="223" spans="1:27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</row>
    <row r="224" spans="1:27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</row>
    <row r="225" spans="1:27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</row>
    <row r="226" spans="1:27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</row>
    <row r="227" spans="1:27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</row>
    <row r="228" spans="1:27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</row>
    <row r="229" spans="1:27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</row>
    <row r="230" spans="1:27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</row>
    <row r="231" spans="1:27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</row>
    <row r="232" spans="1:27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</row>
    <row r="233" spans="1:27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</row>
    <row r="234" spans="1:27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</row>
    <row r="235" spans="1:27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</row>
    <row r="236" spans="1:27" ht="12" customHeight="1" x14ac:dyDescent="0.25">
      <c r="A236" s="354"/>
      <c r="B236" s="360" t="s">
        <v>624</v>
      </c>
      <c r="C236" s="361">
        <v>39526303</v>
      </c>
      <c r="D236" s="361">
        <v>64277867.439999998</v>
      </c>
      <c r="E236" s="361">
        <v>64277867.439999998</v>
      </c>
      <c r="F236" s="361">
        <v>52506564.439999998</v>
      </c>
      <c r="G236" s="361">
        <v>52506564.439999998</v>
      </c>
      <c r="H236" s="361">
        <v>0</v>
      </c>
      <c r="I236" s="361">
        <v>24686564.440000001</v>
      </c>
      <c r="J236" s="361">
        <v>2820000</v>
      </c>
      <c r="K236" s="361">
        <v>0</v>
      </c>
      <c r="L236" s="361">
        <v>0</v>
      </c>
      <c r="M236" s="361">
        <v>0</v>
      </c>
      <c r="N236" s="361">
        <v>25000000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52506564.439999998</v>
      </c>
      <c r="U236" s="363">
        <v>0.81686848881556484</v>
      </c>
      <c r="V236" s="362">
        <v>11771303</v>
      </c>
      <c r="W236" s="362">
        <v>0</v>
      </c>
      <c r="X236" s="362">
        <v>11771303</v>
      </c>
      <c r="Y236" s="362">
        <v>11771303</v>
      </c>
      <c r="Z236" s="362">
        <v>0</v>
      </c>
      <c r="AA236" s="362">
        <v>0</v>
      </c>
    </row>
    <row r="237" spans="1:27" ht="12" customHeight="1" x14ac:dyDescent="0.25">
      <c r="A237" s="354"/>
      <c r="B237" s="354" t="s">
        <v>625</v>
      </c>
      <c r="C237" s="368">
        <v>39526303</v>
      </c>
      <c r="D237" s="368">
        <v>64277867.439999998</v>
      </c>
      <c r="E237" s="368">
        <v>64277867.439999998</v>
      </c>
      <c r="F237" s="368">
        <v>52506564.439999998</v>
      </c>
      <c r="G237" s="368">
        <v>52506564.439999998</v>
      </c>
      <c r="H237" s="368">
        <v>0</v>
      </c>
      <c r="I237" s="368">
        <v>24686564.440000001</v>
      </c>
      <c r="J237" s="368">
        <v>2820000</v>
      </c>
      <c r="K237" s="368">
        <v>0</v>
      </c>
      <c r="L237" s="368">
        <v>0</v>
      </c>
      <c r="M237" s="368">
        <v>0</v>
      </c>
      <c r="N237" s="368">
        <v>25000000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52506564.439999998</v>
      </c>
      <c r="U237" s="366">
        <v>0.81686848881556484</v>
      </c>
      <c r="V237" s="365">
        <v>11771303</v>
      </c>
      <c r="W237" s="365">
        <v>0</v>
      </c>
      <c r="X237" s="365">
        <v>11771303</v>
      </c>
      <c r="Y237" s="365">
        <v>11771303</v>
      </c>
      <c r="Z237" s="365">
        <v>0</v>
      </c>
      <c r="AA237" s="365">
        <v>0</v>
      </c>
    </row>
    <row r="238" spans="1:27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</row>
    <row r="239" spans="1:27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</row>
    <row r="240" spans="1:27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</row>
    <row r="241" spans="1:27" ht="12" customHeight="1" x14ac:dyDescent="0.25">
      <c r="A241" s="354"/>
      <c r="B241" s="364" t="s">
        <v>1317</v>
      </c>
      <c r="C241" s="365">
        <v>39526303</v>
      </c>
      <c r="D241" s="365">
        <v>64277867.439999998</v>
      </c>
      <c r="E241" s="365">
        <v>64277867.439999998</v>
      </c>
      <c r="F241" s="365">
        <v>52506564.439999998</v>
      </c>
      <c r="G241" s="365">
        <v>52506564.439999998</v>
      </c>
      <c r="H241" s="365">
        <v>0</v>
      </c>
      <c r="I241" s="365">
        <v>24686564.440000001</v>
      </c>
      <c r="J241" s="365">
        <v>2820000</v>
      </c>
      <c r="K241" s="365">
        <v>0</v>
      </c>
      <c r="L241" s="365">
        <v>0</v>
      </c>
      <c r="M241" s="365">
        <v>0</v>
      </c>
      <c r="N241" s="365">
        <v>25000000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52506564.439999998</v>
      </c>
      <c r="U241" s="366">
        <v>0.81686848881556484</v>
      </c>
      <c r="V241" s="365">
        <v>11771303</v>
      </c>
      <c r="W241" s="365">
        <v>0</v>
      </c>
      <c r="X241" s="365">
        <v>11771303</v>
      </c>
      <c r="Y241" s="365">
        <v>11771303</v>
      </c>
      <c r="Z241" s="365">
        <v>0</v>
      </c>
      <c r="AA241" s="365">
        <v>0</v>
      </c>
    </row>
    <row r="242" spans="1:27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</row>
    <row r="243" spans="1:27" ht="12" customHeight="1" x14ac:dyDescent="0.25">
      <c r="A243" s="354" t="s">
        <v>1320</v>
      </c>
      <c r="B243" s="369" t="s">
        <v>1321</v>
      </c>
      <c r="C243" s="365">
        <v>39526303</v>
      </c>
      <c r="D243" s="365">
        <v>64277867.439999998</v>
      </c>
      <c r="E243" s="365">
        <v>64277867.439999998</v>
      </c>
      <c r="F243" s="365">
        <v>52506564.439999998</v>
      </c>
      <c r="G243" s="365">
        <v>52506564.439999998</v>
      </c>
      <c r="H243" s="365">
        <v>0</v>
      </c>
      <c r="I243" s="365">
        <v>24686564.440000001</v>
      </c>
      <c r="J243" s="365">
        <v>2820000</v>
      </c>
      <c r="K243" s="365">
        <v>0</v>
      </c>
      <c r="L243" s="365">
        <v>0</v>
      </c>
      <c r="M243" s="365">
        <v>0</v>
      </c>
      <c r="N243" s="365">
        <v>25000000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52506564.439999998</v>
      </c>
      <c r="U243" s="366">
        <v>0.81686848881556484</v>
      </c>
      <c r="V243" s="365">
        <v>11771303</v>
      </c>
      <c r="W243" s="365">
        <v>0</v>
      </c>
      <c r="X243" s="365">
        <v>11771303</v>
      </c>
      <c r="Y243" s="365">
        <v>11771303</v>
      </c>
      <c r="Z243" s="365">
        <v>0</v>
      </c>
      <c r="AA243" s="365">
        <v>0</v>
      </c>
    </row>
    <row r="244" spans="1:27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</row>
    <row r="245" spans="1:27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</row>
    <row r="246" spans="1:27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</row>
    <row r="247" spans="1:27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</row>
    <row r="248" spans="1:27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</row>
    <row r="249" spans="1:27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</row>
    <row r="250" spans="1:27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</row>
    <row r="251" spans="1:27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</row>
    <row r="252" spans="1:27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</row>
    <row r="253" spans="1:27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</row>
    <row r="254" spans="1:27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</row>
    <row r="255" spans="1:27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</row>
    <row r="256" spans="1:27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</row>
    <row r="257" spans="1:27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</row>
    <row r="258" spans="1:27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</row>
    <row r="259" spans="1:27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</row>
    <row r="260" spans="1:27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</row>
    <row r="261" spans="1:27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</row>
    <row r="262" spans="1:27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</row>
    <row r="263" spans="1:27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</row>
    <row r="264" spans="1:27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</row>
    <row r="265" spans="1:27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</row>
    <row r="266" spans="1:27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</row>
    <row r="267" spans="1:27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</row>
    <row r="268" spans="1:27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</row>
    <row r="269" spans="1:27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</row>
    <row r="270" spans="1:27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</row>
    <row r="271" spans="1:27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</row>
    <row r="272" spans="1:27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</row>
    <row r="273" spans="1:27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</row>
    <row r="274" spans="1:27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</row>
    <row r="275" spans="1:27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</row>
    <row r="276" spans="1:27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</row>
    <row r="277" spans="1:27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</row>
    <row r="278" spans="1:27" ht="12" customHeight="1" x14ac:dyDescent="0.25">
      <c r="A278" s="354" t="s">
        <v>1352</v>
      </c>
      <c r="B278" s="360" t="s">
        <v>663</v>
      </c>
      <c r="C278" s="365">
        <v>0</v>
      </c>
      <c r="D278" s="365">
        <v>0</v>
      </c>
      <c r="E278" s="365">
        <v>0</v>
      </c>
      <c r="F278" s="365">
        <v>0</v>
      </c>
      <c r="G278" s="365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</row>
    <row r="279" spans="1:27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</row>
    <row r="280" spans="1:27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</row>
    <row r="281" spans="1:27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</row>
    <row r="282" spans="1:27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</row>
    <row r="283" spans="1:27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</row>
    <row r="284" spans="1:27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</row>
    <row r="285" spans="1:27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</row>
    <row r="286" spans="1:27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</row>
    <row r="287" spans="1:27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</row>
    <row r="288" spans="1:27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</row>
    <row r="289" spans="1:27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</row>
    <row r="290" spans="1:27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</row>
    <row r="291" spans="1:27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</row>
    <row r="292" spans="1:27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</row>
    <row r="293" spans="1:27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</row>
    <row r="294" spans="1:27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</row>
    <row r="295" spans="1:27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</row>
    <row r="296" spans="1:27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</row>
    <row r="297" spans="1:27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</row>
    <row r="298" spans="1:27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</row>
    <row r="299" spans="1:27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</row>
    <row r="300" spans="1:27" ht="12" customHeight="1" x14ac:dyDescent="0.25">
      <c r="A300" s="354" t="s">
        <v>1371</v>
      </c>
      <c r="B300" s="360" t="s">
        <v>685</v>
      </c>
      <c r="C300" s="365">
        <v>0</v>
      </c>
      <c r="D300" s="365">
        <v>0</v>
      </c>
      <c r="E300" s="365">
        <v>0</v>
      </c>
      <c r="F300" s="365">
        <v>0</v>
      </c>
      <c r="G300" s="365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</row>
    <row r="301" spans="1:27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</row>
    <row r="302" spans="1:27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</row>
    <row r="303" spans="1:27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</row>
    <row r="304" spans="1:27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</row>
    <row r="305" spans="1:27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</row>
    <row r="306" spans="1:27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</row>
    <row r="307" spans="1:27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</row>
    <row r="308" spans="1:27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</row>
    <row r="309" spans="1:27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</row>
    <row r="310" spans="1:27" ht="12" customHeight="1" x14ac:dyDescent="0.25">
      <c r="A310" s="354"/>
      <c r="B310" s="374" t="s">
        <v>35</v>
      </c>
      <c r="C310" s="375">
        <v>41526303</v>
      </c>
      <c r="D310" s="375">
        <v>66277867.439999998</v>
      </c>
      <c r="E310" s="375">
        <v>64277867.439999998</v>
      </c>
      <c r="F310" s="375">
        <v>52506564.439999998</v>
      </c>
      <c r="G310" s="375">
        <v>52506564.439999998</v>
      </c>
      <c r="H310" s="375">
        <v>0</v>
      </c>
      <c r="I310" s="375">
        <v>24686564.440000001</v>
      </c>
      <c r="J310" s="375">
        <v>2820000</v>
      </c>
      <c r="K310" s="375">
        <v>0</v>
      </c>
      <c r="L310" s="375">
        <v>0</v>
      </c>
      <c r="M310" s="375">
        <v>0</v>
      </c>
      <c r="N310" s="375">
        <v>25000000</v>
      </c>
      <c r="O310" s="375">
        <v>0</v>
      </c>
      <c r="P310" s="375">
        <v>0</v>
      </c>
      <c r="Q310" s="375">
        <v>0</v>
      </c>
      <c r="R310" s="375">
        <v>0</v>
      </c>
      <c r="S310" s="375">
        <v>0</v>
      </c>
      <c r="T310" s="376">
        <v>52506564.439999998</v>
      </c>
      <c r="U310" s="377">
        <v>0.79221867673296997</v>
      </c>
      <c r="V310" s="376">
        <v>13771303</v>
      </c>
      <c r="W310" s="376">
        <v>2000000</v>
      </c>
      <c r="X310" s="376">
        <v>13771303</v>
      </c>
      <c r="Y310" s="376">
        <v>11771303</v>
      </c>
      <c r="Z310" s="376">
        <v>0</v>
      </c>
      <c r="AA310" s="376">
        <v>0</v>
      </c>
    </row>
    <row r="311" spans="1:27" ht="12" customHeight="1" x14ac:dyDescent="0.25">
      <c r="A311" s="354"/>
      <c r="B311" s="378" t="s">
        <v>1379</v>
      </c>
      <c r="C311" s="379">
        <v>41526303</v>
      </c>
      <c r="D311" s="379">
        <v>66277867.439999998</v>
      </c>
      <c r="E311" s="379">
        <v>64277867.439999998</v>
      </c>
      <c r="F311" s="379">
        <v>52506564.439999998</v>
      </c>
      <c r="G311" s="379">
        <v>52506564.439999998</v>
      </c>
      <c r="H311" s="379">
        <v>0</v>
      </c>
      <c r="I311" s="379">
        <v>24686564.440000001</v>
      </c>
      <c r="J311" s="379">
        <v>2820000</v>
      </c>
      <c r="K311" s="379">
        <v>0</v>
      </c>
      <c r="L311" s="379">
        <v>0</v>
      </c>
      <c r="M311" s="379">
        <v>0</v>
      </c>
      <c r="N311" s="379">
        <v>25000000</v>
      </c>
      <c r="O311" s="379">
        <v>0</v>
      </c>
      <c r="P311" s="379">
        <v>0</v>
      </c>
      <c r="Q311" s="379">
        <v>0</v>
      </c>
      <c r="R311" s="379">
        <v>0</v>
      </c>
      <c r="S311" s="379">
        <v>0</v>
      </c>
      <c r="T311" s="380">
        <v>52506564.439999998</v>
      </c>
      <c r="U311" s="381">
        <v>0.79221867673296997</v>
      </c>
      <c r="V311" s="380">
        <v>13771303</v>
      </c>
      <c r="W311" s="380">
        <v>2000000</v>
      </c>
      <c r="X311" s="380">
        <v>13771303</v>
      </c>
      <c r="Y311" s="380">
        <v>11771303</v>
      </c>
      <c r="Z311" s="380">
        <v>0</v>
      </c>
      <c r="AA311" s="380">
        <v>0</v>
      </c>
    </row>
    <row r="312" spans="1:27" ht="12" customHeight="1" x14ac:dyDescent="0.25">
      <c r="A312" s="354"/>
      <c r="B312" s="382" t="s">
        <v>74</v>
      </c>
      <c r="C312" s="383">
        <v>41526303</v>
      </c>
      <c r="D312" s="383">
        <v>66277867.439999998</v>
      </c>
      <c r="E312" s="383">
        <v>64277867.439999998</v>
      </c>
      <c r="F312" s="383">
        <v>52506564.439999998</v>
      </c>
      <c r="G312" s="383">
        <v>52506564.439999998</v>
      </c>
      <c r="H312" s="383">
        <v>0</v>
      </c>
      <c r="I312" s="383">
        <v>24686564.440000001</v>
      </c>
      <c r="J312" s="383">
        <v>2820000</v>
      </c>
      <c r="K312" s="383">
        <v>0</v>
      </c>
      <c r="L312" s="383">
        <v>0</v>
      </c>
      <c r="M312" s="383">
        <v>0</v>
      </c>
      <c r="N312" s="383">
        <v>25000000</v>
      </c>
      <c r="O312" s="383">
        <v>0</v>
      </c>
      <c r="P312" s="383">
        <v>0</v>
      </c>
      <c r="Q312" s="383">
        <v>0</v>
      </c>
      <c r="R312" s="383">
        <v>0</v>
      </c>
      <c r="S312" s="383">
        <v>0</v>
      </c>
      <c r="T312" s="384">
        <v>52506564.439999998</v>
      </c>
      <c r="U312" s="385">
        <v>0.79221867673296997</v>
      </c>
      <c r="V312" s="384">
        <v>13771303</v>
      </c>
      <c r="W312" s="384">
        <v>2000000</v>
      </c>
      <c r="X312" s="384">
        <v>13771303</v>
      </c>
      <c r="Y312" s="384">
        <v>11771303</v>
      </c>
      <c r="Z312" s="384">
        <v>0</v>
      </c>
      <c r="AA312" s="384">
        <v>0</v>
      </c>
    </row>
    <row r="313" spans="1:27" ht="12" customHeight="1" x14ac:dyDescent="0.25">
      <c r="A313" s="342"/>
      <c r="B313" s="387"/>
      <c r="C313" s="386"/>
      <c r="D313" s="386"/>
      <c r="E313" s="386"/>
      <c r="F313" s="386"/>
      <c r="G313" s="386"/>
      <c r="H313" s="386"/>
      <c r="I313" s="386"/>
      <c r="J313" s="386"/>
      <c r="K313" s="386"/>
      <c r="L313" s="386"/>
      <c r="M313" s="386"/>
      <c r="N313" s="386"/>
      <c r="O313" s="386"/>
      <c r="P313" s="386"/>
      <c r="Q313" s="386"/>
      <c r="R313" s="386"/>
      <c r="S313" s="386"/>
      <c r="T313" s="388"/>
      <c r="U313" s="389"/>
      <c r="V313" s="388"/>
      <c r="W313" s="388"/>
      <c r="X313" s="388"/>
      <c r="Y313" s="388"/>
      <c r="Z313" s="388"/>
      <c r="AA313" s="388"/>
    </row>
    <row r="314" spans="1:27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</row>
    <row r="315" spans="1:27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</row>
    <row r="316" spans="1:27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</row>
    <row r="317" spans="1:27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</row>
    <row r="318" spans="1:27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</row>
    <row r="319" spans="1:27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</row>
    <row r="320" spans="1:27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</row>
    <row r="321" spans="1:27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</row>
    <row r="322" spans="1:27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</row>
    <row r="323" spans="1:27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</row>
    <row r="324" spans="1:27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</row>
    <row r="325" spans="1:27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</row>
    <row r="326" spans="1:27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</row>
    <row r="327" spans="1:27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</row>
    <row r="328" spans="1:27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</row>
    <row r="329" spans="1:27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</row>
    <row r="330" spans="1:27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</row>
    <row r="331" spans="1:27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</row>
    <row r="332" spans="1:27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</row>
    <row r="333" spans="1:27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</row>
    <row r="334" spans="1:27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</row>
    <row r="335" spans="1:27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</row>
    <row r="336" spans="1:27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</row>
    <row r="337" spans="1:27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</row>
    <row r="338" spans="1:27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</row>
    <row r="339" spans="1:27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</row>
    <row r="340" spans="1:27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</row>
    <row r="341" spans="1:27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</row>
    <row r="342" spans="1:27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</row>
    <row r="343" spans="1:27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</row>
    <row r="344" spans="1:27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</row>
    <row r="345" spans="1:27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</row>
    <row r="346" spans="1:27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</row>
    <row r="347" spans="1:27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</row>
    <row r="348" spans="1:27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</row>
    <row r="349" spans="1:27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</row>
    <row r="350" spans="1:27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</row>
    <row r="351" spans="1:27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</row>
    <row r="352" spans="1:27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</row>
    <row r="353" spans="1:27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</row>
    <row r="354" spans="1:27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</row>
    <row r="355" spans="1:27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</row>
    <row r="356" spans="1:27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</row>
    <row r="357" spans="1:27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</row>
    <row r="358" spans="1:27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</row>
    <row r="359" spans="1:27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</row>
    <row r="360" spans="1:27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</row>
    <row r="361" spans="1:27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</row>
    <row r="362" spans="1:27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</row>
    <row r="363" spans="1:27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</row>
    <row r="364" spans="1:27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</row>
    <row r="365" spans="1:27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</row>
    <row r="366" spans="1:27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</row>
    <row r="367" spans="1:27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</row>
    <row r="368" spans="1:27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</row>
    <row r="369" spans="1:27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</row>
    <row r="370" spans="1:27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</row>
    <row r="371" spans="1:27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</row>
    <row r="372" spans="1:27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</row>
    <row r="373" spans="1:27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</row>
    <row r="374" spans="1:27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</row>
    <row r="375" spans="1:27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</row>
    <row r="376" spans="1:27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</row>
    <row r="377" spans="1:27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</row>
    <row r="378" spans="1:27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</row>
    <row r="379" spans="1:27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</row>
    <row r="380" spans="1:27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</row>
    <row r="381" spans="1:27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</row>
    <row r="382" spans="1:27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</row>
    <row r="383" spans="1:27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</row>
    <row r="384" spans="1:27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</row>
    <row r="385" spans="1:27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</row>
    <row r="386" spans="1:27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</row>
    <row r="387" spans="1:27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</row>
    <row r="388" spans="1:27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</row>
    <row r="389" spans="1:27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</row>
    <row r="390" spans="1:27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</row>
    <row r="391" spans="1:27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</row>
    <row r="392" spans="1:27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</row>
    <row r="393" spans="1:27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</row>
    <row r="394" spans="1:27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</row>
    <row r="395" spans="1:27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</row>
    <row r="396" spans="1:27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</row>
    <row r="397" spans="1:27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</row>
    <row r="398" spans="1:27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</row>
    <row r="399" spans="1:27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</row>
    <row r="400" spans="1:27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</row>
    <row r="401" spans="1:27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</row>
    <row r="402" spans="1:27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</row>
    <row r="403" spans="1:27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</row>
    <row r="404" spans="1:27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</row>
    <row r="405" spans="1:27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</row>
    <row r="406" spans="1:27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</row>
    <row r="407" spans="1:27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</row>
    <row r="408" spans="1:27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</row>
    <row r="409" spans="1:27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</row>
    <row r="410" spans="1:27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</row>
    <row r="411" spans="1:27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</row>
    <row r="412" spans="1:27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</row>
    <row r="413" spans="1:27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</row>
    <row r="414" spans="1:27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</row>
    <row r="415" spans="1:27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</row>
    <row r="416" spans="1:27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</row>
    <row r="417" spans="1:27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</row>
    <row r="418" spans="1:27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</row>
    <row r="419" spans="1:27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</row>
    <row r="420" spans="1:27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</row>
    <row r="421" spans="1:27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</row>
    <row r="422" spans="1:27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</row>
    <row r="423" spans="1:27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</row>
    <row r="424" spans="1:27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</row>
    <row r="425" spans="1:27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</row>
    <row r="426" spans="1:27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</row>
    <row r="427" spans="1:27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</row>
    <row r="428" spans="1:27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</row>
    <row r="429" spans="1:27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</row>
    <row r="430" spans="1:27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</row>
    <row r="431" spans="1:27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</row>
    <row r="432" spans="1:27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</row>
    <row r="433" spans="1:27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</row>
    <row r="434" spans="1:27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</row>
    <row r="435" spans="1:27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</row>
    <row r="436" spans="1:27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</row>
    <row r="437" spans="1:27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</row>
    <row r="438" spans="1:27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</row>
    <row r="439" spans="1:27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</row>
    <row r="440" spans="1:27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</row>
    <row r="441" spans="1:27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</row>
    <row r="442" spans="1:27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</row>
    <row r="443" spans="1:27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</row>
    <row r="444" spans="1:27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</row>
    <row r="445" spans="1:27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</row>
    <row r="446" spans="1:27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</row>
    <row r="447" spans="1:27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</row>
    <row r="448" spans="1:27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</row>
    <row r="449" spans="1:27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</row>
    <row r="450" spans="1:27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</row>
    <row r="451" spans="1:27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</row>
    <row r="452" spans="1:27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</row>
    <row r="453" spans="1:27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</row>
    <row r="454" spans="1:27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</row>
    <row r="455" spans="1:27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</row>
    <row r="456" spans="1:27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</row>
    <row r="457" spans="1:27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</row>
    <row r="458" spans="1:27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</row>
    <row r="459" spans="1:27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</row>
    <row r="460" spans="1:27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</row>
    <row r="461" spans="1:27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</row>
    <row r="462" spans="1:27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</row>
    <row r="463" spans="1:27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</row>
    <row r="464" spans="1:27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</row>
    <row r="465" spans="1:27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</row>
    <row r="466" spans="1:27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</row>
    <row r="467" spans="1:27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</row>
    <row r="468" spans="1:27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</row>
    <row r="469" spans="1:27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</row>
    <row r="470" spans="1:27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</row>
    <row r="471" spans="1:27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</row>
    <row r="472" spans="1:27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</row>
    <row r="473" spans="1:27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</row>
    <row r="474" spans="1:27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</row>
    <row r="475" spans="1:27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</row>
    <row r="476" spans="1:27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</row>
    <row r="477" spans="1:27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</row>
    <row r="478" spans="1:27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</row>
    <row r="479" spans="1:27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</row>
    <row r="480" spans="1:27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</row>
    <row r="481" spans="1:27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</row>
    <row r="482" spans="1:27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</row>
    <row r="483" spans="1:27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</row>
    <row r="484" spans="1:27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</row>
    <row r="485" spans="1:27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</row>
    <row r="486" spans="1:27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</row>
    <row r="487" spans="1:27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</row>
    <row r="488" spans="1:27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</row>
    <row r="489" spans="1:27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</row>
    <row r="490" spans="1:27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</row>
    <row r="491" spans="1:27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</row>
    <row r="492" spans="1:27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</row>
    <row r="493" spans="1:27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</row>
    <row r="494" spans="1:27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</row>
    <row r="495" spans="1:27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</row>
    <row r="496" spans="1:27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</row>
    <row r="497" spans="1:27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</row>
    <row r="498" spans="1:27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</row>
    <row r="499" spans="1:27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</row>
    <row r="500" spans="1:27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</row>
    <row r="501" spans="1:27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</row>
    <row r="502" spans="1:27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</row>
    <row r="503" spans="1:27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</row>
    <row r="504" spans="1:27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</row>
    <row r="505" spans="1:27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</row>
    <row r="506" spans="1:27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</row>
    <row r="507" spans="1:27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</row>
    <row r="508" spans="1:27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</row>
    <row r="509" spans="1:27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</row>
    <row r="510" spans="1:27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</row>
    <row r="511" spans="1:27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</row>
    <row r="512" spans="1:27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</row>
    <row r="513" spans="1:27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</row>
    <row r="514" spans="1:27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</row>
    <row r="515" spans="1:27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</row>
    <row r="516" spans="1:27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</row>
    <row r="517" spans="1:27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</row>
    <row r="518" spans="1:27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</row>
    <row r="519" spans="1:27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</row>
    <row r="520" spans="1:27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</row>
    <row r="521" spans="1:27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</row>
    <row r="522" spans="1:27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</row>
    <row r="523" spans="1:27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</row>
    <row r="524" spans="1:27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</row>
    <row r="525" spans="1:27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</row>
    <row r="526" spans="1:27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</row>
    <row r="527" spans="1:27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</row>
    <row r="528" spans="1:27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</row>
    <row r="529" spans="1:27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</row>
    <row r="530" spans="1:27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</row>
    <row r="531" spans="1:27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</row>
    <row r="532" spans="1:27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</row>
    <row r="533" spans="1:27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</row>
    <row r="534" spans="1:27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</row>
    <row r="535" spans="1:27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</row>
    <row r="536" spans="1:27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</row>
    <row r="537" spans="1:27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</row>
    <row r="538" spans="1:27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</row>
    <row r="539" spans="1:27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</row>
    <row r="540" spans="1:27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</row>
    <row r="541" spans="1:27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</row>
    <row r="542" spans="1:27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</row>
    <row r="543" spans="1:27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</row>
    <row r="544" spans="1:27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</row>
    <row r="545" spans="1:27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</row>
    <row r="546" spans="1:27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</row>
    <row r="547" spans="1:27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</row>
    <row r="548" spans="1:27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</row>
    <row r="549" spans="1:27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</row>
    <row r="550" spans="1:27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</row>
    <row r="551" spans="1:27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</row>
    <row r="552" spans="1:27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</row>
    <row r="553" spans="1:27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</row>
    <row r="554" spans="1:27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</row>
    <row r="555" spans="1:27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</row>
    <row r="556" spans="1:27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</row>
    <row r="557" spans="1:27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</row>
    <row r="558" spans="1:27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</row>
    <row r="559" spans="1:27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</row>
    <row r="560" spans="1:27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</row>
    <row r="561" spans="1:27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</row>
    <row r="562" spans="1:27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</row>
    <row r="563" spans="1:27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</row>
    <row r="564" spans="1:27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</row>
    <row r="565" spans="1:27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</row>
    <row r="566" spans="1:27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</row>
    <row r="567" spans="1:27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</row>
    <row r="568" spans="1:27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</row>
    <row r="569" spans="1:27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</row>
    <row r="570" spans="1:27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</row>
    <row r="571" spans="1:27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</row>
    <row r="572" spans="1:27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</row>
    <row r="573" spans="1:27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</row>
    <row r="574" spans="1:27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</row>
    <row r="575" spans="1:27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</row>
    <row r="576" spans="1:27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</row>
    <row r="577" spans="1:27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</row>
    <row r="578" spans="1:27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</row>
    <row r="579" spans="1:27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</row>
    <row r="580" spans="1:27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</row>
    <row r="581" spans="1:27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</row>
    <row r="582" spans="1:27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</row>
    <row r="583" spans="1:27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</row>
    <row r="584" spans="1:27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</row>
    <row r="585" spans="1:27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</row>
    <row r="586" spans="1:27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</row>
    <row r="587" spans="1:27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</row>
    <row r="588" spans="1:27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</row>
    <row r="589" spans="1:27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</row>
    <row r="590" spans="1:27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</row>
    <row r="591" spans="1:27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</row>
    <row r="592" spans="1:27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</row>
    <row r="593" spans="1:27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</row>
    <row r="594" spans="1:27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</row>
    <row r="595" spans="1:27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</row>
    <row r="596" spans="1:27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</row>
    <row r="597" spans="1:27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</row>
    <row r="598" spans="1:27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</row>
    <row r="599" spans="1:27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</row>
    <row r="600" spans="1:27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</row>
    <row r="601" spans="1:27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</row>
    <row r="602" spans="1:27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</row>
    <row r="603" spans="1:27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</row>
    <row r="604" spans="1:27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</row>
    <row r="605" spans="1:27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</row>
    <row r="606" spans="1:27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</row>
    <row r="607" spans="1:27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</row>
    <row r="608" spans="1:27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</row>
    <row r="609" spans="1:27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</row>
    <row r="610" spans="1:27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</row>
    <row r="611" spans="1:27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</row>
    <row r="612" spans="1:27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</row>
    <row r="613" spans="1:27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</row>
    <row r="614" spans="1:27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</row>
    <row r="615" spans="1:27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</row>
    <row r="616" spans="1:27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</row>
    <row r="617" spans="1:27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</row>
    <row r="618" spans="1:27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</row>
    <row r="619" spans="1:27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</row>
    <row r="620" spans="1:27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</row>
    <row r="621" spans="1:27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</row>
    <row r="622" spans="1:27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</row>
    <row r="623" spans="1:27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</row>
    <row r="624" spans="1:27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</row>
    <row r="625" spans="1:27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</row>
    <row r="626" spans="1:27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</row>
    <row r="627" spans="1:27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</row>
    <row r="628" spans="1:27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</row>
    <row r="629" spans="1:27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</row>
    <row r="630" spans="1:27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</row>
    <row r="631" spans="1:27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</row>
    <row r="632" spans="1:27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</row>
    <row r="633" spans="1:27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</row>
    <row r="634" spans="1:27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</row>
    <row r="635" spans="1:27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</row>
    <row r="636" spans="1:27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</row>
    <row r="637" spans="1:27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</row>
    <row r="638" spans="1:27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</row>
    <row r="639" spans="1:27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</row>
    <row r="640" spans="1:27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</row>
    <row r="641" spans="1:27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</row>
    <row r="642" spans="1:27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</row>
    <row r="643" spans="1:27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</row>
    <row r="644" spans="1:27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</row>
    <row r="645" spans="1:27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</row>
    <row r="646" spans="1:27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</row>
    <row r="647" spans="1:27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</row>
    <row r="648" spans="1:27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</row>
    <row r="649" spans="1:27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</row>
    <row r="650" spans="1:27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</row>
    <row r="651" spans="1:27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</row>
    <row r="652" spans="1:27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</row>
    <row r="653" spans="1:27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</row>
    <row r="654" spans="1:27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</row>
    <row r="655" spans="1:27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</row>
    <row r="656" spans="1:27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</row>
    <row r="657" spans="1:27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</row>
    <row r="658" spans="1:27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</row>
    <row r="659" spans="1:27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</row>
    <row r="660" spans="1:27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</row>
    <row r="661" spans="1:27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</row>
    <row r="662" spans="1:27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</row>
    <row r="663" spans="1:27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</row>
    <row r="664" spans="1:27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</row>
    <row r="665" spans="1:27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</row>
    <row r="666" spans="1:27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</row>
    <row r="667" spans="1:27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</row>
    <row r="668" spans="1:27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</row>
    <row r="669" spans="1:27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</row>
    <row r="670" spans="1:27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</row>
    <row r="671" spans="1:27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</row>
    <row r="672" spans="1:27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</row>
    <row r="673" spans="1:27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</row>
    <row r="674" spans="1:27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</row>
    <row r="675" spans="1:27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</row>
    <row r="676" spans="1:27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</row>
    <row r="677" spans="1:27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</row>
    <row r="678" spans="1:27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</row>
    <row r="679" spans="1:27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</row>
    <row r="680" spans="1:27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</row>
    <row r="681" spans="1:27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</row>
    <row r="682" spans="1:27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</row>
    <row r="683" spans="1:27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</row>
    <row r="684" spans="1:27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</row>
    <row r="685" spans="1:27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</row>
    <row r="686" spans="1:27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</row>
    <row r="687" spans="1:27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</row>
    <row r="688" spans="1:27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</row>
    <row r="689" spans="1:27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</row>
    <row r="690" spans="1:27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</row>
    <row r="691" spans="1:27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</row>
    <row r="692" spans="1:27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</row>
    <row r="693" spans="1:27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</row>
    <row r="694" spans="1:27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</row>
    <row r="695" spans="1:27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</row>
    <row r="696" spans="1:27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</row>
    <row r="697" spans="1:27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</row>
    <row r="698" spans="1:27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</row>
    <row r="699" spans="1:27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</row>
    <row r="700" spans="1:27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</row>
    <row r="701" spans="1:27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</row>
    <row r="702" spans="1:27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</row>
    <row r="703" spans="1:27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</row>
    <row r="704" spans="1:27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</row>
    <row r="705" spans="1:27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</row>
    <row r="706" spans="1:27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</row>
    <row r="707" spans="1:27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</row>
    <row r="708" spans="1:27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</row>
    <row r="709" spans="1:27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</row>
    <row r="710" spans="1:27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</row>
    <row r="711" spans="1:27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</row>
    <row r="712" spans="1:27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</row>
    <row r="713" spans="1:27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</row>
    <row r="714" spans="1:27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</row>
    <row r="715" spans="1:27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</row>
    <row r="716" spans="1:27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</row>
    <row r="717" spans="1:27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</row>
    <row r="718" spans="1:27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</row>
    <row r="719" spans="1:27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</row>
    <row r="720" spans="1:27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</row>
    <row r="721" spans="1:27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</row>
    <row r="722" spans="1:27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</row>
    <row r="723" spans="1:27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</row>
    <row r="724" spans="1:27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</row>
    <row r="725" spans="1:27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</row>
    <row r="726" spans="1:27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</row>
    <row r="727" spans="1:27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</row>
    <row r="728" spans="1:27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</row>
    <row r="729" spans="1:27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</row>
    <row r="730" spans="1:27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</row>
    <row r="731" spans="1:27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</row>
    <row r="732" spans="1:27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</row>
    <row r="733" spans="1:27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</row>
    <row r="734" spans="1:27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</row>
    <row r="735" spans="1:27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</row>
    <row r="736" spans="1:27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</row>
    <row r="737" spans="1:27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</row>
    <row r="738" spans="1:27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</row>
    <row r="739" spans="1:27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</row>
    <row r="740" spans="1:27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</row>
    <row r="741" spans="1:27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</row>
    <row r="742" spans="1:27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</row>
    <row r="743" spans="1:27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</row>
    <row r="744" spans="1:27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</row>
    <row r="745" spans="1:27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</row>
    <row r="746" spans="1:27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</row>
    <row r="747" spans="1:27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</row>
    <row r="748" spans="1:27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</row>
    <row r="749" spans="1:27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</row>
    <row r="750" spans="1:27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</row>
    <row r="751" spans="1:27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</row>
    <row r="752" spans="1:27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</row>
    <row r="753" spans="1:27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</row>
    <row r="754" spans="1:27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</row>
    <row r="755" spans="1:27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</row>
    <row r="756" spans="1:27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</row>
    <row r="757" spans="1:27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</row>
    <row r="758" spans="1:27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</row>
    <row r="759" spans="1:27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</row>
    <row r="760" spans="1:27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</row>
    <row r="761" spans="1:27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</row>
    <row r="762" spans="1:27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</row>
    <row r="763" spans="1:27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</row>
    <row r="764" spans="1:27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</row>
    <row r="765" spans="1:27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</row>
    <row r="766" spans="1:27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</row>
    <row r="767" spans="1:27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</row>
    <row r="768" spans="1:27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</row>
    <row r="769" spans="1:27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</row>
    <row r="770" spans="1:27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</row>
    <row r="771" spans="1:27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</row>
    <row r="772" spans="1:27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</row>
    <row r="773" spans="1:27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</row>
    <row r="774" spans="1:27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</row>
    <row r="775" spans="1:27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</row>
    <row r="776" spans="1:27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</row>
    <row r="777" spans="1:27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</row>
    <row r="778" spans="1:27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</row>
    <row r="779" spans="1:27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</row>
    <row r="780" spans="1:27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</row>
    <row r="781" spans="1:27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</row>
    <row r="782" spans="1:27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</row>
    <row r="783" spans="1:27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</row>
    <row r="784" spans="1:27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</row>
    <row r="785" spans="1:27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</row>
    <row r="786" spans="1:27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</row>
    <row r="787" spans="1:27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</row>
    <row r="788" spans="1:27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</row>
    <row r="789" spans="1:27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</row>
    <row r="790" spans="1:27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</row>
    <row r="791" spans="1:27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</row>
    <row r="792" spans="1:27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</row>
    <row r="793" spans="1:27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</row>
    <row r="794" spans="1:27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</row>
    <row r="795" spans="1:27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</row>
    <row r="796" spans="1:27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</row>
    <row r="797" spans="1:27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</row>
    <row r="798" spans="1:27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</row>
    <row r="799" spans="1:27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</row>
    <row r="800" spans="1:27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</row>
    <row r="801" spans="1:27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</row>
    <row r="802" spans="1:27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</row>
    <row r="803" spans="1:27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</row>
    <row r="804" spans="1:27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</row>
    <row r="805" spans="1:27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</row>
    <row r="806" spans="1:27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</row>
    <row r="807" spans="1:27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</row>
    <row r="808" spans="1:27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</row>
    <row r="809" spans="1:27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</row>
    <row r="810" spans="1:27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</row>
    <row r="811" spans="1:27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</row>
    <row r="812" spans="1:27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</row>
    <row r="813" spans="1:27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</row>
    <row r="814" spans="1:27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</row>
    <row r="815" spans="1:27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</row>
    <row r="816" spans="1:27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</row>
    <row r="817" spans="1:27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</row>
    <row r="818" spans="1:27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</row>
    <row r="819" spans="1:27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</row>
    <row r="820" spans="1:27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</row>
    <row r="821" spans="1:27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</row>
    <row r="822" spans="1:27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</row>
    <row r="823" spans="1:27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</row>
    <row r="824" spans="1:27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</row>
    <row r="825" spans="1:27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</row>
    <row r="826" spans="1:27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</row>
    <row r="827" spans="1:27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</row>
    <row r="828" spans="1:27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</row>
    <row r="829" spans="1:27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</row>
    <row r="830" spans="1:27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</row>
    <row r="831" spans="1:27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</row>
    <row r="832" spans="1:27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</row>
    <row r="833" spans="1:27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</row>
    <row r="834" spans="1:27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</row>
    <row r="835" spans="1:27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</row>
    <row r="836" spans="1:27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</row>
    <row r="837" spans="1:27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</row>
    <row r="838" spans="1:27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</row>
    <row r="839" spans="1:27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</row>
    <row r="840" spans="1:27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</row>
    <row r="841" spans="1:27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</row>
    <row r="842" spans="1:27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</row>
    <row r="843" spans="1:27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</row>
    <row r="844" spans="1:27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</row>
    <row r="845" spans="1:27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</row>
    <row r="846" spans="1:27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</row>
    <row r="847" spans="1:27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</row>
    <row r="848" spans="1:27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</row>
    <row r="849" spans="1:27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</row>
    <row r="850" spans="1:27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</row>
    <row r="851" spans="1:27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</row>
    <row r="852" spans="1:27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</row>
    <row r="853" spans="1:27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</row>
    <row r="854" spans="1:27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</row>
    <row r="855" spans="1:27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</row>
    <row r="856" spans="1:27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</row>
    <row r="857" spans="1:27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</row>
    <row r="858" spans="1:27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</row>
    <row r="859" spans="1:27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</row>
    <row r="860" spans="1:27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</row>
    <row r="861" spans="1:27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</row>
    <row r="862" spans="1:27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</row>
    <row r="863" spans="1:27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</row>
    <row r="864" spans="1:27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</row>
    <row r="865" spans="1:27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</row>
    <row r="866" spans="1:27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</row>
    <row r="867" spans="1:27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</row>
    <row r="868" spans="1:27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</row>
    <row r="869" spans="1:27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</row>
    <row r="870" spans="1:27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</row>
    <row r="871" spans="1:27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</row>
    <row r="872" spans="1:27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</row>
    <row r="873" spans="1:27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</row>
    <row r="874" spans="1:27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</row>
    <row r="875" spans="1:27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</row>
    <row r="876" spans="1:27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</row>
    <row r="877" spans="1:27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</row>
    <row r="878" spans="1:27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</row>
    <row r="879" spans="1:27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</row>
    <row r="880" spans="1:27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</row>
    <row r="881" spans="1:27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</row>
    <row r="882" spans="1:27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</row>
    <row r="883" spans="1:27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</row>
    <row r="884" spans="1:27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</row>
    <row r="885" spans="1:27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</row>
    <row r="886" spans="1:27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</row>
    <row r="887" spans="1:27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</row>
    <row r="888" spans="1:27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</row>
    <row r="889" spans="1:27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</row>
    <row r="890" spans="1:27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</row>
    <row r="891" spans="1:27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</row>
    <row r="892" spans="1:27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</row>
    <row r="893" spans="1:27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</row>
    <row r="894" spans="1:27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</row>
    <row r="895" spans="1:27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</row>
    <row r="896" spans="1:27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</row>
    <row r="897" spans="1:27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</row>
    <row r="898" spans="1:27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</row>
    <row r="899" spans="1:27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</row>
    <row r="900" spans="1:27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</row>
    <row r="901" spans="1:27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</row>
    <row r="902" spans="1:27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</row>
    <row r="903" spans="1:27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</row>
    <row r="904" spans="1:27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</row>
    <row r="905" spans="1:27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</row>
    <row r="906" spans="1:27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</row>
    <row r="907" spans="1:27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</row>
    <row r="908" spans="1:27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</row>
    <row r="909" spans="1:27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</row>
    <row r="910" spans="1:27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</row>
    <row r="911" spans="1:27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</row>
    <row r="912" spans="1:27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</row>
    <row r="913" spans="1:27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</row>
    <row r="914" spans="1:27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</row>
    <row r="915" spans="1:27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</row>
    <row r="916" spans="1:27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</row>
    <row r="917" spans="1:27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</row>
    <row r="918" spans="1:27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</row>
    <row r="919" spans="1:27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</row>
    <row r="920" spans="1:27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</row>
    <row r="921" spans="1:27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</row>
    <row r="922" spans="1:27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</row>
    <row r="923" spans="1:27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</row>
    <row r="924" spans="1:27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</row>
    <row r="925" spans="1:27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</row>
    <row r="926" spans="1:27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</row>
    <row r="927" spans="1:27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</row>
    <row r="928" spans="1:27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</row>
    <row r="929" spans="1:27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</row>
    <row r="930" spans="1:27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</row>
    <row r="931" spans="1:27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</row>
    <row r="932" spans="1:27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</row>
    <row r="933" spans="1:27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</row>
    <row r="934" spans="1:27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</row>
    <row r="935" spans="1:27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</row>
    <row r="936" spans="1:27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</row>
    <row r="937" spans="1:27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</row>
    <row r="938" spans="1:27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</row>
    <row r="939" spans="1:27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</row>
    <row r="940" spans="1:27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</row>
    <row r="941" spans="1:27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</row>
    <row r="942" spans="1:27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</row>
    <row r="943" spans="1:27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</row>
    <row r="944" spans="1:27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</row>
    <row r="945" spans="1:27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</row>
    <row r="946" spans="1:27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</row>
    <row r="947" spans="1:27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</row>
    <row r="948" spans="1:27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</row>
    <row r="949" spans="1:27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</row>
    <row r="950" spans="1:27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</row>
    <row r="951" spans="1:27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</row>
    <row r="952" spans="1:27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</row>
    <row r="953" spans="1:27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</row>
    <row r="954" spans="1:27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</row>
    <row r="955" spans="1:27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</row>
    <row r="956" spans="1:27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</row>
    <row r="957" spans="1:27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</row>
    <row r="958" spans="1:27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</row>
    <row r="959" spans="1:27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</row>
    <row r="960" spans="1:27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</row>
    <row r="961" spans="1:27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</row>
    <row r="962" spans="1:27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</row>
    <row r="963" spans="1:27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</row>
    <row r="964" spans="1:27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</row>
    <row r="965" spans="1:27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</row>
    <row r="966" spans="1:27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</row>
    <row r="967" spans="1:27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</row>
    <row r="968" spans="1:27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</row>
    <row r="969" spans="1:27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</row>
    <row r="970" spans="1:27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</row>
    <row r="971" spans="1:27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</row>
    <row r="972" spans="1:27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</row>
    <row r="973" spans="1:27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</row>
    <row r="974" spans="1:27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</row>
    <row r="975" spans="1:27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</row>
    <row r="976" spans="1:27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</row>
    <row r="977" spans="1:27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</row>
    <row r="978" spans="1:27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</row>
    <row r="979" spans="1:27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</row>
    <row r="980" spans="1:27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</row>
    <row r="981" spans="1:27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</row>
    <row r="982" spans="1:27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</row>
    <row r="983" spans="1:27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</row>
    <row r="984" spans="1:27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</row>
    <row r="985" spans="1:27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</row>
    <row r="986" spans="1:27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</row>
    <row r="987" spans="1:27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</row>
    <row r="988" spans="1:27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</row>
    <row r="989" spans="1:27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</row>
    <row r="990" spans="1:27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</row>
    <row r="991" spans="1:27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</row>
    <row r="992" spans="1:27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</row>
    <row r="993" spans="1:27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</row>
    <row r="994" spans="1:27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</row>
    <row r="995" spans="1:27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</row>
    <row r="996" spans="1:27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</row>
    <row r="997" spans="1:27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</row>
    <row r="998" spans="1:27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</row>
    <row r="999" spans="1:27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</row>
    <row r="1000" spans="1:27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C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B6D4E-73F7-4000-9CA5-5021557E7762}">
  <dimension ref="A1:AB1000"/>
  <sheetViews>
    <sheetView topLeftCell="B1" workbookViewId="0">
      <pane ySplit="12" topLeftCell="A304" activePane="bottomLeft" state="frozen"/>
      <selection pane="bottomLeft" activeCell="F322" sqref="F322"/>
    </sheetView>
  </sheetViews>
  <sheetFormatPr defaultColWidth="14.42578125" defaultRowHeight="15" customHeight="1" x14ac:dyDescent="0.25"/>
  <cols>
    <col min="1" max="1" width="181.5703125" style="344" hidden="1" customWidth="1"/>
    <col min="2" max="2" width="58.85546875" style="344" customWidth="1"/>
    <col min="3" max="3" width="17.42578125" style="344" customWidth="1"/>
    <col min="4" max="4" width="18.42578125" style="344" customWidth="1"/>
    <col min="5" max="5" width="19.85546875" style="344" customWidth="1"/>
    <col min="6" max="6" width="16.42578125" style="344" customWidth="1"/>
    <col min="7" max="7" width="15.140625" style="344" customWidth="1"/>
    <col min="8" max="8" width="13" style="344" customWidth="1"/>
    <col min="9" max="9" width="14.7109375" style="344" customWidth="1"/>
    <col min="10" max="19" width="12.7109375" style="344" customWidth="1"/>
    <col min="20" max="20" width="15.7109375" style="344" customWidth="1"/>
    <col min="21" max="21" width="14.42578125" style="344" bestFit="1" customWidth="1"/>
    <col min="22" max="22" width="13.85546875" style="344" customWidth="1"/>
    <col min="23" max="23" width="18" style="344" customWidth="1"/>
    <col min="24" max="24" width="12.42578125" style="344" customWidth="1"/>
    <col min="25" max="25" width="13.5703125" style="344" customWidth="1"/>
    <col min="26" max="26" width="11.85546875" style="344" customWidth="1"/>
    <col min="27" max="27" width="14.5703125" style="344" customWidth="1"/>
    <col min="28" max="28" width="8.7109375" style="344" customWidth="1"/>
    <col min="29" max="16384" width="14.42578125" style="344"/>
  </cols>
  <sheetData>
    <row r="1" spans="1:28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</row>
    <row r="2" spans="1:28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  <c r="AB2" s="342"/>
    </row>
    <row r="3" spans="1:28" ht="15" customHeight="1" x14ac:dyDescent="0.25">
      <c r="A3" s="515" t="s">
        <v>92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  <c r="AB3" s="342"/>
    </row>
    <row r="4" spans="1:28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  <c r="AB4" s="342"/>
    </row>
    <row r="5" spans="1:28" ht="12" customHeight="1" x14ac:dyDescent="0.25">
      <c r="A5" s="345"/>
      <c r="B5" s="346" t="s">
        <v>1075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  <c r="AB5" s="342"/>
    </row>
    <row r="6" spans="1:28" ht="12" customHeight="1" x14ac:dyDescent="0.25">
      <c r="A6" s="345"/>
      <c r="B6" s="346" t="s">
        <v>1076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  <c r="AB6" s="342"/>
    </row>
    <row r="7" spans="1:28" ht="12" customHeight="1" x14ac:dyDescent="0.25">
      <c r="A7" s="345"/>
      <c r="B7" s="518" t="s">
        <v>1088</v>
      </c>
      <c r="C7" s="519"/>
      <c r="D7" s="519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  <c r="AB7" s="342"/>
    </row>
    <row r="8" spans="1:28" ht="12" customHeight="1" x14ac:dyDescent="0.25">
      <c r="A8" s="345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  <c r="AB8" s="342"/>
    </row>
    <row r="9" spans="1:28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  <c r="AB9" s="342"/>
    </row>
    <row r="10" spans="1:28" ht="12" customHeight="1" x14ac:dyDescent="0.25">
      <c r="A10" s="511"/>
      <c r="B10" s="514" t="s">
        <v>1089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  <c r="AB10" s="342"/>
    </row>
    <row r="11" spans="1:28" ht="12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  <c r="AB11" s="342"/>
    </row>
    <row r="12" spans="1:28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  <c r="AB12" s="342"/>
    </row>
    <row r="13" spans="1:28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  <c r="AB13" s="359"/>
    </row>
    <row r="14" spans="1:28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  <c r="AB14" s="367"/>
    </row>
    <row r="15" spans="1:28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  <c r="AB15" s="359"/>
    </row>
    <row r="16" spans="1:28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  <c r="AB16" s="359"/>
    </row>
    <row r="17" spans="1:28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  <c r="AB17" s="359"/>
    </row>
    <row r="18" spans="1:28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  <c r="AB18" s="359"/>
    </row>
    <row r="19" spans="1:28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  <c r="AB19" s="359"/>
    </row>
    <row r="20" spans="1:28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  <c r="AB20" s="359"/>
    </row>
    <row r="21" spans="1:28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  <c r="AB21" s="359"/>
    </row>
    <row r="22" spans="1:28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  <c r="AB22" s="359"/>
    </row>
    <row r="23" spans="1:28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59"/>
    </row>
    <row r="24" spans="1:28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  <c r="AB24" s="359"/>
    </row>
    <row r="25" spans="1:28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  <c r="AB25" s="359"/>
    </row>
    <row r="26" spans="1:28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  <c r="AB26" s="359"/>
    </row>
    <row r="27" spans="1:28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  <c r="AB27" s="367"/>
    </row>
    <row r="28" spans="1:28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  <c r="AB28" s="359"/>
    </row>
    <row r="29" spans="1:28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  <c r="AB29" s="359"/>
    </row>
    <row r="30" spans="1:28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  <c r="AB30" s="359"/>
    </row>
    <row r="31" spans="1:28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  <c r="AB31" s="359"/>
    </row>
    <row r="32" spans="1:28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59"/>
    </row>
    <row r="33" spans="1:28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  <c r="AB33" s="359"/>
    </row>
    <row r="34" spans="1:28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59"/>
    </row>
    <row r="35" spans="1:28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  <c r="AB35" s="359"/>
    </row>
    <row r="36" spans="1:28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  <c r="AB36" s="359"/>
    </row>
    <row r="37" spans="1:28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  <c r="AB37" s="367"/>
    </row>
    <row r="38" spans="1:28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  <c r="AB38" s="367"/>
    </row>
    <row r="39" spans="1:28" ht="12" customHeight="1" x14ac:dyDescent="0.25">
      <c r="A39" s="354"/>
      <c r="B39" s="355" t="s">
        <v>430</v>
      </c>
      <c r="C39" s="356">
        <v>0</v>
      </c>
      <c r="D39" s="356">
        <v>0</v>
      </c>
      <c r="E39" s="356">
        <v>0</v>
      </c>
      <c r="F39" s="356">
        <v>0</v>
      </c>
      <c r="G39" s="356">
        <v>0</v>
      </c>
      <c r="H39" s="356">
        <v>0</v>
      </c>
      <c r="I39" s="356">
        <v>0</v>
      </c>
      <c r="J39" s="356">
        <v>0</v>
      </c>
      <c r="K39" s="356">
        <v>0</v>
      </c>
      <c r="L39" s="356">
        <v>0</v>
      </c>
      <c r="M39" s="356">
        <v>0</v>
      </c>
      <c r="N39" s="356">
        <v>0</v>
      </c>
      <c r="O39" s="356">
        <v>0</v>
      </c>
      <c r="P39" s="356">
        <v>0</v>
      </c>
      <c r="Q39" s="356">
        <v>0</v>
      </c>
      <c r="R39" s="356">
        <v>0</v>
      </c>
      <c r="S39" s="356">
        <v>0</v>
      </c>
      <c r="T39" s="357">
        <v>0</v>
      </c>
      <c r="U39" s="358" t="e">
        <v>#DIV/0!</v>
      </c>
      <c r="V39" s="357">
        <v>0</v>
      </c>
      <c r="W39" s="357">
        <v>0</v>
      </c>
      <c r="X39" s="357">
        <v>0</v>
      </c>
      <c r="Y39" s="357">
        <v>0</v>
      </c>
      <c r="Z39" s="357">
        <v>0</v>
      </c>
      <c r="AA39" s="357">
        <v>0</v>
      </c>
      <c r="AB39" s="367"/>
    </row>
    <row r="40" spans="1:28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  <c r="AB40" s="367"/>
    </row>
    <row r="41" spans="1:28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  <c r="AB41" s="367"/>
    </row>
    <row r="42" spans="1:28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  <c r="AB42" s="367"/>
    </row>
    <row r="43" spans="1:28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  <c r="AB43" s="359"/>
    </row>
    <row r="44" spans="1:28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  <c r="AB44" s="359"/>
    </row>
    <row r="45" spans="1:28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  <c r="AB45" s="367"/>
    </row>
    <row r="46" spans="1:28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  <c r="AB46" s="359"/>
    </row>
    <row r="47" spans="1:28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  <c r="AB47" s="359"/>
    </row>
    <row r="48" spans="1:28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  <c r="AB48" s="359"/>
    </row>
    <row r="49" spans="1:28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  <c r="AB49" s="359"/>
    </row>
    <row r="50" spans="1:28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  <c r="AB50" s="367"/>
    </row>
    <row r="51" spans="1:28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  <c r="AB51" s="359"/>
    </row>
    <row r="52" spans="1:28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  <c r="AB52" s="359"/>
    </row>
    <row r="53" spans="1:28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  <c r="AB53" s="359"/>
    </row>
    <row r="54" spans="1:28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59"/>
    </row>
    <row r="55" spans="1:28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  <c r="AB55" s="367"/>
    </row>
    <row r="56" spans="1:28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  <c r="AB56" s="367"/>
    </row>
    <row r="57" spans="1:28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  <c r="AB57" s="367"/>
    </row>
    <row r="58" spans="1:28" ht="12" customHeight="1" x14ac:dyDescent="0.25">
      <c r="A58" s="354" t="s">
        <v>1158</v>
      </c>
      <c r="B58" s="360" t="s">
        <v>449</v>
      </c>
      <c r="C58" s="362">
        <v>0</v>
      </c>
      <c r="D58" s="362">
        <v>0</v>
      </c>
      <c r="E58" s="362">
        <v>0</v>
      </c>
      <c r="F58" s="362">
        <v>0</v>
      </c>
      <c r="G58" s="362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  <c r="AB58" s="367"/>
    </row>
    <row r="59" spans="1:28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  <c r="AB59" s="367"/>
    </row>
    <row r="60" spans="1:28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  <c r="AB60" s="359"/>
    </row>
    <row r="61" spans="1:28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  <c r="AB61" s="359"/>
    </row>
    <row r="62" spans="1:28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  <c r="AB62" s="359"/>
    </row>
    <row r="63" spans="1:28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  <c r="AB63" s="359"/>
    </row>
    <row r="64" spans="1:28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  <c r="AB64" s="359"/>
    </row>
    <row r="65" spans="1:28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  <c r="AB65" s="359"/>
    </row>
    <row r="66" spans="1:28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  <c r="AB66" s="359"/>
    </row>
    <row r="67" spans="1:28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  <c r="AB67" s="359"/>
    </row>
    <row r="68" spans="1:28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  <c r="AB68" s="359"/>
    </row>
    <row r="69" spans="1:28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  <c r="AB69" s="359"/>
    </row>
    <row r="70" spans="1:28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  <c r="AB70" s="359"/>
    </row>
    <row r="71" spans="1:28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  <c r="AB71" s="359"/>
    </row>
    <row r="72" spans="1:28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  <c r="AB72" s="359"/>
    </row>
    <row r="73" spans="1:28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  <c r="AB73" s="359"/>
    </row>
    <row r="74" spans="1:28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  <c r="AB74" s="359"/>
    </row>
    <row r="75" spans="1:28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  <c r="AB75" s="367"/>
    </row>
    <row r="76" spans="1:28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  <c r="AB76" s="367"/>
    </row>
    <row r="77" spans="1:28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  <c r="AB77" s="367"/>
    </row>
    <row r="78" spans="1:28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  <c r="AB78" s="367"/>
    </row>
    <row r="79" spans="1:28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  <c r="AB79" s="359"/>
    </row>
    <row r="80" spans="1:28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  <c r="AB80" s="359"/>
    </row>
    <row r="81" spans="1:28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  <c r="AB81" s="359"/>
    </row>
    <row r="82" spans="1:28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  <c r="AB82" s="359"/>
    </row>
    <row r="83" spans="1:28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  <c r="AB83" s="359"/>
    </row>
    <row r="84" spans="1:28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  <c r="AB84" s="359"/>
    </row>
    <row r="85" spans="1:28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  <c r="AB85" s="359"/>
    </row>
    <row r="86" spans="1:28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  <c r="AB86" s="359"/>
    </row>
    <row r="87" spans="1:28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  <c r="AB87" s="359"/>
    </row>
    <row r="88" spans="1:28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  <c r="AB88" s="359"/>
    </row>
    <row r="89" spans="1:28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  <c r="AB89" s="359"/>
    </row>
    <row r="90" spans="1:28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  <c r="AB90" s="359"/>
    </row>
    <row r="91" spans="1:28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  <c r="AB91" s="359"/>
    </row>
    <row r="92" spans="1:28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59"/>
    </row>
    <row r="93" spans="1:28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59"/>
    </row>
    <row r="94" spans="1:28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  <c r="AB94" s="359"/>
    </row>
    <row r="95" spans="1:28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  <c r="AB95" s="359"/>
    </row>
    <row r="96" spans="1:28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  <c r="AB96" s="359"/>
    </row>
    <row r="97" spans="1:28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  <c r="AB97" s="359"/>
    </row>
    <row r="98" spans="1:28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  <c r="AB98" s="359"/>
    </row>
    <row r="99" spans="1:28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  <c r="AB99" s="359"/>
    </row>
    <row r="100" spans="1:28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  <c r="AB100" s="359"/>
    </row>
    <row r="101" spans="1:28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59"/>
    </row>
    <row r="102" spans="1:28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59"/>
    </row>
    <row r="103" spans="1:28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  <c r="AB103" s="359"/>
    </row>
    <row r="104" spans="1:28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  <c r="AB104" s="359"/>
    </row>
    <row r="105" spans="1:28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  <c r="AB105" s="359"/>
    </row>
    <row r="106" spans="1:28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  <c r="AB106" s="359"/>
    </row>
    <row r="107" spans="1:28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  <c r="AB107" s="359"/>
    </row>
    <row r="108" spans="1:28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  <c r="AB108" s="359"/>
    </row>
    <row r="109" spans="1:28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  <c r="AB109" s="359"/>
    </row>
    <row r="110" spans="1:28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  <c r="AB110" s="359"/>
    </row>
    <row r="111" spans="1:28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  <c r="AB111" s="359"/>
    </row>
    <row r="112" spans="1:28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  <c r="AB112" s="359"/>
    </row>
    <row r="113" spans="1:28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  <c r="AB113" s="359"/>
    </row>
    <row r="114" spans="1:28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  <c r="AB114" s="359"/>
    </row>
    <row r="115" spans="1:28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  <c r="AB115" s="359"/>
    </row>
    <row r="116" spans="1:28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  <c r="AB116" s="359"/>
    </row>
    <row r="117" spans="1:28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  <c r="AB117" s="359"/>
    </row>
    <row r="118" spans="1:28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  <c r="AB118" s="359"/>
    </row>
    <row r="119" spans="1:28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  <c r="AB119" s="359"/>
    </row>
    <row r="120" spans="1:28" ht="12" customHeight="1" x14ac:dyDescent="0.25">
      <c r="A120" s="354"/>
      <c r="B120" s="360" t="s">
        <v>511</v>
      </c>
      <c r="C120" s="361">
        <v>0</v>
      </c>
      <c r="D120" s="361">
        <v>0</v>
      </c>
      <c r="E120" s="361">
        <v>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 t="e">
        <v>#DIV/0!</v>
      </c>
      <c r="V120" s="362">
        <v>0</v>
      </c>
      <c r="W120" s="362">
        <v>0</v>
      </c>
      <c r="X120" s="362">
        <v>0</v>
      </c>
      <c r="Y120" s="362">
        <v>0</v>
      </c>
      <c r="Z120" s="362">
        <v>0</v>
      </c>
      <c r="AA120" s="362">
        <v>0</v>
      </c>
      <c r="AB120" s="359"/>
    </row>
    <row r="121" spans="1:28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  <c r="AB121" s="359"/>
    </row>
    <row r="122" spans="1:28" ht="12" customHeight="1" x14ac:dyDescent="0.25">
      <c r="A122" s="354" t="s">
        <v>1214</v>
      </c>
      <c r="B122" s="354" t="s">
        <v>513</v>
      </c>
      <c r="C122" s="365">
        <v>0</v>
      </c>
      <c r="D122" s="365">
        <v>0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 t="e">
        <v>#DIV/0!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  <c r="AB122" s="359"/>
    </row>
    <row r="123" spans="1:28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  <c r="AB123" s="367"/>
    </row>
    <row r="124" spans="1:28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  <c r="AB124" s="359"/>
    </row>
    <row r="125" spans="1:28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  <c r="AB125" s="359"/>
    </row>
    <row r="126" spans="1:28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  <c r="AB126" s="359"/>
    </row>
    <row r="127" spans="1:28" ht="12" customHeight="1" x14ac:dyDescent="0.25">
      <c r="A127" s="354"/>
      <c r="B127" s="360" t="s">
        <v>518</v>
      </c>
      <c r="C127" s="361">
        <v>0</v>
      </c>
      <c r="D127" s="361">
        <v>0</v>
      </c>
      <c r="E127" s="361">
        <v>0</v>
      </c>
      <c r="F127" s="361">
        <v>0</v>
      </c>
      <c r="G127" s="361">
        <v>0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0</v>
      </c>
      <c r="Q127" s="361">
        <v>0</v>
      </c>
      <c r="R127" s="361">
        <v>0</v>
      </c>
      <c r="S127" s="361">
        <v>0</v>
      </c>
      <c r="T127" s="362">
        <v>0</v>
      </c>
      <c r="U127" s="363" t="e">
        <v>#DIV/0!</v>
      </c>
      <c r="V127" s="362">
        <v>0</v>
      </c>
      <c r="W127" s="362">
        <v>0</v>
      </c>
      <c r="X127" s="362">
        <v>0</v>
      </c>
      <c r="Y127" s="362">
        <v>0</v>
      </c>
      <c r="Z127" s="362">
        <v>0</v>
      </c>
      <c r="AA127" s="362">
        <v>0</v>
      </c>
      <c r="AB127" s="359"/>
    </row>
    <row r="128" spans="1:28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  <c r="AB128" s="359"/>
    </row>
    <row r="129" spans="1:28" ht="12" customHeight="1" x14ac:dyDescent="0.25">
      <c r="A129" s="354" t="s">
        <v>1219</v>
      </c>
      <c r="B129" s="354" t="s">
        <v>520</v>
      </c>
      <c r="C129" s="365">
        <v>0</v>
      </c>
      <c r="D129" s="365">
        <v>0</v>
      </c>
      <c r="E129" s="365">
        <v>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  <c r="S129" s="365">
        <v>0</v>
      </c>
      <c r="T129" s="365">
        <v>0</v>
      </c>
      <c r="U129" s="366" t="e">
        <v>#DIV/0!</v>
      </c>
      <c r="V129" s="365">
        <v>0</v>
      </c>
      <c r="W129" s="365">
        <v>0</v>
      </c>
      <c r="X129" s="365">
        <v>0</v>
      </c>
      <c r="Y129" s="365">
        <v>0</v>
      </c>
      <c r="Z129" s="365">
        <v>0</v>
      </c>
      <c r="AA129" s="365">
        <v>0</v>
      </c>
      <c r="AB129" s="359"/>
    </row>
    <row r="130" spans="1:28" ht="12" customHeight="1" x14ac:dyDescent="0.25">
      <c r="A130" s="354"/>
      <c r="B130" s="360" t="s">
        <v>521</v>
      </c>
      <c r="C130" s="361">
        <v>0</v>
      </c>
      <c r="D130" s="361">
        <v>0</v>
      </c>
      <c r="E130" s="361">
        <v>0</v>
      </c>
      <c r="F130" s="361">
        <v>0</v>
      </c>
      <c r="G130" s="361">
        <v>0</v>
      </c>
      <c r="H130" s="361">
        <v>0</v>
      </c>
      <c r="I130" s="361">
        <v>0</v>
      </c>
      <c r="J130" s="361">
        <v>0</v>
      </c>
      <c r="K130" s="361">
        <v>0</v>
      </c>
      <c r="L130" s="361">
        <v>0</v>
      </c>
      <c r="M130" s="361">
        <v>0</v>
      </c>
      <c r="N130" s="361">
        <v>0</v>
      </c>
      <c r="O130" s="361">
        <v>0</v>
      </c>
      <c r="P130" s="361">
        <v>0</v>
      </c>
      <c r="Q130" s="361">
        <v>0</v>
      </c>
      <c r="R130" s="361">
        <v>0</v>
      </c>
      <c r="S130" s="361">
        <v>0</v>
      </c>
      <c r="T130" s="362">
        <v>0</v>
      </c>
      <c r="U130" s="363" t="e">
        <v>#DIV/0!</v>
      </c>
      <c r="V130" s="362">
        <v>0</v>
      </c>
      <c r="W130" s="362">
        <v>0</v>
      </c>
      <c r="X130" s="362">
        <v>0</v>
      </c>
      <c r="Y130" s="362">
        <v>0</v>
      </c>
      <c r="Z130" s="362">
        <v>0</v>
      </c>
      <c r="AA130" s="362">
        <v>0</v>
      </c>
      <c r="AB130" s="359"/>
    </row>
    <row r="131" spans="1:28" ht="12" customHeight="1" x14ac:dyDescent="0.25">
      <c r="A131" s="354" t="s">
        <v>1220</v>
      </c>
      <c r="B131" s="364" t="s">
        <v>522</v>
      </c>
      <c r="C131" s="365">
        <v>0</v>
      </c>
      <c r="D131" s="365">
        <v>0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5">
        <v>0</v>
      </c>
      <c r="L131" s="365">
        <v>0</v>
      </c>
      <c r="M131" s="365">
        <v>0</v>
      </c>
      <c r="N131" s="365">
        <v>0</v>
      </c>
      <c r="O131" s="365">
        <v>0</v>
      </c>
      <c r="P131" s="365">
        <v>0</v>
      </c>
      <c r="Q131" s="365">
        <v>0</v>
      </c>
      <c r="R131" s="365">
        <v>0</v>
      </c>
      <c r="S131" s="365">
        <v>0</v>
      </c>
      <c r="T131" s="365">
        <v>0</v>
      </c>
      <c r="U131" s="366" t="e">
        <v>#DIV/0!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  <c r="AB131" s="359"/>
    </row>
    <row r="132" spans="1:28" ht="12" customHeight="1" x14ac:dyDescent="0.25">
      <c r="A132" s="354" t="s">
        <v>1221</v>
      </c>
      <c r="B132" s="364" t="s">
        <v>523</v>
      </c>
      <c r="C132" s="365">
        <v>0</v>
      </c>
      <c r="D132" s="365">
        <v>0</v>
      </c>
      <c r="E132" s="365">
        <v>0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 t="e">
        <v>#DIV/0!</v>
      </c>
      <c r="V132" s="365">
        <v>0</v>
      </c>
      <c r="W132" s="365">
        <v>0</v>
      </c>
      <c r="X132" s="365">
        <v>0</v>
      </c>
      <c r="Y132" s="365">
        <v>0</v>
      </c>
      <c r="Z132" s="365">
        <v>0</v>
      </c>
      <c r="AA132" s="365">
        <v>0</v>
      </c>
      <c r="AB132" s="359"/>
    </row>
    <row r="133" spans="1:28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  <c r="AB133" s="359"/>
    </row>
    <row r="134" spans="1:28" ht="12" customHeight="1" x14ac:dyDescent="0.25">
      <c r="A134" s="354"/>
      <c r="B134" s="360" t="s">
        <v>525</v>
      </c>
      <c r="C134" s="361">
        <v>0</v>
      </c>
      <c r="D134" s="361">
        <v>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0</v>
      </c>
      <c r="U134" s="363" t="e">
        <v>#DIV/0!</v>
      </c>
      <c r="V134" s="362">
        <v>0</v>
      </c>
      <c r="W134" s="362">
        <v>0</v>
      </c>
      <c r="X134" s="362">
        <v>0</v>
      </c>
      <c r="Y134" s="362">
        <v>0</v>
      </c>
      <c r="Z134" s="362">
        <v>0</v>
      </c>
      <c r="AA134" s="362">
        <v>0</v>
      </c>
      <c r="AB134" s="359"/>
    </row>
    <row r="135" spans="1:28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  <c r="AB135" s="359"/>
    </row>
    <row r="136" spans="1:28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  <c r="AB136" s="359"/>
    </row>
    <row r="137" spans="1:28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  <c r="AB137" s="359"/>
    </row>
    <row r="138" spans="1:28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  <c r="AB138" s="359"/>
    </row>
    <row r="139" spans="1:28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  <c r="AB139" s="359"/>
    </row>
    <row r="140" spans="1:28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  <c r="AB140" s="359"/>
    </row>
    <row r="141" spans="1:28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  <c r="AB141" s="359"/>
    </row>
    <row r="142" spans="1:28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  <c r="AB142" s="367"/>
    </row>
    <row r="143" spans="1:28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  <c r="AB143" s="367"/>
    </row>
    <row r="144" spans="1:28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  <c r="AB144" s="359"/>
    </row>
    <row r="145" spans="1:28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  <c r="AB145" s="359"/>
    </row>
    <row r="146" spans="1:28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  <c r="AB146" s="359"/>
    </row>
    <row r="147" spans="1:28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  <c r="AB147" s="359"/>
    </row>
    <row r="148" spans="1:28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  <c r="AB148" s="359"/>
    </row>
    <row r="149" spans="1:28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  <c r="AB149" s="359"/>
    </row>
    <row r="150" spans="1:28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  <c r="AB150" s="359"/>
    </row>
    <row r="151" spans="1:28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  <c r="AB151" s="367"/>
    </row>
    <row r="152" spans="1:28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  <c r="AB152" s="367"/>
    </row>
    <row r="153" spans="1:28" ht="12" customHeight="1" x14ac:dyDescent="0.25">
      <c r="A153" s="354"/>
      <c r="B153" s="360" t="s">
        <v>544</v>
      </c>
      <c r="C153" s="361">
        <v>0</v>
      </c>
      <c r="D153" s="361">
        <v>0</v>
      </c>
      <c r="E153" s="361">
        <v>0</v>
      </c>
      <c r="F153" s="361">
        <v>0</v>
      </c>
      <c r="G153" s="361">
        <v>0</v>
      </c>
      <c r="H153" s="361">
        <v>0</v>
      </c>
      <c r="I153" s="361">
        <v>0</v>
      </c>
      <c r="J153" s="361">
        <v>0</v>
      </c>
      <c r="K153" s="361">
        <v>0</v>
      </c>
      <c r="L153" s="361">
        <v>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0</v>
      </c>
      <c r="U153" s="363" t="e">
        <v>#DIV/0!</v>
      </c>
      <c r="V153" s="362">
        <v>0</v>
      </c>
      <c r="W153" s="362">
        <v>0</v>
      </c>
      <c r="X153" s="362">
        <v>0</v>
      </c>
      <c r="Y153" s="362">
        <v>0</v>
      </c>
      <c r="Z153" s="362">
        <v>0</v>
      </c>
      <c r="AA153" s="362">
        <v>0</v>
      </c>
      <c r="AB153" s="359"/>
    </row>
    <row r="154" spans="1:28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  <c r="AB154" s="359"/>
    </row>
    <row r="155" spans="1:28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  <c r="AB155" s="359"/>
    </row>
    <row r="156" spans="1:28" ht="12" customHeight="1" x14ac:dyDescent="0.25">
      <c r="A156" s="354" t="s">
        <v>1242</v>
      </c>
      <c r="B156" s="354" t="s">
        <v>547</v>
      </c>
      <c r="C156" s="365">
        <v>0</v>
      </c>
      <c r="D156" s="365">
        <v>0</v>
      </c>
      <c r="E156" s="365">
        <v>0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0</v>
      </c>
      <c r="U156" s="366" t="e">
        <v>#DIV/0!</v>
      </c>
      <c r="V156" s="365">
        <v>0</v>
      </c>
      <c r="W156" s="365">
        <v>0</v>
      </c>
      <c r="X156" s="365">
        <v>0</v>
      </c>
      <c r="Y156" s="365">
        <v>0</v>
      </c>
      <c r="Z156" s="365">
        <v>0</v>
      </c>
      <c r="AA156" s="365">
        <v>0</v>
      </c>
      <c r="AB156" s="359"/>
    </row>
    <row r="157" spans="1:28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  <c r="AB157" s="359"/>
    </row>
    <row r="158" spans="1:28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  <c r="AB158" s="359"/>
    </row>
    <row r="159" spans="1:28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  <c r="AB159" s="359"/>
    </row>
    <row r="160" spans="1:28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  <c r="AB160" s="359"/>
    </row>
    <row r="161" spans="1:28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  <c r="AB161" s="359"/>
    </row>
    <row r="162" spans="1:28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  <c r="AB162" s="359"/>
    </row>
    <row r="163" spans="1:28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  <c r="AB163" s="359"/>
    </row>
    <row r="164" spans="1:28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  <c r="AB164" s="359"/>
    </row>
    <row r="165" spans="1:28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  <c r="AB165" s="359"/>
    </row>
    <row r="166" spans="1:28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  <c r="AB166" s="359"/>
    </row>
    <row r="167" spans="1:28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  <c r="AB167" s="359"/>
    </row>
    <row r="168" spans="1:28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  <c r="AB168" s="359"/>
    </row>
    <row r="169" spans="1:28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  <c r="AB169" s="359"/>
    </row>
    <row r="170" spans="1:28" ht="12" customHeight="1" x14ac:dyDescent="0.25">
      <c r="A170" s="354"/>
      <c r="B170" s="355" t="s">
        <v>561</v>
      </c>
      <c r="C170" s="356">
        <v>104250000</v>
      </c>
      <c r="D170" s="356">
        <v>104250000</v>
      </c>
      <c r="E170" s="356">
        <v>104250000</v>
      </c>
      <c r="F170" s="356">
        <v>70606713.258999988</v>
      </c>
      <c r="G170" s="356">
        <v>70294130.858999997</v>
      </c>
      <c r="H170" s="356">
        <v>985188.02</v>
      </c>
      <c r="I170" s="356">
        <v>997291.91999999993</v>
      </c>
      <c r="J170" s="356">
        <v>22053543.699999996</v>
      </c>
      <c r="K170" s="356">
        <v>1025822.88</v>
      </c>
      <c r="L170" s="356">
        <v>974895.32</v>
      </c>
      <c r="M170" s="356">
        <v>20995566.375</v>
      </c>
      <c r="N170" s="356">
        <v>963796.19000000006</v>
      </c>
      <c r="O170" s="356">
        <v>869250.5</v>
      </c>
      <c r="P170" s="356">
        <v>21398415.954</v>
      </c>
      <c r="Q170" s="356">
        <v>0</v>
      </c>
      <c r="R170" s="356">
        <v>0</v>
      </c>
      <c r="S170" s="356">
        <v>0</v>
      </c>
      <c r="T170" s="357">
        <v>70263770.858999997</v>
      </c>
      <c r="U170" s="358">
        <v>0.67399300584172661</v>
      </c>
      <c r="V170" s="357">
        <v>33986229.141000003</v>
      </c>
      <c r="W170" s="357">
        <v>0</v>
      </c>
      <c r="X170" s="357">
        <v>33643286.741000012</v>
      </c>
      <c r="Y170" s="357">
        <v>33643286.741000012</v>
      </c>
      <c r="Z170" s="357">
        <v>312582.39999999106</v>
      </c>
      <c r="AA170" s="357">
        <v>30360</v>
      </c>
      <c r="AB170" s="359"/>
    </row>
    <row r="171" spans="1:28" ht="12" customHeight="1" x14ac:dyDescent="0.25">
      <c r="A171" s="354"/>
      <c r="B171" s="360" t="s">
        <v>562</v>
      </c>
      <c r="C171" s="361">
        <v>0</v>
      </c>
      <c r="D171" s="361">
        <v>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 t="e">
        <v>#DIV/0!</v>
      </c>
      <c r="V171" s="362">
        <v>0</v>
      </c>
      <c r="W171" s="362">
        <v>0</v>
      </c>
      <c r="X171" s="362">
        <v>0</v>
      </c>
      <c r="Y171" s="362">
        <v>0</v>
      </c>
      <c r="Z171" s="362">
        <v>0</v>
      </c>
      <c r="AA171" s="362">
        <v>0</v>
      </c>
      <c r="AB171" s="359"/>
    </row>
    <row r="172" spans="1:28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  <c r="AB172" s="359"/>
    </row>
    <row r="173" spans="1:28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  <c r="AB173" s="359"/>
    </row>
    <row r="174" spans="1:28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  <c r="AB174" s="359"/>
    </row>
    <row r="175" spans="1:28" ht="12" customHeight="1" x14ac:dyDescent="0.25">
      <c r="A175" s="354"/>
      <c r="B175" s="354" t="s">
        <v>1257</v>
      </c>
      <c r="C175" s="365">
        <v>0</v>
      </c>
      <c r="D175" s="365">
        <v>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 t="e">
        <v>#DIV/0!</v>
      </c>
      <c r="V175" s="365">
        <v>0</v>
      </c>
      <c r="W175" s="365">
        <v>0</v>
      </c>
      <c r="X175" s="365">
        <v>0</v>
      </c>
      <c r="Y175" s="365">
        <v>0</v>
      </c>
      <c r="Z175" s="365">
        <v>0</v>
      </c>
      <c r="AA175" s="365">
        <v>0</v>
      </c>
      <c r="AB175" s="359"/>
    </row>
    <row r="176" spans="1:28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  <c r="AB176" s="359"/>
    </row>
    <row r="177" spans="1:28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  <c r="AB177" s="359"/>
    </row>
    <row r="178" spans="1:28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  <c r="AB178" s="359"/>
    </row>
    <row r="179" spans="1:28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  <c r="AB179" s="359"/>
    </row>
    <row r="180" spans="1:28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  <c r="AB180" s="359"/>
    </row>
    <row r="181" spans="1:28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  <c r="AB181" s="359"/>
    </row>
    <row r="182" spans="1:28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  <c r="AB182" s="359"/>
    </row>
    <row r="183" spans="1:28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  <c r="AB183" s="359"/>
    </row>
    <row r="184" spans="1:28" ht="12" customHeight="1" x14ac:dyDescent="0.25">
      <c r="A184" s="354"/>
      <c r="B184" s="360" t="s">
        <v>572</v>
      </c>
      <c r="C184" s="361">
        <v>104250000</v>
      </c>
      <c r="D184" s="361">
        <v>104250000</v>
      </c>
      <c r="E184" s="361">
        <v>104250000</v>
      </c>
      <c r="F184" s="361">
        <v>70606713.258999988</v>
      </c>
      <c r="G184" s="361">
        <v>70294130.858999997</v>
      </c>
      <c r="H184" s="361">
        <v>985188.02</v>
      </c>
      <c r="I184" s="361">
        <v>997291.91999999993</v>
      </c>
      <c r="J184" s="361">
        <v>22053543.699999996</v>
      </c>
      <c r="K184" s="361">
        <v>1025822.88</v>
      </c>
      <c r="L184" s="361">
        <v>974895.32</v>
      </c>
      <c r="M184" s="361">
        <v>20995566.375</v>
      </c>
      <c r="N184" s="361">
        <v>963796.19000000006</v>
      </c>
      <c r="O184" s="361">
        <v>869250.5</v>
      </c>
      <c r="P184" s="361">
        <v>21398415.954</v>
      </c>
      <c r="Q184" s="361">
        <v>0</v>
      </c>
      <c r="R184" s="361">
        <v>0</v>
      </c>
      <c r="S184" s="361">
        <v>0</v>
      </c>
      <c r="T184" s="362">
        <v>70263770.858999997</v>
      </c>
      <c r="U184" s="363">
        <v>0.67399300584172661</v>
      </c>
      <c r="V184" s="362">
        <v>33986229.141000003</v>
      </c>
      <c r="W184" s="362">
        <v>0</v>
      </c>
      <c r="X184" s="362">
        <v>33643286.741000012</v>
      </c>
      <c r="Y184" s="362">
        <v>33643286.741000012</v>
      </c>
      <c r="Z184" s="362">
        <v>312582.39999999106</v>
      </c>
      <c r="AA184" s="362">
        <v>30360</v>
      </c>
      <c r="AB184" s="359"/>
    </row>
    <row r="185" spans="1:28" ht="12" customHeight="1" x14ac:dyDescent="0.25">
      <c r="A185" s="354" t="s">
        <v>1267</v>
      </c>
      <c r="B185" s="354" t="s">
        <v>573</v>
      </c>
      <c r="C185" s="365">
        <v>8083440</v>
      </c>
      <c r="D185" s="365">
        <v>8903440</v>
      </c>
      <c r="E185" s="365">
        <v>8903440</v>
      </c>
      <c r="F185" s="365">
        <v>7097978.7999999998</v>
      </c>
      <c r="G185" s="365">
        <v>7004199.8499999996</v>
      </c>
      <c r="H185" s="365">
        <v>868100</v>
      </c>
      <c r="I185" s="365">
        <v>88800</v>
      </c>
      <c r="J185" s="365">
        <v>1733040</v>
      </c>
      <c r="K185" s="365">
        <v>88920</v>
      </c>
      <c r="L185" s="365">
        <v>85620</v>
      </c>
      <c r="M185" s="365">
        <v>1671000</v>
      </c>
      <c r="N185" s="365">
        <v>816340</v>
      </c>
      <c r="O185" s="365">
        <v>-10738.949999999997</v>
      </c>
      <c r="P185" s="365">
        <v>1663118.8</v>
      </c>
      <c r="Q185" s="365">
        <v>0</v>
      </c>
      <c r="R185" s="365">
        <v>0</v>
      </c>
      <c r="S185" s="365">
        <v>0</v>
      </c>
      <c r="T185" s="365">
        <v>7004199.8499999996</v>
      </c>
      <c r="U185" s="366">
        <v>0.78668468030334338</v>
      </c>
      <c r="V185" s="365">
        <v>1899240.1500000004</v>
      </c>
      <c r="W185" s="365">
        <v>0</v>
      </c>
      <c r="X185" s="365">
        <v>1805461.2000000002</v>
      </c>
      <c r="Y185" s="365">
        <v>1805461.2000000002</v>
      </c>
      <c r="Z185" s="365">
        <v>93778.950000000186</v>
      </c>
      <c r="AA185" s="365">
        <v>0</v>
      </c>
      <c r="AB185" s="359"/>
    </row>
    <row r="186" spans="1:28" ht="12" customHeight="1" x14ac:dyDescent="0.25">
      <c r="A186" s="354" t="s">
        <v>1268</v>
      </c>
      <c r="B186" s="354" t="s">
        <v>574</v>
      </c>
      <c r="C186" s="365">
        <v>95646560</v>
      </c>
      <c r="D186" s="365">
        <v>94626560</v>
      </c>
      <c r="E186" s="365">
        <v>94626560</v>
      </c>
      <c r="F186" s="365">
        <v>63104338.700000003</v>
      </c>
      <c r="G186" s="365">
        <v>62886293.560000002</v>
      </c>
      <c r="H186" s="365">
        <v>88980</v>
      </c>
      <c r="I186" s="365">
        <v>868160</v>
      </c>
      <c r="J186" s="365">
        <v>20266141.149999999</v>
      </c>
      <c r="K186" s="365">
        <v>890282</v>
      </c>
      <c r="L186" s="365">
        <v>843780</v>
      </c>
      <c r="M186" s="365">
        <v>19277897.710000001</v>
      </c>
      <c r="N186" s="365">
        <v>100880</v>
      </c>
      <c r="O186" s="365">
        <v>832366</v>
      </c>
      <c r="P186" s="365">
        <v>19687446.699999999</v>
      </c>
      <c r="Q186" s="365">
        <v>0</v>
      </c>
      <c r="R186" s="365">
        <v>0</v>
      </c>
      <c r="S186" s="365">
        <v>0</v>
      </c>
      <c r="T186" s="365">
        <v>62855933.560000002</v>
      </c>
      <c r="U186" s="366">
        <v>0.6642525476990816</v>
      </c>
      <c r="V186" s="365">
        <v>31770626.439999998</v>
      </c>
      <c r="W186" s="365">
        <v>0</v>
      </c>
      <c r="X186" s="365">
        <v>31522221.299999997</v>
      </c>
      <c r="Y186" s="365">
        <v>31522221.299999997</v>
      </c>
      <c r="Z186" s="365">
        <v>218045.1400000006</v>
      </c>
      <c r="AA186" s="365">
        <v>30360</v>
      </c>
      <c r="AB186" s="359"/>
    </row>
    <row r="187" spans="1:28" ht="12" customHeight="1" x14ac:dyDescent="0.25">
      <c r="A187" s="354" t="s">
        <v>1269</v>
      </c>
      <c r="B187" s="354" t="s">
        <v>575</v>
      </c>
      <c r="C187" s="365">
        <v>156000</v>
      </c>
      <c r="D187" s="365">
        <v>18000</v>
      </c>
      <c r="E187" s="365">
        <v>18000</v>
      </c>
      <c r="F187" s="365">
        <v>9147.6149999999998</v>
      </c>
      <c r="G187" s="365">
        <v>9147.6149999999998</v>
      </c>
      <c r="H187" s="365">
        <v>860.83999999999992</v>
      </c>
      <c r="I187" s="365">
        <v>860.83999999999992</v>
      </c>
      <c r="J187" s="365">
        <v>848.99</v>
      </c>
      <c r="K187" s="365">
        <v>848.99</v>
      </c>
      <c r="L187" s="365">
        <v>1070.5</v>
      </c>
      <c r="M187" s="365">
        <v>1354.8249999999998</v>
      </c>
      <c r="N187" s="365">
        <v>1131.04</v>
      </c>
      <c r="O187" s="365">
        <v>1156.2599999999998</v>
      </c>
      <c r="P187" s="365">
        <v>1015.3299999999999</v>
      </c>
      <c r="Q187" s="365">
        <v>0</v>
      </c>
      <c r="R187" s="365">
        <v>0</v>
      </c>
      <c r="S187" s="365">
        <v>0</v>
      </c>
      <c r="T187" s="365">
        <v>9147.6149999999998</v>
      </c>
      <c r="U187" s="366">
        <v>0.50820083333333332</v>
      </c>
      <c r="V187" s="365">
        <v>8852.3850000000002</v>
      </c>
      <c r="W187" s="365">
        <v>0</v>
      </c>
      <c r="X187" s="365">
        <v>8852.3850000000002</v>
      </c>
      <c r="Y187" s="365">
        <v>8852.3850000000002</v>
      </c>
      <c r="Z187" s="365">
        <v>0</v>
      </c>
      <c r="AA187" s="365">
        <v>0</v>
      </c>
      <c r="AB187" s="359"/>
    </row>
    <row r="188" spans="1:28" ht="12" customHeight="1" x14ac:dyDescent="0.25">
      <c r="A188" s="354" t="s">
        <v>1270</v>
      </c>
      <c r="B188" s="354" t="s">
        <v>576</v>
      </c>
      <c r="C188" s="365">
        <v>364000</v>
      </c>
      <c r="D188" s="365">
        <v>702000</v>
      </c>
      <c r="E188" s="365">
        <v>702000</v>
      </c>
      <c r="F188" s="365">
        <v>395248.14400000003</v>
      </c>
      <c r="G188" s="365">
        <v>394489.83400000003</v>
      </c>
      <c r="H188" s="365">
        <v>27247.18</v>
      </c>
      <c r="I188" s="365">
        <v>39471.08</v>
      </c>
      <c r="J188" s="365">
        <v>53513.56</v>
      </c>
      <c r="K188" s="365">
        <v>45771.890000000007</v>
      </c>
      <c r="L188" s="365">
        <v>44424.82</v>
      </c>
      <c r="M188" s="365">
        <v>45313.84</v>
      </c>
      <c r="N188" s="365">
        <v>45445.149999999994</v>
      </c>
      <c r="O188" s="365">
        <v>46467.189999999995</v>
      </c>
      <c r="P188" s="365">
        <v>46835.123999999996</v>
      </c>
      <c r="Q188" s="365">
        <v>0</v>
      </c>
      <c r="R188" s="365">
        <v>0</v>
      </c>
      <c r="S188" s="365">
        <v>0</v>
      </c>
      <c r="T188" s="365">
        <v>394489.83400000003</v>
      </c>
      <c r="U188" s="366">
        <v>0.56195133048433055</v>
      </c>
      <c r="V188" s="365">
        <v>307510.16599999997</v>
      </c>
      <c r="W188" s="365">
        <v>0</v>
      </c>
      <c r="X188" s="365">
        <v>306751.85599999997</v>
      </c>
      <c r="Y188" s="365">
        <v>306751.85599999997</v>
      </c>
      <c r="Z188" s="365">
        <v>758.30999999999767</v>
      </c>
      <c r="AA188" s="365">
        <v>0</v>
      </c>
      <c r="AB188" s="359"/>
    </row>
    <row r="189" spans="1:28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  <c r="AB189" s="359"/>
    </row>
    <row r="190" spans="1:28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  <c r="AB190" s="359"/>
    </row>
    <row r="191" spans="1:28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  <c r="AB191" s="359"/>
    </row>
    <row r="192" spans="1:28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  <c r="AB192" s="359"/>
    </row>
    <row r="193" spans="1:28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  <c r="AB193" s="359"/>
    </row>
    <row r="194" spans="1:28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  <c r="AB194" s="359"/>
    </row>
    <row r="195" spans="1:28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  <c r="AB195" s="359"/>
    </row>
    <row r="196" spans="1:28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  <c r="AB196" s="359"/>
    </row>
    <row r="197" spans="1:28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  <c r="AB197" s="359"/>
    </row>
    <row r="198" spans="1:28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  <c r="AB198" s="359"/>
    </row>
    <row r="199" spans="1:28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  <c r="AB199" s="359"/>
    </row>
    <row r="200" spans="1:28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  <c r="AB200" s="359"/>
    </row>
    <row r="201" spans="1:28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  <c r="AB201" s="359"/>
    </row>
    <row r="202" spans="1:28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  <c r="AB202" s="359"/>
    </row>
    <row r="203" spans="1:28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  <c r="AB203" s="359"/>
    </row>
    <row r="204" spans="1:28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  <c r="AB204" s="359"/>
    </row>
    <row r="205" spans="1:28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  <c r="AB205" s="359"/>
    </row>
    <row r="206" spans="1:28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  <c r="AB206" s="359"/>
    </row>
    <row r="207" spans="1:28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  <c r="AB207" s="359"/>
    </row>
    <row r="208" spans="1:28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  <c r="AB208" s="359"/>
    </row>
    <row r="209" spans="1:28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  <c r="AB209" s="359"/>
    </row>
    <row r="210" spans="1:28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  <c r="AB210" s="359"/>
    </row>
    <row r="211" spans="1:28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  <c r="AB211" s="359"/>
    </row>
    <row r="212" spans="1:28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  <c r="AB212" s="359"/>
    </row>
    <row r="213" spans="1:28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  <c r="AB213" s="359"/>
    </row>
    <row r="214" spans="1:28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  <c r="AB214" s="359"/>
    </row>
    <row r="215" spans="1:28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  <c r="AB215" s="359"/>
    </row>
    <row r="216" spans="1:28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  <c r="AB216" s="359"/>
    </row>
    <row r="217" spans="1:28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  <c r="AB217" s="359"/>
    </row>
    <row r="218" spans="1:28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  <c r="AB218" s="359"/>
    </row>
    <row r="219" spans="1:28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  <c r="AB219" s="359"/>
    </row>
    <row r="220" spans="1:28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  <c r="AB220" s="359"/>
    </row>
    <row r="221" spans="1:28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  <c r="AB221" s="359"/>
    </row>
    <row r="222" spans="1:28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  <c r="AB222" s="359"/>
    </row>
    <row r="223" spans="1:28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  <c r="AB223" s="359"/>
    </row>
    <row r="224" spans="1:28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  <c r="AB224" s="359"/>
    </row>
    <row r="225" spans="1:28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  <c r="AB225" s="359"/>
    </row>
    <row r="226" spans="1:28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  <c r="AB226" s="359"/>
    </row>
    <row r="227" spans="1:28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  <c r="AB227" s="359"/>
    </row>
    <row r="228" spans="1:28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  <c r="AB228" s="359"/>
    </row>
    <row r="229" spans="1:28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  <c r="AB229" s="359"/>
    </row>
    <row r="230" spans="1:28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  <c r="AB230" s="359"/>
    </row>
    <row r="231" spans="1:28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  <c r="AB231" s="359"/>
    </row>
    <row r="232" spans="1:28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  <c r="AB232" s="367"/>
    </row>
    <row r="233" spans="1:28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  <c r="AB233" s="367"/>
    </row>
    <row r="234" spans="1:28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  <c r="AB234" s="367"/>
    </row>
    <row r="235" spans="1:28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  <c r="AB235" s="367"/>
    </row>
    <row r="236" spans="1:28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  <c r="AB236" s="359"/>
    </row>
    <row r="237" spans="1:28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  <c r="AB237" s="359"/>
    </row>
    <row r="238" spans="1:28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  <c r="AB238" s="359"/>
    </row>
    <row r="239" spans="1:28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  <c r="AB239" s="359"/>
    </row>
    <row r="240" spans="1:28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  <c r="AB240" s="359"/>
    </row>
    <row r="241" spans="1:28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  <c r="AB241" s="359"/>
    </row>
    <row r="242" spans="1:28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  <c r="AB242" s="359"/>
    </row>
    <row r="243" spans="1:28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  <c r="AB243" s="359"/>
    </row>
    <row r="244" spans="1:28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  <c r="AB244" s="359"/>
    </row>
    <row r="245" spans="1:28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  <c r="AB245" s="359"/>
    </row>
    <row r="246" spans="1:28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  <c r="AB246" s="359"/>
    </row>
    <row r="247" spans="1:28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  <c r="AB247" s="359"/>
    </row>
    <row r="248" spans="1:28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  <c r="AB248" s="359"/>
    </row>
    <row r="249" spans="1:28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  <c r="AB249" s="359"/>
    </row>
    <row r="250" spans="1:28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  <c r="AB250" s="359"/>
    </row>
    <row r="251" spans="1:28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  <c r="AB251" s="359"/>
    </row>
    <row r="252" spans="1:28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  <c r="AB252" s="359"/>
    </row>
    <row r="253" spans="1:28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  <c r="AB253" s="359"/>
    </row>
    <row r="254" spans="1:28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  <c r="AB254" s="359"/>
    </row>
    <row r="255" spans="1:28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  <c r="AB255" s="359"/>
    </row>
    <row r="256" spans="1:28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  <c r="AB256" s="359"/>
    </row>
    <row r="257" spans="1:28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  <c r="AB257" s="359"/>
    </row>
    <row r="258" spans="1:28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  <c r="AB258" s="359"/>
    </row>
    <row r="259" spans="1:28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  <c r="AB259" s="359"/>
    </row>
    <row r="260" spans="1:28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  <c r="AB260" s="359"/>
    </row>
    <row r="261" spans="1:28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  <c r="AB261" s="359"/>
    </row>
    <row r="262" spans="1:28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  <c r="AB262" s="359"/>
    </row>
    <row r="263" spans="1:28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  <c r="AB263" s="359"/>
    </row>
    <row r="264" spans="1:28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  <c r="AB264" s="359"/>
    </row>
    <row r="265" spans="1:28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  <c r="AB265" s="359"/>
    </row>
    <row r="266" spans="1:28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  <c r="AB266" s="359"/>
    </row>
    <row r="267" spans="1:28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  <c r="AB267" s="359"/>
    </row>
    <row r="268" spans="1:28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  <c r="AB268" s="359"/>
    </row>
    <row r="269" spans="1:28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  <c r="AB269" s="359"/>
    </row>
    <row r="270" spans="1:28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  <c r="AB270" s="359"/>
    </row>
    <row r="271" spans="1:28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  <c r="AB271" s="359"/>
    </row>
    <row r="272" spans="1:28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  <c r="AB272" s="359"/>
    </row>
    <row r="273" spans="1:28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  <c r="AB273" s="359"/>
    </row>
    <row r="274" spans="1:28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  <c r="AB274" s="359"/>
    </row>
    <row r="275" spans="1:28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  <c r="AB275" s="359"/>
    </row>
    <row r="276" spans="1:28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  <c r="AB276" s="359"/>
    </row>
    <row r="277" spans="1:28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  <c r="AB277" s="359"/>
    </row>
    <row r="278" spans="1:28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  <c r="AB278" s="367"/>
    </row>
    <row r="279" spans="1:28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  <c r="AB279" s="359"/>
    </row>
    <row r="280" spans="1:28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  <c r="AB280" s="359"/>
    </row>
    <row r="281" spans="1:28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  <c r="AB281" s="359"/>
    </row>
    <row r="282" spans="1:28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  <c r="AB282" s="359"/>
    </row>
    <row r="283" spans="1:28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  <c r="AB283" s="359"/>
    </row>
    <row r="284" spans="1:28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  <c r="AB284" s="359"/>
    </row>
    <row r="285" spans="1:28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  <c r="AB285" s="359"/>
    </row>
    <row r="286" spans="1:28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  <c r="AB286" s="359"/>
    </row>
    <row r="287" spans="1:28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  <c r="AB287" s="359"/>
    </row>
    <row r="288" spans="1:28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  <c r="AB288" s="359"/>
    </row>
    <row r="289" spans="1:28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  <c r="AB289" s="359"/>
    </row>
    <row r="290" spans="1:28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  <c r="AB290" s="359"/>
    </row>
    <row r="291" spans="1:28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  <c r="AB291" s="359"/>
    </row>
    <row r="292" spans="1:28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  <c r="AB292" s="359"/>
    </row>
    <row r="293" spans="1:28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  <c r="AB293" s="359"/>
    </row>
    <row r="294" spans="1:28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  <c r="AB294" s="359"/>
    </row>
    <row r="295" spans="1:28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  <c r="AB295" s="359"/>
    </row>
    <row r="296" spans="1:28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  <c r="AB296" s="359"/>
    </row>
    <row r="297" spans="1:28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  <c r="AB297" s="359"/>
    </row>
    <row r="298" spans="1:28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  <c r="AB298" s="359"/>
    </row>
    <row r="299" spans="1:28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  <c r="AB299" s="359"/>
    </row>
    <row r="300" spans="1:28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  <c r="AB300" s="367"/>
    </row>
    <row r="301" spans="1:28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  <c r="AB301" s="359"/>
    </row>
    <row r="302" spans="1:28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  <c r="AB302" s="359"/>
    </row>
    <row r="303" spans="1:28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  <c r="AB303" s="359"/>
    </row>
    <row r="304" spans="1:28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  <c r="AB304" s="359"/>
    </row>
    <row r="305" spans="1:28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  <c r="AB305" s="359"/>
    </row>
    <row r="306" spans="1:28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  <c r="AB306" s="359"/>
    </row>
    <row r="307" spans="1:28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  <c r="AB307" s="359"/>
    </row>
    <row r="308" spans="1:28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  <c r="AB308" s="359"/>
    </row>
    <row r="309" spans="1:28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  <c r="AB309" s="367"/>
    </row>
    <row r="310" spans="1:28" ht="12" customHeight="1" x14ac:dyDescent="0.25">
      <c r="A310" s="354"/>
      <c r="B310" s="374" t="s">
        <v>35</v>
      </c>
      <c r="C310" s="375">
        <v>104250000</v>
      </c>
      <c r="D310" s="375">
        <v>104250000</v>
      </c>
      <c r="E310" s="375">
        <v>104250000</v>
      </c>
      <c r="F310" s="375">
        <v>70606713.258999988</v>
      </c>
      <c r="G310" s="375">
        <v>70294130.858999997</v>
      </c>
      <c r="H310" s="375">
        <v>985188.02</v>
      </c>
      <c r="I310" s="375">
        <v>997291.91999999993</v>
      </c>
      <c r="J310" s="375">
        <v>22053543.699999996</v>
      </c>
      <c r="K310" s="375">
        <v>1025822.88</v>
      </c>
      <c r="L310" s="375">
        <v>974895.32</v>
      </c>
      <c r="M310" s="375">
        <v>20995566.375</v>
      </c>
      <c r="N310" s="375">
        <v>963796.19000000006</v>
      </c>
      <c r="O310" s="375">
        <v>869250.5</v>
      </c>
      <c r="P310" s="375">
        <v>21398415.954</v>
      </c>
      <c r="Q310" s="375">
        <v>0</v>
      </c>
      <c r="R310" s="375">
        <v>0</v>
      </c>
      <c r="S310" s="375">
        <v>0</v>
      </c>
      <c r="T310" s="376">
        <v>70263770.858999997</v>
      </c>
      <c r="U310" s="377">
        <v>0.67399300584172661</v>
      </c>
      <c r="V310" s="376">
        <v>33986229.141000003</v>
      </c>
      <c r="W310" s="376">
        <v>0</v>
      </c>
      <c r="X310" s="376">
        <v>33643286.741000012</v>
      </c>
      <c r="Y310" s="376">
        <v>33643286.741000012</v>
      </c>
      <c r="Z310" s="376">
        <v>312582.39999999106</v>
      </c>
      <c r="AA310" s="376">
        <v>30360</v>
      </c>
      <c r="AB310" s="367"/>
    </row>
    <row r="311" spans="1:28" ht="12" customHeight="1" x14ac:dyDescent="0.25">
      <c r="A311" s="354"/>
      <c r="B311" s="378" t="s">
        <v>1379</v>
      </c>
      <c r="C311" s="379">
        <v>104250000</v>
      </c>
      <c r="D311" s="379">
        <v>104250000</v>
      </c>
      <c r="E311" s="379">
        <v>104250000</v>
      </c>
      <c r="F311" s="379">
        <v>70606713.258999988</v>
      </c>
      <c r="G311" s="379">
        <v>70294130.858999997</v>
      </c>
      <c r="H311" s="379">
        <v>985188.02</v>
      </c>
      <c r="I311" s="379">
        <v>997291.91999999993</v>
      </c>
      <c r="J311" s="379">
        <v>22053543.699999996</v>
      </c>
      <c r="K311" s="379">
        <v>1025822.88</v>
      </c>
      <c r="L311" s="379">
        <v>974895.32</v>
      </c>
      <c r="M311" s="379">
        <v>20995566.375</v>
      </c>
      <c r="N311" s="379">
        <v>963796.19000000006</v>
      </c>
      <c r="O311" s="379">
        <v>869250.5</v>
      </c>
      <c r="P311" s="379">
        <v>21398415.954</v>
      </c>
      <c r="Q311" s="379">
        <v>0</v>
      </c>
      <c r="R311" s="379">
        <v>0</v>
      </c>
      <c r="S311" s="379">
        <v>0</v>
      </c>
      <c r="T311" s="380">
        <v>70263770.858999997</v>
      </c>
      <c r="U311" s="381">
        <v>0.67399300584172661</v>
      </c>
      <c r="V311" s="380">
        <v>33986229.141000003</v>
      </c>
      <c r="W311" s="380">
        <v>0</v>
      </c>
      <c r="X311" s="380">
        <v>33643286.741000012</v>
      </c>
      <c r="Y311" s="380">
        <v>33643286.741000012</v>
      </c>
      <c r="Z311" s="380">
        <v>312582.39999999106</v>
      </c>
      <c r="AA311" s="380">
        <v>30360</v>
      </c>
      <c r="AB311" s="359"/>
    </row>
    <row r="312" spans="1:28" ht="12" customHeight="1" x14ac:dyDescent="0.25">
      <c r="A312" s="354"/>
      <c r="B312" s="382" t="s">
        <v>74</v>
      </c>
      <c r="C312" s="383">
        <v>104250000</v>
      </c>
      <c r="D312" s="383">
        <v>104250000</v>
      </c>
      <c r="E312" s="383">
        <v>104250000</v>
      </c>
      <c r="F312" s="383">
        <v>70606713.258999988</v>
      </c>
      <c r="G312" s="383">
        <v>70294130.858999997</v>
      </c>
      <c r="H312" s="383">
        <v>985188.02</v>
      </c>
      <c r="I312" s="383">
        <v>997291.91999999993</v>
      </c>
      <c r="J312" s="383">
        <v>22053543.699999996</v>
      </c>
      <c r="K312" s="383">
        <v>1025822.88</v>
      </c>
      <c r="L312" s="383">
        <v>974895.32</v>
      </c>
      <c r="M312" s="383">
        <v>20995566.375</v>
      </c>
      <c r="N312" s="383">
        <v>963796.19000000006</v>
      </c>
      <c r="O312" s="383">
        <v>869250.5</v>
      </c>
      <c r="P312" s="383">
        <v>21398415.954</v>
      </c>
      <c r="Q312" s="383">
        <v>0</v>
      </c>
      <c r="R312" s="383">
        <v>0</v>
      </c>
      <c r="S312" s="383">
        <v>0</v>
      </c>
      <c r="T312" s="384">
        <v>70263770.858999997</v>
      </c>
      <c r="U312" s="385">
        <v>0.67399300584172661</v>
      </c>
      <c r="V312" s="384">
        <v>33986229.141000003</v>
      </c>
      <c r="W312" s="384">
        <v>0</v>
      </c>
      <c r="X312" s="384">
        <v>33643286.741000012</v>
      </c>
      <c r="Y312" s="384">
        <v>33643286.741000012</v>
      </c>
      <c r="Z312" s="384">
        <v>312582.39999999106</v>
      </c>
      <c r="AA312" s="384">
        <v>30360</v>
      </c>
      <c r="AB312" s="359"/>
    </row>
    <row r="313" spans="1:28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  <c r="AB313" s="359"/>
    </row>
    <row r="314" spans="1:28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  <c r="AB314" s="359"/>
    </row>
    <row r="315" spans="1:28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  <c r="AB315" s="359"/>
    </row>
    <row r="316" spans="1:28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  <c r="AB316" s="359"/>
    </row>
    <row r="317" spans="1:28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  <c r="AB317" s="359"/>
    </row>
    <row r="318" spans="1:28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  <c r="AB318" s="359"/>
    </row>
    <row r="319" spans="1:28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  <c r="AB319" s="359"/>
    </row>
    <row r="320" spans="1:28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  <c r="AB320" s="359"/>
    </row>
    <row r="321" spans="1:28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  <c r="AB321" s="359"/>
    </row>
    <row r="322" spans="1:28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  <c r="AB322" s="359"/>
    </row>
    <row r="323" spans="1:28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  <c r="AB323" s="359"/>
    </row>
    <row r="324" spans="1:28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  <c r="AB324" s="359"/>
    </row>
    <row r="325" spans="1:28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  <c r="AB325" s="359"/>
    </row>
    <row r="326" spans="1:28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  <c r="AB326" s="359"/>
    </row>
    <row r="327" spans="1:28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  <c r="AB327" s="359"/>
    </row>
    <row r="328" spans="1:28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  <c r="AB328" s="359"/>
    </row>
    <row r="329" spans="1:28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  <c r="AB329" s="359"/>
    </row>
    <row r="330" spans="1:28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  <c r="AB330" s="359"/>
    </row>
    <row r="331" spans="1:28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  <c r="AB331" s="359"/>
    </row>
    <row r="332" spans="1:28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  <c r="AB332" s="359"/>
    </row>
    <row r="333" spans="1:28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  <c r="AB333" s="359"/>
    </row>
    <row r="334" spans="1:28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  <c r="AB334" s="359"/>
    </row>
    <row r="335" spans="1:28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  <c r="AB335" s="359"/>
    </row>
    <row r="336" spans="1:28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  <c r="AB336" s="359"/>
    </row>
    <row r="337" spans="1:28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  <c r="AB337" s="359"/>
    </row>
    <row r="338" spans="1:28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  <c r="AB338" s="359"/>
    </row>
    <row r="339" spans="1:28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  <c r="AB339" s="359"/>
    </row>
    <row r="340" spans="1:28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  <c r="AB340" s="359"/>
    </row>
    <row r="341" spans="1:28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  <c r="AB341" s="359"/>
    </row>
    <row r="342" spans="1:28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  <c r="AB342" s="359"/>
    </row>
    <row r="343" spans="1:28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  <c r="AB343" s="359"/>
    </row>
    <row r="344" spans="1:28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  <c r="AB344" s="359"/>
    </row>
    <row r="345" spans="1:28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  <c r="AB345" s="359"/>
    </row>
    <row r="346" spans="1:28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  <c r="AB346" s="359"/>
    </row>
    <row r="347" spans="1:28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  <c r="AB347" s="359"/>
    </row>
    <row r="348" spans="1:28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  <c r="AB348" s="359"/>
    </row>
    <row r="349" spans="1:28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  <c r="AB349" s="359"/>
    </row>
    <row r="350" spans="1:28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  <c r="AB350" s="359"/>
    </row>
    <row r="351" spans="1:28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  <c r="AB351" s="359"/>
    </row>
    <row r="352" spans="1:28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  <c r="AB352" s="359"/>
    </row>
    <row r="353" spans="1:28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  <c r="AB353" s="359"/>
    </row>
    <row r="354" spans="1:28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  <c r="AB354" s="359"/>
    </row>
    <row r="355" spans="1:28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  <c r="AB355" s="359"/>
    </row>
    <row r="356" spans="1:28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  <c r="AB356" s="359"/>
    </row>
    <row r="357" spans="1:28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  <c r="AB357" s="359"/>
    </row>
    <row r="358" spans="1:28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  <c r="AB358" s="359"/>
    </row>
    <row r="359" spans="1:28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  <c r="AB359" s="359"/>
    </row>
    <row r="360" spans="1:28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  <c r="AB360" s="359"/>
    </row>
    <row r="361" spans="1:28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  <c r="AB361" s="359"/>
    </row>
    <row r="362" spans="1:28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  <c r="AB362" s="359"/>
    </row>
    <row r="363" spans="1:28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  <c r="AB363" s="359"/>
    </row>
    <row r="364" spans="1:28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  <c r="AB364" s="359"/>
    </row>
    <row r="365" spans="1:28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  <c r="AB365" s="359"/>
    </row>
    <row r="366" spans="1:28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  <c r="AB366" s="359"/>
    </row>
    <row r="367" spans="1:28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  <c r="AB367" s="359"/>
    </row>
    <row r="368" spans="1:28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  <c r="AB368" s="359"/>
    </row>
    <row r="369" spans="1:28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  <c r="AB369" s="359"/>
    </row>
    <row r="370" spans="1:28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  <c r="AB370" s="359"/>
    </row>
    <row r="371" spans="1:28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  <c r="AB371" s="359"/>
    </row>
    <row r="372" spans="1:28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  <c r="AB372" s="359"/>
    </row>
    <row r="373" spans="1:28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  <c r="AB373" s="359"/>
    </row>
    <row r="374" spans="1:28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  <c r="AB374" s="359"/>
    </row>
    <row r="375" spans="1:28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  <c r="AB375" s="359"/>
    </row>
    <row r="376" spans="1:28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  <c r="AB376" s="359"/>
    </row>
    <row r="377" spans="1:28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  <c r="AB377" s="359"/>
    </row>
    <row r="378" spans="1:28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  <c r="AB378" s="359"/>
    </row>
    <row r="379" spans="1:28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  <c r="AB379" s="359"/>
    </row>
    <row r="380" spans="1:28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  <c r="AB380" s="359"/>
    </row>
    <row r="381" spans="1:28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  <c r="AB381" s="359"/>
    </row>
    <row r="382" spans="1:28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  <c r="AB382" s="359"/>
    </row>
    <row r="383" spans="1:28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  <c r="AB383" s="359"/>
    </row>
    <row r="384" spans="1:28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  <c r="AB384" s="359"/>
    </row>
    <row r="385" spans="1:28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  <c r="AB385" s="359"/>
    </row>
    <row r="386" spans="1:28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  <c r="AB386" s="359"/>
    </row>
    <row r="387" spans="1:28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  <c r="AB387" s="359"/>
    </row>
    <row r="388" spans="1:28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  <c r="AB388" s="359"/>
    </row>
    <row r="389" spans="1:28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  <c r="AB389" s="359"/>
    </row>
    <row r="390" spans="1:28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  <c r="AB390" s="359"/>
    </row>
    <row r="391" spans="1:28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  <c r="AB391" s="359"/>
    </row>
    <row r="392" spans="1:28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  <c r="AB392" s="359"/>
    </row>
    <row r="393" spans="1:28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  <c r="AB393" s="359"/>
    </row>
    <row r="394" spans="1:28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  <c r="AB394" s="359"/>
    </row>
    <row r="395" spans="1:28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  <c r="AB395" s="359"/>
    </row>
    <row r="396" spans="1:28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  <c r="AB396" s="359"/>
    </row>
    <row r="397" spans="1:28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  <c r="AB397" s="359"/>
    </row>
    <row r="398" spans="1:28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  <c r="AB398" s="359"/>
    </row>
    <row r="399" spans="1:28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  <c r="AB399" s="359"/>
    </row>
    <row r="400" spans="1:28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  <c r="AB400" s="359"/>
    </row>
    <row r="401" spans="1:28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  <c r="AB401" s="359"/>
    </row>
    <row r="402" spans="1:28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  <c r="AB402" s="359"/>
    </row>
    <row r="403" spans="1:28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  <c r="AB403" s="359"/>
    </row>
    <row r="404" spans="1:28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  <c r="AB404" s="359"/>
    </row>
    <row r="405" spans="1:28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  <c r="AB405" s="359"/>
    </row>
    <row r="406" spans="1:28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  <c r="AB406" s="359"/>
    </row>
    <row r="407" spans="1:28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  <c r="AB407" s="359"/>
    </row>
    <row r="408" spans="1:28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  <c r="AB408" s="359"/>
    </row>
    <row r="409" spans="1:28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  <c r="AB409" s="359"/>
    </row>
    <row r="410" spans="1:28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  <c r="AB410" s="359"/>
    </row>
    <row r="411" spans="1:28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  <c r="AB411" s="359"/>
    </row>
    <row r="412" spans="1:28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  <c r="AB412" s="359"/>
    </row>
    <row r="413" spans="1:28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  <c r="AB413" s="359"/>
    </row>
    <row r="414" spans="1:28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  <c r="AB414" s="359"/>
    </row>
    <row r="415" spans="1:28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  <c r="AB415" s="359"/>
    </row>
    <row r="416" spans="1:28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  <c r="AB416" s="359"/>
    </row>
    <row r="417" spans="1:28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  <c r="AB417" s="359"/>
    </row>
    <row r="418" spans="1:28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  <c r="AB418" s="359"/>
    </row>
    <row r="419" spans="1:28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  <c r="AB419" s="359"/>
    </row>
    <row r="420" spans="1:28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  <c r="AB420" s="359"/>
    </row>
    <row r="421" spans="1:28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  <c r="AB421" s="359"/>
    </row>
    <row r="422" spans="1:28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  <c r="AB422" s="359"/>
    </row>
    <row r="423" spans="1:28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  <c r="AB423" s="359"/>
    </row>
    <row r="424" spans="1:28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  <c r="AB424" s="359"/>
    </row>
    <row r="425" spans="1:28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  <c r="AB425" s="359"/>
    </row>
    <row r="426" spans="1:28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  <c r="AB426" s="359"/>
    </row>
    <row r="427" spans="1:28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  <c r="AB427" s="359"/>
    </row>
    <row r="428" spans="1:28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  <c r="AB428" s="359"/>
    </row>
    <row r="429" spans="1:28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  <c r="AB429" s="359"/>
    </row>
    <row r="430" spans="1:28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  <c r="AB430" s="359"/>
    </row>
    <row r="431" spans="1:28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  <c r="AB431" s="359"/>
    </row>
    <row r="432" spans="1:28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  <c r="AB432" s="359"/>
    </row>
    <row r="433" spans="1:28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  <c r="AB433" s="359"/>
    </row>
    <row r="434" spans="1:28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  <c r="AB434" s="359"/>
    </row>
    <row r="435" spans="1:28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  <c r="AB435" s="359"/>
    </row>
    <row r="436" spans="1:28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  <c r="AB436" s="359"/>
    </row>
    <row r="437" spans="1:28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  <c r="AB437" s="359"/>
    </row>
    <row r="438" spans="1:28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  <c r="AB438" s="359"/>
    </row>
    <row r="439" spans="1:28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  <c r="AB439" s="359"/>
    </row>
    <row r="440" spans="1:28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  <c r="AB440" s="359"/>
    </row>
    <row r="441" spans="1:28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  <c r="AB441" s="359"/>
    </row>
    <row r="442" spans="1:28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  <c r="AB442" s="359"/>
    </row>
    <row r="443" spans="1:28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  <c r="AB443" s="359"/>
    </row>
    <row r="444" spans="1:28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  <c r="AB444" s="359"/>
    </row>
    <row r="445" spans="1:28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  <c r="AB445" s="359"/>
    </row>
    <row r="446" spans="1:28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  <c r="AB446" s="359"/>
    </row>
    <row r="447" spans="1:28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  <c r="AB447" s="359"/>
    </row>
    <row r="448" spans="1:28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  <c r="AB448" s="359"/>
    </row>
    <row r="449" spans="1:28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  <c r="AB449" s="359"/>
    </row>
    <row r="450" spans="1:28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  <c r="AB450" s="359"/>
    </row>
    <row r="451" spans="1:28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  <c r="AB451" s="359"/>
    </row>
    <row r="452" spans="1:28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  <c r="AB452" s="359"/>
    </row>
    <row r="453" spans="1:28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  <c r="AB453" s="359"/>
    </row>
    <row r="454" spans="1:28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  <c r="AB454" s="359"/>
    </row>
    <row r="455" spans="1:28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  <c r="AB455" s="359"/>
    </row>
    <row r="456" spans="1:28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  <c r="AB456" s="359"/>
    </row>
    <row r="457" spans="1:28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  <c r="AB457" s="359"/>
    </row>
    <row r="458" spans="1:28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  <c r="AB458" s="359"/>
    </row>
    <row r="459" spans="1:28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  <c r="AB459" s="359"/>
    </row>
    <row r="460" spans="1:28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  <c r="AB460" s="359"/>
    </row>
    <row r="461" spans="1:28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  <c r="AB461" s="359"/>
    </row>
    <row r="462" spans="1:28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  <c r="AB462" s="359"/>
    </row>
    <row r="463" spans="1:28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  <c r="AB463" s="359"/>
    </row>
    <row r="464" spans="1:28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  <c r="AB464" s="359"/>
    </row>
    <row r="465" spans="1:28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  <c r="AB465" s="359"/>
    </row>
    <row r="466" spans="1:28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  <c r="AB466" s="359"/>
    </row>
    <row r="467" spans="1:28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  <c r="AB467" s="359"/>
    </row>
    <row r="468" spans="1:28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  <c r="AB468" s="359"/>
    </row>
    <row r="469" spans="1:28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  <c r="AB469" s="359"/>
    </row>
    <row r="470" spans="1:28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  <c r="AB470" s="359"/>
    </row>
    <row r="471" spans="1:28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  <c r="AB471" s="359"/>
    </row>
    <row r="472" spans="1:28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  <c r="AB472" s="359"/>
    </row>
    <row r="473" spans="1:28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  <c r="AB473" s="359"/>
    </row>
    <row r="474" spans="1:28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  <c r="AB474" s="359"/>
    </row>
    <row r="475" spans="1:28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  <c r="AB475" s="359"/>
    </row>
    <row r="476" spans="1:28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  <c r="AB476" s="359"/>
    </row>
    <row r="477" spans="1:28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  <c r="AB477" s="359"/>
    </row>
    <row r="478" spans="1:28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  <c r="AB478" s="359"/>
    </row>
    <row r="479" spans="1:28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  <c r="AB479" s="359"/>
    </row>
    <row r="480" spans="1:28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  <c r="AB480" s="359"/>
    </row>
    <row r="481" spans="1:28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  <c r="AB481" s="359"/>
    </row>
    <row r="482" spans="1:28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  <c r="AB482" s="359"/>
    </row>
    <row r="483" spans="1:28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  <c r="AB483" s="359"/>
    </row>
    <row r="484" spans="1:28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  <c r="AB484" s="359"/>
    </row>
    <row r="485" spans="1:28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  <c r="AB485" s="359"/>
    </row>
    <row r="486" spans="1:28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  <c r="AB486" s="359"/>
    </row>
    <row r="487" spans="1:28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  <c r="AB487" s="359"/>
    </row>
    <row r="488" spans="1:28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  <c r="AB488" s="359"/>
    </row>
    <row r="489" spans="1:28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  <c r="AB489" s="359"/>
    </row>
    <row r="490" spans="1:28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  <c r="AB490" s="359"/>
    </row>
    <row r="491" spans="1:28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  <c r="AB491" s="359"/>
    </row>
    <row r="492" spans="1:28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  <c r="AB492" s="359"/>
    </row>
    <row r="493" spans="1:28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  <c r="AB493" s="359"/>
    </row>
    <row r="494" spans="1:28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  <c r="AB494" s="359"/>
    </row>
    <row r="495" spans="1:28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  <c r="AB495" s="359"/>
    </row>
    <row r="496" spans="1:28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  <c r="AB496" s="359"/>
    </row>
    <row r="497" spans="1:28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  <c r="AB497" s="359"/>
    </row>
    <row r="498" spans="1:28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  <c r="AB498" s="359"/>
    </row>
    <row r="499" spans="1:28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  <c r="AB499" s="359"/>
    </row>
    <row r="500" spans="1:28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  <c r="AB500" s="359"/>
    </row>
    <row r="501" spans="1:28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  <c r="AB501" s="359"/>
    </row>
    <row r="502" spans="1:28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  <c r="AB502" s="359"/>
    </row>
    <row r="503" spans="1:28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  <c r="AB503" s="359"/>
    </row>
    <row r="504" spans="1:28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  <c r="AB504" s="359"/>
    </row>
    <row r="505" spans="1:28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  <c r="AB505" s="359"/>
    </row>
    <row r="506" spans="1:28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  <c r="AB506" s="359"/>
    </row>
    <row r="507" spans="1:28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  <c r="AB507" s="359"/>
    </row>
    <row r="508" spans="1:28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  <c r="AB508" s="359"/>
    </row>
    <row r="509" spans="1:28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  <c r="AB509" s="359"/>
    </row>
    <row r="510" spans="1:28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  <c r="AB510" s="359"/>
    </row>
    <row r="511" spans="1:28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  <c r="AB511" s="359"/>
    </row>
    <row r="512" spans="1:28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  <c r="AB512" s="359"/>
    </row>
    <row r="513" spans="1:28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  <c r="AB513" s="359"/>
    </row>
    <row r="514" spans="1:28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  <c r="AB514" s="359"/>
    </row>
    <row r="515" spans="1:28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  <c r="AB515" s="359"/>
    </row>
    <row r="516" spans="1:28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  <c r="AB516" s="359"/>
    </row>
    <row r="517" spans="1:28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  <c r="AB517" s="359"/>
    </row>
    <row r="518" spans="1:28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  <c r="AB518" s="359"/>
    </row>
    <row r="519" spans="1:28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  <c r="AB519" s="359"/>
    </row>
    <row r="520" spans="1:28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  <c r="AB520" s="359"/>
    </row>
    <row r="521" spans="1:28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  <c r="AB521" s="359"/>
    </row>
    <row r="522" spans="1:28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  <c r="AB522" s="359"/>
    </row>
    <row r="523" spans="1:28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  <c r="AB523" s="359"/>
    </row>
    <row r="524" spans="1:28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  <c r="AB524" s="359"/>
    </row>
    <row r="525" spans="1:28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  <c r="AB525" s="359"/>
    </row>
    <row r="526" spans="1:28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  <c r="AB526" s="359"/>
    </row>
    <row r="527" spans="1:28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  <c r="AB527" s="359"/>
    </row>
    <row r="528" spans="1:28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  <c r="AB528" s="359"/>
    </row>
    <row r="529" spans="1:28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  <c r="AB529" s="359"/>
    </row>
    <row r="530" spans="1:28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  <c r="AB530" s="359"/>
    </row>
    <row r="531" spans="1:28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  <c r="AB531" s="359"/>
    </row>
    <row r="532" spans="1:28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  <c r="AB532" s="359"/>
    </row>
    <row r="533" spans="1:28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  <c r="AB533" s="359"/>
    </row>
    <row r="534" spans="1:28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  <c r="AB534" s="359"/>
    </row>
    <row r="535" spans="1:28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  <c r="AB535" s="359"/>
    </row>
    <row r="536" spans="1:28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  <c r="AB536" s="359"/>
    </row>
    <row r="537" spans="1:28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  <c r="AB537" s="359"/>
    </row>
    <row r="538" spans="1:28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  <c r="AB538" s="359"/>
    </row>
    <row r="539" spans="1:28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  <c r="AB539" s="359"/>
    </row>
    <row r="540" spans="1:28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  <c r="AB540" s="359"/>
    </row>
    <row r="541" spans="1:28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  <c r="AB541" s="359"/>
    </row>
    <row r="542" spans="1:28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  <c r="AB542" s="359"/>
    </row>
    <row r="543" spans="1:28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  <c r="AB543" s="359"/>
    </row>
    <row r="544" spans="1:28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  <c r="AB544" s="359"/>
    </row>
    <row r="545" spans="1:28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  <c r="AB545" s="359"/>
    </row>
    <row r="546" spans="1:28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  <c r="AB546" s="359"/>
    </row>
    <row r="547" spans="1:28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  <c r="AB547" s="359"/>
    </row>
    <row r="548" spans="1:28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  <c r="AB548" s="359"/>
    </row>
    <row r="549" spans="1:28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  <c r="AB549" s="359"/>
    </row>
    <row r="550" spans="1:28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  <c r="AB550" s="359"/>
    </row>
    <row r="551" spans="1:28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  <c r="AB551" s="359"/>
    </row>
    <row r="552" spans="1:28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  <c r="AB552" s="359"/>
    </row>
    <row r="553" spans="1:28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  <c r="AB553" s="359"/>
    </row>
    <row r="554" spans="1:28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  <c r="AB554" s="359"/>
    </row>
    <row r="555" spans="1:28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  <c r="AB555" s="359"/>
    </row>
    <row r="556" spans="1:28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  <c r="AB556" s="359"/>
    </row>
    <row r="557" spans="1:28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  <c r="AB557" s="359"/>
    </row>
    <row r="558" spans="1:28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  <c r="AB558" s="359"/>
    </row>
    <row r="559" spans="1:28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  <c r="AB559" s="359"/>
    </row>
    <row r="560" spans="1:28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  <c r="AB560" s="359"/>
    </row>
    <row r="561" spans="1:28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  <c r="AB561" s="359"/>
    </row>
    <row r="562" spans="1:28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  <c r="AB562" s="359"/>
    </row>
    <row r="563" spans="1:28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  <c r="AB563" s="359"/>
    </row>
    <row r="564" spans="1:28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  <c r="AB564" s="359"/>
    </row>
    <row r="565" spans="1:28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  <c r="AB565" s="359"/>
    </row>
    <row r="566" spans="1:28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  <c r="AB566" s="359"/>
    </row>
    <row r="567" spans="1:28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  <c r="AB567" s="359"/>
    </row>
    <row r="568" spans="1:28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  <c r="AB568" s="359"/>
    </row>
    <row r="569" spans="1:28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  <c r="AB569" s="359"/>
    </row>
    <row r="570" spans="1:28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  <c r="AB570" s="359"/>
    </row>
    <row r="571" spans="1:28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  <c r="AB571" s="359"/>
    </row>
    <row r="572" spans="1:28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  <c r="AB572" s="359"/>
    </row>
    <row r="573" spans="1:28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  <c r="AB573" s="359"/>
    </row>
    <row r="574" spans="1:28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  <c r="AB574" s="359"/>
    </row>
    <row r="575" spans="1:28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  <c r="AB575" s="359"/>
    </row>
    <row r="576" spans="1:28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  <c r="AB576" s="359"/>
    </row>
    <row r="577" spans="1:28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  <c r="AB577" s="359"/>
    </row>
    <row r="578" spans="1:28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  <c r="AB578" s="359"/>
    </row>
    <row r="579" spans="1:28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  <c r="AB579" s="359"/>
    </row>
    <row r="580" spans="1:28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  <c r="AB580" s="359"/>
    </row>
    <row r="581" spans="1:28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  <c r="AB581" s="359"/>
    </row>
    <row r="582" spans="1:28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  <c r="AB582" s="359"/>
    </row>
    <row r="583" spans="1:28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  <c r="AB583" s="359"/>
    </row>
    <row r="584" spans="1:28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  <c r="AB584" s="359"/>
    </row>
    <row r="585" spans="1:28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  <c r="AB585" s="359"/>
    </row>
    <row r="586" spans="1:28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  <c r="AB586" s="359"/>
    </row>
    <row r="587" spans="1:28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  <c r="AB587" s="359"/>
    </row>
    <row r="588" spans="1:28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  <c r="AB588" s="359"/>
    </row>
    <row r="589" spans="1:28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  <c r="AB589" s="359"/>
    </row>
    <row r="590" spans="1:28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  <c r="AB590" s="359"/>
    </row>
    <row r="591" spans="1:28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  <c r="AB591" s="359"/>
    </row>
    <row r="592" spans="1:28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  <c r="AB592" s="359"/>
    </row>
    <row r="593" spans="1:28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  <c r="AB593" s="359"/>
    </row>
    <row r="594" spans="1:28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  <c r="AB594" s="359"/>
    </row>
    <row r="595" spans="1:28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  <c r="AB595" s="359"/>
    </row>
    <row r="596" spans="1:28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  <c r="AB596" s="359"/>
    </row>
    <row r="597" spans="1:28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  <c r="AB597" s="359"/>
    </row>
    <row r="598" spans="1:28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  <c r="AB598" s="359"/>
    </row>
    <row r="599" spans="1:28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  <c r="AB599" s="359"/>
    </row>
    <row r="600" spans="1:28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  <c r="AB600" s="359"/>
    </row>
    <row r="601" spans="1:28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  <c r="AB601" s="359"/>
    </row>
    <row r="602" spans="1:28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  <c r="AB602" s="359"/>
    </row>
    <row r="603" spans="1:28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  <c r="AB603" s="359"/>
    </row>
    <row r="604" spans="1:28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  <c r="AB604" s="359"/>
    </row>
    <row r="605" spans="1:28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  <c r="AB605" s="359"/>
    </row>
    <row r="606" spans="1:28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  <c r="AB606" s="359"/>
    </row>
    <row r="607" spans="1:28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  <c r="AB607" s="359"/>
    </row>
    <row r="608" spans="1:28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  <c r="AB608" s="359"/>
    </row>
    <row r="609" spans="1:28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  <c r="AB609" s="359"/>
    </row>
    <row r="610" spans="1:28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  <c r="AB610" s="359"/>
    </row>
    <row r="611" spans="1:28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  <c r="AB611" s="359"/>
    </row>
    <row r="612" spans="1:28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  <c r="AB612" s="359"/>
    </row>
    <row r="613" spans="1:28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  <c r="AB613" s="359"/>
    </row>
    <row r="614" spans="1:28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  <c r="AB614" s="359"/>
    </row>
    <row r="615" spans="1:28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  <c r="AB615" s="359"/>
    </row>
    <row r="616" spans="1:28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  <c r="AB616" s="359"/>
    </row>
    <row r="617" spans="1:28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  <c r="AB617" s="359"/>
    </row>
    <row r="618" spans="1:28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  <c r="AB618" s="359"/>
    </row>
    <row r="619" spans="1:28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  <c r="AB619" s="359"/>
    </row>
    <row r="620" spans="1:28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  <c r="AB620" s="359"/>
    </row>
    <row r="621" spans="1:28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  <c r="AB621" s="359"/>
    </row>
    <row r="622" spans="1:28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  <c r="AB622" s="359"/>
    </row>
    <row r="623" spans="1:28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  <c r="AB623" s="359"/>
    </row>
    <row r="624" spans="1:28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  <c r="AB624" s="359"/>
    </row>
    <row r="625" spans="1:28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  <c r="AB625" s="359"/>
    </row>
    <row r="626" spans="1:28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  <c r="AB626" s="359"/>
    </row>
    <row r="627" spans="1:28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  <c r="AB627" s="359"/>
    </row>
    <row r="628" spans="1:28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  <c r="AB628" s="359"/>
    </row>
    <row r="629" spans="1:28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  <c r="AB629" s="359"/>
    </row>
    <row r="630" spans="1:28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  <c r="AB630" s="359"/>
    </row>
    <row r="631" spans="1:28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  <c r="AB631" s="359"/>
    </row>
    <row r="632" spans="1:28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  <c r="AB632" s="359"/>
    </row>
    <row r="633" spans="1:28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  <c r="AB633" s="359"/>
    </row>
    <row r="634" spans="1:28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  <c r="AB634" s="359"/>
    </row>
    <row r="635" spans="1:28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  <c r="AB635" s="359"/>
    </row>
    <row r="636" spans="1:28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  <c r="AB636" s="359"/>
    </row>
    <row r="637" spans="1:28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  <c r="AB637" s="359"/>
    </row>
    <row r="638" spans="1:28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  <c r="AB638" s="359"/>
    </row>
    <row r="639" spans="1:28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  <c r="AB639" s="359"/>
    </row>
    <row r="640" spans="1:28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  <c r="AB640" s="359"/>
    </row>
    <row r="641" spans="1:28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  <c r="AB641" s="359"/>
    </row>
    <row r="642" spans="1:28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  <c r="AB642" s="359"/>
    </row>
    <row r="643" spans="1:28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  <c r="AB643" s="359"/>
    </row>
    <row r="644" spans="1:28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  <c r="AB644" s="359"/>
    </row>
    <row r="645" spans="1:28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  <c r="AB645" s="359"/>
    </row>
    <row r="646" spans="1:28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  <c r="AB646" s="359"/>
    </row>
    <row r="647" spans="1:28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  <c r="AB647" s="359"/>
    </row>
    <row r="648" spans="1:28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  <c r="AB648" s="359"/>
    </row>
    <row r="649" spans="1:28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  <c r="AB649" s="359"/>
    </row>
    <row r="650" spans="1:28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  <c r="AB650" s="359"/>
    </row>
    <row r="651" spans="1:28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  <c r="AB651" s="359"/>
    </row>
    <row r="652" spans="1:28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  <c r="AB652" s="359"/>
    </row>
    <row r="653" spans="1:28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  <c r="AB653" s="359"/>
    </row>
    <row r="654" spans="1:28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  <c r="AB654" s="359"/>
    </row>
    <row r="655" spans="1:28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  <c r="AB655" s="359"/>
    </row>
    <row r="656" spans="1:28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  <c r="AB656" s="359"/>
    </row>
    <row r="657" spans="1:28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  <c r="AB657" s="359"/>
    </row>
    <row r="658" spans="1:28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  <c r="AB658" s="359"/>
    </row>
    <row r="659" spans="1:28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  <c r="AB659" s="359"/>
    </row>
    <row r="660" spans="1:28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  <c r="AB660" s="359"/>
    </row>
    <row r="661" spans="1:28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  <c r="AB661" s="359"/>
    </row>
    <row r="662" spans="1:28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  <c r="AB662" s="359"/>
    </row>
    <row r="663" spans="1:28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  <c r="AB663" s="359"/>
    </row>
    <row r="664" spans="1:28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  <c r="AB664" s="359"/>
    </row>
    <row r="665" spans="1:28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  <c r="AB665" s="359"/>
    </row>
    <row r="666" spans="1:28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  <c r="AB666" s="359"/>
    </row>
    <row r="667" spans="1:28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  <c r="AB667" s="359"/>
    </row>
    <row r="668" spans="1:28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  <c r="AB668" s="359"/>
    </row>
    <row r="669" spans="1:28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  <c r="AB669" s="359"/>
    </row>
    <row r="670" spans="1:28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  <c r="AB670" s="359"/>
    </row>
    <row r="671" spans="1:28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  <c r="AB671" s="359"/>
    </row>
    <row r="672" spans="1:28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  <c r="AB672" s="359"/>
    </row>
    <row r="673" spans="1:28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  <c r="AB673" s="359"/>
    </row>
    <row r="674" spans="1:28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  <c r="AB674" s="359"/>
    </row>
    <row r="675" spans="1:28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  <c r="AB675" s="359"/>
    </row>
    <row r="676" spans="1:28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  <c r="AB676" s="359"/>
    </row>
    <row r="677" spans="1:28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  <c r="AB677" s="359"/>
    </row>
    <row r="678" spans="1:28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  <c r="AB678" s="359"/>
    </row>
    <row r="679" spans="1:28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  <c r="AB679" s="359"/>
    </row>
    <row r="680" spans="1:28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  <c r="AB680" s="359"/>
    </row>
    <row r="681" spans="1:28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  <c r="AB681" s="359"/>
    </row>
    <row r="682" spans="1:28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  <c r="AB682" s="359"/>
    </row>
    <row r="683" spans="1:28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  <c r="AB683" s="359"/>
    </row>
    <row r="684" spans="1:28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  <c r="AB684" s="359"/>
    </row>
    <row r="685" spans="1:28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  <c r="AB685" s="359"/>
    </row>
    <row r="686" spans="1:28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  <c r="AB686" s="359"/>
    </row>
    <row r="687" spans="1:28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  <c r="AB687" s="359"/>
    </row>
    <row r="688" spans="1:28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  <c r="AB688" s="359"/>
    </row>
    <row r="689" spans="1:28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  <c r="AB689" s="359"/>
    </row>
    <row r="690" spans="1:28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  <c r="AB690" s="359"/>
    </row>
    <row r="691" spans="1:28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  <c r="AB691" s="359"/>
    </row>
    <row r="692" spans="1:28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  <c r="AB692" s="359"/>
    </row>
    <row r="693" spans="1:28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  <c r="AB693" s="359"/>
    </row>
    <row r="694" spans="1:28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  <c r="AB694" s="359"/>
    </row>
    <row r="695" spans="1:28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  <c r="AB695" s="359"/>
    </row>
    <row r="696" spans="1:28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  <c r="AB696" s="359"/>
    </row>
    <row r="697" spans="1:28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  <c r="AB697" s="359"/>
    </row>
    <row r="698" spans="1:28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  <c r="AB698" s="359"/>
    </row>
    <row r="699" spans="1:28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  <c r="AB699" s="359"/>
    </row>
    <row r="700" spans="1:28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  <c r="AB700" s="359"/>
    </row>
    <row r="701" spans="1:28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  <c r="AB701" s="359"/>
    </row>
    <row r="702" spans="1:28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  <c r="AB702" s="359"/>
    </row>
    <row r="703" spans="1:28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  <c r="AB703" s="359"/>
    </row>
    <row r="704" spans="1:28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  <c r="AB704" s="359"/>
    </row>
    <row r="705" spans="1:28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  <c r="AB705" s="359"/>
    </row>
    <row r="706" spans="1:28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  <c r="AB706" s="359"/>
    </row>
    <row r="707" spans="1:28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  <c r="AB707" s="359"/>
    </row>
    <row r="708" spans="1:28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  <c r="AB708" s="359"/>
    </row>
    <row r="709" spans="1:28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  <c r="AB709" s="359"/>
    </row>
    <row r="710" spans="1:28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  <c r="AB710" s="359"/>
    </row>
    <row r="711" spans="1:28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  <c r="AB711" s="359"/>
    </row>
    <row r="712" spans="1:28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  <c r="AB712" s="359"/>
    </row>
    <row r="713" spans="1:28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  <c r="AB713" s="359"/>
    </row>
    <row r="714" spans="1:28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  <c r="AB714" s="359"/>
    </row>
    <row r="715" spans="1:28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  <c r="AB715" s="359"/>
    </row>
    <row r="716" spans="1:28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  <c r="AB716" s="359"/>
    </row>
    <row r="717" spans="1:28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  <c r="AB717" s="359"/>
    </row>
    <row r="718" spans="1:28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  <c r="AB718" s="359"/>
    </row>
    <row r="719" spans="1:28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  <c r="AB719" s="359"/>
    </row>
    <row r="720" spans="1:28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  <c r="AB720" s="359"/>
    </row>
    <row r="721" spans="1:28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  <c r="AB721" s="359"/>
    </row>
    <row r="722" spans="1:28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  <c r="AB722" s="359"/>
    </row>
    <row r="723" spans="1:28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  <c r="AB723" s="359"/>
    </row>
    <row r="724" spans="1:28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  <c r="AB724" s="359"/>
    </row>
    <row r="725" spans="1:28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  <c r="AB725" s="359"/>
    </row>
    <row r="726" spans="1:28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  <c r="AB726" s="359"/>
    </row>
    <row r="727" spans="1:28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  <c r="AB727" s="359"/>
    </row>
    <row r="728" spans="1:28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  <c r="AB728" s="359"/>
    </row>
    <row r="729" spans="1:28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  <c r="AB729" s="359"/>
    </row>
    <row r="730" spans="1:28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  <c r="AB730" s="359"/>
    </row>
    <row r="731" spans="1:28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  <c r="AB731" s="359"/>
    </row>
    <row r="732" spans="1:28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  <c r="AB732" s="359"/>
    </row>
    <row r="733" spans="1:28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  <c r="AB733" s="359"/>
    </row>
    <row r="734" spans="1:28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  <c r="AB734" s="359"/>
    </row>
    <row r="735" spans="1:28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  <c r="AB735" s="359"/>
    </row>
    <row r="736" spans="1:28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  <c r="AB736" s="359"/>
    </row>
    <row r="737" spans="1:28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  <c r="AB737" s="359"/>
    </row>
    <row r="738" spans="1:28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  <c r="AB738" s="359"/>
    </row>
    <row r="739" spans="1:28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  <c r="AB739" s="359"/>
    </row>
    <row r="740" spans="1:28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  <c r="AB740" s="359"/>
    </row>
    <row r="741" spans="1:28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  <c r="AB741" s="359"/>
    </row>
    <row r="742" spans="1:28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  <c r="AB742" s="359"/>
    </row>
    <row r="743" spans="1:28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  <c r="AB743" s="359"/>
    </row>
    <row r="744" spans="1:28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  <c r="AB744" s="359"/>
    </row>
    <row r="745" spans="1:28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  <c r="AB745" s="359"/>
    </row>
    <row r="746" spans="1:28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  <c r="AB746" s="359"/>
    </row>
    <row r="747" spans="1:28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  <c r="AB747" s="359"/>
    </row>
    <row r="748" spans="1:28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  <c r="AB748" s="359"/>
    </row>
    <row r="749" spans="1:28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  <c r="AB749" s="359"/>
    </row>
    <row r="750" spans="1:28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  <c r="AB750" s="359"/>
    </row>
    <row r="751" spans="1:28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  <c r="AB751" s="359"/>
    </row>
    <row r="752" spans="1:28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  <c r="AB752" s="359"/>
    </row>
    <row r="753" spans="1:28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  <c r="AB753" s="359"/>
    </row>
    <row r="754" spans="1:28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  <c r="AB754" s="359"/>
    </row>
    <row r="755" spans="1:28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  <c r="AB755" s="359"/>
    </row>
    <row r="756" spans="1:28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  <c r="AB756" s="359"/>
    </row>
    <row r="757" spans="1:28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  <c r="AB757" s="359"/>
    </row>
    <row r="758" spans="1:28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  <c r="AB758" s="359"/>
    </row>
    <row r="759" spans="1:28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  <c r="AB759" s="359"/>
    </row>
    <row r="760" spans="1:28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  <c r="AB760" s="359"/>
    </row>
    <row r="761" spans="1:28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  <c r="AB761" s="359"/>
    </row>
    <row r="762" spans="1:28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  <c r="AB762" s="359"/>
    </row>
    <row r="763" spans="1:28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  <c r="AB763" s="359"/>
    </row>
    <row r="764" spans="1:28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  <c r="AB764" s="359"/>
    </row>
    <row r="765" spans="1:28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  <c r="AB765" s="359"/>
    </row>
    <row r="766" spans="1:28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  <c r="AB766" s="359"/>
    </row>
    <row r="767" spans="1:28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  <c r="AB767" s="359"/>
    </row>
    <row r="768" spans="1:28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  <c r="AB768" s="359"/>
    </row>
    <row r="769" spans="1:28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  <c r="AB769" s="359"/>
    </row>
    <row r="770" spans="1:28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  <c r="AB770" s="359"/>
    </row>
    <row r="771" spans="1:28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  <c r="AB771" s="359"/>
    </row>
    <row r="772" spans="1:28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  <c r="AB772" s="359"/>
    </row>
    <row r="773" spans="1:28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  <c r="AB773" s="359"/>
    </row>
    <row r="774" spans="1:28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  <c r="AB774" s="359"/>
    </row>
    <row r="775" spans="1:28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  <c r="AB775" s="359"/>
    </row>
    <row r="776" spans="1:28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  <c r="AB776" s="359"/>
    </row>
    <row r="777" spans="1:28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  <c r="AB777" s="359"/>
    </row>
    <row r="778" spans="1:28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  <c r="AB778" s="359"/>
    </row>
    <row r="779" spans="1:28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  <c r="AB779" s="359"/>
    </row>
    <row r="780" spans="1:28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  <c r="AB780" s="359"/>
    </row>
    <row r="781" spans="1:28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  <c r="AB781" s="359"/>
    </row>
    <row r="782" spans="1:28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  <c r="AB782" s="359"/>
    </row>
    <row r="783" spans="1:28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  <c r="AB783" s="359"/>
    </row>
    <row r="784" spans="1:28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  <c r="AB784" s="359"/>
    </row>
    <row r="785" spans="1:28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  <c r="AB785" s="359"/>
    </row>
    <row r="786" spans="1:28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  <c r="AB786" s="359"/>
    </row>
    <row r="787" spans="1:28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  <c r="AB787" s="359"/>
    </row>
    <row r="788" spans="1:28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  <c r="AB788" s="359"/>
    </row>
    <row r="789" spans="1:28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  <c r="AB789" s="359"/>
    </row>
    <row r="790" spans="1:28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  <c r="AB790" s="359"/>
    </row>
    <row r="791" spans="1:28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  <c r="AB791" s="359"/>
    </row>
    <row r="792" spans="1:28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  <c r="AB792" s="359"/>
    </row>
    <row r="793" spans="1:28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  <c r="AB793" s="359"/>
    </row>
    <row r="794" spans="1:28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  <c r="AB794" s="359"/>
    </row>
    <row r="795" spans="1:28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  <c r="AB795" s="359"/>
    </row>
    <row r="796" spans="1:28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  <c r="AB796" s="359"/>
    </row>
    <row r="797" spans="1:28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  <c r="AB797" s="359"/>
    </row>
    <row r="798" spans="1:28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  <c r="AB798" s="359"/>
    </row>
    <row r="799" spans="1:28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  <c r="AB799" s="359"/>
    </row>
    <row r="800" spans="1:28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  <c r="AB800" s="359"/>
    </row>
    <row r="801" spans="1:28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  <c r="AB801" s="359"/>
    </row>
    <row r="802" spans="1:28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  <c r="AB802" s="359"/>
    </row>
    <row r="803" spans="1:28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  <c r="AB803" s="359"/>
    </row>
    <row r="804" spans="1:28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  <c r="AB804" s="359"/>
    </row>
    <row r="805" spans="1:28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  <c r="AB805" s="359"/>
    </row>
    <row r="806" spans="1:28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  <c r="AB806" s="359"/>
    </row>
    <row r="807" spans="1:28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  <c r="AB807" s="359"/>
    </row>
    <row r="808" spans="1:28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  <c r="AB808" s="359"/>
    </row>
    <row r="809" spans="1:28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  <c r="AB809" s="359"/>
    </row>
    <row r="810" spans="1:28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  <c r="AB810" s="359"/>
    </row>
    <row r="811" spans="1:28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  <c r="AB811" s="359"/>
    </row>
    <row r="812" spans="1:28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  <c r="AB812" s="359"/>
    </row>
    <row r="813" spans="1:28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  <c r="AB813" s="359"/>
    </row>
    <row r="814" spans="1:28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  <c r="AB814" s="359"/>
    </row>
    <row r="815" spans="1:28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  <c r="AB815" s="359"/>
    </row>
    <row r="816" spans="1:28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  <c r="AB816" s="359"/>
    </row>
    <row r="817" spans="1:28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  <c r="AB817" s="359"/>
    </row>
    <row r="818" spans="1:28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  <c r="AB818" s="359"/>
    </row>
    <row r="819" spans="1:28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  <c r="AB819" s="359"/>
    </row>
    <row r="820" spans="1:28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  <c r="AB820" s="359"/>
    </row>
    <row r="821" spans="1:28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  <c r="AB821" s="359"/>
    </row>
    <row r="822" spans="1:28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  <c r="AB822" s="359"/>
    </row>
    <row r="823" spans="1:28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  <c r="AB823" s="359"/>
    </row>
    <row r="824" spans="1:28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  <c r="AB824" s="359"/>
    </row>
    <row r="825" spans="1:28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  <c r="AB825" s="359"/>
    </row>
    <row r="826" spans="1:28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  <c r="AB826" s="359"/>
    </row>
    <row r="827" spans="1:28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  <c r="AB827" s="359"/>
    </row>
    <row r="828" spans="1:28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  <c r="AB828" s="359"/>
    </row>
    <row r="829" spans="1:28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  <c r="AB829" s="359"/>
    </row>
    <row r="830" spans="1:28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  <c r="AB830" s="359"/>
    </row>
    <row r="831" spans="1:28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  <c r="AB831" s="359"/>
    </row>
    <row r="832" spans="1:28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  <c r="AB832" s="359"/>
    </row>
    <row r="833" spans="1:28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  <c r="AB833" s="359"/>
    </row>
    <row r="834" spans="1:28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  <c r="AB834" s="359"/>
    </row>
    <row r="835" spans="1:28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  <c r="AB835" s="359"/>
    </row>
    <row r="836" spans="1:28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  <c r="AB836" s="359"/>
    </row>
    <row r="837" spans="1:28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  <c r="AB837" s="359"/>
    </row>
    <row r="838" spans="1:28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  <c r="AB838" s="359"/>
    </row>
    <row r="839" spans="1:28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  <c r="AB839" s="359"/>
    </row>
    <row r="840" spans="1:28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  <c r="AB840" s="359"/>
    </row>
    <row r="841" spans="1:28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  <c r="AB841" s="359"/>
    </row>
    <row r="842" spans="1:28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  <c r="AB842" s="359"/>
    </row>
    <row r="843" spans="1:28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  <c r="AB843" s="359"/>
    </row>
    <row r="844" spans="1:28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  <c r="AB844" s="359"/>
    </row>
    <row r="845" spans="1:28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  <c r="AB845" s="359"/>
    </row>
    <row r="846" spans="1:28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  <c r="AB846" s="359"/>
    </row>
    <row r="847" spans="1:28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  <c r="AB847" s="359"/>
    </row>
    <row r="848" spans="1:28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  <c r="AB848" s="359"/>
    </row>
    <row r="849" spans="1:28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  <c r="AB849" s="359"/>
    </row>
    <row r="850" spans="1:28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  <c r="AB850" s="359"/>
    </row>
    <row r="851" spans="1:28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  <c r="AB851" s="359"/>
    </row>
    <row r="852" spans="1:28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  <c r="AB852" s="359"/>
    </row>
    <row r="853" spans="1:28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  <c r="AB853" s="359"/>
    </row>
    <row r="854" spans="1:28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  <c r="AB854" s="359"/>
    </row>
    <row r="855" spans="1:28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  <c r="AB855" s="359"/>
    </row>
    <row r="856" spans="1:28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  <c r="AB856" s="359"/>
    </row>
    <row r="857" spans="1:28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  <c r="AB857" s="359"/>
    </row>
    <row r="858" spans="1:28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  <c r="AB858" s="359"/>
    </row>
    <row r="859" spans="1:28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  <c r="AB859" s="359"/>
    </row>
    <row r="860" spans="1:28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  <c r="AB860" s="359"/>
    </row>
    <row r="861" spans="1:28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  <c r="AB861" s="359"/>
    </row>
    <row r="862" spans="1:28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  <c r="AB862" s="359"/>
    </row>
    <row r="863" spans="1:28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  <c r="AB863" s="359"/>
    </row>
    <row r="864" spans="1:28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  <c r="AB864" s="359"/>
    </row>
    <row r="865" spans="1:28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  <c r="AB865" s="359"/>
    </row>
    <row r="866" spans="1:28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  <c r="AB866" s="359"/>
    </row>
    <row r="867" spans="1:28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  <c r="AB867" s="359"/>
    </row>
    <row r="868" spans="1:28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  <c r="AB868" s="359"/>
    </row>
    <row r="869" spans="1:28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  <c r="AB869" s="359"/>
    </row>
    <row r="870" spans="1:28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  <c r="AB870" s="359"/>
    </row>
    <row r="871" spans="1:28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  <c r="AB871" s="359"/>
    </row>
    <row r="872" spans="1:28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  <c r="AB872" s="359"/>
    </row>
    <row r="873" spans="1:28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  <c r="AB873" s="359"/>
    </row>
    <row r="874" spans="1:28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  <c r="AB874" s="359"/>
    </row>
    <row r="875" spans="1:28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  <c r="AB875" s="359"/>
    </row>
    <row r="876" spans="1:28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  <c r="AB876" s="359"/>
    </row>
    <row r="877" spans="1:28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  <c r="AB877" s="359"/>
    </row>
    <row r="878" spans="1:28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  <c r="AB878" s="359"/>
    </row>
    <row r="879" spans="1:28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  <c r="AB879" s="359"/>
    </row>
    <row r="880" spans="1:28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  <c r="AB880" s="359"/>
    </row>
    <row r="881" spans="1:28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  <c r="AB881" s="359"/>
    </row>
    <row r="882" spans="1:28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  <c r="AB882" s="359"/>
    </row>
    <row r="883" spans="1:28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  <c r="AB883" s="359"/>
    </row>
    <row r="884" spans="1:28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  <c r="AB884" s="359"/>
    </row>
    <row r="885" spans="1:28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  <c r="AB885" s="359"/>
    </row>
    <row r="886" spans="1:28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  <c r="AB886" s="359"/>
    </row>
    <row r="887" spans="1:28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  <c r="AB887" s="359"/>
    </row>
    <row r="888" spans="1:28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  <c r="AB888" s="359"/>
    </row>
    <row r="889" spans="1:28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  <c r="AB889" s="359"/>
    </row>
    <row r="890" spans="1:28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  <c r="AB890" s="359"/>
    </row>
    <row r="891" spans="1:28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  <c r="AB891" s="359"/>
    </row>
    <row r="892" spans="1:28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  <c r="AB892" s="359"/>
    </row>
    <row r="893" spans="1:28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  <c r="AB893" s="359"/>
    </row>
    <row r="894" spans="1:28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  <c r="AB894" s="359"/>
    </row>
    <row r="895" spans="1:28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  <c r="AB895" s="359"/>
    </row>
    <row r="896" spans="1:28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  <c r="AB896" s="359"/>
    </row>
    <row r="897" spans="1:28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  <c r="AB897" s="359"/>
    </row>
    <row r="898" spans="1:28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  <c r="AB898" s="359"/>
    </row>
    <row r="899" spans="1:28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  <c r="AB899" s="359"/>
    </row>
    <row r="900" spans="1:28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  <c r="AB900" s="359"/>
    </row>
    <row r="901" spans="1:28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  <c r="AB901" s="359"/>
    </row>
    <row r="902" spans="1:28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  <c r="AB902" s="359"/>
    </row>
    <row r="903" spans="1:28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  <c r="AB903" s="359"/>
    </row>
    <row r="904" spans="1:28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  <c r="AB904" s="359"/>
    </row>
    <row r="905" spans="1:28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  <c r="AB905" s="359"/>
    </row>
    <row r="906" spans="1:28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  <c r="AB906" s="359"/>
    </row>
    <row r="907" spans="1:28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  <c r="AB907" s="359"/>
    </row>
    <row r="908" spans="1:28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  <c r="AB908" s="359"/>
    </row>
    <row r="909" spans="1:28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  <c r="AB909" s="359"/>
    </row>
    <row r="910" spans="1:28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  <c r="AB910" s="359"/>
    </row>
    <row r="911" spans="1:28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  <c r="AB911" s="359"/>
    </row>
    <row r="912" spans="1:28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  <c r="AB912" s="359"/>
    </row>
    <row r="913" spans="1:28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  <c r="AB913" s="359"/>
    </row>
    <row r="914" spans="1:28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  <c r="AB914" s="359"/>
    </row>
    <row r="915" spans="1:28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  <c r="AB915" s="359"/>
    </row>
    <row r="916" spans="1:28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  <c r="AB916" s="359"/>
    </row>
    <row r="917" spans="1:28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  <c r="AB917" s="359"/>
    </row>
    <row r="918" spans="1:28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  <c r="AB918" s="359"/>
    </row>
    <row r="919" spans="1:28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  <c r="AB919" s="359"/>
    </row>
    <row r="920" spans="1:28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  <c r="AB920" s="359"/>
    </row>
    <row r="921" spans="1:28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  <c r="AB921" s="359"/>
    </row>
    <row r="922" spans="1:28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  <c r="AB922" s="359"/>
    </row>
    <row r="923" spans="1:28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  <c r="AB923" s="359"/>
    </row>
    <row r="924" spans="1:28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  <c r="AB924" s="359"/>
    </row>
    <row r="925" spans="1:28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  <c r="AB925" s="359"/>
    </row>
    <row r="926" spans="1:28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  <c r="AB926" s="359"/>
    </row>
    <row r="927" spans="1:28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  <c r="AB927" s="359"/>
    </row>
    <row r="928" spans="1:28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  <c r="AB928" s="359"/>
    </row>
    <row r="929" spans="1:28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  <c r="AB929" s="359"/>
    </row>
    <row r="930" spans="1:28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  <c r="AB930" s="359"/>
    </row>
    <row r="931" spans="1:28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  <c r="AB931" s="359"/>
    </row>
    <row r="932" spans="1:28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  <c r="AB932" s="359"/>
    </row>
    <row r="933" spans="1:28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  <c r="AB933" s="359"/>
    </row>
    <row r="934" spans="1:28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  <c r="AB934" s="359"/>
    </row>
    <row r="935" spans="1:28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  <c r="AB935" s="359"/>
    </row>
    <row r="936" spans="1:28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  <c r="AB936" s="359"/>
    </row>
    <row r="937" spans="1:28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  <c r="AB937" s="359"/>
    </row>
    <row r="938" spans="1:28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  <c r="AB938" s="359"/>
    </row>
    <row r="939" spans="1:28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  <c r="AB939" s="359"/>
    </row>
    <row r="940" spans="1:28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  <c r="AB940" s="359"/>
    </row>
    <row r="941" spans="1:28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  <c r="AB941" s="359"/>
    </row>
    <row r="942" spans="1:28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  <c r="AB942" s="359"/>
    </row>
    <row r="943" spans="1:28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  <c r="AB943" s="359"/>
    </row>
    <row r="944" spans="1:28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  <c r="AB944" s="359"/>
    </row>
    <row r="945" spans="1:28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  <c r="AB945" s="359"/>
    </row>
    <row r="946" spans="1:28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  <c r="AB946" s="359"/>
    </row>
    <row r="947" spans="1:28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  <c r="AB947" s="359"/>
    </row>
    <row r="948" spans="1:28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  <c r="AB948" s="359"/>
    </row>
    <row r="949" spans="1:28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  <c r="AB949" s="359"/>
    </row>
    <row r="950" spans="1:28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  <c r="AB950" s="359"/>
    </row>
    <row r="951" spans="1:28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  <c r="AB951" s="359"/>
    </row>
    <row r="952" spans="1:28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  <c r="AB952" s="359"/>
    </row>
    <row r="953" spans="1:28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  <c r="AB953" s="359"/>
    </row>
    <row r="954" spans="1:28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  <c r="AB954" s="359"/>
    </row>
    <row r="955" spans="1:28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  <c r="AB955" s="359"/>
    </row>
    <row r="956" spans="1:28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  <c r="AB956" s="359"/>
    </row>
    <row r="957" spans="1:28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  <c r="AB957" s="359"/>
    </row>
    <row r="958" spans="1:28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  <c r="AB958" s="359"/>
    </row>
    <row r="959" spans="1:28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  <c r="AB959" s="359"/>
    </row>
    <row r="960" spans="1:28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  <c r="AB960" s="359"/>
    </row>
    <row r="961" spans="1:28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  <c r="AB961" s="359"/>
    </row>
    <row r="962" spans="1:28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  <c r="AB962" s="359"/>
    </row>
    <row r="963" spans="1:28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  <c r="AB963" s="359"/>
    </row>
    <row r="964" spans="1:28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  <c r="AB964" s="359"/>
    </row>
    <row r="965" spans="1:28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  <c r="AB965" s="359"/>
    </row>
    <row r="966" spans="1:28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  <c r="AB966" s="359"/>
    </row>
    <row r="967" spans="1:28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  <c r="AB967" s="359"/>
    </row>
    <row r="968" spans="1:28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  <c r="AB968" s="359"/>
    </row>
    <row r="969" spans="1:28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  <c r="AB969" s="359"/>
    </row>
    <row r="970" spans="1:28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  <c r="AB970" s="359"/>
    </row>
    <row r="971" spans="1:28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  <c r="AB971" s="359"/>
    </row>
    <row r="972" spans="1:28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  <c r="AB972" s="359"/>
    </row>
    <row r="973" spans="1:28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  <c r="AB973" s="359"/>
    </row>
    <row r="974" spans="1:28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  <c r="AB974" s="359"/>
    </row>
    <row r="975" spans="1:28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  <c r="AB975" s="359"/>
    </row>
    <row r="976" spans="1:28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  <c r="AB976" s="359"/>
    </row>
    <row r="977" spans="1:28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  <c r="AB977" s="359"/>
    </row>
    <row r="978" spans="1:28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  <c r="AB978" s="359"/>
    </row>
    <row r="979" spans="1:28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  <c r="AB979" s="359"/>
    </row>
    <row r="980" spans="1:28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  <c r="AB980" s="359"/>
    </row>
    <row r="981" spans="1:28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  <c r="AB981" s="359"/>
    </row>
    <row r="982" spans="1:28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  <c r="AB982" s="359"/>
    </row>
    <row r="983" spans="1:28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  <c r="AB983" s="359"/>
    </row>
    <row r="984" spans="1:28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  <c r="AB984" s="359"/>
    </row>
    <row r="985" spans="1:28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  <c r="AB985" s="359"/>
    </row>
    <row r="986" spans="1:28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  <c r="AB986" s="359"/>
    </row>
    <row r="987" spans="1:28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  <c r="AB987" s="359"/>
    </row>
    <row r="988" spans="1:28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  <c r="AB988" s="359"/>
    </row>
    <row r="989" spans="1:28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  <c r="AB989" s="359"/>
    </row>
    <row r="990" spans="1:28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  <c r="AB990" s="359"/>
    </row>
    <row r="991" spans="1:28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  <c r="AB991" s="359"/>
    </row>
    <row r="992" spans="1:28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  <c r="AB992" s="359"/>
    </row>
    <row r="993" spans="1:28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  <c r="AB993" s="359"/>
    </row>
    <row r="994" spans="1:28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  <c r="AB994" s="359"/>
    </row>
    <row r="995" spans="1:28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  <c r="AB995" s="359"/>
    </row>
    <row r="996" spans="1:28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  <c r="AB996" s="359"/>
    </row>
    <row r="997" spans="1:28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  <c r="AB997" s="359"/>
    </row>
    <row r="998" spans="1:28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  <c r="AB998" s="359"/>
    </row>
    <row r="999" spans="1:28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  <c r="AB999" s="359"/>
    </row>
    <row r="1000" spans="1:28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  <c r="AB1000" s="359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D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CDD2-7160-4912-A785-13D35C88AAB9}">
  <dimension ref="A1:AB1000"/>
  <sheetViews>
    <sheetView topLeftCell="B1" zoomScale="90" zoomScaleNormal="90" workbookViewId="0">
      <pane ySplit="12" topLeftCell="A13" activePane="bottomLeft" state="frozen"/>
      <selection pane="bottomLeft" activeCell="B7" sqref="B7:C7"/>
    </sheetView>
  </sheetViews>
  <sheetFormatPr defaultColWidth="14.42578125" defaultRowHeight="15" customHeight="1" x14ac:dyDescent="0.25"/>
  <cols>
    <col min="1" max="1" width="215.42578125" style="344" hidden="1" customWidth="1"/>
    <col min="2" max="2" width="87.140625" style="344" customWidth="1"/>
    <col min="3" max="3" width="15.140625" style="344" customWidth="1"/>
    <col min="4" max="4" width="15.5703125" style="344" customWidth="1"/>
    <col min="5" max="5" width="14.85546875" style="344" customWidth="1"/>
    <col min="6" max="6" width="15.85546875" style="344" customWidth="1"/>
    <col min="7" max="7" width="16.28515625" style="344" customWidth="1"/>
    <col min="8" max="19" width="12.7109375" style="344" hidden="1" customWidth="1"/>
    <col min="20" max="20" width="17" style="344" customWidth="1"/>
    <col min="21" max="21" width="13.140625" style="344" customWidth="1"/>
    <col min="22" max="22" width="16" style="344" customWidth="1"/>
    <col min="23" max="23" width="20.140625" style="344" customWidth="1"/>
    <col min="24" max="24" width="17.42578125" style="344" customWidth="1"/>
    <col min="25" max="25" width="19.5703125" style="344" customWidth="1"/>
    <col min="26" max="26" width="17.85546875" style="344" customWidth="1"/>
    <col min="27" max="27" width="17.140625" style="344" customWidth="1"/>
    <col min="28" max="28" width="51.28515625" style="344" customWidth="1"/>
    <col min="29" max="16384" width="14.42578125" style="344"/>
  </cols>
  <sheetData>
    <row r="1" spans="1:28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  <c r="AB1" s="342"/>
    </row>
    <row r="2" spans="1:28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  <c r="AB2" s="342"/>
    </row>
    <row r="3" spans="1:28" ht="15" customHeight="1" x14ac:dyDescent="0.25">
      <c r="A3" s="515" t="s">
        <v>1382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  <c r="AB3" s="342"/>
    </row>
    <row r="4" spans="1:28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  <c r="AB4" s="342"/>
    </row>
    <row r="5" spans="1:28" ht="12" customHeight="1" x14ac:dyDescent="0.25">
      <c r="A5" s="345"/>
      <c r="B5" s="346" t="s">
        <v>1383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  <c r="AB5" s="342"/>
    </row>
    <row r="6" spans="1:28" ht="12" customHeight="1" x14ac:dyDescent="0.25">
      <c r="A6" s="345"/>
      <c r="B6" s="346" t="s">
        <v>1077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  <c r="AB6" s="342"/>
    </row>
    <row r="7" spans="1:28" ht="12" customHeight="1" x14ac:dyDescent="0.25">
      <c r="A7" s="345"/>
      <c r="B7" s="518" t="s">
        <v>1078</v>
      </c>
      <c r="C7" s="519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  <c r="AB7" s="342"/>
    </row>
    <row r="8" spans="1:28" ht="12" customHeight="1" x14ac:dyDescent="0.25">
      <c r="A8" s="345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90"/>
      <c r="U8" s="390"/>
      <c r="V8" s="345"/>
      <c r="W8" s="345"/>
      <c r="X8" s="342"/>
      <c r="Y8" s="342"/>
      <c r="Z8" s="342"/>
      <c r="AA8" s="349" t="s">
        <v>1</v>
      </c>
      <c r="AB8" s="342"/>
    </row>
    <row r="9" spans="1:28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  <c r="AB9" s="342"/>
    </row>
    <row r="10" spans="1:28" ht="27.75" customHeight="1" x14ac:dyDescent="0.25">
      <c r="A10" s="511"/>
      <c r="B10" s="514" t="s">
        <v>1079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  <c r="AB10" s="342"/>
    </row>
    <row r="11" spans="1:28" ht="12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  <c r="AB11" s="342"/>
    </row>
    <row r="12" spans="1:28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  <c r="AB12" s="342"/>
    </row>
    <row r="13" spans="1:28" ht="12" customHeight="1" x14ac:dyDescent="0.25">
      <c r="A13" s="354"/>
      <c r="B13" s="355" t="s">
        <v>404</v>
      </c>
      <c r="C13" s="356">
        <v>2017198</v>
      </c>
      <c r="D13" s="356">
        <v>2017198</v>
      </c>
      <c r="E13" s="356">
        <v>2017198</v>
      </c>
      <c r="F13" s="356">
        <v>1800553.38</v>
      </c>
      <c r="G13" s="356">
        <v>1354471.6400000001</v>
      </c>
      <c r="H13" s="356">
        <v>153398.09</v>
      </c>
      <c r="I13" s="356">
        <v>152096.41999999998</v>
      </c>
      <c r="J13" s="356">
        <v>150131.49</v>
      </c>
      <c r="K13" s="356">
        <v>151506.44</v>
      </c>
      <c r="L13" s="356">
        <v>150090.79999999999</v>
      </c>
      <c r="M13" s="356">
        <v>150292.12000000002</v>
      </c>
      <c r="N13" s="356">
        <v>150809.12</v>
      </c>
      <c r="O13" s="356">
        <v>148739.1</v>
      </c>
      <c r="P13" s="356">
        <v>147408.06</v>
      </c>
      <c r="Q13" s="356">
        <v>0</v>
      </c>
      <c r="R13" s="356">
        <v>0</v>
      </c>
      <c r="S13" s="356">
        <v>0</v>
      </c>
      <c r="T13" s="357">
        <v>1354471.6400000001</v>
      </c>
      <c r="U13" s="358">
        <v>0.67146191895887275</v>
      </c>
      <c r="V13" s="357">
        <v>662726.35999999987</v>
      </c>
      <c r="W13" s="357">
        <v>0</v>
      </c>
      <c r="X13" s="357">
        <v>216644.62000000011</v>
      </c>
      <c r="Y13" s="357">
        <v>216644.62000000011</v>
      </c>
      <c r="Z13" s="357">
        <v>446081.73999999976</v>
      </c>
      <c r="AA13" s="357">
        <v>0</v>
      </c>
      <c r="AB13" s="359"/>
    </row>
    <row r="14" spans="1:28" ht="12" customHeight="1" x14ac:dyDescent="0.25">
      <c r="A14" s="354"/>
      <c r="B14" s="360" t="s">
        <v>405</v>
      </c>
      <c r="C14" s="361">
        <v>1855168</v>
      </c>
      <c r="D14" s="361">
        <v>1864298</v>
      </c>
      <c r="E14" s="361">
        <v>1864298</v>
      </c>
      <c r="F14" s="361">
        <v>1687657.92</v>
      </c>
      <c r="G14" s="361">
        <v>1241576.18</v>
      </c>
      <c r="H14" s="361">
        <v>134715.66999999998</v>
      </c>
      <c r="I14" s="361">
        <v>140119.57999999999</v>
      </c>
      <c r="J14" s="361">
        <v>138026.32999999999</v>
      </c>
      <c r="K14" s="361">
        <v>139297.60000000001</v>
      </c>
      <c r="L14" s="361">
        <v>138588.43</v>
      </c>
      <c r="M14" s="361">
        <v>138767.07</v>
      </c>
      <c r="N14" s="361">
        <v>138782.62</v>
      </c>
      <c r="O14" s="361">
        <v>137412.12</v>
      </c>
      <c r="P14" s="361">
        <v>135866.76</v>
      </c>
      <c r="Q14" s="361">
        <v>0</v>
      </c>
      <c r="R14" s="361">
        <v>0</v>
      </c>
      <c r="S14" s="361">
        <v>0</v>
      </c>
      <c r="T14" s="362">
        <v>1241576.18</v>
      </c>
      <c r="U14" s="363">
        <v>0.66597517135136119</v>
      </c>
      <c r="V14" s="362">
        <v>622721.82000000007</v>
      </c>
      <c r="W14" s="362">
        <v>0</v>
      </c>
      <c r="X14" s="362">
        <v>176640.08000000007</v>
      </c>
      <c r="Y14" s="362">
        <v>176640.08000000007</v>
      </c>
      <c r="Z14" s="362">
        <v>446081.74</v>
      </c>
      <c r="AA14" s="362">
        <v>0</v>
      </c>
      <c r="AB14" s="367"/>
    </row>
    <row r="15" spans="1:28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  <c r="AB15" s="359"/>
    </row>
    <row r="16" spans="1:28" ht="12" customHeight="1" x14ac:dyDescent="0.25">
      <c r="A16" s="354" t="s">
        <v>1121</v>
      </c>
      <c r="B16" s="364" t="s">
        <v>407</v>
      </c>
      <c r="C16" s="365">
        <v>87600</v>
      </c>
      <c r="D16" s="365">
        <v>87454.45</v>
      </c>
      <c r="E16" s="365">
        <v>87454.45</v>
      </c>
      <c r="F16" s="365">
        <v>86873.51</v>
      </c>
      <c r="G16" s="365">
        <v>62946.96</v>
      </c>
      <c r="H16" s="365">
        <v>6299.7000000000007</v>
      </c>
      <c r="I16" s="365">
        <v>7510.9000000000005</v>
      </c>
      <c r="J16" s="365">
        <v>7300</v>
      </c>
      <c r="K16" s="365">
        <v>7300</v>
      </c>
      <c r="L16" s="365">
        <v>7300</v>
      </c>
      <c r="M16" s="365">
        <v>7300</v>
      </c>
      <c r="N16" s="365">
        <v>7300</v>
      </c>
      <c r="O16" s="365">
        <v>7300</v>
      </c>
      <c r="P16" s="365">
        <v>5336.36</v>
      </c>
      <c r="Q16" s="365">
        <v>0</v>
      </c>
      <c r="R16" s="365">
        <v>0</v>
      </c>
      <c r="S16" s="365">
        <v>0</v>
      </c>
      <c r="T16" s="365">
        <v>62946.960000000006</v>
      </c>
      <c r="U16" s="366">
        <v>0.71976851949786447</v>
      </c>
      <c r="V16" s="365">
        <v>24507.489999999991</v>
      </c>
      <c r="W16" s="365">
        <v>0</v>
      </c>
      <c r="X16" s="365">
        <v>580.94000000000233</v>
      </c>
      <c r="Y16" s="365">
        <v>580.94000000000233</v>
      </c>
      <c r="Z16" s="365">
        <v>23926.549999999996</v>
      </c>
      <c r="AA16" s="365">
        <v>0</v>
      </c>
      <c r="AB16" s="359"/>
    </row>
    <row r="17" spans="1:28" ht="12" customHeight="1" x14ac:dyDescent="0.25">
      <c r="A17" s="354" t="s">
        <v>1122</v>
      </c>
      <c r="B17" s="364" t="s">
        <v>408</v>
      </c>
      <c r="C17" s="365">
        <v>411804</v>
      </c>
      <c r="D17" s="365">
        <v>445049.55</v>
      </c>
      <c r="E17" s="365">
        <v>445049.55</v>
      </c>
      <c r="F17" s="365">
        <v>444730.38999999996</v>
      </c>
      <c r="G17" s="365">
        <v>316153.37</v>
      </c>
      <c r="H17" s="365">
        <v>33213.42</v>
      </c>
      <c r="I17" s="365">
        <v>35594.949999999997</v>
      </c>
      <c r="J17" s="365">
        <v>35474.81</v>
      </c>
      <c r="K17" s="365">
        <v>35363.599999999999</v>
      </c>
      <c r="L17" s="365">
        <v>35094.43</v>
      </c>
      <c r="M17" s="365">
        <v>35273.07</v>
      </c>
      <c r="N17" s="365">
        <v>36087.97</v>
      </c>
      <c r="O17" s="365">
        <v>35017.520000000004</v>
      </c>
      <c r="P17" s="365">
        <v>35033.600000000006</v>
      </c>
      <c r="Q17" s="365">
        <v>0</v>
      </c>
      <c r="R17" s="365">
        <v>0</v>
      </c>
      <c r="S17" s="365">
        <v>0</v>
      </c>
      <c r="T17" s="365">
        <v>316153.37</v>
      </c>
      <c r="U17" s="366">
        <v>0.71037791185273635</v>
      </c>
      <c r="V17" s="365">
        <v>128896.18</v>
      </c>
      <c r="W17" s="365">
        <v>0</v>
      </c>
      <c r="X17" s="365">
        <v>319.1600000000326</v>
      </c>
      <c r="Y17" s="365">
        <v>319.1600000000326</v>
      </c>
      <c r="Z17" s="365">
        <v>128577.01999999996</v>
      </c>
      <c r="AA17" s="365">
        <v>0</v>
      </c>
      <c r="AB17" s="359"/>
    </row>
    <row r="18" spans="1:28" ht="12" customHeight="1" x14ac:dyDescent="0.25">
      <c r="A18" s="354" t="s">
        <v>1123</v>
      </c>
      <c r="B18" s="364" t="s">
        <v>409</v>
      </c>
      <c r="C18" s="365">
        <v>81060</v>
      </c>
      <c r="D18" s="365">
        <v>68576</v>
      </c>
      <c r="E18" s="365">
        <v>68576</v>
      </c>
      <c r="F18" s="365">
        <v>67552.22</v>
      </c>
      <c r="G18" s="365">
        <v>52646.180000000037</v>
      </c>
      <c r="H18" s="365">
        <v>5624.2799999999988</v>
      </c>
      <c r="I18" s="365">
        <v>8789.06</v>
      </c>
      <c r="J18" s="365">
        <v>5566.5199999999986</v>
      </c>
      <c r="K18" s="365">
        <v>5427</v>
      </c>
      <c r="L18" s="365">
        <v>5427</v>
      </c>
      <c r="M18" s="365">
        <v>5427</v>
      </c>
      <c r="N18" s="365">
        <v>5514.36</v>
      </c>
      <c r="O18" s="365">
        <v>5443.12</v>
      </c>
      <c r="P18" s="365">
        <v>5427.84</v>
      </c>
      <c r="Q18" s="365">
        <v>0</v>
      </c>
      <c r="R18" s="365">
        <v>0</v>
      </c>
      <c r="S18" s="365">
        <v>0</v>
      </c>
      <c r="T18" s="365">
        <v>52646.180000000008</v>
      </c>
      <c r="U18" s="366">
        <v>0.76770561129258064</v>
      </c>
      <c r="V18" s="365">
        <v>15929.819999999992</v>
      </c>
      <c r="W18" s="365">
        <v>0</v>
      </c>
      <c r="X18" s="365">
        <v>1023.7799999999988</v>
      </c>
      <c r="Y18" s="365">
        <v>1023.7799999999988</v>
      </c>
      <c r="Z18" s="365">
        <v>14906.039999999964</v>
      </c>
      <c r="AA18" s="365">
        <v>0</v>
      </c>
      <c r="AB18" s="359"/>
    </row>
    <row r="19" spans="1:28" ht="12" customHeight="1" x14ac:dyDescent="0.25">
      <c r="A19" s="354" t="s">
        <v>1124</v>
      </c>
      <c r="B19" s="364" t="s">
        <v>410</v>
      </c>
      <c r="C19" s="365">
        <v>954768</v>
      </c>
      <c r="D19" s="365">
        <v>1021282</v>
      </c>
      <c r="E19" s="365">
        <v>1021282</v>
      </c>
      <c r="F19" s="365">
        <v>964101.3600000001</v>
      </c>
      <c r="G19" s="365">
        <v>714309.22999999986</v>
      </c>
      <c r="H19" s="365">
        <v>70057.83</v>
      </c>
      <c r="I19" s="365">
        <v>78724.67</v>
      </c>
      <c r="J19" s="365">
        <v>80185</v>
      </c>
      <c r="K19" s="365">
        <v>81707</v>
      </c>
      <c r="L19" s="365">
        <v>81267</v>
      </c>
      <c r="M19" s="365">
        <v>81267</v>
      </c>
      <c r="N19" s="365">
        <v>80380.289999999994</v>
      </c>
      <c r="O19" s="365">
        <v>80151.48</v>
      </c>
      <c r="P19" s="365">
        <v>80568.960000000006</v>
      </c>
      <c r="Q19" s="365">
        <v>0</v>
      </c>
      <c r="R19" s="365">
        <v>0</v>
      </c>
      <c r="S19" s="365">
        <v>0</v>
      </c>
      <c r="T19" s="365">
        <v>714309.23</v>
      </c>
      <c r="U19" s="366">
        <v>0.6994240865892084</v>
      </c>
      <c r="V19" s="365">
        <v>306972.77</v>
      </c>
      <c r="W19" s="365">
        <v>0</v>
      </c>
      <c r="X19" s="365">
        <v>57180.639999999898</v>
      </c>
      <c r="Y19" s="365">
        <v>57180.639999999898</v>
      </c>
      <c r="Z19" s="365">
        <v>249792.13000000024</v>
      </c>
      <c r="AA19" s="365">
        <v>0</v>
      </c>
      <c r="AB19" s="359"/>
    </row>
    <row r="20" spans="1:28" ht="12" customHeight="1" x14ac:dyDescent="0.25">
      <c r="A20" s="354" t="s">
        <v>1125</v>
      </c>
      <c r="B20" s="364" t="s">
        <v>411</v>
      </c>
      <c r="C20" s="365">
        <v>192000</v>
      </c>
      <c r="D20" s="365">
        <v>114000</v>
      </c>
      <c r="E20" s="365">
        <v>114000</v>
      </c>
      <c r="F20" s="365">
        <v>114000</v>
      </c>
      <c r="G20" s="365">
        <v>85120</v>
      </c>
      <c r="H20" s="365">
        <v>9120</v>
      </c>
      <c r="I20" s="365">
        <v>9500</v>
      </c>
      <c r="J20" s="365">
        <v>9500</v>
      </c>
      <c r="K20" s="365">
        <v>9500</v>
      </c>
      <c r="L20" s="365">
        <v>9500</v>
      </c>
      <c r="M20" s="365">
        <v>9500</v>
      </c>
      <c r="N20" s="365">
        <v>9500</v>
      </c>
      <c r="O20" s="365">
        <v>9500</v>
      </c>
      <c r="P20" s="365">
        <v>9500</v>
      </c>
      <c r="Q20" s="365">
        <v>0</v>
      </c>
      <c r="R20" s="365">
        <v>0</v>
      </c>
      <c r="S20" s="365">
        <v>0</v>
      </c>
      <c r="T20" s="365">
        <v>85120</v>
      </c>
      <c r="U20" s="366">
        <v>0.7466666666666667</v>
      </c>
      <c r="V20" s="365">
        <v>28880</v>
      </c>
      <c r="W20" s="365">
        <v>0</v>
      </c>
      <c r="X20" s="365">
        <v>0</v>
      </c>
      <c r="Y20" s="365">
        <v>0</v>
      </c>
      <c r="Z20" s="365">
        <v>28880</v>
      </c>
      <c r="AA20" s="365">
        <v>0</v>
      </c>
      <c r="AB20" s="359"/>
    </row>
    <row r="21" spans="1:28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  <c r="AB21" s="359"/>
    </row>
    <row r="22" spans="1:28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  <c r="AB22" s="359"/>
    </row>
    <row r="23" spans="1:28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  <c r="AB23" s="359"/>
    </row>
    <row r="24" spans="1:28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  <c r="AB24" s="359"/>
    </row>
    <row r="25" spans="1:28" ht="12" customHeight="1" x14ac:dyDescent="0.25">
      <c r="A25" s="354" t="s">
        <v>1130</v>
      </c>
      <c r="B25" s="364" t="s">
        <v>416</v>
      </c>
      <c r="C25" s="365">
        <v>127936</v>
      </c>
      <c r="D25" s="365">
        <v>127936</v>
      </c>
      <c r="E25" s="365">
        <v>127936</v>
      </c>
      <c r="F25" s="365">
        <v>10400.44</v>
      </c>
      <c r="G25" s="365">
        <v>10400.44</v>
      </c>
      <c r="H25" s="365">
        <v>10400.44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10400.44</v>
      </c>
      <c r="U25" s="366">
        <v>8.1294084542271133E-2</v>
      </c>
      <c r="V25" s="365">
        <v>117535.56</v>
      </c>
      <c r="W25" s="365">
        <v>0</v>
      </c>
      <c r="X25" s="365">
        <v>117535.56</v>
      </c>
      <c r="Y25" s="365">
        <v>117535.56</v>
      </c>
      <c r="Z25" s="365">
        <v>0</v>
      </c>
      <c r="AA25" s="365">
        <v>0</v>
      </c>
      <c r="AB25" s="359"/>
    </row>
    <row r="26" spans="1:28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  <c r="AB26" s="359"/>
    </row>
    <row r="27" spans="1:28" ht="12" customHeight="1" x14ac:dyDescent="0.25">
      <c r="A27" s="354"/>
      <c r="B27" s="360" t="s">
        <v>418</v>
      </c>
      <c r="C27" s="361">
        <v>55400</v>
      </c>
      <c r="D27" s="361">
        <v>52500</v>
      </c>
      <c r="E27" s="361">
        <v>52500</v>
      </c>
      <c r="F27" s="361">
        <v>31238.58</v>
      </c>
      <c r="G27" s="361">
        <v>31238.58</v>
      </c>
      <c r="H27" s="361">
        <v>3081.76</v>
      </c>
      <c r="I27" s="361">
        <v>4150</v>
      </c>
      <c r="J27" s="361">
        <v>3700</v>
      </c>
      <c r="K27" s="361">
        <v>3925</v>
      </c>
      <c r="L27" s="361">
        <v>3171.4300000000003</v>
      </c>
      <c r="M27" s="361">
        <v>3210.39</v>
      </c>
      <c r="N27" s="361">
        <v>3700</v>
      </c>
      <c r="O27" s="361">
        <v>3000</v>
      </c>
      <c r="P27" s="361">
        <v>3300</v>
      </c>
      <c r="Q27" s="361">
        <v>0</v>
      </c>
      <c r="R27" s="361">
        <v>0</v>
      </c>
      <c r="S27" s="361">
        <v>0</v>
      </c>
      <c r="T27" s="362">
        <v>31238.58</v>
      </c>
      <c r="U27" s="363">
        <v>0.59502057142857145</v>
      </c>
      <c r="V27" s="362">
        <v>21261.42</v>
      </c>
      <c r="W27" s="362">
        <v>0</v>
      </c>
      <c r="X27" s="362">
        <v>21261.42</v>
      </c>
      <c r="Y27" s="362">
        <v>21261.42</v>
      </c>
      <c r="Z27" s="362">
        <v>0</v>
      </c>
      <c r="AA27" s="362">
        <v>0</v>
      </c>
      <c r="AB27" s="367"/>
    </row>
    <row r="28" spans="1:28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  <c r="AB28" s="359"/>
    </row>
    <row r="29" spans="1:28" ht="12" customHeight="1" x14ac:dyDescent="0.25">
      <c r="A29" s="354" t="s">
        <v>1133</v>
      </c>
      <c r="B29" s="364" t="s">
        <v>420</v>
      </c>
      <c r="C29" s="365">
        <v>42300</v>
      </c>
      <c r="D29" s="365">
        <v>39400</v>
      </c>
      <c r="E29" s="365">
        <v>39400</v>
      </c>
      <c r="F29" s="365">
        <v>28138.58</v>
      </c>
      <c r="G29" s="365">
        <v>28138.58</v>
      </c>
      <c r="H29" s="365">
        <v>3081.76</v>
      </c>
      <c r="I29" s="365">
        <v>3150</v>
      </c>
      <c r="J29" s="365">
        <v>3300</v>
      </c>
      <c r="K29" s="365">
        <v>3225</v>
      </c>
      <c r="L29" s="365">
        <v>3171.4300000000003</v>
      </c>
      <c r="M29" s="365">
        <v>3210.39</v>
      </c>
      <c r="N29" s="365">
        <v>3000</v>
      </c>
      <c r="O29" s="365">
        <v>3000</v>
      </c>
      <c r="P29" s="365">
        <v>3000</v>
      </c>
      <c r="Q29" s="365">
        <v>0</v>
      </c>
      <c r="R29" s="365">
        <v>0</v>
      </c>
      <c r="S29" s="365">
        <v>0</v>
      </c>
      <c r="T29" s="365">
        <v>28138.58</v>
      </c>
      <c r="U29" s="366">
        <v>0.7141771573604061</v>
      </c>
      <c r="V29" s="365">
        <v>11261.419999999998</v>
      </c>
      <c r="W29" s="365">
        <v>0</v>
      </c>
      <c r="X29" s="365">
        <v>11261.419999999998</v>
      </c>
      <c r="Y29" s="365">
        <v>11261.419999999998</v>
      </c>
      <c r="Z29" s="365">
        <v>0</v>
      </c>
      <c r="AA29" s="365">
        <v>0</v>
      </c>
      <c r="AB29" s="359"/>
    </row>
    <row r="30" spans="1:28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  <c r="AB30" s="359"/>
    </row>
    <row r="31" spans="1:28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  <c r="AB31" s="359"/>
    </row>
    <row r="32" spans="1:28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  <c r="AB32" s="359"/>
    </row>
    <row r="33" spans="1:28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  <c r="AB33" s="359"/>
    </row>
    <row r="34" spans="1:28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  <c r="AB34" s="359"/>
    </row>
    <row r="35" spans="1:28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  <c r="AB35" s="359"/>
    </row>
    <row r="36" spans="1:28" ht="12" customHeight="1" x14ac:dyDescent="0.25">
      <c r="A36" s="354" t="s">
        <v>1140</v>
      </c>
      <c r="B36" s="364" t="s">
        <v>427</v>
      </c>
      <c r="C36" s="365">
        <v>13100</v>
      </c>
      <c r="D36" s="365">
        <v>13100</v>
      </c>
      <c r="E36" s="365">
        <v>13100</v>
      </c>
      <c r="F36" s="365">
        <v>3100</v>
      </c>
      <c r="G36" s="365">
        <v>3100</v>
      </c>
      <c r="H36" s="365">
        <v>0</v>
      </c>
      <c r="I36" s="365">
        <v>1000</v>
      </c>
      <c r="J36" s="365">
        <v>400</v>
      </c>
      <c r="K36" s="365">
        <v>700</v>
      </c>
      <c r="L36" s="365">
        <v>0</v>
      </c>
      <c r="M36" s="365">
        <v>0</v>
      </c>
      <c r="N36" s="365">
        <v>700</v>
      </c>
      <c r="O36" s="365">
        <v>0</v>
      </c>
      <c r="P36" s="365">
        <v>300</v>
      </c>
      <c r="Q36" s="365">
        <v>0</v>
      </c>
      <c r="R36" s="365">
        <v>0</v>
      </c>
      <c r="S36" s="365">
        <v>0</v>
      </c>
      <c r="T36" s="365">
        <v>3100</v>
      </c>
      <c r="U36" s="366">
        <v>0.23664122137404581</v>
      </c>
      <c r="V36" s="365">
        <v>10000</v>
      </c>
      <c r="W36" s="365">
        <v>0</v>
      </c>
      <c r="X36" s="365">
        <v>10000</v>
      </c>
      <c r="Y36" s="365">
        <v>10000</v>
      </c>
      <c r="Z36" s="365">
        <v>0</v>
      </c>
      <c r="AA36" s="365">
        <v>0</v>
      </c>
      <c r="AB36" s="359"/>
    </row>
    <row r="37" spans="1:28" ht="12" customHeight="1" x14ac:dyDescent="0.25">
      <c r="A37" s="354" t="s">
        <v>1141</v>
      </c>
      <c r="B37" s="360" t="s">
        <v>428</v>
      </c>
      <c r="C37" s="362">
        <v>106630</v>
      </c>
      <c r="D37" s="362">
        <v>100400</v>
      </c>
      <c r="E37" s="362">
        <v>100400</v>
      </c>
      <c r="F37" s="362">
        <v>81656.88</v>
      </c>
      <c r="G37" s="362">
        <v>81656.88</v>
      </c>
      <c r="H37" s="362">
        <v>15600.66</v>
      </c>
      <c r="I37" s="362">
        <v>7826.8399999999992</v>
      </c>
      <c r="J37" s="362">
        <v>8405.16</v>
      </c>
      <c r="K37" s="362">
        <v>8283.84</v>
      </c>
      <c r="L37" s="362">
        <v>8330.94</v>
      </c>
      <c r="M37" s="362">
        <v>8314.66</v>
      </c>
      <c r="N37" s="362">
        <v>8326.5</v>
      </c>
      <c r="O37" s="362">
        <v>8326.98</v>
      </c>
      <c r="P37" s="362">
        <v>8241.2999999999993</v>
      </c>
      <c r="Q37" s="362">
        <v>0</v>
      </c>
      <c r="R37" s="362">
        <v>0</v>
      </c>
      <c r="S37" s="362">
        <v>0</v>
      </c>
      <c r="T37" s="362">
        <v>81656.88</v>
      </c>
      <c r="U37" s="363">
        <v>0.81331553784860566</v>
      </c>
      <c r="V37" s="362">
        <v>18743.119999999995</v>
      </c>
      <c r="W37" s="362">
        <v>0</v>
      </c>
      <c r="X37" s="362">
        <v>18743.119999999995</v>
      </c>
      <c r="Y37" s="362">
        <v>18743.119999999995</v>
      </c>
      <c r="Z37" s="362">
        <v>0</v>
      </c>
      <c r="AA37" s="362">
        <v>0</v>
      </c>
      <c r="AB37" s="367"/>
    </row>
    <row r="38" spans="1:28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  <c r="AB38" s="367"/>
    </row>
    <row r="39" spans="1:28" ht="12" customHeight="1" x14ac:dyDescent="0.25">
      <c r="A39" s="354"/>
      <c r="B39" s="355" t="s">
        <v>430</v>
      </c>
      <c r="C39" s="356">
        <v>955533</v>
      </c>
      <c r="D39" s="356">
        <v>940280</v>
      </c>
      <c r="E39" s="356">
        <v>890280</v>
      </c>
      <c r="F39" s="356">
        <v>534733.08000000007</v>
      </c>
      <c r="G39" s="356">
        <v>407611.74999999994</v>
      </c>
      <c r="H39" s="356">
        <v>3255.8199999999997</v>
      </c>
      <c r="I39" s="356">
        <v>6162.4100000000008</v>
      </c>
      <c r="J39" s="356">
        <v>9707.7000000000007</v>
      </c>
      <c r="K39" s="356">
        <v>93011.74000000002</v>
      </c>
      <c r="L39" s="356">
        <v>57402.389999999992</v>
      </c>
      <c r="M39" s="356">
        <v>67750.12</v>
      </c>
      <c r="N39" s="356">
        <v>26053.62</v>
      </c>
      <c r="O39" s="356">
        <v>51430.82</v>
      </c>
      <c r="P39" s="356">
        <v>92797.1</v>
      </c>
      <c r="Q39" s="356">
        <v>0</v>
      </c>
      <c r="R39" s="356">
        <v>0</v>
      </c>
      <c r="S39" s="356">
        <v>0</v>
      </c>
      <c r="T39" s="357">
        <v>407571.72</v>
      </c>
      <c r="U39" s="358">
        <v>0.43345782107457348</v>
      </c>
      <c r="V39" s="357">
        <v>532708.28</v>
      </c>
      <c r="W39" s="357">
        <v>50000</v>
      </c>
      <c r="X39" s="357">
        <v>405546.91999999993</v>
      </c>
      <c r="Y39" s="357">
        <v>355546.91999999993</v>
      </c>
      <c r="Z39" s="357">
        <v>127121.33000000013</v>
      </c>
      <c r="AA39" s="357">
        <v>40.029999999969732</v>
      </c>
      <c r="AB39" s="367"/>
    </row>
    <row r="40" spans="1:28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  <c r="AB40" s="367"/>
    </row>
    <row r="41" spans="1:28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  <c r="AB41" s="367"/>
    </row>
    <row r="42" spans="1:28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  <c r="AB42" s="367"/>
    </row>
    <row r="43" spans="1:28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  <c r="AB43" s="359"/>
    </row>
    <row r="44" spans="1:28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  <c r="AB44" s="359"/>
    </row>
    <row r="45" spans="1:28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  <c r="AB45" s="367"/>
    </row>
    <row r="46" spans="1:28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  <c r="AB46" s="359"/>
    </row>
    <row r="47" spans="1:28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  <c r="AB47" s="359"/>
    </row>
    <row r="48" spans="1:28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  <c r="AB48" s="359"/>
    </row>
    <row r="49" spans="1:28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  <c r="AB49" s="359"/>
    </row>
    <row r="50" spans="1:28" ht="12" customHeight="1" x14ac:dyDescent="0.25">
      <c r="A50" s="354"/>
      <c r="B50" s="360" t="s">
        <v>441</v>
      </c>
      <c r="C50" s="361">
        <v>10000</v>
      </c>
      <c r="D50" s="361">
        <v>10174</v>
      </c>
      <c r="E50" s="361">
        <v>10174</v>
      </c>
      <c r="F50" s="361">
        <v>10000</v>
      </c>
      <c r="G50" s="361">
        <v>7304.8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7304.8</v>
      </c>
      <c r="P50" s="361">
        <v>0</v>
      </c>
      <c r="Q50" s="361">
        <v>0</v>
      </c>
      <c r="R50" s="361">
        <v>0</v>
      </c>
      <c r="S50" s="361">
        <v>0</v>
      </c>
      <c r="T50" s="362">
        <v>7304.8</v>
      </c>
      <c r="U50" s="363">
        <v>0.71798702575191664</v>
      </c>
      <c r="V50" s="362">
        <v>2869.2</v>
      </c>
      <c r="W50" s="362">
        <v>0</v>
      </c>
      <c r="X50" s="362">
        <v>174</v>
      </c>
      <c r="Y50" s="362">
        <v>174</v>
      </c>
      <c r="Z50" s="362">
        <v>2695.2</v>
      </c>
      <c r="AA50" s="362">
        <v>0</v>
      </c>
      <c r="AB50" s="367"/>
    </row>
    <row r="51" spans="1:28" ht="12" customHeight="1" x14ac:dyDescent="0.25">
      <c r="A51" s="354" t="s">
        <v>1151</v>
      </c>
      <c r="B51" s="364" t="s">
        <v>442</v>
      </c>
      <c r="C51" s="365">
        <v>7000</v>
      </c>
      <c r="D51" s="365">
        <v>7000</v>
      </c>
      <c r="E51" s="365">
        <v>7000</v>
      </c>
      <c r="F51" s="365">
        <v>7000</v>
      </c>
      <c r="G51" s="365">
        <v>6057.05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6057.05</v>
      </c>
      <c r="P51" s="365">
        <v>0</v>
      </c>
      <c r="Q51" s="365">
        <v>0</v>
      </c>
      <c r="R51" s="365">
        <v>0</v>
      </c>
      <c r="S51" s="365">
        <v>0</v>
      </c>
      <c r="T51" s="365">
        <v>6057.05</v>
      </c>
      <c r="U51" s="366">
        <v>0.8652928571428572</v>
      </c>
      <c r="V51" s="365">
        <v>942.94999999999982</v>
      </c>
      <c r="W51" s="365">
        <v>0</v>
      </c>
      <c r="X51" s="365">
        <v>0</v>
      </c>
      <c r="Y51" s="365">
        <v>0</v>
      </c>
      <c r="Z51" s="365">
        <v>942.94999999999982</v>
      </c>
      <c r="AA51" s="365">
        <v>0</v>
      </c>
      <c r="AB51" s="359"/>
    </row>
    <row r="52" spans="1:28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  <c r="AB52" s="359"/>
    </row>
    <row r="53" spans="1:28" ht="12" customHeight="1" x14ac:dyDescent="0.25">
      <c r="A53" s="354" t="s">
        <v>1153</v>
      </c>
      <c r="B53" s="364" t="s">
        <v>444</v>
      </c>
      <c r="C53" s="365">
        <v>3000</v>
      </c>
      <c r="D53" s="365">
        <v>3174</v>
      </c>
      <c r="E53" s="365">
        <v>3174</v>
      </c>
      <c r="F53" s="365">
        <v>3000</v>
      </c>
      <c r="G53" s="365">
        <v>1247.75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1247.75</v>
      </c>
      <c r="P53" s="365">
        <v>0</v>
      </c>
      <c r="Q53" s="365">
        <v>0</v>
      </c>
      <c r="R53" s="365">
        <v>0</v>
      </c>
      <c r="S53" s="365">
        <v>0</v>
      </c>
      <c r="T53" s="365">
        <v>1247.75</v>
      </c>
      <c r="U53" s="366">
        <v>0.39311594202898553</v>
      </c>
      <c r="V53" s="365">
        <v>1926.25</v>
      </c>
      <c r="W53" s="365">
        <v>0</v>
      </c>
      <c r="X53" s="365">
        <v>174</v>
      </c>
      <c r="Y53" s="365">
        <v>174</v>
      </c>
      <c r="Z53" s="365">
        <v>1752.25</v>
      </c>
      <c r="AA53" s="365">
        <v>0</v>
      </c>
      <c r="AB53" s="359"/>
    </row>
    <row r="54" spans="1:28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  <c r="AB54" s="359"/>
    </row>
    <row r="55" spans="1:28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  <c r="AB55" s="367"/>
    </row>
    <row r="56" spans="1:28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  <c r="AB56" s="367"/>
    </row>
    <row r="57" spans="1:28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  <c r="AB57" s="367"/>
    </row>
    <row r="58" spans="1:28" ht="12" customHeight="1" x14ac:dyDescent="0.25">
      <c r="A58" s="354" t="s">
        <v>1158</v>
      </c>
      <c r="B58" s="360" t="s">
        <v>449</v>
      </c>
      <c r="C58" s="362">
        <v>40000</v>
      </c>
      <c r="D58" s="362">
        <v>40000</v>
      </c>
      <c r="E58" s="362">
        <v>40000</v>
      </c>
      <c r="F58" s="362">
        <v>38380</v>
      </c>
      <c r="G58" s="362">
        <v>38380</v>
      </c>
      <c r="H58" s="362">
        <v>0</v>
      </c>
      <c r="I58" s="362">
        <v>0</v>
      </c>
      <c r="J58" s="362">
        <v>0</v>
      </c>
      <c r="K58" s="362">
        <v>0</v>
      </c>
      <c r="L58" s="362">
        <v>19990</v>
      </c>
      <c r="M58" s="362">
        <v>0</v>
      </c>
      <c r="N58" s="362">
        <v>0</v>
      </c>
      <c r="O58" s="362">
        <v>0</v>
      </c>
      <c r="P58" s="362">
        <v>18390</v>
      </c>
      <c r="Q58" s="362">
        <v>0</v>
      </c>
      <c r="R58" s="362">
        <v>0</v>
      </c>
      <c r="S58" s="362">
        <v>0</v>
      </c>
      <c r="T58" s="362">
        <v>38380</v>
      </c>
      <c r="U58" s="363">
        <v>0.95950000000000002</v>
      </c>
      <c r="V58" s="362">
        <v>1620</v>
      </c>
      <c r="W58" s="362">
        <v>0</v>
      </c>
      <c r="X58" s="362">
        <v>1620</v>
      </c>
      <c r="Y58" s="362">
        <v>1620</v>
      </c>
      <c r="Z58" s="362">
        <v>0</v>
      </c>
      <c r="AA58" s="362">
        <v>0</v>
      </c>
      <c r="AB58" s="367"/>
    </row>
    <row r="59" spans="1:28" ht="12" customHeight="1" x14ac:dyDescent="0.25">
      <c r="A59" s="354"/>
      <c r="B59" s="360" t="s">
        <v>450</v>
      </c>
      <c r="C59" s="361">
        <v>40000</v>
      </c>
      <c r="D59" s="361">
        <v>40000</v>
      </c>
      <c r="E59" s="361">
        <v>40000</v>
      </c>
      <c r="F59" s="361">
        <v>37460.19</v>
      </c>
      <c r="G59" s="361">
        <v>37460.19</v>
      </c>
      <c r="H59" s="361">
        <v>0</v>
      </c>
      <c r="I59" s="361">
        <v>0</v>
      </c>
      <c r="J59" s="361">
        <v>0</v>
      </c>
      <c r="K59" s="361">
        <v>36441.32</v>
      </c>
      <c r="L59" s="361">
        <v>1018.87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37460.19</v>
      </c>
      <c r="U59" s="363">
        <v>0.93650475000000011</v>
      </c>
      <c r="V59" s="362">
        <v>2539.8099999999977</v>
      </c>
      <c r="W59" s="362">
        <v>0</v>
      </c>
      <c r="X59" s="362">
        <v>2539.8099999999977</v>
      </c>
      <c r="Y59" s="362">
        <v>2539.8099999999977</v>
      </c>
      <c r="Z59" s="362">
        <v>0</v>
      </c>
      <c r="AA59" s="362">
        <v>0</v>
      </c>
      <c r="AB59" s="367"/>
    </row>
    <row r="60" spans="1:28" ht="12" customHeight="1" x14ac:dyDescent="0.25">
      <c r="A60" s="354" t="s">
        <v>1159</v>
      </c>
      <c r="B60" s="364" t="s">
        <v>451</v>
      </c>
      <c r="C60" s="365">
        <v>2250</v>
      </c>
      <c r="D60" s="365">
        <v>2250</v>
      </c>
      <c r="E60" s="365">
        <v>2250</v>
      </c>
      <c r="F60" s="365">
        <v>2100</v>
      </c>
      <c r="G60" s="365">
        <v>2100</v>
      </c>
      <c r="H60" s="365">
        <v>0</v>
      </c>
      <c r="I60" s="365">
        <v>0</v>
      </c>
      <c r="J60" s="365">
        <v>0</v>
      </c>
      <c r="K60" s="365">
        <v>2100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2100</v>
      </c>
      <c r="U60" s="366">
        <v>0.93333333333333335</v>
      </c>
      <c r="V60" s="365">
        <v>150</v>
      </c>
      <c r="W60" s="365">
        <v>0</v>
      </c>
      <c r="X60" s="365">
        <v>150</v>
      </c>
      <c r="Y60" s="365">
        <v>150</v>
      </c>
      <c r="Z60" s="365">
        <v>0</v>
      </c>
      <c r="AA60" s="365">
        <v>0</v>
      </c>
      <c r="AB60" s="359"/>
    </row>
    <row r="61" spans="1:28" ht="12" customHeight="1" x14ac:dyDescent="0.25">
      <c r="A61" s="354" t="s">
        <v>1160</v>
      </c>
      <c r="B61" s="364" t="s">
        <v>452</v>
      </c>
      <c r="C61" s="365">
        <v>37450</v>
      </c>
      <c r="D61" s="365">
        <v>37450</v>
      </c>
      <c r="E61" s="365">
        <v>37450</v>
      </c>
      <c r="F61" s="365">
        <v>35360.19</v>
      </c>
      <c r="G61" s="365">
        <v>35360.19</v>
      </c>
      <c r="H61" s="365">
        <v>0</v>
      </c>
      <c r="I61" s="365">
        <v>0</v>
      </c>
      <c r="J61" s="365">
        <v>0</v>
      </c>
      <c r="K61" s="365">
        <v>34341.32</v>
      </c>
      <c r="L61" s="365">
        <v>1018.87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35360.19</v>
      </c>
      <c r="U61" s="366">
        <v>0.94419732977303072</v>
      </c>
      <c r="V61" s="365">
        <v>2089.8099999999977</v>
      </c>
      <c r="W61" s="365">
        <v>0</v>
      </c>
      <c r="X61" s="365">
        <v>2089.8099999999977</v>
      </c>
      <c r="Y61" s="365">
        <v>2089.8099999999977</v>
      </c>
      <c r="Z61" s="365">
        <v>0</v>
      </c>
      <c r="AA61" s="365">
        <v>0</v>
      </c>
      <c r="AB61" s="359"/>
    </row>
    <row r="62" spans="1:28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  <c r="AB62" s="359"/>
    </row>
    <row r="63" spans="1:28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  <c r="AB63" s="359"/>
    </row>
    <row r="64" spans="1:28" ht="12" customHeight="1" x14ac:dyDescent="0.25">
      <c r="A64" s="354" t="s">
        <v>1163</v>
      </c>
      <c r="B64" s="364" t="s">
        <v>455</v>
      </c>
      <c r="C64" s="365">
        <v>300</v>
      </c>
      <c r="D64" s="365">
        <v>300</v>
      </c>
      <c r="E64" s="365">
        <v>300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>
        <v>0</v>
      </c>
      <c r="V64" s="365">
        <v>300</v>
      </c>
      <c r="W64" s="365">
        <v>0</v>
      </c>
      <c r="X64" s="365">
        <v>300</v>
      </c>
      <c r="Y64" s="365">
        <v>300</v>
      </c>
      <c r="Z64" s="365">
        <v>0</v>
      </c>
      <c r="AA64" s="365">
        <v>0</v>
      </c>
      <c r="AB64" s="359"/>
    </row>
    <row r="65" spans="1:28" ht="12" customHeight="1" x14ac:dyDescent="0.25">
      <c r="A65" s="354"/>
      <c r="B65" s="360" t="s">
        <v>456</v>
      </c>
      <c r="C65" s="361">
        <v>3000</v>
      </c>
      <c r="D65" s="361">
        <v>3000</v>
      </c>
      <c r="E65" s="361">
        <v>3000</v>
      </c>
      <c r="F65" s="361">
        <v>3000</v>
      </c>
      <c r="G65" s="361">
        <v>495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495</v>
      </c>
      <c r="P65" s="361">
        <v>0</v>
      </c>
      <c r="Q65" s="361">
        <v>0</v>
      </c>
      <c r="R65" s="361">
        <v>0</v>
      </c>
      <c r="S65" s="361">
        <v>0</v>
      </c>
      <c r="T65" s="362">
        <v>495</v>
      </c>
      <c r="U65" s="363">
        <v>0.16500000000000001</v>
      </c>
      <c r="V65" s="362">
        <v>2505</v>
      </c>
      <c r="W65" s="362">
        <v>0</v>
      </c>
      <c r="X65" s="362">
        <v>0</v>
      </c>
      <c r="Y65" s="362">
        <v>0</v>
      </c>
      <c r="Z65" s="362">
        <v>2505</v>
      </c>
      <c r="AA65" s="362">
        <v>0</v>
      </c>
      <c r="AB65" s="359"/>
    </row>
    <row r="66" spans="1:28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  <c r="AB66" s="359"/>
    </row>
    <row r="67" spans="1:28" ht="12" customHeight="1" x14ac:dyDescent="0.25">
      <c r="A67" s="354" t="s">
        <v>1165</v>
      </c>
      <c r="B67" s="364" t="s">
        <v>458</v>
      </c>
      <c r="C67" s="365">
        <v>3000</v>
      </c>
      <c r="D67" s="365">
        <v>3000</v>
      </c>
      <c r="E67" s="365">
        <v>3000</v>
      </c>
      <c r="F67" s="365">
        <v>3000</v>
      </c>
      <c r="G67" s="365">
        <v>495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495</v>
      </c>
      <c r="P67" s="365">
        <v>0</v>
      </c>
      <c r="Q67" s="365">
        <v>0</v>
      </c>
      <c r="R67" s="365">
        <v>0</v>
      </c>
      <c r="S67" s="365">
        <v>0</v>
      </c>
      <c r="T67" s="365">
        <v>495</v>
      </c>
      <c r="U67" s="366">
        <v>0.16500000000000001</v>
      </c>
      <c r="V67" s="365">
        <v>2505</v>
      </c>
      <c r="W67" s="365">
        <v>0</v>
      </c>
      <c r="X67" s="365">
        <v>0</v>
      </c>
      <c r="Y67" s="365">
        <v>0</v>
      </c>
      <c r="Z67" s="365">
        <v>2505</v>
      </c>
      <c r="AA67" s="365">
        <v>0</v>
      </c>
      <c r="AB67" s="359"/>
    </row>
    <row r="68" spans="1:28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  <c r="AB68" s="359"/>
    </row>
    <row r="69" spans="1:28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  <c r="AB69" s="359"/>
    </row>
    <row r="70" spans="1:28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  <c r="AB70" s="359"/>
    </row>
    <row r="71" spans="1:28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  <c r="AB71" s="359"/>
    </row>
    <row r="72" spans="1:28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  <c r="AB72" s="359"/>
    </row>
    <row r="73" spans="1:28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  <c r="AB73" s="359"/>
    </row>
    <row r="74" spans="1:28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  <c r="AB74" s="359"/>
    </row>
    <row r="75" spans="1:28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  <c r="AB75" s="367"/>
    </row>
    <row r="76" spans="1:28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  <c r="AB76" s="367"/>
    </row>
    <row r="77" spans="1:28" ht="12" customHeight="1" x14ac:dyDescent="0.25">
      <c r="A77" s="354" t="s">
        <v>1174</v>
      </c>
      <c r="B77" s="360" t="s">
        <v>468</v>
      </c>
      <c r="C77" s="362">
        <v>30000</v>
      </c>
      <c r="D77" s="362">
        <v>30000</v>
      </c>
      <c r="E77" s="362">
        <v>30000</v>
      </c>
      <c r="F77" s="362">
        <v>14180.25</v>
      </c>
      <c r="G77" s="362">
        <v>2943.8</v>
      </c>
      <c r="H77" s="362">
        <v>0</v>
      </c>
      <c r="I77" s="362">
        <v>0</v>
      </c>
      <c r="J77" s="362">
        <v>0</v>
      </c>
      <c r="K77" s="362">
        <v>733.5</v>
      </c>
      <c r="L77" s="362">
        <v>186.05</v>
      </c>
      <c r="M77" s="362">
        <v>110</v>
      </c>
      <c r="N77" s="362">
        <v>120.25</v>
      </c>
      <c r="O77" s="362">
        <v>0</v>
      </c>
      <c r="P77" s="362">
        <v>1794</v>
      </c>
      <c r="Q77" s="362">
        <v>0</v>
      </c>
      <c r="R77" s="362">
        <v>0</v>
      </c>
      <c r="S77" s="362">
        <v>0</v>
      </c>
      <c r="T77" s="362">
        <v>2943.8</v>
      </c>
      <c r="U77" s="363">
        <v>9.8126666666666668E-2</v>
      </c>
      <c r="V77" s="362">
        <v>27056.2</v>
      </c>
      <c r="W77" s="362">
        <v>0</v>
      </c>
      <c r="X77" s="362">
        <v>15819.75</v>
      </c>
      <c r="Y77" s="362">
        <v>15819.75</v>
      </c>
      <c r="Z77" s="362">
        <v>11236.45</v>
      </c>
      <c r="AA77" s="362">
        <v>0</v>
      </c>
      <c r="AB77" s="367"/>
    </row>
    <row r="78" spans="1:28" ht="12" customHeight="1" x14ac:dyDescent="0.25">
      <c r="A78" s="354"/>
      <c r="B78" s="360" t="s">
        <v>469</v>
      </c>
      <c r="C78" s="361">
        <v>27000</v>
      </c>
      <c r="D78" s="361">
        <v>27000</v>
      </c>
      <c r="E78" s="361">
        <v>27000</v>
      </c>
      <c r="F78" s="361">
        <v>25106</v>
      </c>
      <c r="G78" s="361">
        <v>18803</v>
      </c>
      <c r="H78" s="361">
        <v>0</v>
      </c>
      <c r="I78" s="361">
        <v>1995</v>
      </c>
      <c r="J78" s="361">
        <v>4202</v>
      </c>
      <c r="K78" s="361">
        <v>2101</v>
      </c>
      <c r="L78" s="361">
        <v>2101</v>
      </c>
      <c r="M78" s="361">
        <v>2101</v>
      </c>
      <c r="N78" s="361">
        <v>2101</v>
      </c>
      <c r="O78" s="361">
        <v>2101</v>
      </c>
      <c r="P78" s="361">
        <v>2101</v>
      </c>
      <c r="Q78" s="361">
        <v>0</v>
      </c>
      <c r="R78" s="361">
        <v>0</v>
      </c>
      <c r="S78" s="361">
        <v>0</v>
      </c>
      <c r="T78" s="362">
        <v>18803</v>
      </c>
      <c r="U78" s="363">
        <v>0.69640740740740736</v>
      </c>
      <c r="V78" s="362">
        <v>8197</v>
      </c>
      <c r="W78" s="362">
        <v>0</v>
      </c>
      <c r="X78" s="362">
        <v>1894</v>
      </c>
      <c r="Y78" s="362">
        <v>1894</v>
      </c>
      <c r="Z78" s="362">
        <v>6303</v>
      </c>
      <c r="AA78" s="362">
        <v>0</v>
      </c>
      <c r="AB78" s="367"/>
    </row>
    <row r="79" spans="1:28" ht="12" customHeight="1" x14ac:dyDescent="0.25">
      <c r="A79" s="354" t="s">
        <v>1175</v>
      </c>
      <c r="B79" s="364" t="s">
        <v>470</v>
      </c>
      <c r="C79" s="365">
        <v>27000</v>
      </c>
      <c r="D79" s="365">
        <v>27000</v>
      </c>
      <c r="E79" s="365">
        <v>27000</v>
      </c>
      <c r="F79" s="365">
        <v>25106</v>
      </c>
      <c r="G79" s="365">
        <v>18803</v>
      </c>
      <c r="H79" s="365">
        <v>0</v>
      </c>
      <c r="I79" s="365">
        <v>1995</v>
      </c>
      <c r="J79" s="365">
        <v>4202</v>
      </c>
      <c r="K79" s="365">
        <v>2101</v>
      </c>
      <c r="L79" s="365">
        <v>2101</v>
      </c>
      <c r="M79" s="365">
        <v>2101</v>
      </c>
      <c r="N79" s="365">
        <v>2101</v>
      </c>
      <c r="O79" s="365">
        <v>2101</v>
      </c>
      <c r="P79" s="365">
        <v>2101</v>
      </c>
      <c r="Q79" s="365">
        <v>0</v>
      </c>
      <c r="R79" s="365">
        <v>0</v>
      </c>
      <c r="S79" s="365">
        <v>0</v>
      </c>
      <c r="T79" s="365">
        <v>18803</v>
      </c>
      <c r="U79" s="366">
        <v>0.69640740740740736</v>
      </c>
      <c r="V79" s="365">
        <v>8197</v>
      </c>
      <c r="W79" s="365">
        <v>0</v>
      </c>
      <c r="X79" s="365">
        <v>1894</v>
      </c>
      <c r="Y79" s="365">
        <v>1894</v>
      </c>
      <c r="Z79" s="365">
        <v>6303</v>
      </c>
      <c r="AA79" s="365">
        <v>0</v>
      </c>
      <c r="AB79" s="359"/>
    </row>
    <row r="80" spans="1:28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  <c r="AB80" s="359"/>
    </row>
    <row r="81" spans="1:28" ht="12" customHeight="1" x14ac:dyDescent="0.25">
      <c r="A81" s="354"/>
      <c r="B81" s="360" t="s">
        <v>472</v>
      </c>
      <c r="C81" s="361">
        <v>41500</v>
      </c>
      <c r="D81" s="361">
        <v>45000</v>
      </c>
      <c r="E81" s="361">
        <v>45000</v>
      </c>
      <c r="F81" s="361">
        <v>40200</v>
      </c>
      <c r="G81" s="361">
        <v>6905.6</v>
      </c>
      <c r="H81" s="361">
        <v>0</v>
      </c>
      <c r="I81" s="361">
        <v>0</v>
      </c>
      <c r="J81" s="361">
        <v>0</v>
      </c>
      <c r="K81" s="361">
        <v>0</v>
      </c>
      <c r="L81" s="361">
        <v>3760.84</v>
      </c>
      <c r="M81" s="361">
        <v>0</v>
      </c>
      <c r="N81" s="361">
        <v>1000</v>
      </c>
      <c r="O81" s="361">
        <v>1259.73</v>
      </c>
      <c r="P81" s="361">
        <v>885</v>
      </c>
      <c r="Q81" s="361">
        <v>0</v>
      </c>
      <c r="R81" s="361">
        <v>0</v>
      </c>
      <c r="S81" s="361">
        <v>0</v>
      </c>
      <c r="T81" s="362">
        <v>6905.57</v>
      </c>
      <c r="U81" s="363">
        <v>0.1534571111111111</v>
      </c>
      <c r="V81" s="362">
        <v>38094.43</v>
      </c>
      <c r="W81" s="362">
        <v>0</v>
      </c>
      <c r="X81" s="362">
        <v>4800</v>
      </c>
      <c r="Y81" s="362">
        <v>4800</v>
      </c>
      <c r="Z81" s="362">
        <v>33294.400000000001</v>
      </c>
      <c r="AA81" s="362">
        <v>3.0000000000654836E-2</v>
      </c>
      <c r="AB81" s="359"/>
    </row>
    <row r="82" spans="1:28" ht="12" customHeight="1" x14ac:dyDescent="0.25">
      <c r="A82" s="354" t="s">
        <v>1177</v>
      </c>
      <c r="B82" s="354" t="s">
        <v>473</v>
      </c>
      <c r="C82" s="365">
        <v>21900</v>
      </c>
      <c r="D82" s="365">
        <v>21900</v>
      </c>
      <c r="E82" s="365">
        <v>21900</v>
      </c>
      <c r="F82" s="365">
        <v>21900</v>
      </c>
      <c r="G82" s="365">
        <v>4804.6000000000004</v>
      </c>
      <c r="H82" s="365">
        <v>0</v>
      </c>
      <c r="I82" s="365">
        <v>0</v>
      </c>
      <c r="J82" s="365">
        <v>0</v>
      </c>
      <c r="K82" s="365">
        <v>0</v>
      </c>
      <c r="L82" s="365">
        <v>3760.84</v>
      </c>
      <c r="M82" s="365">
        <v>0</v>
      </c>
      <c r="N82" s="365">
        <v>0</v>
      </c>
      <c r="O82" s="365">
        <v>1043.73</v>
      </c>
      <c r="P82" s="365">
        <v>0</v>
      </c>
      <c r="Q82" s="365">
        <v>0</v>
      </c>
      <c r="R82" s="365">
        <v>0</v>
      </c>
      <c r="S82" s="365">
        <v>0</v>
      </c>
      <c r="T82" s="365">
        <v>4804.57</v>
      </c>
      <c r="U82" s="366">
        <v>0.21938675799086757</v>
      </c>
      <c r="V82" s="365">
        <v>17095.43</v>
      </c>
      <c r="W82" s="365">
        <v>0</v>
      </c>
      <c r="X82" s="365">
        <v>0</v>
      </c>
      <c r="Y82" s="365">
        <v>0</v>
      </c>
      <c r="Z82" s="365">
        <v>17095.400000000001</v>
      </c>
      <c r="AA82" s="365">
        <v>3.0000000000654836E-2</v>
      </c>
      <c r="AB82" s="359"/>
    </row>
    <row r="83" spans="1:28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  <c r="AB83" s="359"/>
    </row>
    <row r="84" spans="1:28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  <c r="AB84" s="359"/>
    </row>
    <row r="85" spans="1:28" ht="12" customHeight="1" x14ac:dyDescent="0.25">
      <c r="A85" s="354" t="s">
        <v>1180</v>
      </c>
      <c r="B85" s="354" t="s">
        <v>476</v>
      </c>
      <c r="C85" s="365">
        <v>2000</v>
      </c>
      <c r="D85" s="365">
        <v>2000</v>
      </c>
      <c r="E85" s="365">
        <v>2000</v>
      </c>
      <c r="F85" s="365">
        <v>2000</v>
      </c>
      <c r="G85" s="365">
        <v>216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216</v>
      </c>
      <c r="P85" s="365">
        <v>0</v>
      </c>
      <c r="Q85" s="365">
        <v>0</v>
      </c>
      <c r="R85" s="365">
        <v>0</v>
      </c>
      <c r="S85" s="365">
        <v>0</v>
      </c>
      <c r="T85" s="365">
        <v>216</v>
      </c>
      <c r="U85" s="366">
        <v>0.108</v>
      </c>
      <c r="V85" s="365">
        <v>1784</v>
      </c>
      <c r="W85" s="365">
        <v>0</v>
      </c>
      <c r="X85" s="365">
        <v>0</v>
      </c>
      <c r="Y85" s="365">
        <v>0</v>
      </c>
      <c r="Z85" s="365">
        <v>1784</v>
      </c>
      <c r="AA85" s="365">
        <v>0</v>
      </c>
      <c r="AB85" s="359"/>
    </row>
    <row r="86" spans="1:28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  <c r="AB86" s="359"/>
    </row>
    <row r="87" spans="1:28" ht="12" customHeight="1" x14ac:dyDescent="0.25">
      <c r="A87" s="354" t="s">
        <v>1182</v>
      </c>
      <c r="B87" s="354" t="s">
        <v>478</v>
      </c>
      <c r="C87" s="365">
        <v>7200</v>
      </c>
      <c r="D87" s="365">
        <v>7200</v>
      </c>
      <c r="E87" s="365">
        <v>7200</v>
      </c>
      <c r="F87" s="365">
        <v>7200</v>
      </c>
      <c r="G87" s="365">
        <v>1000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1000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1000</v>
      </c>
      <c r="U87" s="366">
        <v>0.1388888888888889</v>
      </c>
      <c r="V87" s="365">
        <v>6200</v>
      </c>
      <c r="W87" s="365">
        <v>0</v>
      </c>
      <c r="X87" s="365">
        <v>0</v>
      </c>
      <c r="Y87" s="365">
        <v>0</v>
      </c>
      <c r="Z87" s="365">
        <v>6200</v>
      </c>
      <c r="AA87" s="365">
        <v>0</v>
      </c>
      <c r="AB87" s="359"/>
    </row>
    <row r="88" spans="1:28" ht="12" customHeight="1" x14ac:dyDescent="0.25">
      <c r="A88" s="354" t="s">
        <v>1183</v>
      </c>
      <c r="B88" s="354" t="s">
        <v>479</v>
      </c>
      <c r="C88" s="365">
        <v>400</v>
      </c>
      <c r="D88" s="365">
        <v>400</v>
      </c>
      <c r="E88" s="365">
        <v>400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>
        <v>0</v>
      </c>
      <c r="V88" s="365">
        <v>400</v>
      </c>
      <c r="W88" s="365">
        <v>0</v>
      </c>
      <c r="X88" s="365">
        <v>400</v>
      </c>
      <c r="Y88" s="365">
        <v>400</v>
      </c>
      <c r="Z88" s="365">
        <v>0</v>
      </c>
      <c r="AA88" s="365">
        <v>0</v>
      </c>
      <c r="AB88" s="359"/>
    </row>
    <row r="89" spans="1:28" ht="12" customHeight="1" x14ac:dyDescent="0.25">
      <c r="A89" s="354" t="s">
        <v>1184</v>
      </c>
      <c r="B89" s="354" t="s">
        <v>480</v>
      </c>
      <c r="C89" s="365">
        <v>10000</v>
      </c>
      <c r="D89" s="365">
        <v>10000</v>
      </c>
      <c r="E89" s="365">
        <v>10000</v>
      </c>
      <c r="F89" s="365">
        <v>9100</v>
      </c>
      <c r="G89" s="365">
        <v>885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885</v>
      </c>
      <c r="Q89" s="365">
        <v>0</v>
      </c>
      <c r="R89" s="365">
        <v>0</v>
      </c>
      <c r="S89" s="365">
        <v>0</v>
      </c>
      <c r="T89" s="365">
        <v>885</v>
      </c>
      <c r="U89" s="366">
        <v>8.8499999999999995E-2</v>
      </c>
      <c r="V89" s="365">
        <v>9115</v>
      </c>
      <c r="W89" s="365">
        <v>0</v>
      </c>
      <c r="X89" s="365">
        <v>900</v>
      </c>
      <c r="Y89" s="365">
        <v>900</v>
      </c>
      <c r="Z89" s="365">
        <v>8215</v>
      </c>
      <c r="AA89" s="365">
        <v>0</v>
      </c>
      <c r="AB89" s="359"/>
    </row>
    <row r="90" spans="1:28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  <c r="AB90" s="359"/>
    </row>
    <row r="91" spans="1:28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  <c r="AB91" s="359"/>
    </row>
    <row r="92" spans="1:28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  <c r="AB92" s="359"/>
    </row>
    <row r="93" spans="1:28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  <c r="AB93" s="359"/>
    </row>
    <row r="94" spans="1:28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  <c r="AB94" s="359"/>
    </row>
    <row r="95" spans="1:28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  <c r="AB95" s="359"/>
    </row>
    <row r="96" spans="1:28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  <c r="AB96" s="359"/>
    </row>
    <row r="97" spans="1:28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  <c r="AB97" s="359"/>
    </row>
    <row r="98" spans="1:28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  <c r="AB98" s="359"/>
    </row>
    <row r="99" spans="1:28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  <c r="AB99" s="359"/>
    </row>
    <row r="100" spans="1:28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  <c r="AB100" s="359"/>
    </row>
    <row r="101" spans="1:28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  <c r="AB101" s="359"/>
    </row>
    <row r="102" spans="1:28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  <c r="AB102" s="359"/>
    </row>
    <row r="103" spans="1:28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  <c r="AB103" s="359"/>
    </row>
    <row r="104" spans="1:28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  <c r="AB104" s="359"/>
    </row>
    <row r="105" spans="1:28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  <c r="AB105" s="359"/>
    </row>
    <row r="106" spans="1:28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  <c r="AB106" s="359"/>
    </row>
    <row r="107" spans="1:28" ht="12" customHeight="1" x14ac:dyDescent="0.25">
      <c r="A107" s="354" t="s">
        <v>1202</v>
      </c>
      <c r="B107" s="354" t="s">
        <v>498</v>
      </c>
      <c r="C107" s="365">
        <v>0</v>
      </c>
      <c r="D107" s="365">
        <v>3500</v>
      </c>
      <c r="E107" s="365">
        <v>3500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>
        <v>0</v>
      </c>
      <c r="V107" s="365">
        <v>3500</v>
      </c>
      <c r="W107" s="365">
        <v>0</v>
      </c>
      <c r="X107" s="365">
        <v>3500</v>
      </c>
      <c r="Y107" s="365">
        <v>3500</v>
      </c>
      <c r="Z107" s="365">
        <v>0</v>
      </c>
      <c r="AA107" s="365">
        <v>0</v>
      </c>
      <c r="AB107" s="359"/>
    </row>
    <row r="108" spans="1:28" ht="12" customHeight="1" x14ac:dyDescent="0.25">
      <c r="A108" s="354"/>
      <c r="B108" s="360" t="s">
        <v>499</v>
      </c>
      <c r="C108" s="361">
        <v>63600</v>
      </c>
      <c r="D108" s="361">
        <v>60100</v>
      </c>
      <c r="E108" s="361">
        <v>60100</v>
      </c>
      <c r="F108" s="361">
        <v>26901.600000000002</v>
      </c>
      <c r="G108" s="361">
        <v>26901.600000000002</v>
      </c>
      <c r="H108" s="361">
        <v>2857.68</v>
      </c>
      <c r="I108" s="361">
        <v>2969.5200000000004</v>
      </c>
      <c r="J108" s="361">
        <v>2559.84</v>
      </c>
      <c r="K108" s="361">
        <v>4519.4399999999996</v>
      </c>
      <c r="L108" s="361">
        <v>0</v>
      </c>
      <c r="M108" s="361">
        <v>10149.359999999999</v>
      </c>
      <c r="N108" s="361">
        <v>3764.64</v>
      </c>
      <c r="O108" s="361">
        <v>81.12</v>
      </c>
      <c r="P108" s="361">
        <v>0</v>
      </c>
      <c r="Q108" s="361">
        <v>0</v>
      </c>
      <c r="R108" s="361">
        <v>0</v>
      </c>
      <c r="S108" s="361">
        <v>0</v>
      </c>
      <c r="T108" s="362">
        <v>26901.599999999995</v>
      </c>
      <c r="U108" s="363">
        <v>0.44761397670549075</v>
      </c>
      <c r="V108" s="362">
        <v>33198.400000000009</v>
      </c>
      <c r="W108" s="362">
        <v>0</v>
      </c>
      <c r="X108" s="362">
        <v>33198.399999999994</v>
      </c>
      <c r="Y108" s="362">
        <v>33198.399999999994</v>
      </c>
      <c r="Z108" s="362">
        <v>0</v>
      </c>
      <c r="AA108" s="362">
        <v>0</v>
      </c>
      <c r="AB108" s="359"/>
    </row>
    <row r="109" spans="1:28" ht="12" customHeight="1" x14ac:dyDescent="0.25">
      <c r="A109" s="354" t="s">
        <v>1203</v>
      </c>
      <c r="B109" s="354" t="s">
        <v>500</v>
      </c>
      <c r="C109" s="365">
        <v>7800</v>
      </c>
      <c r="D109" s="365">
        <v>4300</v>
      </c>
      <c r="E109" s="365">
        <v>4300</v>
      </c>
      <c r="F109" s="365">
        <v>174</v>
      </c>
      <c r="G109" s="365">
        <v>174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174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174</v>
      </c>
      <c r="U109" s="366">
        <v>4.046511627906977E-2</v>
      </c>
      <c r="V109" s="365">
        <v>4126</v>
      </c>
      <c r="W109" s="365">
        <v>0</v>
      </c>
      <c r="X109" s="365">
        <v>4126</v>
      </c>
      <c r="Y109" s="365">
        <v>4126</v>
      </c>
      <c r="Z109" s="365">
        <v>0</v>
      </c>
      <c r="AA109" s="365">
        <v>0</v>
      </c>
      <c r="AB109" s="359"/>
    </row>
    <row r="110" spans="1:28" ht="12" customHeight="1" x14ac:dyDescent="0.25">
      <c r="A110" s="354" t="s">
        <v>1204</v>
      </c>
      <c r="B110" s="354" t="s">
        <v>501</v>
      </c>
      <c r="C110" s="365">
        <v>55800</v>
      </c>
      <c r="D110" s="365">
        <v>55800</v>
      </c>
      <c r="E110" s="365">
        <v>55800</v>
      </c>
      <c r="F110" s="365">
        <v>26727.600000000002</v>
      </c>
      <c r="G110" s="365">
        <v>26727.600000000002</v>
      </c>
      <c r="H110" s="365">
        <v>2857.68</v>
      </c>
      <c r="I110" s="365">
        <v>2969.5200000000004</v>
      </c>
      <c r="J110" s="365">
        <v>2559.84</v>
      </c>
      <c r="K110" s="365">
        <v>4519.4399999999996</v>
      </c>
      <c r="L110" s="365">
        <v>0</v>
      </c>
      <c r="M110" s="365">
        <v>9975.3599999999988</v>
      </c>
      <c r="N110" s="365">
        <v>3764.64</v>
      </c>
      <c r="O110" s="365">
        <v>81.12</v>
      </c>
      <c r="P110" s="365">
        <v>0</v>
      </c>
      <c r="Q110" s="365">
        <v>0</v>
      </c>
      <c r="R110" s="365">
        <v>0</v>
      </c>
      <c r="S110" s="365">
        <v>0</v>
      </c>
      <c r="T110" s="365">
        <v>26727.599999999995</v>
      </c>
      <c r="U110" s="366">
        <v>0.47898924731182785</v>
      </c>
      <c r="V110" s="365">
        <v>29072.400000000005</v>
      </c>
      <c r="W110" s="365">
        <v>0</v>
      </c>
      <c r="X110" s="365">
        <v>29072.399999999998</v>
      </c>
      <c r="Y110" s="365">
        <v>29072.399999999998</v>
      </c>
      <c r="Z110" s="365">
        <v>0</v>
      </c>
      <c r="AA110" s="365">
        <v>0</v>
      </c>
      <c r="AB110" s="359"/>
    </row>
    <row r="111" spans="1:28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  <c r="AB111" s="359"/>
    </row>
    <row r="112" spans="1:28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  <c r="AB112" s="359"/>
    </row>
    <row r="113" spans="1:28" ht="12" customHeight="1" x14ac:dyDescent="0.25">
      <c r="A113" s="354"/>
      <c r="B113" s="360" t="s">
        <v>504</v>
      </c>
      <c r="C113" s="361">
        <v>158140</v>
      </c>
      <c r="D113" s="361">
        <v>158140</v>
      </c>
      <c r="E113" s="361">
        <v>158140</v>
      </c>
      <c r="F113" s="361">
        <v>124900</v>
      </c>
      <c r="G113" s="361">
        <v>72505</v>
      </c>
      <c r="H113" s="361">
        <v>0</v>
      </c>
      <c r="I113" s="361">
        <v>0</v>
      </c>
      <c r="J113" s="361">
        <v>0</v>
      </c>
      <c r="K113" s="361">
        <v>30000</v>
      </c>
      <c r="L113" s="361">
        <v>15890</v>
      </c>
      <c r="M113" s="361">
        <v>0</v>
      </c>
      <c r="N113" s="361">
        <v>11917.5</v>
      </c>
      <c r="O113" s="361">
        <v>3972.5</v>
      </c>
      <c r="P113" s="361">
        <v>10725</v>
      </c>
      <c r="Q113" s="361">
        <v>0</v>
      </c>
      <c r="R113" s="361">
        <v>0</v>
      </c>
      <c r="S113" s="361">
        <v>0</v>
      </c>
      <c r="T113" s="362">
        <v>72505</v>
      </c>
      <c r="U113" s="363">
        <v>0.45848615151131911</v>
      </c>
      <c r="V113" s="362">
        <v>85635</v>
      </c>
      <c r="W113" s="362">
        <v>0</v>
      </c>
      <c r="X113" s="362">
        <v>33240</v>
      </c>
      <c r="Y113" s="362">
        <v>33240</v>
      </c>
      <c r="Z113" s="362">
        <v>52395</v>
      </c>
      <c r="AA113" s="362">
        <v>0</v>
      </c>
      <c r="AB113" s="359"/>
    </row>
    <row r="114" spans="1:28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  <c r="AB114" s="359"/>
    </row>
    <row r="115" spans="1:28" ht="12" customHeight="1" x14ac:dyDescent="0.25">
      <c r="A115" s="354" t="s">
        <v>1208</v>
      </c>
      <c r="B115" s="354" t="s">
        <v>506</v>
      </c>
      <c r="C115" s="365">
        <v>30000</v>
      </c>
      <c r="D115" s="365">
        <v>30000</v>
      </c>
      <c r="E115" s="365">
        <v>30000</v>
      </c>
      <c r="F115" s="365">
        <v>30000</v>
      </c>
      <c r="G115" s="365">
        <v>30000</v>
      </c>
      <c r="H115" s="365">
        <v>0</v>
      </c>
      <c r="I115" s="365">
        <v>0</v>
      </c>
      <c r="J115" s="365">
        <v>0</v>
      </c>
      <c r="K115" s="365">
        <v>30000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30000</v>
      </c>
      <c r="U115" s="366">
        <v>1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  <c r="AB115" s="359"/>
    </row>
    <row r="116" spans="1:28" ht="12" customHeight="1" x14ac:dyDescent="0.25">
      <c r="A116" s="354" t="s">
        <v>1209</v>
      </c>
      <c r="B116" s="354" t="s">
        <v>507</v>
      </c>
      <c r="C116" s="365">
        <v>128140</v>
      </c>
      <c r="D116" s="365">
        <v>128140</v>
      </c>
      <c r="E116" s="365">
        <v>128140</v>
      </c>
      <c r="F116" s="365">
        <v>94900</v>
      </c>
      <c r="G116" s="365">
        <v>42505</v>
      </c>
      <c r="H116" s="365">
        <v>0</v>
      </c>
      <c r="I116" s="365">
        <v>0</v>
      </c>
      <c r="J116" s="365">
        <v>0</v>
      </c>
      <c r="K116" s="365">
        <v>0</v>
      </c>
      <c r="L116" s="365">
        <v>15890</v>
      </c>
      <c r="M116" s="365">
        <v>0</v>
      </c>
      <c r="N116" s="365">
        <v>11917.5</v>
      </c>
      <c r="O116" s="365">
        <v>3972.5</v>
      </c>
      <c r="P116" s="365">
        <v>10725</v>
      </c>
      <c r="Q116" s="365">
        <v>0</v>
      </c>
      <c r="R116" s="365">
        <v>0</v>
      </c>
      <c r="S116" s="365">
        <v>0</v>
      </c>
      <c r="T116" s="365">
        <v>42505</v>
      </c>
      <c r="U116" s="366">
        <v>0.3317075074137662</v>
      </c>
      <c r="V116" s="365">
        <v>85635</v>
      </c>
      <c r="W116" s="365">
        <v>0</v>
      </c>
      <c r="X116" s="365">
        <v>33240</v>
      </c>
      <c r="Y116" s="365">
        <v>33240</v>
      </c>
      <c r="Z116" s="365">
        <v>52395</v>
      </c>
      <c r="AA116" s="365">
        <v>0</v>
      </c>
      <c r="AB116" s="359"/>
    </row>
    <row r="117" spans="1:28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  <c r="AB117" s="359"/>
    </row>
    <row r="118" spans="1:28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  <c r="AB118" s="359"/>
    </row>
    <row r="119" spans="1:28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  <c r="AB119" s="359"/>
    </row>
    <row r="120" spans="1:28" ht="12" customHeight="1" x14ac:dyDescent="0.25">
      <c r="A120" s="354"/>
      <c r="B120" s="360" t="s">
        <v>511</v>
      </c>
      <c r="C120" s="361">
        <v>62444</v>
      </c>
      <c r="D120" s="361">
        <v>62444</v>
      </c>
      <c r="E120" s="361">
        <v>62444</v>
      </c>
      <c r="F120" s="361">
        <v>50694</v>
      </c>
      <c r="G120" s="361">
        <v>50694</v>
      </c>
      <c r="H120" s="361">
        <v>0</v>
      </c>
      <c r="I120" s="361">
        <v>0</v>
      </c>
      <c r="J120" s="361">
        <v>84</v>
      </c>
      <c r="K120" s="361">
        <v>82</v>
      </c>
      <c r="L120" s="361">
        <v>277</v>
      </c>
      <c r="M120" s="361">
        <v>21962</v>
      </c>
      <c r="N120" s="361">
        <v>154</v>
      </c>
      <c r="O120" s="361">
        <v>152</v>
      </c>
      <c r="P120" s="361">
        <v>27983</v>
      </c>
      <c r="Q120" s="361">
        <v>0</v>
      </c>
      <c r="R120" s="361">
        <v>0</v>
      </c>
      <c r="S120" s="361">
        <v>0</v>
      </c>
      <c r="T120" s="362">
        <v>50694</v>
      </c>
      <c r="U120" s="363">
        <v>0.81183140093523798</v>
      </c>
      <c r="V120" s="362">
        <v>11750</v>
      </c>
      <c r="W120" s="362">
        <v>0</v>
      </c>
      <c r="X120" s="362">
        <v>11750</v>
      </c>
      <c r="Y120" s="362">
        <v>11750</v>
      </c>
      <c r="Z120" s="362">
        <v>0</v>
      </c>
      <c r="AA120" s="362">
        <v>0</v>
      </c>
      <c r="AB120" s="359"/>
    </row>
    <row r="121" spans="1:28" ht="12" customHeight="1" x14ac:dyDescent="0.25">
      <c r="A121" s="354" t="s">
        <v>1213</v>
      </c>
      <c r="B121" s="354" t="s">
        <v>512</v>
      </c>
      <c r="C121" s="365">
        <v>9944</v>
      </c>
      <c r="D121" s="365">
        <v>9944</v>
      </c>
      <c r="E121" s="365">
        <v>9944</v>
      </c>
      <c r="F121" s="365">
        <v>1069</v>
      </c>
      <c r="G121" s="365">
        <v>1069</v>
      </c>
      <c r="H121" s="365">
        <v>0</v>
      </c>
      <c r="I121" s="365">
        <v>0</v>
      </c>
      <c r="J121" s="365">
        <v>84</v>
      </c>
      <c r="K121" s="365">
        <v>82</v>
      </c>
      <c r="L121" s="365">
        <v>277</v>
      </c>
      <c r="M121" s="365">
        <v>153</v>
      </c>
      <c r="N121" s="365">
        <v>154</v>
      </c>
      <c r="O121" s="365">
        <v>152</v>
      </c>
      <c r="P121" s="365">
        <v>167</v>
      </c>
      <c r="Q121" s="365">
        <v>0</v>
      </c>
      <c r="R121" s="365">
        <v>0</v>
      </c>
      <c r="S121" s="365">
        <v>0</v>
      </c>
      <c r="T121" s="365">
        <v>1069</v>
      </c>
      <c r="U121" s="366">
        <v>0.10750201126307321</v>
      </c>
      <c r="V121" s="365">
        <v>8875</v>
      </c>
      <c r="W121" s="365">
        <v>0</v>
      </c>
      <c r="X121" s="365">
        <v>8875</v>
      </c>
      <c r="Y121" s="365">
        <v>8875</v>
      </c>
      <c r="Z121" s="365">
        <v>0</v>
      </c>
      <c r="AA121" s="365">
        <v>0</v>
      </c>
      <c r="AB121" s="359"/>
    </row>
    <row r="122" spans="1:28" ht="12" customHeight="1" x14ac:dyDescent="0.25">
      <c r="A122" s="354" t="s">
        <v>1214</v>
      </c>
      <c r="B122" s="354" t="s">
        <v>513</v>
      </c>
      <c r="C122" s="365">
        <v>52500</v>
      </c>
      <c r="D122" s="365">
        <v>52500</v>
      </c>
      <c r="E122" s="365">
        <v>52500</v>
      </c>
      <c r="F122" s="365">
        <v>49625</v>
      </c>
      <c r="G122" s="365">
        <v>49625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21809</v>
      </c>
      <c r="N122" s="365">
        <v>0</v>
      </c>
      <c r="O122" s="365">
        <v>0</v>
      </c>
      <c r="P122" s="365">
        <v>27816</v>
      </c>
      <c r="Q122" s="365">
        <v>0</v>
      </c>
      <c r="R122" s="365">
        <v>0</v>
      </c>
      <c r="S122" s="365">
        <v>0</v>
      </c>
      <c r="T122" s="365">
        <v>49625</v>
      </c>
      <c r="U122" s="366">
        <v>0.94523809523809521</v>
      </c>
      <c r="V122" s="365">
        <v>2875</v>
      </c>
      <c r="W122" s="365">
        <v>0</v>
      </c>
      <c r="X122" s="365">
        <v>2875</v>
      </c>
      <c r="Y122" s="365">
        <v>2875</v>
      </c>
      <c r="Z122" s="365">
        <v>0</v>
      </c>
      <c r="AA122" s="365">
        <v>0</v>
      </c>
      <c r="AB122" s="359"/>
    </row>
    <row r="123" spans="1:28" ht="12" customHeight="1" x14ac:dyDescent="0.25">
      <c r="A123" s="354" t="s">
        <v>1215</v>
      </c>
      <c r="B123" s="360" t="s">
        <v>514</v>
      </c>
      <c r="C123" s="362">
        <v>17500</v>
      </c>
      <c r="D123" s="362">
        <v>17500</v>
      </c>
      <c r="E123" s="362">
        <v>17500</v>
      </c>
      <c r="F123" s="362">
        <v>12367.5</v>
      </c>
      <c r="G123" s="362">
        <v>12367.5</v>
      </c>
      <c r="H123" s="362">
        <v>0</v>
      </c>
      <c r="I123" s="362">
        <v>0</v>
      </c>
      <c r="J123" s="362">
        <v>0</v>
      </c>
      <c r="K123" s="362">
        <v>9300</v>
      </c>
      <c r="L123" s="362">
        <v>0</v>
      </c>
      <c r="M123" s="362">
        <v>1075.5</v>
      </c>
      <c r="N123" s="362">
        <v>425</v>
      </c>
      <c r="O123" s="362">
        <v>0</v>
      </c>
      <c r="P123" s="362">
        <v>1567</v>
      </c>
      <c r="Q123" s="362">
        <v>0</v>
      </c>
      <c r="R123" s="362">
        <v>0</v>
      </c>
      <c r="S123" s="362">
        <v>0</v>
      </c>
      <c r="T123" s="362">
        <v>12367.5</v>
      </c>
      <c r="U123" s="363">
        <v>0.70671428571428574</v>
      </c>
      <c r="V123" s="362">
        <v>5132.5</v>
      </c>
      <c r="W123" s="362">
        <v>0</v>
      </c>
      <c r="X123" s="362">
        <v>5132.5</v>
      </c>
      <c r="Y123" s="362">
        <v>5132.5</v>
      </c>
      <c r="Z123" s="362">
        <v>0</v>
      </c>
      <c r="AA123" s="362">
        <v>0</v>
      </c>
      <c r="AB123" s="367"/>
    </row>
    <row r="124" spans="1:28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  <c r="AB124" s="359"/>
    </row>
    <row r="125" spans="1:28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  <c r="AB125" s="359"/>
    </row>
    <row r="126" spans="1:28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  <c r="AB126" s="359"/>
    </row>
    <row r="127" spans="1:28" ht="12" customHeight="1" x14ac:dyDescent="0.25">
      <c r="A127" s="354"/>
      <c r="B127" s="360" t="s">
        <v>518</v>
      </c>
      <c r="C127" s="361">
        <v>28667</v>
      </c>
      <c r="D127" s="361">
        <v>28667</v>
      </c>
      <c r="E127" s="361">
        <v>28667</v>
      </c>
      <c r="F127" s="361">
        <v>14985.200000000003</v>
      </c>
      <c r="G127" s="361">
        <v>14985.200000000003</v>
      </c>
      <c r="H127" s="361">
        <v>0</v>
      </c>
      <c r="I127" s="361">
        <v>0</v>
      </c>
      <c r="J127" s="361">
        <v>0</v>
      </c>
      <c r="K127" s="361">
        <v>3055.35</v>
      </c>
      <c r="L127" s="361">
        <v>0</v>
      </c>
      <c r="M127" s="361">
        <v>4421.33</v>
      </c>
      <c r="N127" s="361">
        <v>0</v>
      </c>
      <c r="O127" s="361">
        <v>0</v>
      </c>
      <c r="P127" s="361">
        <v>7508.5199999999995</v>
      </c>
      <c r="Q127" s="361">
        <v>0</v>
      </c>
      <c r="R127" s="361">
        <v>0</v>
      </c>
      <c r="S127" s="361">
        <v>0</v>
      </c>
      <c r="T127" s="362">
        <v>14985.2</v>
      </c>
      <c r="U127" s="363">
        <v>0.52273345658771408</v>
      </c>
      <c r="V127" s="362">
        <v>13681.8</v>
      </c>
      <c r="W127" s="362">
        <v>0</v>
      </c>
      <c r="X127" s="362">
        <v>13681.799999999997</v>
      </c>
      <c r="Y127" s="362">
        <v>13681.799999999997</v>
      </c>
      <c r="Z127" s="362">
        <v>0</v>
      </c>
      <c r="AA127" s="362">
        <v>0</v>
      </c>
      <c r="AB127" s="359"/>
    </row>
    <row r="128" spans="1:28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  <c r="AB128" s="359"/>
    </row>
    <row r="129" spans="1:28" ht="12" customHeight="1" x14ac:dyDescent="0.25">
      <c r="A129" s="354" t="s">
        <v>1219</v>
      </c>
      <c r="B129" s="354" t="s">
        <v>520</v>
      </c>
      <c r="C129" s="365">
        <v>28667</v>
      </c>
      <c r="D129" s="365">
        <v>28667</v>
      </c>
      <c r="E129" s="365">
        <v>28667</v>
      </c>
      <c r="F129" s="365">
        <v>14985.200000000003</v>
      </c>
      <c r="G129" s="365">
        <v>14985.200000000003</v>
      </c>
      <c r="H129" s="365">
        <v>0</v>
      </c>
      <c r="I129" s="365">
        <v>0</v>
      </c>
      <c r="J129" s="365">
        <v>0</v>
      </c>
      <c r="K129" s="365">
        <v>3055.35</v>
      </c>
      <c r="L129" s="365">
        <v>0</v>
      </c>
      <c r="M129" s="365">
        <v>4421.33</v>
      </c>
      <c r="N129" s="365">
        <v>0</v>
      </c>
      <c r="O129" s="365">
        <v>0</v>
      </c>
      <c r="P129" s="365">
        <v>7508.5199999999995</v>
      </c>
      <c r="Q129" s="365">
        <v>0</v>
      </c>
      <c r="R129" s="365">
        <v>0</v>
      </c>
      <c r="S129" s="365">
        <v>0</v>
      </c>
      <c r="T129" s="365">
        <v>14985.2</v>
      </c>
      <c r="U129" s="366">
        <v>0.52273345658771408</v>
      </c>
      <c r="V129" s="365">
        <v>13681.8</v>
      </c>
      <c r="W129" s="365">
        <v>0</v>
      </c>
      <c r="X129" s="365">
        <v>13681.799999999997</v>
      </c>
      <c r="Y129" s="365">
        <v>13681.799999999997</v>
      </c>
      <c r="Z129" s="365">
        <v>0</v>
      </c>
      <c r="AA129" s="365">
        <v>0</v>
      </c>
      <c r="AB129" s="359"/>
    </row>
    <row r="130" spans="1:28" ht="12" customHeight="1" x14ac:dyDescent="0.25">
      <c r="A130" s="354"/>
      <c r="B130" s="360" t="s">
        <v>521</v>
      </c>
      <c r="C130" s="361">
        <v>67112</v>
      </c>
      <c r="D130" s="361">
        <v>51859</v>
      </c>
      <c r="E130" s="361">
        <v>51859</v>
      </c>
      <c r="F130" s="361">
        <v>45937.799999999996</v>
      </c>
      <c r="G130" s="361">
        <v>45777.8</v>
      </c>
      <c r="H130" s="361">
        <v>320</v>
      </c>
      <c r="I130" s="361">
        <v>1120</v>
      </c>
      <c r="J130" s="361">
        <v>2660</v>
      </c>
      <c r="K130" s="361">
        <v>5696</v>
      </c>
      <c r="L130" s="361">
        <v>2480</v>
      </c>
      <c r="M130" s="361">
        <v>6982.7999999999993</v>
      </c>
      <c r="N130" s="361">
        <v>4160</v>
      </c>
      <c r="O130" s="361">
        <v>1260</v>
      </c>
      <c r="P130" s="361">
        <v>21059</v>
      </c>
      <c r="Q130" s="361">
        <v>0</v>
      </c>
      <c r="R130" s="361">
        <v>0</v>
      </c>
      <c r="S130" s="361">
        <v>0</v>
      </c>
      <c r="T130" s="362">
        <v>45737.8</v>
      </c>
      <c r="U130" s="363">
        <v>0.88196455774311122</v>
      </c>
      <c r="V130" s="362">
        <v>6121.1999999999971</v>
      </c>
      <c r="W130" s="362">
        <v>0</v>
      </c>
      <c r="X130" s="362">
        <v>5921.2000000000044</v>
      </c>
      <c r="Y130" s="362">
        <v>5921.2000000000044</v>
      </c>
      <c r="Z130" s="362">
        <v>159.99999999999272</v>
      </c>
      <c r="AA130" s="362">
        <v>40</v>
      </c>
      <c r="AB130" s="359"/>
    </row>
    <row r="131" spans="1:28" ht="12" customHeight="1" x14ac:dyDescent="0.25">
      <c r="A131" s="354" t="s">
        <v>1220</v>
      </c>
      <c r="B131" s="364" t="s">
        <v>522</v>
      </c>
      <c r="C131" s="365">
        <v>48000</v>
      </c>
      <c r="D131" s="365">
        <v>25000</v>
      </c>
      <c r="E131" s="365">
        <v>25000</v>
      </c>
      <c r="F131" s="365">
        <v>20800</v>
      </c>
      <c r="G131" s="365">
        <v>20640</v>
      </c>
      <c r="H131" s="365">
        <v>320</v>
      </c>
      <c r="I131" s="365">
        <v>1120</v>
      </c>
      <c r="J131" s="365">
        <v>2660</v>
      </c>
      <c r="K131" s="365">
        <v>1280</v>
      </c>
      <c r="L131" s="365">
        <v>2480</v>
      </c>
      <c r="M131" s="365">
        <v>2400</v>
      </c>
      <c r="N131" s="365">
        <v>4160</v>
      </c>
      <c r="O131" s="365">
        <v>1260</v>
      </c>
      <c r="P131" s="365">
        <v>4920</v>
      </c>
      <c r="Q131" s="365">
        <v>0</v>
      </c>
      <c r="R131" s="365">
        <v>0</v>
      </c>
      <c r="S131" s="365">
        <v>0</v>
      </c>
      <c r="T131" s="365">
        <v>20600</v>
      </c>
      <c r="U131" s="366">
        <v>0.82399999999999995</v>
      </c>
      <c r="V131" s="365">
        <v>4400</v>
      </c>
      <c r="W131" s="365">
        <v>0</v>
      </c>
      <c r="X131" s="365">
        <v>4200</v>
      </c>
      <c r="Y131" s="365">
        <v>4200</v>
      </c>
      <c r="Z131" s="365">
        <v>160</v>
      </c>
      <c r="AA131" s="365">
        <v>40</v>
      </c>
      <c r="AB131" s="359"/>
    </row>
    <row r="132" spans="1:28" ht="12" customHeight="1" x14ac:dyDescent="0.25">
      <c r="A132" s="354" t="s">
        <v>1221</v>
      </c>
      <c r="B132" s="364" t="s">
        <v>523</v>
      </c>
      <c r="C132" s="365">
        <v>19112</v>
      </c>
      <c r="D132" s="365">
        <v>26859</v>
      </c>
      <c r="E132" s="365">
        <v>26859</v>
      </c>
      <c r="F132" s="365">
        <v>25137.799999999996</v>
      </c>
      <c r="G132" s="365">
        <v>25137.800000000003</v>
      </c>
      <c r="H132" s="365">
        <v>0</v>
      </c>
      <c r="I132" s="365">
        <v>0</v>
      </c>
      <c r="J132" s="365">
        <v>0</v>
      </c>
      <c r="K132" s="365">
        <v>4416</v>
      </c>
      <c r="L132" s="365">
        <v>0</v>
      </c>
      <c r="M132" s="365">
        <v>4582.7999999999993</v>
      </c>
      <c r="N132" s="365">
        <v>0</v>
      </c>
      <c r="O132" s="365">
        <v>0</v>
      </c>
      <c r="P132" s="365">
        <v>16138.999999999998</v>
      </c>
      <c r="Q132" s="365">
        <v>0</v>
      </c>
      <c r="R132" s="365">
        <v>0</v>
      </c>
      <c r="S132" s="365">
        <v>0</v>
      </c>
      <c r="T132" s="365">
        <v>25137.799999999996</v>
      </c>
      <c r="U132" s="366">
        <v>0.93591719721508604</v>
      </c>
      <c r="V132" s="365">
        <v>1721.2000000000044</v>
      </c>
      <c r="W132" s="365">
        <v>0</v>
      </c>
      <c r="X132" s="365">
        <v>1721.2000000000044</v>
      </c>
      <c r="Y132" s="365">
        <v>1721.2000000000044</v>
      </c>
      <c r="Z132" s="365">
        <v>0</v>
      </c>
      <c r="AA132" s="365">
        <v>0</v>
      </c>
      <c r="AB132" s="359"/>
    </row>
    <row r="133" spans="1:28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  <c r="AB133" s="359"/>
    </row>
    <row r="134" spans="1:28" ht="12" customHeight="1" x14ac:dyDescent="0.25">
      <c r="A134" s="354"/>
      <c r="B134" s="360" t="s">
        <v>525</v>
      </c>
      <c r="C134" s="361">
        <v>74020</v>
      </c>
      <c r="D134" s="361">
        <v>110273.3</v>
      </c>
      <c r="E134" s="361">
        <v>110273.3</v>
      </c>
      <c r="F134" s="361">
        <v>22924.85</v>
      </c>
      <c r="G134" s="361">
        <v>21254.85</v>
      </c>
      <c r="H134" s="361">
        <v>0</v>
      </c>
      <c r="I134" s="361">
        <v>0</v>
      </c>
      <c r="J134" s="361">
        <v>0</v>
      </c>
      <c r="K134" s="361">
        <v>700</v>
      </c>
      <c r="L134" s="361">
        <v>0</v>
      </c>
      <c r="M134" s="361">
        <v>20404.849999999999</v>
      </c>
      <c r="N134" s="361">
        <v>0</v>
      </c>
      <c r="O134" s="361">
        <v>150</v>
      </c>
      <c r="P134" s="361">
        <v>0</v>
      </c>
      <c r="Q134" s="361">
        <v>0</v>
      </c>
      <c r="R134" s="361">
        <v>0</v>
      </c>
      <c r="S134" s="361">
        <v>0</v>
      </c>
      <c r="T134" s="362">
        <v>21254.85</v>
      </c>
      <c r="U134" s="363">
        <v>0.19274702035760241</v>
      </c>
      <c r="V134" s="362">
        <v>89018.450000000012</v>
      </c>
      <c r="W134" s="362">
        <v>0</v>
      </c>
      <c r="X134" s="362">
        <v>87348.450000000012</v>
      </c>
      <c r="Y134" s="362">
        <v>87348.450000000012</v>
      </c>
      <c r="Z134" s="362">
        <v>1670</v>
      </c>
      <c r="AA134" s="362">
        <v>0</v>
      </c>
      <c r="AB134" s="359"/>
    </row>
    <row r="135" spans="1:28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  <c r="AB135" s="359"/>
    </row>
    <row r="136" spans="1:28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  <c r="AB136" s="359"/>
    </row>
    <row r="137" spans="1:28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  <c r="AB137" s="359"/>
    </row>
    <row r="138" spans="1:28" ht="12" customHeight="1" x14ac:dyDescent="0.25">
      <c r="A138" s="354" t="s">
        <v>1226</v>
      </c>
      <c r="B138" s="354" t="s">
        <v>529</v>
      </c>
      <c r="C138" s="365">
        <v>50000</v>
      </c>
      <c r="D138" s="365">
        <v>50000</v>
      </c>
      <c r="E138" s="365">
        <v>50000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>
        <v>0</v>
      </c>
      <c r="V138" s="365">
        <v>50000</v>
      </c>
      <c r="W138" s="365">
        <v>0</v>
      </c>
      <c r="X138" s="365">
        <v>50000</v>
      </c>
      <c r="Y138" s="365">
        <v>50000</v>
      </c>
      <c r="Z138" s="365">
        <v>0</v>
      </c>
      <c r="AA138" s="365">
        <v>0</v>
      </c>
      <c r="AB138" s="359"/>
    </row>
    <row r="139" spans="1:28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  <c r="AB139" s="359"/>
    </row>
    <row r="140" spans="1:28" ht="12" customHeight="1" x14ac:dyDescent="0.25">
      <c r="A140" s="354" t="s">
        <v>1228</v>
      </c>
      <c r="B140" s="354" t="s">
        <v>531</v>
      </c>
      <c r="C140" s="365">
        <v>6820</v>
      </c>
      <c r="D140" s="365">
        <v>6820</v>
      </c>
      <c r="E140" s="365">
        <v>6820</v>
      </c>
      <c r="F140" s="365">
        <v>2520</v>
      </c>
      <c r="G140" s="365">
        <v>850</v>
      </c>
      <c r="H140" s="365">
        <v>0</v>
      </c>
      <c r="I140" s="365">
        <v>0</v>
      </c>
      <c r="J140" s="365">
        <v>0</v>
      </c>
      <c r="K140" s="365">
        <v>700</v>
      </c>
      <c r="L140" s="365">
        <v>0</v>
      </c>
      <c r="M140" s="365">
        <v>0</v>
      </c>
      <c r="N140" s="365">
        <v>0</v>
      </c>
      <c r="O140" s="365">
        <v>150</v>
      </c>
      <c r="P140" s="365">
        <v>0</v>
      </c>
      <c r="Q140" s="365">
        <v>0</v>
      </c>
      <c r="R140" s="365">
        <v>0</v>
      </c>
      <c r="S140" s="365">
        <v>0</v>
      </c>
      <c r="T140" s="365">
        <v>850</v>
      </c>
      <c r="U140" s="366">
        <v>0.12463343108504399</v>
      </c>
      <c r="V140" s="365">
        <v>5970</v>
      </c>
      <c r="W140" s="365">
        <v>0</v>
      </c>
      <c r="X140" s="365">
        <v>4300</v>
      </c>
      <c r="Y140" s="365">
        <v>4300</v>
      </c>
      <c r="Z140" s="365">
        <v>1670</v>
      </c>
      <c r="AA140" s="365">
        <v>0</v>
      </c>
      <c r="AB140" s="359"/>
    </row>
    <row r="141" spans="1:28" ht="12" customHeight="1" x14ac:dyDescent="0.25">
      <c r="A141" s="354" t="s">
        <v>1229</v>
      </c>
      <c r="B141" s="354" t="s">
        <v>532</v>
      </c>
      <c r="C141" s="365">
        <v>17200</v>
      </c>
      <c r="D141" s="365">
        <v>53453.3</v>
      </c>
      <c r="E141" s="365">
        <v>53453.3</v>
      </c>
      <c r="F141" s="365">
        <v>20404.849999999999</v>
      </c>
      <c r="G141" s="365">
        <v>20404.849999999999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20404.849999999999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20404.849999999999</v>
      </c>
      <c r="U141" s="366">
        <v>0.38173227845614766</v>
      </c>
      <c r="V141" s="365">
        <v>33048.450000000004</v>
      </c>
      <c r="W141" s="365">
        <v>0</v>
      </c>
      <c r="X141" s="365">
        <v>33048.450000000004</v>
      </c>
      <c r="Y141" s="365">
        <v>33048.450000000004</v>
      </c>
      <c r="Z141" s="365">
        <v>0</v>
      </c>
      <c r="AA141" s="365">
        <v>0</v>
      </c>
      <c r="AB141" s="359"/>
    </row>
    <row r="142" spans="1:28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  <c r="AB142" s="367"/>
    </row>
    <row r="143" spans="1:28" ht="12" customHeight="1" x14ac:dyDescent="0.25">
      <c r="A143" s="354" t="s">
        <v>1231</v>
      </c>
      <c r="B143" s="360" t="s">
        <v>534</v>
      </c>
      <c r="C143" s="362">
        <v>20300</v>
      </c>
      <c r="D143" s="362">
        <v>20300</v>
      </c>
      <c r="E143" s="362">
        <v>20300</v>
      </c>
      <c r="F143" s="362">
        <v>20300</v>
      </c>
      <c r="G143" s="362">
        <v>12247.72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2247.7199999999998</v>
      </c>
      <c r="O143" s="362">
        <v>10000</v>
      </c>
      <c r="P143" s="362">
        <v>0</v>
      </c>
      <c r="Q143" s="362">
        <v>0</v>
      </c>
      <c r="R143" s="362">
        <v>0</v>
      </c>
      <c r="S143" s="362">
        <v>0</v>
      </c>
      <c r="T143" s="362">
        <v>12247.72</v>
      </c>
      <c r="U143" s="363">
        <v>0.60333596059113292</v>
      </c>
      <c r="V143" s="362">
        <v>8052.2800000000007</v>
      </c>
      <c r="W143" s="362">
        <v>0</v>
      </c>
      <c r="X143" s="362">
        <v>0</v>
      </c>
      <c r="Y143" s="362">
        <v>0</v>
      </c>
      <c r="Z143" s="362">
        <v>8052.2800000000007</v>
      </c>
      <c r="AA143" s="362">
        <v>0</v>
      </c>
      <c r="AB143" s="367"/>
    </row>
    <row r="144" spans="1:28" ht="12" customHeight="1" x14ac:dyDescent="0.25">
      <c r="A144" s="354"/>
      <c r="B144" s="360" t="s">
        <v>535</v>
      </c>
      <c r="C144" s="361">
        <v>56000</v>
      </c>
      <c r="D144" s="361">
        <v>55400</v>
      </c>
      <c r="E144" s="361">
        <v>5400</v>
      </c>
      <c r="F144" s="361">
        <v>1985.6899999999998</v>
      </c>
      <c r="G144" s="361">
        <v>1985.6899999999998</v>
      </c>
      <c r="H144" s="361">
        <v>78.14</v>
      </c>
      <c r="I144" s="361">
        <v>77.89</v>
      </c>
      <c r="J144" s="361">
        <v>201.86</v>
      </c>
      <c r="K144" s="361">
        <v>383.13</v>
      </c>
      <c r="L144" s="361">
        <v>138.63</v>
      </c>
      <c r="M144" s="361">
        <v>543.28</v>
      </c>
      <c r="N144" s="361">
        <v>163.51</v>
      </c>
      <c r="O144" s="361">
        <v>114.67</v>
      </c>
      <c r="P144" s="361">
        <v>284.58</v>
      </c>
      <c r="Q144" s="361">
        <v>0</v>
      </c>
      <c r="R144" s="361">
        <v>0</v>
      </c>
      <c r="S144" s="361">
        <v>0</v>
      </c>
      <c r="T144" s="362">
        <v>1985.6899999999998</v>
      </c>
      <c r="U144" s="363">
        <v>3.5842779783393501E-2</v>
      </c>
      <c r="V144" s="362">
        <v>53414.31</v>
      </c>
      <c r="W144" s="362">
        <v>50000</v>
      </c>
      <c r="X144" s="362">
        <v>53414.31</v>
      </c>
      <c r="Y144" s="362">
        <v>3414.3100000000004</v>
      </c>
      <c r="Z144" s="362">
        <v>0</v>
      </c>
      <c r="AA144" s="362">
        <v>0</v>
      </c>
      <c r="AB144" s="359"/>
    </row>
    <row r="145" spans="1:28" ht="12" customHeight="1" x14ac:dyDescent="0.25">
      <c r="A145" s="354" t="s">
        <v>1232</v>
      </c>
      <c r="B145" s="354" t="s">
        <v>536</v>
      </c>
      <c r="C145" s="365">
        <v>6000</v>
      </c>
      <c r="D145" s="365">
        <v>5400</v>
      </c>
      <c r="E145" s="365">
        <v>5400</v>
      </c>
      <c r="F145" s="365">
        <v>1985.6899999999998</v>
      </c>
      <c r="G145" s="365">
        <v>1985.6899999999998</v>
      </c>
      <c r="H145" s="365">
        <v>78.14</v>
      </c>
      <c r="I145" s="365">
        <v>77.89</v>
      </c>
      <c r="J145" s="365">
        <v>201.86</v>
      </c>
      <c r="K145" s="365">
        <v>383.13</v>
      </c>
      <c r="L145" s="365">
        <v>138.63</v>
      </c>
      <c r="M145" s="365">
        <v>543.28</v>
      </c>
      <c r="N145" s="365">
        <v>163.51</v>
      </c>
      <c r="O145" s="365">
        <v>114.67</v>
      </c>
      <c r="P145" s="365">
        <v>284.58</v>
      </c>
      <c r="Q145" s="365">
        <v>0</v>
      </c>
      <c r="R145" s="365">
        <v>0</v>
      </c>
      <c r="S145" s="365">
        <v>0</v>
      </c>
      <c r="T145" s="365">
        <v>1985.6899999999998</v>
      </c>
      <c r="U145" s="366">
        <v>0.36772037037037036</v>
      </c>
      <c r="V145" s="365">
        <v>3414.3100000000004</v>
      </c>
      <c r="W145" s="365">
        <v>0</v>
      </c>
      <c r="X145" s="365">
        <v>3414.3100000000004</v>
      </c>
      <c r="Y145" s="365">
        <v>3414.3100000000004</v>
      </c>
      <c r="Z145" s="365">
        <v>0</v>
      </c>
      <c r="AA145" s="365">
        <v>0</v>
      </c>
      <c r="AB145" s="359"/>
    </row>
    <row r="146" spans="1:28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  <c r="AB146" s="359"/>
    </row>
    <row r="147" spans="1:28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  <c r="AB147" s="359"/>
    </row>
    <row r="148" spans="1:28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  <c r="AB148" s="359"/>
    </row>
    <row r="149" spans="1:28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  <c r="AB149" s="359"/>
    </row>
    <row r="150" spans="1:28" ht="12" customHeight="1" x14ac:dyDescent="0.25">
      <c r="A150" s="354" t="s">
        <v>1237</v>
      </c>
      <c r="B150" s="354" t="s">
        <v>541</v>
      </c>
      <c r="C150" s="365">
        <v>50000</v>
      </c>
      <c r="D150" s="365">
        <v>50000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>
        <v>0</v>
      </c>
      <c r="V150" s="365">
        <v>50000</v>
      </c>
      <c r="W150" s="365">
        <v>50000</v>
      </c>
      <c r="X150" s="365">
        <v>50000</v>
      </c>
      <c r="Y150" s="365">
        <v>0</v>
      </c>
      <c r="Z150" s="365">
        <v>0</v>
      </c>
      <c r="AA150" s="365">
        <v>0</v>
      </c>
      <c r="AB150" s="359"/>
    </row>
    <row r="151" spans="1:28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  <c r="AB151" s="367"/>
    </row>
    <row r="152" spans="1:28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  <c r="AB152" s="367"/>
    </row>
    <row r="153" spans="1:28" ht="12" customHeight="1" x14ac:dyDescent="0.25">
      <c r="A153" s="354"/>
      <c r="B153" s="360" t="s">
        <v>544</v>
      </c>
      <c r="C153" s="361">
        <v>216250</v>
      </c>
      <c r="D153" s="361">
        <v>180422.7</v>
      </c>
      <c r="E153" s="361">
        <v>180422.7</v>
      </c>
      <c r="F153" s="361">
        <v>45410</v>
      </c>
      <c r="G153" s="361">
        <v>36600</v>
      </c>
      <c r="H153" s="361">
        <v>0</v>
      </c>
      <c r="I153" s="361">
        <v>0</v>
      </c>
      <c r="J153" s="361">
        <v>0</v>
      </c>
      <c r="K153" s="361">
        <v>0</v>
      </c>
      <c r="L153" s="361">
        <v>11560</v>
      </c>
      <c r="M153" s="361">
        <v>0</v>
      </c>
      <c r="N153" s="361">
        <v>0</v>
      </c>
      <c r="O153" s="361">
        <v>24540</v>
      </c>
      <c r="P153" s="361">
        <v>500</v>
      </c>
      <c r="Q153" s="361">
        <v>0</v>
      </c>
      <c r="R153" s="361">
        <v>0</v>
      </c>
      <c r="S153" s="361">
        <v>0</v>
      </c>
      <c r="T153" s="362">
        <v>36600</v>
      </c>
      <c r="U153" s="363">
        <v>0.20285695757795441</v>
      </c>
      <c r="V153" s="362">
        <v>143822.70000000001</v>
      </c>
      <c r="W153" s="362">
        <v>0</v>
      </c>
      <c r="X153" s="362">
        <v>135012.70000000001</v>
      </c>
      <c r="Y153" s="362">
        <v>135012.70000000001</v>
      </c>
      <c r="Z153" s="362">
        <v>8810</v>
      </c>
      <c r="AA153" s="362">
        <v>0</v>
      </c>
      <c r="AB153" s="359"/>
    </row>
    <row r="154" spans="1:28" ht="12" customHeight="1" x14ac:dyDescent="0.25">
      <c r="A154" s="354" t="s">
        <v>1240</v>
      </c>
      <c r="B154" s="354" t="s">
        <v>545</v>
      </c>
      <c r="C154" s="365">
        <v>188000</v>
      </c>
      <c r="D154" s="365">
        <v>152172.70000000001</v>
      </c>
      <c r="E154" s="365">
        <v>152172.70000000001</v>
      </c>
      <c r="F154" s="365">
        <v>26400</v>
      </c>
      <c r="G154" s="365">
        <v>18100</v>
      </c>
      <c r="H154" s="365">
        <v>0</v>
      </c>
      <c r="I154" s="365">
        <v>0</v>
      </c>
      <c r="J154" s="365">
        <v>0</v>
      </c>
      <c r="K154" s="365">
        <v>0</v>
      </c>
      <c r="L154" s="365">
        <v>8800</v>
      </c>
      <c r="M154" s="365">
        <v>0</v>
      </c>
      <c r="N154" s="365">
        <v>0</v>
      </c>
      <c r="O154" s="365">
        <v>8800</v>
      </c>
      <c r="P154" s="365">
        <v>500</v>
      </c>
      <c r="Q154" s="365">
        <v>0</v>
      </c>
      <c r="R154" s="365">
        <v>0</v>
      </c>
      <c r="S154" s="365">
        <v>0</v>
      </c>
      <c r="T154" s="365">
        <v>18100</v>
      </c>
      <c r="U154" s="366">
        <v>0.11894380529490506</v>
      </c>
      <c r="V154" s="365">
        <v>134072.70000000001</v>
      </c>
      <c r="W154" s="365">
        <v>0</v>
      </c>
      <c r="X154" s="365">
        <v>125772.70000000001</v>
      </c>
      <c r="Y154" s="365">
        <v>125772.70000000001</v>
      </c>
      <c r="Z154" s="365">
        <v>8300</v>
      </c>
      <c r="AA154" s="365">
        <v>0</v>
      </c>
      <c r="AB154" s="359"/>
    </row>
    <row r="155" spans="1:28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  <c r="AB155" s="359"/>
    </row>
    <row r="156" spans="1:28" ht="12" customHeight="1" x14ac:dyDescent="0.25">
      <c r="A156" s="354" t="s">
        <v>1242</v>
      </c>
      <c r="B156" s="354" t="s">
        <v>547</v>
      </c>
      <c r="C156" s="365">
        <v>16250</v>
      </c>
      <c r="D156" s="365">
        <v>16250</v>
      </c>
      <c r="E156" s="365">
        <v>16250</v>
      </c>
      <c r="F156" s="365">
        <v>16250</v>
      </c>
      <c r="G156" s="365">
        <v>15740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15740</v>
      </c>
      <c r="P156" s="365">
        <v>0</v>
      </c>
      <c r="Q156" s="365">
        <v>0</v>
      </c>
      <c r="R156" s="365">
        <v>0</v>
      </c>
      <c r="S156" s="365">
        <v>0</v>
      </c>
      <c r="T156" s="365">
        <v>15740</v>
      </c>
      <c r="U156" s="366">
        <v>0.96861538461538466</v>
      </c>
      <c r="V156" s="365">
        <v>510</v>
      </c>
      <c r="W156" s="365">
        <v>0</v>
      </c>
      <c r="X156" s="365">
        <v>0</v>
      </c>
      <c r="Y156" s="365">
        <v>0</v>
      </c>
      <c r="Z156" s="365">
        <v>510</v>
      </c>
      <c r="AA156" s="365">
        <v>0</v>
      </c>
      <c r="AB156" s="359"/>
    </row>
    <row r="157" spans="1:28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  <c r="AB157" s="359"/>
    </row>
    <row r="158" spans="1:28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  <c r="AB158" s="359"/>
    </row>
    <row r="159" spans="1:28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  <c r="AB159" s="359"/>
    </row>
    <row r="160" spans="1:28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  <c r="AB160" s="359"/>
    </row>
    <row r="161" spans="1:28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  <c r="AB161" s="359"/>
    </row>
    <row r="162" spans="1:28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  <c r="AB162" s="359"/>
    </row>
    <row r="163" spans="1:28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  <c r="AB163" s="359"/>
    </row>
    <row r="164" spans="1:28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  <c r="AB164" s="359"/>
    </row>
    <row r="165" spans="1:28" ht="12" customHeight="1" x14ac:dyDescent="0.25">
      <c r="A165" s="354" t="s">
        <v>1251</v>
      </c>
      <c r="B165" s="354" t="s">
        <v>556</v>
      </c>
      <c r="C165" s="365">
        <v>12000</v>
      </c>
      <c r="D165" s="365">
        <v>12000</v>
      </c>
      <c r="E165" s="365">
        <v>12000</v>
      </c>
      <c r="F165" s="365">
        <v>2760</v>
      </c>
      <c r="G165" s="365">
        <v>2760</v>
      </c>
      <c r="H165" s="365">
        <v>0</v>
      </c>
      <c r="I165" s="365">
        <v>0</v>
      </c>
      <c r="J165" s="365">
        <v>0</v>
      </c>
      <c r="K165" s="365">
        <v>0</v>
      </c>
      <c r="L165" s="365">
        <v>2760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2760</v>
      </c>
      <c r="U165" s="366">
        <v>0.23</v>
      </c>
      <c r="V165" s="365">
        <v>9240</v>
      </c>
      <c r="W165" s="365">
        <v>0</v>
      </c>
      <c r="X165" s="365">
        <v>9240</v>
      </c>
      <c r="Y165" s="365">
        <v>9240</v>
      </c>
      <c r="Z165" s="365">
        <v>0</v>
      </c>
      <c r="AA165" s="365">
        <v>0</v>
      </c>
      <c r="AB165" s="359"/>
    </row>
    <row r="166" spans="1:28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  <c r="AB166" s="359"/>
    </row>
    <row r="167" spans="1:28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  <c r="AB167" s="359"/>
    </row>
    <row r="168" spans="1:28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  <c r="AB168" s="359"/>
    </row>
    <row r="169" spans="1:28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  <c r="AB169" s="359"/>
    </row>
    <row r="170" spans="1:28" ht="12" customHeight="1" x14ac:dyDescent="0.25">
      <c r="A170" s="354"/>
      <c r="B170" s="355" t="s">
        <v>561</v>
      </c>
      <c r="C170" s="356">
        <v>333807</v>
      </c>
      <c r="D170" s="356">
        <v>198454.21</v>
      </c>
      <c r="E170" s="356">
        <v>198454.21</v>
      </c>
      <c r="F170" s="356">
        <v>112094.09</v>
      </c>
      <c r="G170" s="356">
        <v>112094.09</v>
      </c>
      <c r="H170" s="356">
        <v>0</v>
      </c>
      <c r="I170" s="356">
        <v>0</v>
      </c>
      <c r="J170" s="356">
        <v>28783.96</v>
      </c>
      <c r="K170" s="356">
        <v>0</v>
      </c>
      <c r="L170" s="356">
        <v>0</v>
      </c>
      <c r="M170" s="356">
        <v>0</v>
      </c>
      <c r="N170" s="356">
        <v>83310.13</v>
      </c>
      <c r="O170" s="356">
        <v>0</v>
      </c>
      <c r="P170" s="356">
        <v>0</v>
      </c>
      <c r="Q170" s="356">
        <v>0</v>
      </c>
      <c r="R170" s="356">
        <v>0</v>
      </c>
      <c r="S170" s="356">
        <v>0</v>
      </c>
      <c r="T170" s="357">
        <v>112094.09</v>
      </c>
      <c r="U170" s="358">
        <v>0.5648360395075519</v>
      </c>
      <c r="V170" s="357">
        <v>86360.12</v>
      </c>
      <c r="W170" s="357">
        <v>0</v>
      </c>
      <c r="X170" s="357">
        <v>86360.12</v>
      </c>
      <c r="Y170" s="357">
        <v>86360.12</v>
      </c>
      <c r="Z170" s="357">
        <v>0</v>
      </c>
      <c r="AA170" s="357">
        <v>0</v>
      </c>
      <c r="AB170" s="359"/>
    </row>
    <row r="171" spans="1:28" ht="12" customHeight="1" x14ac:dyDescent="0.25">
      <c r="A171" s="354"/>
      <c r="B171" s="360" t="s">
        <v>562</v>
      </c>
      <c r="C171" s="361">
        <v>333807</v>
      </c>
      <c r="D171" s="361">
        <v>198454.21</v>
      </c>
      <c r="E171" s="361">
        <v>198454.21</v>
      </c>
      <c r="F171" s="361">
        <v>112094.09</v>
      </c>
      <c r="G171" s="361">
        <v>112094.09</v>
      </c>
      <c r="H171" s="361">
        <v>0</v>
      </c>
      <c r="I171" s="361">
        <v>0</v>
      </c>
      <c r="J171" s="361">
        <v>28783.96</v>
      </c>
      <c r="K171" s="361">
        <v>0</v>
      </c>
      <c r="L171" s="361">
        <v>0</v>
      </c>
      <c r="M171" s="361">
        <v>0</v>
      </c>
      <c r="N171" s="361">
        <v>83310.13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112094.09</v>
      </c>
      <c r="U171" s="363">
        <v>0.5648360395075519</v>
      </c>
      <c r="V171" s="362">
        <v>86360.12</v>
      </c>
      <c r="W171" s="362">
        <v>0</v>
      </c>
      <c r="X171" s="362">
        <v>86360.12</v>
      </c>
      <c r="Y171" s="362">
        <v>86360.12</v>
      </c>
      <c r="Z171" s="362">
        <v>0</v>
      </c>
      <c r="AA171" s="362">
        <v>0</v>
      </c>
      <c r="AB171" s="359"/>
    </row>
    <row r="172" spans="1:28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  <c r="AB172" s="359"/>
    </row>
    <row r="173" spans="1:28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  <c r="AB173" s="359"/>
    </row>
    <row r="174" spans="1:28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  <c r="AB174" s="359"/>
    </row>
    <row r="175" spans="1:28" ht="12" customHeight="1" x14ac:dyDescent="0.25">
      <c r="A175" s="354"/>
      <c r="B175" s="354" t="s">
        <v>1257</v>
      </c>
      <c r="C175" s="365">
        <v>333807</v>
      </c>
      <c r="D175" s="365">
        <v>198454.21</v>
      </c>
      <c r="E175" s="365">
        <v>198454.21</v>
      </c>
      <c r="F175" s="365">
        <v>112094.09</v>
      </c>
      <c r="G175" s="365">
        <v>112094.09</v>
      </c>
      <c r="H175" s="365">
        <v>0</v>
      </c>
      <c r="I175" s="365">
        <v>0</v>
      </c>
      <c r="J175" s="365">
        <v>28783.96</v>
      </c>
      <c r="K175" s="365">
        <v>0</v>
      </c>
      <c r="L175" s="365">
        <v>0</v>
      </c>
      <c r="M175" s="365">
        <v>0</v>
      </c>
      <c r="N175" s="365">
        <v>83310.13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112094.09</v>
      </c>
      <c r="U175" s="366">
        <v>0.5648360395075519</v>
      </c>
      <c r="V175" s="365">
        <v>86360.12</v>
      </c>
      <c r="W175" s="365">
        <v>0</v>
      </c>
      <c r="X175" s="365">
        <v>86360.12</v>
      </c>
      <c r="Y175" s="365">
        <v>86360.12</v>
      </c>
      <c r="Z175" s="365">
        <v>0</v>
      </c>
      <c r="AA175" s="365">
        <v>0</v>
      </c>
      <c r="AB175" s="359"/>
    </row>
    <row r="176" spans="1:28" ht="12" customHeight="1" x14ac:dyDescent="0.25">
      <c r="A176" s="354" t="s">
        <v>1258</v>
      </c>
      <c r="B176" s="364" t="s">
        <v>1259</v>
      </c>
      <c r="C176" s="365">
        <v>333807</v>
      </c>
      <c r="D176" s="365">
        <v>198454.21</v>
      </c>
      <c r="E176" s="365">
        <v>198454.21</v>
      </c>
      <c r="F176" s="365">
        <v>112094.09</v>
      </c>
      <c r="G176" s="365">
        <v>112094.09</v>
      </c>
      <c r="H176" s="365">
        <v>0</v>
      </c>
      <c r="I176" s="365">
        <v>0</v>
      </c>
      <c r="J176" s="365">
        <v>28783.96</v>
      </c>
      <c r="K176" s="365">
        <v>0</v>
      </c>
      <c r="L176" s="365">
        <v>0</v>
      </c>
      <c r="M176" s="365">
        <v>0</v>
      </c>
      <c r="N176" s="365">
        <v>83310.13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112094.09</v>
      </c>
      <c r="U176" s="366">
        <v>0.5648360395075519</v>
      </c>
      <c r="V176" s="365">
        <v>86360.12</v>
      </c>
      <c r="W176" s="365">
        <v>0</v>
      </c>
      <c r="X176" s="365">
        <v>86360.12</v>
      </c>
      <c r="Y176" s="365">
        <v>86360.12</v>
      </c>
      <c r="Z176" s="365">
        <v>0</v>
      </c>
      <c r="AA176" s="365">
        <v>0</v>
      </c>
      <c r="AB176" s="359"/>
    </row>
    <row r="177" spans="1:28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  <c r="AB177" s="359"/>
    </row>
    <row r="178" spans="1:28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  <c r="AB178" s="359"/>
    </row>
    <row r="179" spans="1:28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  <c r="AB179" s="359"/>
    </row>
    <row r="180" spans="1:28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  <c r="AB180" s="359"/>
    </row>
    <row r="181" spans="1:28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  <c r="AB181" s="359"/>
    </row>
    <row r="182" spans="1:28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  <c r="AB182" s="359"/>
    </row>
    <row r="183" spans="1:28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  <c r="AB183" s="359"/>
    </row>
    <row r="184" spans="1:28" ht="12" customHeight="1" x14ac:dyDescent="0.25">
      <c r="A184" s="354"/>
      <c r="B184" s="360" t="s">
        <v>572</v>
      </c>
      <c r="C184" s="361">
        <v>0</v>
      </c>
      <c r="D184" s="361">
        <v>0</v>
      </c>
      <c r="E184" s="361">
        <v>0</v>
      </c>
      <c r="F184" s="361">
        <v>0</v>
      </c>
      <c r="G184" s="361">
        <v>0</v>
      </c>
      <c r="H184" s="361">
        <v>0</v>
      </c>
      <c r="I184" s="361">
        <v>0</v>
      </c>
      <c r="J184" s="361">
        <v>0</v>
      </c>
      <c r="K184" s="361">
        <v>0</v>
      </c>
      <c r="L184" s="361">
        <v>0</v>
      </c>
      <c r="M184" s="361">
        <v>0</v>
      </c>
      <c r="N184" s="361">
        <v>0</v>
      </c>
      <c r="O184" s="361">
        <v>0</v>
      </c>
      <c r="P184" s="361">
        <v>0</v>
      </c>
      <c r="Q184" s="361">
        <v>0</v>
      </c>
      <c r="R184" s="361">
        <v>0</v>
      </c>
      <c r="S184" s="361">
        <v>0</v>
      </c>
      <c r="T184" s="362">
        <v>0</v>
      </c>
      <c r="U184" s="363" t="e">
        <v>#DIV/0!</v>
      </c>
      <c r="V184" s="362">
        <v>0</v>
      </c>
      <c r="W184" s="362">
        <v>0</v>
      </c>
      <c r="X184" s="362">
        <v>0</v>
      </c>
      <c r="Y184" s="362">
        <v>0</v>
      </c>
      <c r="Z184" s="362">
        <v>0</v>
      </c>
      <c r="AA184" s="362">
        <v>0</v>
      </c>
      <c r="AB184" s="359"/>
    </row>
    <row r="185" spans="1:28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  <c r="AB185" s="359"/>
    </row>
    <row r="186" spans="1:28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  <c r="AB186" s="359"/>
    </row>
    <row r="187" spans="1:28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  <c r="AB187" s="359"/>
    </row>
    <row r="188" spans="1:28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  <c r="AB188" s="359"/>
    </row>
    <row r="189" spans="1:28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  <c r="AB189" s="359"/>
    </row>
    <row r="190" spans="1:28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  <c r="AB190" s="359"/>
    </row>
    <row r="191" spans="1:28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  <c r="AB191" s="359"/>
    </row>
    <row r="192" spans="1:28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  <c r="AB192" s="359"/>
    </row>
    <row r="193" spans="1:28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  <c r="AB193" s="359"/>
    </row>
    <row r="194" spans="1:28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  <c r="AB194" s="359"/>
    </row>
    <row r="195" spans="1:28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  <c r="AB195" s="359"/>
    </row>
    <row r="196" spans="1:28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  <c r="AB196" s="359"/>
    </row>
    <row r="197" spans="1:28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  <c r="AB197" s="359"/>
    </row>
    <row r="198" spans="1:28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  <c r="AB198" s="359"/>
    </row>
    <row r="199" spans="1:28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  <c r="AB199" s="359"/>
    </row>
    <row r="200" spans="1:28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  <c r="AB200" s="359"/>
    </row>
    <row r="201" spans="1:28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  <c r="AB201" s="359"/>
    </row>
    <row r="202" spans="1:28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  <c r="AB202" s="359"/>
    </row>
    <row r="203" spans="1:28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  <c r="AB203" s="359"/>
    </row>
    <row r="204" spans="1:28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  <c r="AB204" s="359"/>
    </row>
    <row r="205" spans="1:28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  <c r="AB205" s="359"/>
    </row>
    <row r="206" spans="1:28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  <c r="AB206" s="359"/>
    </row>
    <row r="207" spans="1:28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  <c r="AB207" s="359"/>
    </row>
    <row r="208" spans="1:28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  <c r="AB208" s="359"/>
    </row>
    <row r="209" spans="1:28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  <c r="AB209" s="359"/>
    </row>
    <row r="210" spans="1:28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  <c r="AB210" s="359"/>
    </row>
    <row r="211" spans="1:28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  <c r="AB211" s="359"/>
    </row>
    <row r="212" spans="1:28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  <c r="AB212" s="359"/>
    </row>
    <row r="213" spans="1:28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  <c r="AB213" s="359"/>
    </row>
    <row r="214" spans="1:28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  <c r="AB214" s="359"/>
    </row>
    <row r="215" spans="1:28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  <c r="AB215" s="359"/>
    </row>
    <row r="216" spans="1:28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  <c r="AB216" s="359"/>
    </row>
    <row r="217" spans="1:28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  <c r="AB217" s="359"/>
    </row>
    <row r="218" spans="1:28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  <c r="AB218" s="359"/>
    </row>
    <row r="219" spans="1:28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  <c r="AB219" s="359"/>
    </row>
    <row r="220" spans="1:28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  <c r="AB220" s="359"/>
    </row>
    <row r="221" spans="1:28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  <c r="AB221" s="359"/>
    </row>
    <row r="222" spans="1:28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  <c r="AB222" s="359"/>
    </row>
    <row r="223" spans="1:28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  <c r="AB223" s="359"/>
    </row>
    <row r="224" spans="1:28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  <c r="AB224" s="359"/>
    </row>
    <row r="225" spans="1:28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  <c r="AB225" s="359"/>
    </row>
    <row r="226" spans="1:28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  <c r="AB226" s="359"/>
    </row>
    <row r="227" spans="1:28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  <c r="AB227" s="359"/>
    </row>
    <row r="228" spans="1:28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  <c r="AB228" s="359"/>
    </row>
    <row r="229" spans="1:28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  <c r="AB229" s="359"/>
    </row>
    <row r="230" spans="1:28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  <c r="AB230" s="359"/>
    </row>
    <row r="231" spans="1:28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  <c r="AB231" s="359"/>
    </row>
    <row r="232" spans="1:28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  <c r="AB232" s="367"/>
    </row>
    <row r="233" spans="1:28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  <c r="AB233" s="367"/>
    </row>
    <row r="234" spans="1:28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  <c r="AB234" s="367"/>
    </row>
    <row r="235" spans="1:28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  <c r="AB235" s="367"/>
    </row>
    <row r="236" spans="1:28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  <c r="AB236" s="359"/>
    </row>
    <row r="237" spans="1:28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  <c r="AB237" s="359"/>
    </row>
    <row r="238" spans="1:28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  <c r="AB238" s="359"/>
    </row>
    <row r="239" spans="1:28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  <c r="AB239" s="359"/>
    </row>
    <row r="240" spans="1:28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  <c r="AB240" s="359"/>
    </row>
    <row r="241" spans="1:28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  <c r="AB241" s="359"/>
    </row>
    <row r="242" spans="1:28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  <c r="AB242" s="359"/>
    </row>
    <row r="243" spans="1:28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  <c r="AB243" s="359"/>
    </row>
    <row r="244" spans="1:28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  <c r="AB244" s="359"/>
    </row>
    <row r="245" spans="1:28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  <c r="AB245" s="359"/>
    </row>
    <row r="246" spans="1:28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  <c r="AB246" s="359"/>
    </row>
    <row r="247" spans="1:28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  <c r="AB247" s="359"/>
    </row>
    <row r="248" spans="1:28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  <c r="AB248" s="359"/>
    </row>
    <row r="249" spans="1:28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  <c r="AB249" s="359"/>
    </row>
    <row r="250" spans="1:28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  <c r="AB250" s="359"/>
    </row>
    <row r="251" spans="1:28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  <c r="AB251" s="359"/>
    </row>
    <row r="252" spans="1:28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  <c r="AB252" s="359"/>
    </row>
    <row r="253" spans="1:28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  <c r="AB253" s="359"/>
    </row>
    <row r="254" spans="1:28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  <c r="AB254" s="359"/>
    </row>
    <row r="255" spans="1:28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  <c r="AB255" s="359"/>
    </row>
    <row r="256" spans="1:28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  <c r="AB256" s="359"/>
    </row>
    <row r="257" spans="1:28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  <c r="AB257" s="359"/>
    </row>
    <row r="258" spans="1:28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  <c r="AB258" s="359"/>
    </row>
    <row r="259" spans="1:28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  <c r="AB259" s="359"/>
    </row>
    <row r="260" spans="1:28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  <c r="AB260" s="359"/>
    </row>
    <row r="261" spans="1:28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  <c r="AB261" s="359"/>
    </row>
    <row r="262" spans="1:28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  <c r="AB262" s="359"/>
    </row>
    <row r="263" spans="1:28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  <c r="AB263" s="359"/>
    </row>
    <row r="264" spans="1:28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  <c r="AB264" s="359"/>
    </row>
    <row r="265" spans="1:28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  <c r="AB265" s="359"/>
    </row>
    <row r="266" spans="1:28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  <c r="AB266" s="359"/>
    </row>
    <row r="267" spans="1:28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  <c r="AB267" s="359"/>
    </row>
    <row r="268" spans="1:28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  <c r="AB268" s="359"/>
    </row>
    <row r="269" spans="1:28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  <c r="AB269" s="359"/>
    </row>
    <row r="270" spans="1:28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  <c r="AB270" s="359"/>
    </row>
    <row r="271" spans="1:28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  <c r="AB271" s="359"/>
    </row>
    <row r="272" spans="1:28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  <c r="AB272" s="359"/>
    </row>
    <row r="273" spans="1:28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  <c r="AB273" s="359"/>
    </row>
    <row r="274" spans="1:28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  <c r="AB274" s="359"/>
    </row>
    <row r="275" spans="1:28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  <c r="AB275" s="359"/>
    </row>
    <row r="276" spans="1:28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  <c r="AB276" s="359"/>
    </row>
    <row r="277" spans="1:28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  <c r="AB277" s="359"/>
    </row>
    <row r="278" spans="1:28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  <c r="AB278" s="367"/>
    </row>
    <row r="279" spans="1:28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  <c r="AB279" s="359"/>
    </row>
    <row r="280" spans="1:28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  <c r="AB280" s="359"/>
    </row>
    <row r="281" spans="1:28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  <c r="AB281" s="359"/>
    </row>
    <row r="282" spans="1:28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  <c r="AB282" s="359"/>
    </row>
    <row r="283" spans="1:28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  <c r="AB283" s="359"/>
    </row>
    <row r="284" spans="1:28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  <c r="AB284" s="359"/>
    </row>
    <row r="285" spans="1:28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  <c r="AB285" s="359"/>
    </row>
    <row r="286" spans="1:28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  <c r="AB286" s="359"/>
    </row>
    <row r="287" spans="1:28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  <c r="AB287" s="359"/>
    </row>
    <row r="288" spans="1:28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  <c r="AB288" s="359"/>
    </row>
    <row r="289" spans="1:28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  <c r="AB289" s="359"/>
    </row>
    <row r="290" spans="1:28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  <c r="AB290" s="359"/>
    </row>
    <row r="291" spans="1:28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  <c r="AB291" s="359"/>
    </row>
    <row r="292" spans="1:28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  <c r="AB292" s="359"/>
    </row>
    <row r="293" spans="1:28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  <c r="AB293" s="359"/>
    </row>
    <row r="294" spans="1:28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  <c r="AB294" s="359"/>
    </row>
    <row r="295" spans="1:28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  <c r="AB295" s="359"/>
    </row>
    <row r="296" spans="1:28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  <c r="AB296" s="359"/>
    </row>
    <row r="297" spans="1:28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  <c r="AB297" s="359"/>
    </row>
    <row r="298" spans="1:28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  <c r="AB298" s="359"/>
    </row>
    <row r="299" spans="1:28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  <c r="AB299" s="359"/>
    </row>
    <row r="300" spans="1:28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  <c r="AB300" s="367"/>
    </row>
    <row r="301" spans="1:28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  <c r="AB301" s="359"/>
    </row>
    <row r="302" spans="1:28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  <c r="AB302" s="359"/>
    </row>
    <row r="303" spans="1:28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  <c r="AB303" s="359"/>
    </row>
    <row r="304" spans="1:28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  <c r="AB304" s="359"/>
    </row>
    <row r="305" spans="1:28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  <c r="AB305" s="359"/>
    </row>
    <row r="306" spans="1:28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  <c r="AB306" s="359"/>
    </row>
    <row r="307" spans="1:28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  <c r="AB307" s="359"/>
    </row>
    <row r="308" spans="1:28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  <c r="AB308" s="359"/>
    </row>
    <row r="309" spans="1:28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  <c r="AB309" s="367"/>
    </row>
    <row r="310" spans="1:28" ht="12" customHeight="1" x14ac:dyDescent="0.25">
      <c r="A310" s="354"/>
      <c r="B310" s="374" t="s">
        <v>35</v>
      </c>
      <c r="C310" s="375">
        <v>3306538</v>
      </c>
      <c r="D310" s="375">
        <v>3155932.21</v>
      </c>
      <c r="E310" s="375">
        <v>3105932.21</v>
      </c>
      <c r="F310" s="375">
        <v>2447380.5499999998</v>
      </c>
      <c r="G310" s="375">
        <v>1874177.4800000002</v>
      </c>
      <c r="H310" s="375">
        <v>156653.91</v>
      </c>
      <c r="I310" s="375">
        <v>158258.82999999999</v>
      </c>
      <c r="J310" s="375">
        <v>188623.15</v>
      </c>
      <c r="K310" s="375">
        <v>244518.18000000002</v>
      </c>
      <c r="L310" s="375">
        <v>207493.18999999997</v>
      </c>
      <c r="M310" s="375">
        <v>218042.24000000002</v>
      </c>
      <c r="N310" s="375">
        <v>260172.87</v>
      </c>
      <c r="O310" s="375">
        <v>200169.92</v>
      </c>
      <c r="P310" s="375">
        <v>240205.16</v>
      </c>
      <c r="Q310" s="375">
        <v>0</v>
      </c>
      <c r="R310" s="375">
        <v>0</v>
      </c>
      <c r="S310" s="375">
        <v>0</v>
      </c>
      <c r="T310" s="376">
        <v>1874137.45</v>
      </c>
      <c r="U310" s="377">
        <v>0.5938459147067674</v>
      </c>
      <c r="V310" s="376">
        <v>1281794.76</v>
      </c>
      <c r="W310" s="376">
        <v>50000</v>
      </c>
      <c r="X310" s="376">
        <v>708551.66000000015</v>
      </c>
      <c r="Y310" s="376">
        <v>658551.66000000015</v>
      </c>
      <c r="Z310" s="376">
        <v>573203.0699999996</v>
      </c>
      <c r="AA310" s="376">
        <v>40.03000000026077</v>
      </c>
      <c r="AB310" s="367"/>
    </row>
    <row r="311" spans="1:28" ht="12" customHeight="1" x14ac:dyDescent="0.25">
      <c r="A311" s="354"/>
      <c r="B311" s="378" t="s">
        <v>1379</v>
      </c>
      <c r="C311" s="379">
        <v>2972731</v>
      </c>
      <c r="D311" s="379">
        <v>2957478</v>
      </c>
      <c r="E311" s="379">
        <v>2907478</v>
      </c>
      <c r="F311" s="379">
        <v>2335286.46</v>
      </c>
      <c r="G311" s="379">
        <v>1762083.3900000001</v>
      </c>
      <c r="H311" s="379">
        <v>156653.91</v>
      </c>
      <c r="I311" s="379">
        <v>158258.82999999999</v>
      </c>
      <c r="J311" s="379">
        <v>159839.19</v>
      </c>
      <c r="K311" s="379">
        <v>244518.18000000002</v>
      </c>
      <c r="L311" s="379">
        <v>207493.18999999997</v>
      </c>
      <c r="M311" s="379">
        <v>218042.24000000002</v>
      </c>
      <c r="N311" s="379">
        <v>176862.74</v>
      </c>
      <c r="O311" s="379">
        <v>200169.92</v>
      </c>
      <c r="P311" s="379">
        <v>240205.16</v>
      </c>
      <c r="Q311" s="379">
        <v>0</v>
      </c>
      <c r="R311" s="379">
        <v>0</v>
      </c>
      <c r="S311" s="379">
        <v>0</v>
      </c>
      <c r="T311" s="380">
        <v>1762043.3599999999</v>
      </c>
      <c r="U311" s="381">
        <v>0.59579255027425393</v>
      </c>
      <c r="V311" s="380">
        <v>1195434.6400000001</v>
      </c>
      <c r="W311" s="380">
        <v>50000</v>
      </c>
      <c r="X311" s="380">
        <v>622191.54</v>
      </c>
      <c r="Y311" s="380">
        <v>572191.54</v>
      </c>
      <c r="Z311" s="380">
        <v>573203.06999999983</v>
      </c>
      <c r="AA311" s="380">
        <v>40.03000000026077</v>
      </c>
      <c r="AB311" s="359"/>
    </row>
    <row r="312" spans="1:28" ht="12" customHeight="1" x14ac:dyDescent="0.25">
      <c r="A312" s="354"/>
      <c r="B312" s="382" t="s">
        <v>74</v>
      </c>
      <c r="C312" s="383">
        <v>2972731</v>
      </c>
      <c r="D312" s="383">
        <v>2957478</v>
      </c>
      <c r="E312" s="383">
        <v>2907478</v>
      </c>
      <c r="F312" s="383">
        <v>2335286.46</v>
      </c>
      <c r="G312" s="383">
        <v>1762083.3900000001</v>
      </c>
      <c r="H312" s="383">
        <v>156653.91</v>
      </c>
      <c r="I312" s="383">
        <v>158258.82999999999</v>
      </c>
      <c r="J312" s="383">
        <v>159839.19</v>
      </c>
      <c r="K312" s="383">
        <v>244518.18000000002</v>
      </c>
      <c r="L312" s="383">
        <v>207493.18999999997</v>
      </c>
      <c r="M312" s="383">
        <v>218042.24000000002</v>
      </c>
      <c r="N312" s="383">
        <v>176862.74</v>
      </c>
      <c r="O312" s="383">
        <v>200169.92</v>
      </c>
      <c r="P312" s="383">
        <v>240205.16</v>
      </c>
      <c r="Q312" s="383">
        <v>0</v>
      </c>
      <c r="R312" s="383">
        <v>0</v>
      </c>
      <c r="S312" s="383">
        <v>0</v>
      </c>
      <c r="T312" s="384">
        <v>1762043.3599999999</v>
      </c>
      <c r="U312" s="385">
        <v>0.59579255027425393</v>
      </c>
      <c r="V312" s="384">
        <v>1195434.6400000001</v>
      </c>
      <c r="W312" s="384">
        <v>50000</v>
      </c>
      <c r="X312" s="384">
        <v>622191.54</v>
      </c>
      <c r="Y312" s="384">
        <v>572191.54</v>
      </c>
      <c r="Z312" s="384">
        <v>573203.06999999983</v>
      </c>
      <c r="AA312" s="384">
        <v>40.03000000026077</v>
      </c>
      <c r="AB312" s="359"/>
    </row>
    <row r="313" spans="1:28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  <c r="AB313" s="359"/>
    </row>
    <row r="314" spans="1:28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  <c r="AB314" s="359"/>
    </row>
    <row r="315" spans="1:28" ht="12" customHeight="1" x14ac:dyDescent="0.25">
      <c r="A315" s="359"/>
      <c r="B315" s="523" t="s">
        <v>1384</v>
      </c>
      <c r="C315" s="516"/>
      <c r="D315" s="516"/>
      <c r="E315" s="516"/>
      <c r="F315" s="516"/>
      <c r="G315" s="516"/>
      <c r="H315" s="516"/>
      <c r="I315" s="516"/>
      <c r="J315" s="516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  <c r="AB315" s="359"/>
    </row>
    <row r="316" spans="1:28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  <c r="AB316" s="359"/>
    </row>
    <row r="317" spans="1:28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  <c r="AB317" s="359"/>
    </row>
    <row r="318" spans="1:28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  <c r="AB318" s="359"/>
    </row>
    <row r="319" spans="1:28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  <c r="AB319" s="359"/>
    </row>
    <row r="320" spans="1:28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  <c r="AB320" s="359"/>
    </row>
    <row r="321" spans="1:28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  <c r="AB321" s="359"/>
    </row>
    <row r="322" spans="1:28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  <c r="AB322" s="359"/>
    </row>
    <row r="323" spans="1:28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  <c r="AB323" s="359"/>
    </row>
    <row r="324" spans="1:28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  <c r="AB324" s="359"/>
    </row>
    <row r="325" spans="1:28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  <c r="AB325" s="359"/>
    </row>
    <row r="326" spans="1:28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  <c r="AB326" s="359"/>
    </row>
    <row r="327" spans="1:28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  <c r="AB327" s="359"/>
    </row>
    <row r="328" spans="1:28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  <c r="AB328" s="359"/>
    </row>
    <row r="329" spans="1:28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  <c r="AB329" s="359"/>
    </row>
    <row r="330" spans="1:28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  <c r="AB330" s="359"/>
    </row>
    <row r="331" spans="1:28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  <c r="AB331" s="359"/>
    </row>
    <row r="332" spans="1:28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  <c r="AB332" s="359"/>
    </row>
    <row r="333" spans="1:28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  <c r="AB333" s="359"/>
    </row>
    <row r="334" spans="1:28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  <c r="AB334" s="359"/>
    </row>
    <row r="335" spans="1:28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  <c r="AB335" s="359"/>
    </row>
    <row r="336" spans="1:28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  <c r="AB336" s="359"/>
    </row>
    <row r="337" spans="1:28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  <c r="AB337" s="359"/>
    </row>
    <row r="338" spans="1:28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  <c r="AB338" s="359"/>
    </row>
    <row r="339" spans="1:28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  <c r="AB339" s="359"/>
    </row>
    <row r="340" spans="1:28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  <c r="AB340" s="359"/>
    </row>
    <row r="341" spans="1:28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  <c r="AB341" s="359"/>
    </row>
    <row r="342" spans="1:28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  <c r="AB342" s="359"/>
    </row>
    <row r="343" spans="1:28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  <c r="AB343" s="359"/>
    </row>
    <row r="344" spans="1:28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  <c r="AB344" s="359"/>
    </row>
    <row r="345" spans="1:28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  <c r="AB345" s="359"/>
    </row>
    <row r="346" spans="1:28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  <c r="AB346" s="359"/>
    </row>
    <row r="347" spans="1:28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  <c r="AB347" s="359"/>
    </row>
    <row r="348" spans="1:28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  <c r="AB348" s="359"/>
    </row>
    <row r="349" spans="1:28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  <c r="AB349" s="359"/>
    </row>
    <row r="350" spans="1:28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  <c r="AB350" s="359"/>
    </row>
    <row r="351" spans="1:28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  <c r="AB351" s="359"/>
    </row>
    <row r="352" spans="1:28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  <c r="AB352" s="359"/>
    </row>
    <row r="353" spans="1:28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  <c r="AB353" s="359"/>
    </row>
    <row r="354" spans="1:28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  <c r="AB354" s="359"/>
    </row>
    <row r="355" spans="1:28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  <c r="AB355" s="359"/>
    </row>
    <row r="356" spans="1:28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  <c r="AB356" s="359"/>
    </row>
    <row r="357" spans="1:28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  <c r="AB357" s="359"/>
    </row>
    <row r="358" spans="1:28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  <c r="AB358" s="359"/>
    </row>
    <row r="359" spans="1:28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  <c r="AB359" s="359"/>
    </row>
    <row r="360" spans="1:28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  <c r="AB360" s="359"/>
    </row>
    <row r="361" spans="1:28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  <c r="AB361" s="359"/>
    </row>
    <row r="362" spans="1:28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  <c r="AB362" s="359"/>
    </row>
    <row r="363" spans="1:28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  <c r="AB363" s="359"/>
    </row>
    <row r="364" spans="1:28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  <c r="AB364" s="359"/>
    </row>
    <row r="365" spans="1:28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  <c r="AB365" s="359"/>
    </row>
    <row r="366" spans="1:28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  <c r="AB366" s="359"/>
    </row>
    <row r="367" spans="1:28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  <c r="AB367" s="359"/>
    </row>
    <row r="368" spans="1:28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  <c r="AB368" s="359"/>
    </row>
    <row r="369" spans="1:28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  <c r="AB369" s="359"/>
    </row>
    <row r="370" spans="1:28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  <c r="AB370" s="359"/>
    </row>
    <row r="371" spans="1:28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  <c r="AB371" s="359"/>
    </row>
    <row r="372" spans="1:28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  <c r="AB372" s="359"/>
    </row>
    <row r="373" spans="1:28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  <c r="AB373" s="359"/>
    </row>
    <row r="374" spans="1:28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  <c r="AB374" s="359"/>
    </row>
    <row r="375" spans="1:28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  <c r="AB375" s="359"/>
    </row>
    <row r="376" spans="1:28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  <c r="AB376" s="359"/>
    </row>
    <row r="377" spans="1:28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  <c r="AB377" s="359"/>
    </row>
    <row r="378" spans="1:28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  <c r="AB378" s="359"/>
    </row>
    <row r="379" spans="1:28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  <c r="AB379" s="359"/>
    </row>
    <row r="380" spans="1:28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  <c r="AB380" s="359"/>
    </row>
    <row r="381" spans="1:28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  <c r="AB381" s="359"/>
    </row>
    <row r="382" spans="1:28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  <c r="AB382" s="359"/>
    </row>
    <row r="383" spans="1:28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  <c r="AB383" s="359"/>
    </row>
    <row r="384" spans="1:28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  <c r="AB384" s="359"/>
    </row>
    <row r="385" spans="1:28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  <c r="AB385" s="359"/>
    </row>
    <row r="386" spans="1:28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  <c r="AB386" s="359"/>
    </row>
    <row r="387" spans="1:28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  <c r="AB387" s="359"/>
    </row>
    <row r="388" spans="1:28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  <c r="AB388" s="359"/>
    </row>
    <row r="389" spans="1:28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  <c r="AB389" s="359"/>
    </row>
    <row r="390" spans="1:28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  <c r="AB390" s="359"/>
    </row>
    <row r="391" spans="1:28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  <c r="AB391" s="359"/>
    </row>
    <row r="392" spans="1:28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  <c r="AB392" s="359"/>
    </row>
    <row r="393" spans="1:28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  <c r="AB393" s="359"/>
    </row>
    <row r="394" spans="1:28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  <c r="AB394" s="359"/>
    </row>
    <row r="395" spans="1:28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  <c r="AB395" s="359"/>
    </row>
    <row r="396" spans="1:28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  <c r="AB396" s="359"/>
    </row>
    <row r="397" spans="1:28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  <c r="AB397" s="359"/>
    </row>
    <row r="398" spans="1:28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  <c r="AB398" s="359"/>
    </row>
    <row r="399" spans="1:28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  <c r="AB399" s="359"/>
    </row>
    <row r="400" spans="1:28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  <c r="AB400" s="359"/>
    </row>
    <row r="401" spans="1:28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  <c r="AB401" s="359"/>
    </row>
    <row r="402" spans="1:28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  <c r="AB402" s="359"/>
    </row>
    <row r="403" spans="1:28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  <c r="AB403" s="359"/>
    </row>
    <row r="404" spans="1:28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  <c r="AB404" s="359"/>
    </row>
    <row r="405" spans="1:28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  <c r="AB405" s="359"/>
    </row>
    <row r="406" spans="1:28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  <c r="AB406" s="359"/>
    </row>
    <row r="407" spans="1:28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  <c r="AB407" s="359"/>
    </row>
    <row r="408" spans="1:28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  <c r="AB408" s="359"/>
    </row>
    <row r="409" spans="1:28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  <c r="AB409" s="359"/>
    </row>
    <row r="410" spans="1:28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  <c r="AB410" s="359"/>
    </row>
    <row r="411" spans="1:28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  <c r="AB411" s="359"/>
    </row>
    <row r="412" spans="1:28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  <c r="AB412" s="359"/>
    </row>
    <row r="413" spans="1:28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  <c r="AB413" s="359"/>
    </row>
    <row r="414" spans="1:28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  <c r="AB414" s="359"/>
    </row>
    <row r="415" spans="1:28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  <c r="AB415" s="359"/>
    </row>
    <row r="416" spans="1:28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  <c r="AB416" s="359"/>
    </row>
    <row r="417" spans="1:28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  <c r="AB417" s="359"/>
    </row>
    <row r="418" spans="1:28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  <c r="AB418" s="359"/>
    </row>
    <row r="419" spans="1:28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  <c r="AB419" s="359"/>
    </row>
    <row r="420" spans="1:28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  <c r="AB420" s="359"/>
    </row>
    <row r="421" spans="1:28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  <c r="AB421" s="359"/>
    </row>
    <row r="422" spans="1:28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  <c r="AB422" s="359"/>
    </row>
    <row r="423" spans="1:28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  <c r="AB423" s="359"/>
    </row>
    <row r="424" spans="1:28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  <c r="AB424" s="359"/>
    </row>
    <row r="425" spans="1:28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  <c r="AB425" s="359"/>
    </row>
    <row r="426" spans="1:28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  <c r="AB426" s="359"/>
    </row>
    <row r="427" spans="1:28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  <c r="AB427" s="359"/>
    </row>
    <row r="428" spans="1:28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  <c r="AB428" s="359"/>
    </row>
    <row r="429" spans="1:28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  <c r="AB429" s="359"/>
    </row>
    <row r="430" spans="1:28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  <c r="AB430" s="359"/>
    </row>
    <row r="431" spans="1:28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  <c r="AB431" s="359"/>
    </row>
    <row r="432" spans="1:28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  <c r="AB432" s="359"/>
    </row>
    <row r="433" spans="1:28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  <c r="AB433" s="359"/>
    </row>
    <row r="434" spans="1:28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  <c r="AB434" s="359"/>
    </row>
    <row r="435" spans="1:28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  <c r="AB435" s="359"/>
    </row>
    <row r="436" spans="1:28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  <c r="AB436" s="359"/>
    </row>
    <row r="437" spans="1:28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  <c r="AB437" s="359"/>
    </row>
    <row r="438" spans="1:28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  <c r="AB438" s="359"/>
    </row>
    <row r="439" spans="1:28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  <c r="AB439" s="359"/>
    </row>
    <row r="440" spans="1:28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  <c r="AB440" s="359"/>
    </row>
    <row r="441" spans="1:28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  <c r="AB441" s="359"/>
    </row>
    <row r="442" spans="1:28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  <c r="AB442" s="359"/>
    </row>
    <row r="443" spans="1:28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  <c r="AB443" s="359"/>
    </row>
    <row r="444" spans="1:28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  <c r="AB444" s="359"/>
    </row>
    <row r="445" spans="1:28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  <c r="AB445" s="359"/>
    </row>
    <row r="446" spans="1:28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  <c r="AB446" s="359"/>
    </row>
    <row r="447" spans="1:28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  <c r="AB447" s="359"/>
    </row>
    <row r="448" spans="1:28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  <c r="AB448" s="359"/>
    </row>
    <row r="449" spans="1:28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  <c r="AB449" s="359"/>
    </row>
    <row r="450" spans="1:28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  <c r="AB450" s="359"/>
    </row>
    <row r="451" spans="1:28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  <c r="AB451" s="359"/>
    </row>
    <row r="452" spans="1:28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  <c r="AB452" s="359"/>
    </row>
    <row r="453" spans="1:28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  <c r="AB453" s="359"/>
    </row>
    <row r="454" spans="1:28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  <c r="AB454" s="359"/>
    </row>
    <row r="455" spans="1:28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  <c r="AB455" s="359"/>
    </row>
    <row r="456" spans="1:28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  <c r="AB456" s="359"/>
    </row>
    <row r="457" spans="1:28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  <c r="AB457" s="359"/>
    </row>
    <row r="458" spans="1:28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  <c r="AB458" s="359"/>
    </row>
    <row r="459" spans="1:28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  <c r="AB459" s="359"/>
    </row>
    <row r="460" spans="1:28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  <c r="AB460" s="359"/>
    </row>
    <row r="461" spans="1:28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  <c r="AB461" s="359"/>
    </row>
    <row r="462" spans="1:28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  <c r="AB462" s="359"/>
    </row>
    <row r="463" spans="1:28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  <c r="AB463" s="359"/>
    </row>
    <row r="464" spans="1:28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  <c r="AB464" s="359"/>
    </row>
    <row r="465" spans="1:28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  <c r="AB465" s="359"/>
    </row>
    <row r="466" spans="1:28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  <c r="AB466" s="359"/>
    </row>
    <row r="467" spans="1:28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  <c r="AB467" s="359"/>
    </row>
    <row r="468" spans="1:28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  <c r="AB468" s="359"/>
    </row>
    <row r="469" spans="1:28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  <c r="AB469" s="359"/>
    </row>
    <row r="470" spans="1:28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  <c r="AB470" s="359"/>
    </row>
    <row r="471" spans="1:28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  <c r="AB471" s="359"/>
    </row>
    <row r="472" spans="1:28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  <c r="AB472" s="359"/>
    </row>
    <row r="473" spans="1:28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  <c r="AB473" s="359"/>
    </row>
    <row r="474" spans="1:28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  <c r="AB474" s="359"/>
    </row>
    <row r="475" spans="1:28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  <c r="AB475" s="359"/>
    </row>
    <row r="476" spans="1:28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  <c r="AB476" s="359"/>
    </row>
    <row r="477" spans="1:28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  <c r="AB477" s="359"/>
    </row>
    <row r="478" spans="1:28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  <c r="AB478" s="359"/>
    </row>
    <row r="479" spans="1:28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  <c r="AB479" s="359"/>
    </row>
    <row r="480" spans="1:28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  <c r="AB480" s="359"/>
    </row>
    <row r="481" spans="1:28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  <c r="AB481" s="359"/>
    </row>
    <row r="482" spans="1:28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  <c r="AB482" s="359"/>
    </row>
    <row r="483" spans="1:28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  <c r="AB483" s="359"/>
    </row>
    <row r="484" spans="1:28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  <c r="AB484" s="359"/>
    </row>
    <row r="485" spans="1:28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  <c r="AB485" s="359"/>
    </row>
    <row r="486" spans="1:28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  <c r="AB486" s="359"/>
    </row>
    <row r="487" spans="1:28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  <c r="AB487" s="359"/>
    </row>
    <row r="488" spans="1:28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  <c r="AB488" s="359"/>
    </row>
    <row r="489" spans="1:28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  <c r="AB489" s="359"/>
    </row>
    <row r="490" spans="1:28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  <c r="AB490" s="359"/>
    </row>
    <row r="491" spans="1:28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  <c r="AB491" s="359"/>
    </row>
    <row r="492" spans="1:28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  <c r="AB492" s="359"/>
    </row>
    <row r="493" spans="1:28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  <c r="AB493" s="359"/>
    </row>
    <row r="494" spans="1:28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  <c r="AB494" s="359"/>
    </row>
    <row r="495" spans="1:28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  <c r="AB495" s="359"/>
    </row>
    <row r="496" spans="1:28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  <c r="AB496" s="359"/>
    </row>
    <row r="497" spans="1:28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  <c r="AB497" s="359"/>
    </row>
    <row r="498" spans="1:28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  <c r="AB498" s="359"/>
    </row>
    <row r="499" spans="1:28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  <c r="AB499" s="359"/>
    </row>
    <row r="500" spans="1:28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  <c r="AB500" s="359"/>
    </row>
    <row r="501" spans="1:28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  <c r="AB501" s="359"/>
    </row>
    <row r="502" spans="1:28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  <c r="AB502" s="359"/>
    </row>
    <row r="503" spans="1:28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  <c r="AB503" s="359"/>
    </row>
    <row r="504" spans="1:28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  <c r="AB504" s="359"/>
    </row>
    <row r="505" spans="1:28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  <c r="AB505" s="359"/>
    </row>
    <row r="506" spans="1:28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  <c r="AB506" s="359"/>
    </row>
    <row r="507" spans="1:28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  <c r="AB507" s="359"/>
    </row>
    <row r="508" spans="1:28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  <c r="AB508" s="359"/>
    </row>
    <row r="509" spans="1:28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  <c r="AB509" s="359"/>
    </row>
    <row r="510" spans="1:28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  <c r="AB510" s="359"/>
    </row>
    <row r="511" spans="1:28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  <c r="AB511" s="359"/>
    </row>
    <row r="512" spans="1:28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  <c r="AB512" s="359"/>
    </row>
    <row r="513" spans="1:28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  <c r="AB513" s="359"/>
    </row>
    <row r="514" spans="1:28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  <c r="AB514" s="359"/>
    </row>
    <row r="515" spans="1:28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  <c r="AB515" s="359"/>
    </row>
    <row r="516" spans="1:28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  <c r="AB516" s="359"/>
    </row>
    <row r="517" spans="1:28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  <c r="AB517" s="359"/>
    </row>
    <row r="518" spans="1:28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  <c r="AB518" s="359"/>
    </row>
    <row r="519" spans="1:28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  <c r="AB519" s="359"/>
    </row>
    <row r="520" spans="1:28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  <c r="AB520" s="359"/>
    </row>
    <row r="521" spans="1:28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  <c r="AB521" s="359"/>
    </row>
    <row r="522" spans="1:28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  <c r="AB522" s="359"/>
    </row>
    <row r="523" spans="1:28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  <c r="AB523" s="359"/>
    </row>
    <row r="524" spans="1:28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  <c r="AB524" s="359"/>
    </row>
    <row r="525" spans="1:28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  <c r="AB525" s="359"/>
    </row>
    <row r="526" spans="1:28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  <c r="AB526" s="359"/>
    </row>
    <row r="527" spans="1:28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  <c r="AB527" s="359"/>
    </row>
    <row r="528" spans="1:28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  <c r="AB528" s="359"/>
    </row>
    <row r="529" spans="1:28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  <c r="AB529" s="359"/>
    </row>
    <row r="530" spans="1:28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  <c r="AB530" s="359"/>
    </row>
    <row r="531" spans="1:28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  <c r="AB531" s="359"/>
    </row>
    <row r="532" spans="1:28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  <c r="AB532" s="359"/>
    </row>
    <row r="533" spans="1:28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  <c r="AB533" s="359"/>
    </row>
    <row r="534" spans="1:28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  <c r="AB534" s="359"/>
    </row>
    <row r="535" spans="1:28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  <c r="AB535" s="359"/>
    </row>
    <row r="536" spans="1:28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  <c r="AB536" s="359"/>
    </row>
    <row r="537" spans="1:28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  <c r="AB537" s="359"/>
    </row>
    <row r="538" spans="1:28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  <c r="AB538" s="359"/>
    </row>
    <row r="539" spans="1:28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  <c r="AB539" s="359"/>
    </row>
    <row r="540" spans="1:28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  <c r="AB540" s="359"/>
    </row>
    <row r="541" spans="1:28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  <c r="AB541" s="359"/>
    </row>
    <row r="542" spans="1:28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  <c r="AB542" s="359"/>
    </row>
    <row r="543" spans="1:28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  <c r="AB543" s="359"/>
    </row>
    <row r="544" spans="1:28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  <c r="AB544" s="359"/>
    </row>
    <row r="545" spans="1:28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  <c r="AB545" s="359"/>
    </row>
    <row r="546" spans="1:28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  <c r="AB546" s="359"/>
    </row>
    <row r="547" spans="1:28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  <c r="AB547" s="359"/>
    </row>
    <row r="548" spans="1:28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  <c r="AB548" s="359"/>
    </row>
    <row r="549" spans="1:28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  <c r="AB549" s="359"/>
    </row>
    <row r="550" spans="1:28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  <c r="AB550" s="359"/>
    </row>
    <row r="551" spans="1:28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  <c r="AB551" s="359"/>
    </row>
    <row r="552" spans="1:28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  <c r="AB552" s="359"/>
    </row>
    <row r="553" spans="1:28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  <c r="AB553" s="359"/>
    </row>
    <row r="554" spans="1:28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  <c r="AB554" s="359"/>
    </row>
    <row r="555" spans="1:28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  <c r="AB555" s="359"/>
    </row>
    <row r="556" spans="1:28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  <c r="AB556" s="359"/>
    </row>
    <row r="557" spans="1:28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  <c r="AB557" s="359"/>
    </row>
    <row r="558" spans="1:28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  <c r="AB558" s="359"/>
    </row>
    <row r="559" spans="1:28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  <c r="AB559" s="359"/>
    </row>
    <row r="560" spans="1:28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  <c r="AB560" s="359"/>
    </row>
    <row r="561" spans="1:28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  <c r="AB561" s="359"/>
    </row>
    <row r="562" spans="1:28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  <c r="AB562" s="359"/>
    </row>
    <row r="563" spans="1:28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  <c r="AB563" s="359"/>
    </row>
    <row r="564" spans="1:28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  <c r="AB564" s="359"/>
    </row>
    <row r="565" spans="1:28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  <c r="AB565" s="359"/>
    </row>
    <row r="566" spans="1:28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  <c r="AB566" s="359"/>
    </row>
    <row r="567" spans="1:28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  <c r="AB567" s="359"/>
    </row>
    <row r="568" spans="1:28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  <c r="AB568" s="359"/>
    </row>
    <row r="569" spans="1:28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  <c r="AB569" s="359"/>
    </row>
    <row r="570" spans="1:28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  <c r="AB570" s="359"/>
    </row>
    <row r="571" spans="1:28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  <c r="AB571" s="359"/>
    </row>
    <row r="572" spans="1:28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  <c r="AB572" s="359"/>
    </row>
    <row r="573" spans="1:28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  <c r="AB573" s="359"/>
    </row>
    <row r="574" spans="1:28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  <c r="AB574" s="359"/>
    </row>
    <row r="575" spans="1:28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  <c r="AB575" s="359"/>
    </row>
    <row r="576" spans="1:28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  <c r="AB576" s="359"/>
    </row>
    <row r="577" spans="1:28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  <c r="AB577" s="359"/>
    </row>
    <row r="578" spans="1:28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  <c r="AB578" s="359"/>
    </row>
    <row r="579" spans="1:28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  <c r="AB579" s="359"/>
    </row>
    <row r="580" spans="1:28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  <c r="AB580" s="359"/>
    </row>
    <row r="581" spans="1:28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  <c r="AB581" s="359"/>
    </row>
    <row r="582" spans="1:28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  <c r="AB582" s="359"/>
    </row>
    <row r="583" spans="1:28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  <c r="AB583" s="359"/>
    </row>
    <row r="584" spans="1:28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  <c r="AB584" s="359"/>
    </row>
    <row r="585" spans="1:28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  <c r="AB585" s="359"/>
    </row>
    <row r="586" spans="1:28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  <c r="AB586" s="359"/>
    </row>
    <row r="587" spans="1:28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  <c r="AB587" s="359"/>
    </row>
    <row r="588" spans="1:28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  <c r="AB588" s="359"/>
    </row>
    <row r="589" spans="1:28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  <c r="AB589" s="359"/>
    </row>
    <row r="590" spans="1:28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  <c r="AB590" s="359"/>
    </row>
    <row r="591" spans="1:28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  <c r="AB591" s="359"/>
    </row>
    <row r="592" spans="1:28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  <c r="AB592" s="359"/>
    </row>
    <row r="593" spans="1:28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  <c r="AB593" s="359"/>
    </row>
    <row r="594" spans="1:28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  <c r="AB594" s="359"/>
    </row>
    <row r="595" spans="1:28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  <c r="AB595" s="359"/>
    </row>
    <row r="596" spans="1:28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  <c r="AB596" s="359"/>
    </row>
    <row r="597" spans="1:28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  <c r="AB597" s="359"/>
    </row>
    <row r="598" spans="1:28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  <c r="AB598" s="359"/>
    </row>
    <row r="599" spans="1:28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  <c r="AB599" s="359"/>
    </row>
    <row r="600" spans="1:28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  <c r="AB600" s="359"/>
    </row>
    <row r="601" spans="1:28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  <c r="AB601" s="359"/>
    </row>
    <row r="602" spans="1:28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  <c r="AB602" s="359"/>
    </row>
    <row r="603" spans="1:28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  <c r="AB603" s="359"/>
    </row>
    <row r="604" spans="1:28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  <c r="AB604" s="359"/>
    </row>
    <row r="605" spans="1:28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  <c r="AB605" s="359"/>
    </row>
    <row r="606" spans="1:28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  <c r="AB606" s="359"/>
    </row>
    <row r="607" spans="1:28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  <c r="AB607" s="359"/>
    </row>
    <row r="608" spans="1:28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  <c r="AB608" s="359"/>
    </row>
    <row r="609" spans="1:28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  <c r="AB609" s="359"/>
    </row>
    <row r="610" spans="1:28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  <c r="AB610" s="359"/>
    </row>
    <row r="611" spans="1:28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  <c r="AB611" s="359"/>
    </row>
    <row r="612" spans="1:28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  <c r="AB612" s="359"/>
    </row>
    <row r="613" spans="1:28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  <c r="AB613" s="359"/>
    </row>
    <row r="614" spans="1:28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  <c r="AB614" s="359"/>
    </row>
    <row r="615" spans="1:28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  <c r="AB615" s="359"/>
    </row>
    <row r="616" spans="1:28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  <c r="AB616" s="359"/>
    </row>
    <row r="617" spans="1:28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  <c r="AB617" s="359"/>
    </row>
    <row r="618" spans="1:28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  <c r="AB618" s="359"/>
    </row>
    <row r="619" spans="1:28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  <c r="AB619" s="359"/>
    </row>
    <row r="620" spans="1:28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  <c r="AB620" s="359"/>
    </row>
    <row r="621" spans="1:28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  <c r="AB621" s="359"/>
    </row>
    <row r="622" spans="1:28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  <c r="AB622" s="359"/>
    </row>
    <row r="623" spans="1:28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  <c r="AB623" s="359"/>
    </row>
    <row r="624" spans="1:28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  <c r="AB624" s="359"/>
    </row>
    <row r="625" spans="1:28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  <c r="AB625" s="359"/>
    </row>
    <row r="626" spans="1:28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  <c r="AB626" s="359"/>
    </row>
    <row r="627" spans="1:28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  <c r="AB627" s="359"/>
    </row>
    <row r="628" spans="1:28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  <c r="AB628" s="359"/>
    </row>
    <row r="629" spans="1:28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  <c r="AB629" s="359"/>
    </row>
    <row r="630" spans="1:28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  <c r="AB630" s="359"/>
    </row>
    <row r="631" spans="1:28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  <c r="AB631" s="359"/>
    </row>
    <row r="632" spans="1:28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  <c r="AB632" s="359"/>
    </row>
    <row r="633" spans="1:28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  <c r="AB633" s="359"/>
    </row>
    <row r="634" spans="1:28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  <c r="AB634" s="359"/>
    </row>
    <row r="635" spans="1:28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  <c r="AB635" s="359"/>
    </row>
    <row r="636" spans="1:28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  <c r="AB636" s="359"/>
    </row>
    <row r="637" spans="1:28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  <c r="AB637" s="359"/>
    </row>
    <row r="638" spans="1:28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  <c r="AB638" s="359"/>
    </row>
    <row r="639" spans="1:28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  <c r="AB639" s="359"/>
    </row>
    <row r="640" spans="1:28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  <c r="AB640" s="359"/>
    </row>
    <row r="641" spans="1:28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  <c r="AB641" s="359"/>
    </row>
    <row r="642" spans="1:28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  <c r="AB642" s="359"/>
    </row>
    <row r="643" spans="1:28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  <c r="AB643" s="359"/>
    </row>
    <row r="644" spans="1:28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  <c r="AB644" s="359"/>
    </row>
    <row r="645" spans="1:28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  <c r="AB645" s="359"/>
    </row>
    <row r="646" spans="1:28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  <c r="AB646" s="359"/>
    </row>
    <row r="647" spans="1:28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  <c r="AB647" s="359"/>
    </row>
    <row r="648" spans="1:28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  <c r="AB648" s="359"/>
    </row>
    <row r="649" spans="1:28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  <c r="AB649" s="359"/>
    </row>
    <row r="650" spans="1:28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  <c r="AB650" s="359"/>
    </row>
    <row r="651" spans="1:28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  <c r="AB651" s="359"/>
    </row>
    <row r="652" spans="1:28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  <c r="AB652" s="359"/>
    </row>
    <row r="653" spans="1:28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  <c r="AB653" s="359"/>
    </row>
    <row r="654" spans="1:28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  <c r="AB654" s="359"/>
    </row>
    <row r="655" spans="1:28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  <c r="AB655" s="359"/>
    </row>
    <row r="656" spans="1:28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  <c r="AB656" s="359"/>
    </row>
    <row r="657" spans="1:28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  <c r="AB657" s="359"/>
    </row>
    <row r="658" spans="1:28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  <c r="AB658" s="359"/>
    </row>
    <row r="659" spans="1:28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  <c r="AB659" s="359"/>
    </row>
    <row r="660" spans="1:28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  <c r="AB660" s="359"/>
    </row>
    <row r="661" spans="1:28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  <c r="AB661" s="359"/>
    </row>
    <row r="662" spans="1:28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  <c r="AB662" s="359"/>
    </row>
    <row r="663" spans="1:28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  <c r="AB663" s="359"/>
    </row>
    <row r="664" spans="1:28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  <c r="AB664" s="359"/>
    </row>
    <row r="665" spans="1:28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  <c r="AB665" s="359"/>
    </row>
    <row r="666" spans="1:28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  <c r="AB666" s="359"/>
    </row>
    <row r="667" spans="1:28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  <c r="AB667" s="359"/>
    </row>
    <row r="668" spans="1:28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  <c r="AB668" s="359"/>
    </row>
    <row r="669" spans="1:28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  <c r="AB669" s="359"/>
    </row>
    <row r="670" spans="1:28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  <c r="AB670" s="359"/>
    </row>
    <row r="671" spans="1:28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  <c r="AB671" s="359"/>
    </row>
    <row r="672" spans="1:28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  <c r="AB672" s="359"/>
    </row>
    <row r="673" spans="1:28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  <c r="AB673" s="359"/>
    </row>
    <row r="674" spans="1:28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  <c r="AB674" s="359"/>
    </row>
    <row r="675" spans="1:28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  <c r="AB675" s="359"/>
    </row>
    <row r="676" spans="1:28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  <c r="AB676" s="359"/>
    </row>
    <row r="677" spans="1:28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  <c r="AB677" s="359"/>
    </row>
    <row r="678" spans="1:28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  <c r="AB678" s="359"/>
    </row>
    <row r="679" spans="1:28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  <c r="AB679" s="359"/>
    </row>
    <row r="680" spans="1:28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  <c r="AB680" s="359"/>
    </row>
    <row r="681" spans="1:28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  <c r="AB681" s="359"/>
    </row>
    <row r="682" spans="1:28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  <c r="AB682" s="359"/>
    </row>
    <row r="683" spans="1:28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  <c r="AB683" s="359"/>
    </row>
    <row r="684" spans="1:28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  <c r="AB684" s="359"/>
    </row>
    <row r="685" spans="1:28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  <c r="AB685" s="359"/>
    </row>
    <row r="686" spans="1:28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  <c r="AB686" s="359"/>
    </row>
    <row r="687" spans="1:28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  <c r="AB687" s="359"/>
    </row>
    <row r="688" spans="1:28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  <c r="AB688" s="359"/>
    </row>
    <row r="689" spans="1:28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  <c r="AB689" s="359"/>
    </row>
    <row r="690" spans="1:28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  <c r="AB690" s="359"/>
    </row>
    <row r="691" spans="1:28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  <c r="AB691" s="359"/>
    </row>
    <row r="692" spans="1:28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  <c r="AB692" s="359"/>
    </row>
    <row r="693" spans="1:28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  <c r="AB693" s="359"/>
    </row>
    <row r="694" spans="1:28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  <c r="AB694" s="359"/>
    </row>
    <row r="695" spans="1:28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  <c r="AB695" s="359"/>
    </row>
    <row r="696" spans="1:28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  <c r="AB696" s="359"/>
    </row>
    <row r="697" spans="1:28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  <c r="AB697" s="359"/>
    </row>
    <row r="698" spans="1:28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  <c r="AB698" s="359"/>
    </row>
    <row r="699" spans="1:28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  <c r="AB699" s="359"/>
    </row>
    <row r="700" spans="1:28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  <c r="AB700" s="359"/>
    </row>
    <row r="701" spans="1:28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  <c r="AB701" s="359"/>
    </row>
    <row r="702" spans="1:28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  <c r="AB702" s="359"/>
    </row>
    <row r="703" spans="1:28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  <c r="AB703" s="359"/>
    </row>
    <row r="704" spans="1:28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  <c r="AB704" s="359"/>
    </row>
    <row r="705" spans="1:28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  <c r="AB705" s="359"/>
    </row>
    <row r="706" spans="1:28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  <c r="AB706" s="359"/>
    </row>
    <row r="707" spans="1:28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  <c r="AB707" s="359"/>
    </row>
    <row r="708" spans="1:28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  <c r="AB708" s="359"/>
    </row>
    <row r="709" spans="1:28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  <c r="AB709" s="359"/>
    </row>
    <row r="710" spans="1:28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  <c r="AB710" s="359"/>
    </row>
    <row r="711" spans="1:28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  <c r="AB711" s="359"/>
    </row>
    <row r="712" spans="1:28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  <c r="AB712" s="359"/>
    </row>
    <row r="713" spans="1:28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  <c r="AB713" s="359"/>
    </row>
    <row r="714" spans="1:28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  <c r="AB714" s="359"/>
    </row>
    <row r="715" spans="1:28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  <c r="AB715" s="359"/>
    </row>
    <row r="716" spans="1:28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  <c r="AB716" s="359"/>
    </row>
    <row r="717" spans="1:28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  <c r="AB717" s="359"/>
    </row>
    <row r="718" spans="1:28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  <c r="AB718" s="359"/>
    </row>
    <row r="719" spans="1:28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  <c r="AB719" s="359"/>
    </row>
    <row r="720" spans="1:28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  <c r="AB720" s="359"/>
    </row>
    <row r="721" spans="1:28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  <c r="AB721" s="359"/>
    </row>
    <row r="722" spans="1:28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  <c r="AB722" s="359"/>
    </row>
    <row r="723" spans="1:28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  <c r="AB723" s="359"/>
    </row>
    <row r="724" spans="1:28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  <c r="AB724" s="359"/>
    </row>
    <row r="725" spans="1:28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  <c r="AB725" s="359"/>
    </row>
    <row r="726" spans="1:28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  <c r="AB726" s="359"/>
    </row>
    <row r="727" spans="1:28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  <c r="AB727" s="359"/>
    </row>
    <row r="728" spans="1:28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  <c r="AB728" s="359"/>
    </row>
    <row r="729" spans="1:28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  <c r="AB729" s="359"/>
    </row>
    <row r="730" spans="1:28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  <c r="AB730" s="359"/>
    </row>
    <row r="731" spans="1:28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  <c r="AB731" s="359"/>
    </row>
    <row r="732" spans="1:28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  <c r="AB732" s="359"/>
    </row>
    <row r="733" spans="1:28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  <c r="AB733" s="359"/>
    </row>
    <row r="734" spans="1:28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  <c r="AB734" s="359"/>
    </row>
    <row r="735" spans="1:28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  <c r="AB735" s="359"/>
    </row>
    <row r="736" spans="1:28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  <c r="AB736" s="359"/>
    </row>
    <row r="737" spans="1:28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  <c r="AB737" s="359"/>
    </row>
    <row r="738" spans="1:28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  <c r="AB738" s="359"/>
    </row>
    <row r="739" spans="1:28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  <c r="AB739" s="359"/>
    </row>
    <row r="740" spans="1:28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  <c r="AB740" s="359"/>
    </row>
    <row r="741" spans="1:28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  <c r="AB741" s="359"/>
    </row>
    <row r="742" spans="1:28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  <c r="AB742" s="359"/>
    </row>
    <row r="743" spans="1:28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  <c r="AB743" s="359"/>
    </row>
    <row r="744" spans="1:28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  <c r="AB744" s="359"/>
    </row>
    <row r="745" spans="1:28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  <c r="AB745" s="359"/>
    </row>
    <row r="746" spans="1:28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  <c r="AB746" s="359"/>
    </row>
    <row r="747" spans="1:28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  <c r="AB747" s="359"/>
    </row>
    <row r="748" spans="1:28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  <c r="AB748" s="359"/>
    </row>
    <row r="749" spans="1:28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  <c r="AB749" s="359"/>
    </row>
    <row r="750" spans="1:28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  <c r="AB750" s="359"/>
    </row>
    <row r="751" spans="1:28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  <c r="AB751" s="359"/>
    </row>
    <row r="752" spans="1:28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  <c r="AB752" s="359"/>
    </row>
    <row r="753" spans="1:28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  <c r="AB753" s="359"/>
    </row>
    <row r="754" spans="1:28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  <c r="AB754" s="359"/>
    </row>
    <row r="755" spans="1:28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  <c r="AB755" s="359"/>
    </row>
    <row r="756" spans="1:28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  <c r="AB756" s="359"/>
    </row>
    <row r="757" spans="1:28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  <c r="AB757" s="359"/>
    </row>
    <row r="758" spans="1:28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  <c r="AB758" s="359"/>
    </row>
    <row r="759" spans="1:28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  <c r="AB759" s="359"/>
    </row>
    <row r="760" spans="1:28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  <c r="AB760" s="359"/>
    </row>
    <row r="761" spans="1:28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  <c r="AB761" s="359"/>
    </row>
    <row r="762" spans="1:28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  <c r="AB762" s="359"/>
    </row>
    <row r="763" spans="1:28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  <c r="AB763" s="359"/>
    </row>
    <row r="764" spans="1:28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  <c r="AB764" s="359"/>
    </row>
    <row r="765" spans="1:28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  <c r="AB765" s="359"/>
    </row>
    <row r="766" spans="1:28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  <c r="AB766" s="359"/>
    </row>
    <row r="767" spans="1:28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  <c r="AB767" s="359"/>
    </row>
    <row r="768" spans="1:28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  <c r="AB768" s="359"/>
    </row>
    <row r="769" spans="1:28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  <c r="AB769" s="359"/>
    </row>
    <row r="770" spans="1:28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  <c r="AB770" s="359"/>
    </row>
    <row r="771" spans="1:28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  <c r="AB771" s="359"/>
    </row>
    <row r="772" spans="1:28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  <c r="AB772" s="359"/>
    </row>
    <row r="773" spans="1:28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  <c r="AB773" s="359"/>
    </row>
    <row r="774" spans="1:28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  <c r="AB774" s="359"/>
    </row>
    <row r="775" spans="1:28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  <c r="AB775" s="359"/>
    </row>
    <row r="776" spans="1:28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  <c r="AB776" s="359"/>
    </row>
    <row r="777" spans="1:28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  <c r="AB777" s="359"/>
    </row>
    <row r="778" spans="1:28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  <c r="AB778" s="359"/>
    </row>
    <row r="779" spans="1:28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  <c r="AB779" s="359"/>
    </row>
    <row r="780" spans="1:28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  <c r="AB780" s="359"/>
    </row>
    <row r="781" spans="1:28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  <c r="AB781" s="359"/>
    </row>
    <row r="782" spans="1:28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  <c r="AB782" s="359"/>
    </row>
    <row r="783" spans="1:28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  <c r="AB783" s="359"/>
    </row>
    <row r="784" spans="1:28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  <c r="AB784" s="359"/>
    </row>
    <row r="785" spans="1:28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  <c r="AB785" s="359"/>
    </row>
    <row r="786" spans="1:28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  <c r="AB786" s="359"/>
    </row>
    <row r="787" spans="1:28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  <c r="AB787" s="359"/>
    </row>
    <row r="788" spans="1:28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  <c r="AB788" s="359"/>
    </row>
    <row r="789" spans="1:28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  <c r="AB789" s="359"/>
    </row>
    <row r="790" spans="1:28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  <c r="AB790" s="359"/>
    </row>
    <row r="791" spans="1:28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  <c r="AB791" s="359"/>
    </row>
    <row r="792" spans="1:28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  <c r="AB792" s="359"/>
    </row>
    <row r="793" spans="1:28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  <c r="AB793" s="359"/>
    </row>
    <row r="794" spans="1:28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  <c r="AB794" s="359"/>
    </row>
    <row r="795" spans="1:28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  <c r="AB795" s="359"/>
    </row>
    <row r="796" spans="1:28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  <c r="AB796" s="359"/>
    </row>
    <row r="797" spans="1:28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  <c r="AB797" s="359"/>
    </row>
    <row r="798" spans="1:28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  <c r="AB798" s="359"/>
    </row>
    <row r="799" spans="1:28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  <c r="AB799" s="359"/>
    </row>
    <row r="800" spans="1:28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  <c r="AB800" s="359"/>
    </row>
    <row r="801" spans="1:28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  <c r="AB801" s="359"/>
    </row>
    <row r="802" spans="1:28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  <c r="AB802" s="359"/>
    </row>
    <row r="803" spans="1:28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  <c r="AB803" s="359"/>
    </row>
    <row r="804" spans="1:28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  <c r="AB804" s="359"/>
    </row>
    <row r="805" spans="1:28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  <c r="AB805" s="359"/>
    </row>
    <row r="806" spans="1:28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  <c r="AB806" s="359"/>
    </row>
    <row r="807" spans="1:28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  <c r="AB807" s="359"/>
    </row>
    <row r="808" spans="1:28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  <c r="AB808" s="359"/>
    </row>
    <row r="809" spans="1:28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  <c r="AB809" s="359"/>
    </row>
    <row r="810" spans="1:28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  <c r="AB810" s="359"/>
    </row>
    <row r="811" spans="1:28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  <c r="AB811" s="359"/>
    </row>
    <row r="812" spans="1:28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  <c r="AB812" s="359"/>
    </row>
    <row r="813" spans="1:28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  <c r="AB813" s="359"/>
    </row>
    <row r="814" spans="1:28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  <c r="AB814" s="359"/>
    </row>
    <row r="815" spans="1:28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  <c r="AB815" s="359"/>
    </row>
    <row r="816" spans="1:28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  <c r="AB816" s="359"/>
    </row>
    <row r="817" spans="1:28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  <c r="AB817" s="359"/>
    </row>
    <row r="818" spans="1:28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  <c r="AB818" s="359"/>
    </row>
    <row r="819" spans="1:28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  <c r="AB819" s="359"/>
    </row>
    <row r="820" spans="1:28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  <c r="AB820" s="359"/>
    </row>
    <row r="821" spans="1:28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  <c r="AB821" s="359"/>
    </row>
    <row r="822" spans="1:28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  <c r="AB822" s="359"/>
    </row>
    <row r="823" spans="1:28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  <c r="AB823" s="359"/>
    </row>
    <row r="824" spans="1:28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  <c r="AB824" s="359"/>
    </row>
    <row r="825" spans="1:28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  <c r="AB825" s="359"/>
    </row>
    <row r="826" spans="1:28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  <c r="AB826" s="359"/>
    </row>
    <row r="827" spans="1:28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  <c r="AB827" s="359"/>
    </row>
    <row r="828" spans="1:28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  <c r="AB828" s="359"/>
    </row>
    <row r="829" spans="1:28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  <c r="AB829" s="359"/>
    </row>
    <row r="830" spans="1:28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  <c r="AB830" s="359"/>
    </row>
    <row r="831" spans="1:28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  <c r="AB831" s="359"/>
    </row>
    <row r="832" spans="1:28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  <c r="AB832" s="359"/>
    </row>
    <row r="833" spans="1:28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  <c r="AB833" s="359"/>
    </row>
    <row r="834" spans="1:28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  <c r="AB834" s="359"/>
    </row>
    <row r="835" spans="1:28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  <c r="AB835" s="359"/>
    </row>
    <row r="836" spans="1:28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  <c r="AB836" s="359"/>
    </row>
    <row r="837" spans="1:28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  <c r="AB837" s="359"/>
    </row>
    <row r="838" spans="1:28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  <c r="AB838" s="359"/>
    </row>
    <row r="839" spans="1:28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  <c r="AB839" s="359"/>
    </row>
    <row r="840" spans="1:28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  <c r="AB840" s="359"/>
    </row>
    <row r="841" spans="1:28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  <c r="AB841" s="359"/>
    </row>
    <row r="842" spans="1:28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  <c r="AB842" s="359"/>
    </row>
    <row r="843" spans="1:28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  <c r="AB843" s="359"/>
    </row>
    <row r="844" spans="1:28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  <c r="AB844" s="359"/>
    </row>
    <row r="845" spans="1:28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  <c r="AB845" s="359"/>
    </row>
    <row r="846" spans="1:28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  <c r="AB846" s="359"/>
    </row>
    <row r="847" spans="1:28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  <c r="AB847" s="359"/>
    </row>
    <row r="848" spans="1:28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  <c r="AB848" s="359"/>
    </row>
    <row r="849" spans="1:28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  <c r="AB849" s="359"/>
    </row>
    <row r="850" spans="1:28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  <c r="AB850" s="359"/>
    </row>
    <row r="851" spans="1:28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  <c r="AB851" s="359"/>
    </row>
    <row r="852" spans="1:28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  <c r="AB852" s="359"/>
    </row>
    <row r="853" spans="1:28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  <c r="AB853" s="359"/>
    </row>
    <row r="854" spans="1:28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  <c r="AB854" s="359"/>
    </row>
    <row r="855" spans="1:28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  <c r="AB855" s="359"/>
    </row>
    <row r="856" spans="1:28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  <c r="AB856" s="359"/>
    </row>
    <row r="857" spans="1:28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  <c r="AB857" s="359"/>
    </row>
    <row r="858" spans="1:28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  <c r="AB858" s="359"/>
    </row>
    <row r="859" spans="1:28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  <c r="AB859" s="359"/>
    </row>
    <row r="860" spans="1:28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  <c r="AB860" s="359"/>
    </row>
    <row r="861" spans="1:28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  <c r="AB861" s="359"/>
    </row>
    <row r="862" spans="1:28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  <c r="AB862" s="359"/>
    </row>
    <row r="863" spans="1:28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  <c r="AB863" s="359"/>
    </row>
    <row r="864" spans="1:28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  <c r="AB864" s="359"/>
    </row>
    <row r="865" spans="1:28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  <c r="AB865" s="359"/>
    </row>
    <row r="866" spans="1:28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  <c r="AB866" s="359"/>
    </row>
    <row r="867" spans="1:28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  <c r="AB867" s="359"/>
    </row>
    <row r="868" spans="1:28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  <c r="AB868" s="359"/>
    </row>
    <row r="869" spans="1:28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  <c r="AB869" s="359"/>
    </row>
    <row r="870" spans="1:28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  <c r="AB870" s="359"/>
    </row>
    <row r="871" spans="1:28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  <c r="AB871" s="359"/>
    </row>
    <row r="872" spans="1:28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  <c r="AB872" s="359"/>
    </row>
    <row r="873" spans="1:28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  <c r="AB873" s="359"/>
    </row>
    <row r="874" spans="1:28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  <c r="AB874" s="359"/>
    </row>
    <row r="875" spans="1:28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  <c r="AB875" s="359"/>
    </row>
    <row r="876" spans="1:28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  <c r="AB876" s="359"/>
    </row>
    <row r="877" spans="1:28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  <c r="AB877" s="359"/>
    </row>
    <row r="878" spans="1:28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  <c r="AB878" s="359"/>
    </row>
    <row r="879" spans="1:28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  <c r="AB879" s="359"/>
    </row>
    <row r="880" spans="1:28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  <c r="AB880" s="359"/>
    </row>
    <row r="881" spans="1:28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  <c r="AB881" s="359"/>
    </row>
    <row r="882" spans="1:28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  <c r="AB882" s="359"/>
    </row>
    <row r="883" spans="1:28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  <c r="AB883" s="359"/>
    </row>
    <row r="884" spans="1:28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  <c r="AB884" s="359"/>
    </row>
    <row r="885" spans="1:28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  <c r="AB885" s="359"/>
    </row>
    <row r="886" spans="1:28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  <c r="AB886" s="359"/>
    </row>
    <row r="887" spans="1:28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  <c r="AB887" s="359"/>
    </row>
    <row r="888" spans="1:28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  <c r="AB888" s="359"/>
    </row>
    <row r="889" spans="1:28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  <c r="AB889" s="359"/>
    </row>
    <row r="890" spans="1:28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  <c r="AB890" s="359"/>
    </row>
    <row r="891" spans="1:28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  <c r="AB891" s="359"/>
    </row>
    <row r="892" spans="1:28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  <c r="AB892" s="359"/>
    </row>
    <row r="893" spans="1:28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  <c r="AB893" s="359"/>
    </row>
    <row r="894" spans="1:28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  <c r="AB894" s="359"/>
    </row>
    <row r="895" spans="1:28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  <c r="AB895" s="359"/>
    </row>
    <row r="896" spans="1:28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  <c r="AB896" s="359"/>
    </row>
    <row r="897" spans="1:28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  <c r="AB897" s="359"/>
    </row>
    <row r="898" spans="1:28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  <c r="AB898" s="359"/>
    </row>
    <row r="899" spans="1:28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  <c r="AB899" s="359"/>
    </row>
    <row r="900" spans="1:28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  <c r="AB900" s="359"/>
    </row>
    <row r="901" spans="1:28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  <c r="AB901" s="359"/>
    </row>
    <row r="902" spans="1:28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  <c r="AB902" s="359"/>
    </row>
    <row r="903" spans="1:28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  <c r="AB903" s="359"/>
    </row>
    <row r="904" spans="1:28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  <c r="AB904" s="359"/>
    </row>
    <row r="905" spans="1:28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  <c r="AB905" s="359"/>
    </row>
    <row r="906" spans="1:28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  <c r="AB906" s="359"/>
    </row>
    <row r="907" spans="1:28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  <c r="AB907" s="359"/>
    </row>
    <row r="908" spans="1:28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  <c r="AB908" s="359"/>
    </row>
    <row r="909" spans="1:28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  <c r="AB909" s="359"/>
    </row>
    <row r="910" spans="1:28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  <c r="AB910" s="359"/>
    </row>
    <row r="911" spans="1:28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  <c r="AB911" s="359"/>
    </row>
    <row r="912" spans="1:28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  <c r="AB912" s="359"/>
    </row>
    <row r="913" spans="1:28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  <c r="AB913" s="359"/>
    </row>
    <row r="914" spans="1:28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  <c r="AB914" s="359"/>
    </row>
    <row r="915" spans="1:28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  <c r="AB915" s="359"/>
    </row>
    <row r="916" spans="1:28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  <c r="AB916" s="359"/>
    </row>
    <row r="917" spans="1:28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  <c r="AB917" s="359"/>
    </row>
    <row r="918" spans="1:28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  <c r="AB918" s="359"/>
    </row>
    <row r="919" spans="1:28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  <c r="AB919" s="359"/>
    </row>
    <row r="920" spans="1:28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  <c r="AB920" s="359"/>
    </row>
    <row r="921" spans="1:28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  <c r="AB921" s="359"/>
    </row>
    <row r="922" spans="1:28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  <c r="AB922" s="359"/>
    </row>
    <row r="923" spans="1:28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  <c r="AB923" s="359"/>
    </row>
    <row r="924" spans="1:28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  <c r="AB924" s="359"/>
    </row>
    <row r="925" spans="1:28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  <c r="AB925" s="359"/>
    </row>
    <row r="926" spans="1:28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  <c r="AB926" s="359"/>
    </row>
    <row r="927" spans="1:28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  <c r="AB927" s="359"/>
    </row>
    <row r="928" spans="1:28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  <c r="AB928" s="359"/>
    </row>
    <row r="929" spans="1:28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  <c r="AB929" s="359"/>
    </row>
    <row r="930" spans="1:28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  <c r="AB930" s="359"/>
    </row>
    <row r="931" spans="1:28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  <c r="AB931" s="359"/>
    </row>
    <row r="932" spans="1:28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  <c r="AB932" s="359"/>
    </row>
    <row r="933" spans="1:28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  <c r="AB933" s="359"/>
    </row>
    <row r="934" spans="1:28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  <c r="AB934" s="359"/>
    </row>
    <row r="935" spans="1:28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  <c r="AB935" s="359"/>
    </row>
    <row r="936" spans="1:28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  <c r="AB936" s="359"/>
    </row>
    <row r="937" spans="1:28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  <c r="AB937" s="359"/>
    </row>
    <row r="938" spans="1:28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  <c r="AB938" s="359"/>
    </row>
    <row r="939" spans="1:28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  <c r="AB939" s="359"/>
    </row>
    <row r="940" spans="1:28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  <c r="AB940" s="359"/>
    </row>
    <row r="941" spans="1:28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  <c r="AB941" s="359"/>
    </row>
    <row r="942" spans="1:28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  <c r="AB942" s="359"/>
    </row>
    <row r="943" spans="1:28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  <c r="AB943" s="359"/>
    </row>
    <row r="944" spans="1:28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  <c r="AB944" s="359"/>
    </row>
    <row r="945" spans="1:28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  <c r="AB945" s="359"/>
    </row>
    <row r="946" spans="1:28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  <c r="AB946" s="359"/>
    </row>
    <row r="947" spans="1:28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  <c r="AB947" s="359"/>
    </row>
    <row r="948" spans="1:28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  <c r="AB948" s="359"/>
    </row>
    <row r="949" spans="1:28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  <c r="AB949" s="359"/>
    </row>
    <row r="950" spans="1:28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  <c r="AB950" s="359"/>
    </row>
    <row r="951" spans="1:28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  <c r="AB951" s="359"/>
    </row>
    <row r="952" spans="1:28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  <c r="AB952" s="359"/>
    </row>
    <row r="953" spans="1:28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  <c r="AB953" s="359"/>
    </row>
    <row r="954" spans="1:28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  <c r="AB954" s="359"/>
    </row>
    <row r="955" spans="1:28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  <c r="AB955" s="359"/>
    </row>
    <row r="956" spans="1:28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  <c r="AB956" s="359"/>
    </row>
    <row r="957" spans="1:28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  <c r="AB957" s="359"/>
    </row>
    <row r="958" spans="1:28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  <c r="AB958" s="359"/>
    </row>
    <row r="959" spans="1:28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  <c r="AB959" s="359"/>
    </row>
    <row r="960" spans="1:28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  <c r="AB960" s="359"/>
    </row>
    <row r="961" spans="1:28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  <c r="AB961" s="359"/>
    </row>
    <row r="962" spans="1:28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  <c r="AB962" s="359"/>
    </row>
    <row r="963" spans="1:28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  <c r="AB963" s="359"/>
    </row>
    <row r="964" spans="1:28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  <c r="AB964" s="359"/>
    </row>
    <row r="965" spans="1:28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  <c r="AB965" s="359"/>
    </row>
    <row r="966" spans="1:28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  <c r="AB966" s="359"/>
    </row>
    <row r="967" spans="1:28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  <c r="AB967" s="359"/>
    </row>
    <row r="968" spans="1:28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  <c r="AB968" s="359"/>
    </row>
    <row r="969" spans="1:28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  <c r="AB969" s="359"/>
    </row>
    <row r="970" spans="1:28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  <c r="AB970" s="359"/>
    </row>
    <row r="971" spans="1:28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  <c r="AB971" s="359"/>
    </row>
    <row r="972" spans="1:28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  <c r="AB972" s="359"/>
    </row>
    <row r="973" spans="1:28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  <c r="AB973" s="359"/>
    </row>
    <row r="974" spans="1:28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  <c r="AB974" s="359"/>
    </row>
    <row r="975" spans="1:28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  <c r="AB975" s="359"/>
    </row>
    <row r="976" spans="1:28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  <c r="AB976" s="359"/>
    </row>
    <row r="977" spans="1:28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  <c r="AB977" s="359"/>
    </row>
    <row r="978" spans="1:28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  <c r="AB978" s="359"/>
    </row>
    <row r="979" spans="1:28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  <c r="AB979" s="359"/>
    </row>
    <row r="980" spans="1:28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  <c r="AB980" s="359"/>
    </row>
    <row r="981" spans="1:28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  <c r="AB981" s="359"/>
    </row>
    <row r="982" spans="1:28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  <c r="AB982" s="359"/>
    </row>
    <row r="983" spans="1:28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  <c r="AB983" s="359"/>
    </row>
    <row r="984" spans="1:28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  <c r="AB984" s="359"/>
    </row>
    <row r="985" spans="1:28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  <c r="AB985" s="359"/>
    </row>
    <row r="986" spans="1:28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  <c r="AB986" s="359"/>
    </row>
    <row r="987" spans="1:28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  <c r="AB987" s="359"/>
    </row>
    <row r="988" spans="1:28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  <c r="AB988" s="359"/>
    </row>
    <row r="989" spans="1:28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  <c r="AB989" s="359"/>
    </row>
    <row r="990" spans="1:28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  <c r="AB990" s="359"/>
    </row>
    <row r="991" spans="1:28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  <c r="AB991" s="359"/>
    </row>
    <row r="992" spans="1:28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  <c r="AB992" s="359"/>
    </row>
    <row r="993" spans="1:28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  <c r="AB993" s="359"/>
    </row>
    <row r="994" spans="1:28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  <c r="AB994" s="359"/>
    </row>
    <row r="995" spans="1:28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  <c r="AB995" s="359"/>
    </row>
    <row r="996" spans="1:28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  <c r="AB996" s="359"/>
    </row>
    <row r="997" spans="1:28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  <c r="AB997" s="359"/>
    </row>
    <row r="998" spans="1:28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  <c r="AB998" s="359"/>
    </row>
    <row r="999" spans="1:28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  <c r="AB999" s="359"/>
    </row>
    <row r="1000" spans="1:28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  <c r="AB1000" s="359"/>
    </row>
  </sheetData>
  <sheetProtection formatCells="0" formatColumns="0" formatRows="0" autoFilter="0"/>
  <mergeCells count="28">
    <mergeCell ref="W10:W11"/>
    <mergeCell ref="X10:X11"/>
    <mergeCell ref="Y10:Y11"/>
    <mergeCell ref="Z10:Z11"/>
    <mergeCell ref="AA10:AA11"/>
    <mergeCell ref="B315:J315"/>
    <mergeCell ref="O10:O11"/>
    <mergeCell ref="P10:P11"/>
    <mergeCell ref="Q10:Q11"/>
    <mergeCell ref="R10:R11"/>
    <mergeCell ref="S10:S11"/>
    <mergeCell ref="V10:V11"/>
    <mergeCell ref="I10:I11"/>
    <mergeCell ref="J10:J11"/>
    <mergeCell ref="K10:K11"/>
    <mergeCell ref="L10:L11"/>
    <mergeCell ref="M10:M11"/>
    <mergeCell ref="N10:N11"/>
    <mergeCell ref="A2:W2"/>
    <mergeCell ref="A3:W3"/>
    <mergeCell ref="A4:W4"/>
    <mergeCell ref="B7:C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AF3F-541A-4D6E-A7AD-F7CB1EECF6E3}">
  <dimension ref="A1:AA1000"/>
  <sheetViews>
    <sheetView zoomScale="90" zoomScaleNormal="90" workbookViewId="0">
      <pane ySplit="12" topLeftCell="A292" activePane="bottomLeft" state="frozen"/>
      <selection pane="bottomLeft" activeCell="E319" sqref="E319"/>
    </sheetView>
  </sheetViews>
  <sheetFormatPr defaultColWidth="14.42578125" defaultRowHeight="15" customHeight="1" x14ac:dyDescent="0.25"/>
  <cols>
    <col min="1" max="1" width="205.140625" style="344" hidden="1" customWidth="1"/>
    <col min="2" max="2" width="87.140625" style="344" customWidth="1"/>
    <col min="3" max="3" width="15.140625" style="344" customWidth="1"/>
    <col min="4" max="4" width="15.5703125" style="344" customWidth="1"/>
    <col min="5" max="5" width="14.85546875" style="344" customWidth="1"/>
    <col min="6" max="6" width="15.85546875" style="344" customWidth="1"/>
    <col min="7" max="7" width="16.28515625" style="344" customWidth="1"/>
    <col min="8" max="19" width="12.7109375" style="344" customWidth="1"/>
    <col min="20" max="20" width="17" style="344" customWidth="1"/>
    <col min="21" max="21" width="14.7109375" style="344" customWidth="1"/>
    <col min="22" max="22" width="17.7109375" style="344" customWidth="1"/>
    <col min="23" max="23" width="24.42578125" style="344" customWidth="1"/>
    <col min="24" max="24" width="17.140625" style="344" customWidth="1"/>
    <col min="25" max="25" width="22.140625" style="344" customWidth="1"/>
    <col min="26" max="26" width="20.140625" style="344" customWidth="1"/>
    <col min="27" max="27" width="23" style="344" customWidth="1"/>
    <col min="28" max="16384" width="14.42578125" style="344"/>
  </cols>
  <sheetData>
    <row r="1" spans="1:27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7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</row>
    <row r="3" spans="1:27" ht="15" customHeight="1" x14ac:dyDescent="0.25">
      <c r="A3" s="515" t="s">
        <v>1383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</row>
    <row r="4" spans="1:27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</row>
    <row r="5" spans="1:27" ht="12" customHeight="1" x14ac:dyDescent="0.25">
      <c r="A5" s="345"/>
      <c r="B5" s="346" t="s">
        <v>1383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</row>
    <row r="6" spans="1:27" ht="12" customHeight="1" x14ac:dyDescent="0.25">
      <c r="A6" s="345"/>
      <c r="B6" s="346" t="s">
        <v>1077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</row>
    <row r="7" spans="1:27" ht="12" customHeight="1" x14ac:dyDescent="0.25">
      <c r="A7" s="345"/>
      <c r="B7" s="518" t="s">
        <v>1080</v>
      </c>
      <c r="C7" s="519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</row>
    <row r="8" spans="1:27" ht="12" customHeight="1" x14ac:dyDescent="0.25">
      <c r="A8" s="345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</row>
    <row r="9" spans="1:27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</row>
    <row r="10" spans="1:27" ht="12" customHeight="1" x14ac:dyDescent="0.25">
      <c r="A10" s="511"/>
      <c r="B10" s="514" t="s">
        <v>1081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</row>
    <row r="11" spans="1:27" ht="12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</row>
    <row r="12" spans="1:27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</row>
    <row r="13" spans="1:27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</row>
    <row r="14" spans="1:27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</row>
    <row r="15" spans="1:27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</row>
    <row r="16" spans="1:27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</row>
    <row r="17" spans="1:27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</row>
    <row r="18" spans="1:27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</row>
    <row r="19" spans="1:27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</row>
    <row r="20" spans="1:27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</row>
    <row r="21" spans="1:27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</row>
    <row r="22" spans="1:27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</row>
    <row r="23" spans="1:27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</row>
    <row r="24" spans="1:27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</row>
    <row r="25" spans="1:27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</row>
    <row r="26" spans="1:27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</row>
    <row r="27" spans="1:27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</row>
    <row r="28" spans="1:27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</row>
    <row r="29" spans="1:27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</row>
    <row r="30" spans="1:27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</row>
    <row r="31" spans="1:27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</row>
    <row r="32" spans="1:27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</row>
    <row r="33" spans="1:27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</row>
    <row r="34" spans="1:27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</row>
    <row r="35" spans="1:27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</row>
    <row r="36" spans="1:27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</row>
    <row r="37" spans="1:27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</row>
    <row r="38" spans="1:27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</row>
    <row r="39" spans="1:27" ht="12" customHeight="1" x14ac:dyDescent="0.25">
      <c r="A39" s="354"/>
      <c r="B39" s="355" t="s">
        <v>430</v>
      </c>
      <c r="C39" s="356">
        <v>113335</v>
      </c>
      <c r="D39" s="356">
        <v>105588</v>
      </c>
      <c r="E39" s="356">
        <v>105588</v>
      </c>
      <c r="F39" s="356">
        <v>1718</v>
      </c>
      <c r="G39" s="356">
        <v>1718</v>
      </c>
      <c r="H39" s="356">
        <v>0</v>
      </c>
      <c r="I39" s="356">
        <v>0</v>
      </c>
      <c r="J39" s="356">
        <v>0</v>
      </c>
      <c r="K39" s="356">
        <v>0</v>
      </c>
      <c r="L39" s="356">
        <v>0</v>
      </c>
      <c r="M39" s="356">
        <v>900</v>
      </c>
      <c r="N39" s="356">
        <v>0</v>
      </c>
      <c r="O39" s="356">
        <v>0</v>
      </c>
      <c r="P39" s="356">
        <v>818</v>
      </c>
      <c r="Q39" s="356">
        <v>0</v>
      </c>
      <c r="R39" s="356">
        <v>0</v>
      </c>
      <c r="S39" s="356">
        <v>0</v>
      </c>
      <c r="T39" s="357">
        <v>1718</v>
      </c>
      <c r="U39" s="358">
        <v>1.6270788347160663E-2</v>
      </c>
      <c r="V39" s="357">
        <v>103870</v>
      </c>
      <c r="W39" s="357">
        <v>0</v>
      </c>
      <c r="X39" s="357">
        <v>103870</v>
      </c>
      <c r="Y39" s="357">
        <v>103870</v>
      </c>
      <c r="Z39" s="357">
        <v>0</v>
      </c>
      <c r="AA39" s="357">
        <v>0</v>
      </c>
    </row>
    <row r="40" spans="1:27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</row>
    <row r="41" spans="1:27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</row>
    <row r="42" spans="1:27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</row>
    <row r="43" spans="1:27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</row>
    <row r="44" spans="1:27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</row>
    <row r="45" spans="1:27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</row>
    <row r="46" spans="1:27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</row>
    <row r="47" spans="1:27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</row>
    <row r="48" spans="1:27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</row>
    <row r="49" spans="1:27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</row>
    <row r="50" spans="1:27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</row>
    <row r="51" spans="1:27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</row>
    <row r="52" spans="1:27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</row>
    <row r="53" spans="1:27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</row>
    <row r="54" spans="1:27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</row>
    <row r="55" spans="1:27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</row>
    <row r="56" spans="1:27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</row>
    <row r="57" spans="1:27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</row>
    <row r="58" spans="1:27" ht="12" customHeight="1" x14ac:dyDescent="0.25">
      <c r="A58" s="354" t="s">
        <v>1158</v>
      </c>
      <c r="B58" s="360" t="s">
        <v>449</v>
      </c>
      <c r="C58" s="362">
        <v>0</v>
      </c>
      <c r="D58" s="362">
        <v>0</v>
      </c>
      <c r="E58" s="362">
        <v>0</v>
      </c>
      <c r="F58" s="362">
        <v>0</v>
      </c>
      <c r="G58" s="362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</row>
    <row r="59" spans="1:27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</row>
    <row r="60" spans="1:27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</row>
    <row r="61" spans="1:27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</row>
    <row r="62" spans="1:27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</row>
    <row r="63" spans="1:27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</row>
    <row r="64" spans="1:27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</row>
    <row r="65" spans="1:27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</row>
    <row r="66" spans="1:27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</row>
    <row r="67" spans="1:27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</row>
    <row r="68" spans="1:27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</row>
    <row r="69" spans="1:27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</row>
    <row r="70" spans="1:27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</row>
    <row r="71" spans="1:27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</row>
    <row r="72" spans="1:27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</row>
    <row r="73" spans="1:27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</row>
    <row r="74" spans="1:27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</row>
    <row r="75" spans="1:27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</row>
    <row r="76" spans="1:27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</row>
    <row r="77" spans="1:27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</row>
    <row r="78" spans="1:27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</row>
    <row r="79" spans="1:27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</row>
    <row r="80" spans="1:27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</row>
    <row r="81" spans="1:27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</row>
    <row r="82" spans="1:27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</row>
    <row r="83" spans="1:27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</row>
    <row r="84" spans="1:27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</row>
    <row r="85" spans="1:27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</row>
    <row r="86" spans="1:27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</row>
    <row r="87" spans="1:27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</row>
    <row r="88" spans="1:27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</row>
    <row r="89" spans="1:27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</row>
    <row r="90" spans="1:27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</row>
    <row r="91" spans="1:27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</row>
    <row r="92" spans="1:27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</row>
    <row r="93" spans="1:27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</row>
    <row r="94" spans="1:27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</row>
    <row r="95" spans="1:27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</row>
    <row r="96" spans="1:27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</row>
    <row r="97" spans="1:27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</row>
    <row r="98" spans="1:27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</row>
    <row r="99" spans="1:27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</row>
    <row r="100" spans="1:27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</row>
    <row r="101" spans="1:27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</row>
    <row r="102" spans="1:27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</row>
    <row r="103" spans="1:27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</row>
    <row r="104" spans="1:27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</row>
    <row r="105" spans="1:27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</row>
    <row r="106" spans="1:27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</row>
    <row r="107" spans="1:27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</row>
    <row r="108" spans="1:27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</row>
    <row r="109" spans="1:27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</row>
    <row r="110" spans="1:27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</row>
    <row r="111" spans="1:27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</row>
    <row r="112" spans="1:27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</row>
    <row r="113" spans="1:27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</row>
    <row r="114" spans="1:27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</row>
    <row r="115" spans="1:27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</row>
    <row r="116" spans="1:27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</row>
    <row r="117" spans="1:27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</row>
    <row r="118" spans="1:27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</row>
    <row r="119" spans="1:27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</row>
    <row r="120" spans="1:27" ht="12" customHeight="1" x14ac:dyDescent="0.25">
      <c r="A120" s="354"/>
      <c r="B120" s="360" t="s">
        <v>511</v>
      </c>
      <c r="C120" s="361">
        <v>37000</v>
      </c>
      <c r="D120" s="361">
        <v>37000</v>
      </c>
      <c r="E120" s="361">
        <v>37000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>
        <v>0</v>
      </c>
      <c r="V120" s="362">
        <v>37000</v>
      </c>
      <c r="W120" s="362">
        <v>0</v>
      </c>
      <c r="X120" s="362">
        <v>37000</v>
      </c>
      <c r="Y120" s="362">
        <v>37000</v>
      </c>
      <c r="Z120" s="362">
        <v>0</v>
      </c>
      <c r="AA120" s="362">
        <v>0</v>
      </c>
    </row>
    <row r="121" spans="1:27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</row>
    <row r="122" spans="1:27" ht="12" customHeight="1" x14ac:dyDescent="0.25">
      <c r="A122" s="354" t="s">
        <v>1214</v>
      </c>
      <c r="B122" s="354" t="s">
        <v>513</v>
      </c>
      <c r="C122" s="365">
        <v>37000</v>
      </c>
      <c r="D122" s="365">
        <v>37000</v>
      </c>
      <c r="E122" s="365">
        <v>37000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>
        <v>0</v>
      </c>
      <c r="V122" s="365">
        <v>37000</v>
      </c>
      <c r="W122" s="365">
        <v>0</v>
      </c>
      <c r="X122" s="365">
        <v>37000</v>
      </c>
      <c r="Y122" s="365">
        <v>37000</v>
      </c>
      <c r="Z122" s="365">
        <v>0</v>
      </c>
      <c r="AA122" s="365">
        <v>0</v>
      </c>
    </row>
    <row r="123" spans="1:27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</row>
    <row r="124" spans="1:27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</row>
    <row r="125" spans="1:27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</row>
    <row r="126" spans="1:27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</row>
    <row r="127" spans="1:27" ht="12" customHeight="1" x14ac:dyDescent="0.25">
      <c r="A127" s="354"/>
      <c r="B127" s="360" t="s">
        <v>518</v>
      </c>
      <c r="C127" s="361">
        <v>17600</v>
      </c>
      <c r="D127" s="361">
        <v>17600</v>
      </c>
      <c r="E127" s="361">
        <v>17600</v>
      </c>
      <c r="F127" s="361">
        <v>818</v>
      </c>
      <c r="G127" s="361">
        <v>818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818</v>
      </c>
      <c r="Q127" s="361">
        <v>0</v>
      </c>
      <c r="R127" s="361">
        <v>0</v>
      </c>
      <c r="S127" s="361">
        <v>0</v>
      </c>
      <c r="T127" s="362">
        <v>818</v>
      </c>
      <c r="U127" s="363">
        <v>4.6477272727272728E-2</v>
      </c>
      <c r="V127" s="362">
        <v>16782</v>
      </c>
      <c r="W127" s="362">
        <v>0</v>
      </c>
      <c r="X127" s="362">
        <v>16782</v>
      </c>
      <c r="Y127" s="362">
        <v>16782</v>
      </c>
      <c r="Z127" s="362">
        <v>0</v>
      </c>
      <c r="AA127" s="362">
        <v>0</v>
      </c>
    </row>
    <row r="128" spans="1:27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</row>
    <row r="129" spans="1:27" ht="12" customHeight="1" x14ac:dyDescent="0.25">
      <c r="A129" s="354" t="s">
        <v>1219</v>
      </c>
      <c r="B129" s="354" t="s">
        <v>520</v>
      </c>
      <c r="C129" s="365">
        <v>17600</v>
      </c>
      <c r="D129" s="365">
        <v>17600</v>
      </c>
      <c r="E129" s="365">
        <v>17600</v>
      </c>
      <c r="F129" s="365">
        <v>818</v>
      </c>
      <c r="G129" s="365">
        <v>818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818</v>
      </c>
      <c r="Q129" s="365">
        <v>0</v>
      </c>
      <c r="R129" s="365">
        <v>0</v>
      </c>
      <c r="S129" s="365">
        <v>0</v>
      </c>
      <c r="T129" s="365">
        <v>818</v>
      </c>
      <c r="U129" s="366">
        <v>4.6477272727272728E-2</v>
      </c>
      <c r="V129" s="365">
        <v>16782</v>
      </c>
      <c r="W129" s="365">
        <v>0</v>
      </c>
      <c r="X129" s="365">
        <v>16782</v>
      </c>
      <c r="Y129" s="365">
        <v>16782</v>
      </c>
      <c r="Z129" s="365">
        <v>0</v>
      </c>
      <c r="AA129" s="365">
        <v>0</v>
      </c>
    </row>
    <row r="130" spans="1:27" ht="12" customHeight="1" x14ac:dyDescent="0.25">
      <c r="A130" s="354"/>
      <c r="B130" s="360" t="s">
        <v>521</v>
      </c>
      <c r="C130" s="361">
        <v>38735</v>
      </c>
      <c r="D130" s="361">
        <v>30988</v>
      </c>
      <c r="E130" s="361">
        <v>30988</v>
      </c>
      <c r="F130" s="361">
        <v>0</v>
      </c>
      <c r="G130" s="361">
        <v>0</v>
      </c>
      <c r="H130" s="361">
        <v>0</v>
      </c>
      <c r="I130" s="361">
        <v>0</v>
      </c>
      <c r="J130" s="361">
        <v>0</v>
      </c>
      <c r="K130" s="361">
        <v>0</v>
      </c>
      <c r="L130" s="361">
        <v>0</v>
      </c>
      <c r="M130" s="361">
        <v>0</v>
      </c>
      <c r="N130" s="361">
        <v>0</v>
      </c>
      <c r="O130" s="361">
        <v>0</v>
      </c>
      <c r="P130" s="361">
        <v>0</v>
      </c>
      <c r="Q130" s="361">
        <v>0</v>
      </c>
      <c r="R130" s="361">
        <v>0</v>
      </c>
      <c r="S130" s="361">
        <v>0</v>
      </c>
      <c r="T130" s="362">
        <v>0</v>
      </c>
      <c r="U130" s="363">
        <v>0</v>
      </c>
      <c r="V130" s="362">
        <v>30988</v>
      </c>
      <c r="W130" s="362">
        <v>0</v>
      </c>
      <c r="X130" s="362">
        <v>30988</v>
      </c>
      <c r="Y130" s="362">
        <v>30988</v>
      </c>
      <c r="Z130" s="362">
        <v>0</v>
      </c>
      <c r="AA130" s="362">
        <v>0</v>
      </c>
    </row>
    <row r="131" spans="1:27" ht="12" customHeight="1" x14ac:dyDescent="0.25">
      <c r="A131" s="354" t="s">
        <v>1220</v>
      </c>
      <c r="B131" s="364" t="s">
        <v>522</v>
      </c>
      <c r="C131" s="365">
        <v>0</v>
      </c>
      <c r="D131" s="365">
        <v>0</v>
      </c>
      <c r="E131" s="365">
        <v>0</v>
      </c>
      <c r="F131" s="365">
        <v>0</v>
      </c>
      <c r="G131" s="365">
        <v>0</v>
      </c>
      <c r="H131" s="365">
        <v>0</v>
      </c>
      <c r="I131" s="365">
        <v>0</v>
      </c>
      <c r="J131" s="365">
        <v>0</v>
      </c>
      <c r="K131" s="365">
        <v>0</v>
      </c>
      <c r="L131" s="365">
        <v>0</v>
      </c>
      <c r="M131" s="365">
        <v>0</v>
      </c>
      <c r="N131" s="365">
        <v>0</v>
      </c>
      <c r="O131" s="365">
        <v>0</v>
      </c>
      <c r="P131" s="365">
        <v>0</v>
      </c>
      <c r="Q131" s="365">
        <v>0</v>
      </c>
      <c r="R131" s="365">
        <v>0</v>
      </c>
      <c r="S131" s="365">
        <v>0</v>
      </c>
      <c r="T131" s="365">
        <v>0</v>
      </c>
      <c r="U131" s="366" t="e">
        <v>#DIV/0!</v>
      </c>
      <c r="V131" s="365">
        <v>0</v>
      </c>
      <c r="W131" s="365">
        <v>0</v>
      </c>
      <c r="X131" s="365">
        <v>0</v>
      </c>
      <c r="Y131" s="365">
        <v>0</v>
      </c>
      <c r="Z131" s="365">
        <v>0</v>
      </c>
      <c r="AA131" s="365">
        <v>0</v>
      </c>
    </row>
    <row r="132" spans="1:27" ht="12" customHeight="1" x14ac:dyDescent="0.25">
      <c r="A132" s="354" t="s">
        <v>1221</v>
      </c>
      <c r="B132" s="364" t="s">
        <v>523</v>
      </c>
      <c r="C132" s="365">
        <v>38735</v>
      </c>
      <c r="D132" s="365">
        <v>30988</v>
      </c>
      <c r="E132" s="365">
        <v>30988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>
        <v>0</v>
      </c>
      <c r="V132" s="365">
        <v>30988</v>
      </c>
      <c r="W132" s="365">
        <v>0</v>
      </c>
      <c r="X132" s="365">
        <v>30988</v>
      </c>
      <c r="Y132" s="365">
        <v>30988</v>
      </c>
      <c r="Z132" s="365">
        <v>0</v>
      </c>
      <c r="AA132" s="365">
        <v>0</v>
      </c>
    </row>
    <row r="133" spans="1:27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</row>
    <row r="134" spans="1:27" ht="12" customHeight="1" x14ac:dyDescent="0.25">
      <c r="A134" s="354"/>
      <c r="B134" s="360" t="s">
        <v>525</v>
      </c>
      <c r="C134" s="361">
        <v>20000</v>
      </c>
      <c r="D134" s="361">
        <v>20000</v>
      </c>
      <c r="E134" s="361">
        <v>20000</v>
      </c>
      <c r="F134" s="361">
        <v>900</v>
      </c>
      <c r="G134" s="361">
        <v>900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900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900</v>
      </c>
      <c r="U134" s="363">
        <v>4.4999999999999998E-2</v>
      </c>
      <c r="V134" s="362">
        <v>19100</v>
      </c>
      <c r="W134" s="362">
        <v>0</v>
      </c>
      <c r="X134" s="362">
        <v>19100</v>
      </c>
      <c r="Y134" s="362">
        <v>19100</v>
      </c>
      <c r="Z134" s="362">
        <v>0</v>
      </c>
      <c r="AA134" s="362">
        <v>0</v>
      </c>
    </row>
    <row r="135" spans="1:27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</row>
    <row r="136" spans="1:27" ht="12" customHeight="1" x14ac:dyDescent="0.25">
      <c r="A136" s="354" t="s">
        <v>1224</v>
      </c>
      <c r="B136" s="354" t="s">
        <v>527</v>
      </c>
      <c r="C136" s="365">
        <v>20000</v>
      </c>
      <c r="D136" s="365">
        <v>20000</v>
      </c>
      <c r="E136" s="365">
        <v>20000</v>
      </c>
      <c r="F136" s="365">
        <v>900</v>
      </c>
      <c r="G136" s="365">
        <v>900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900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900</v>
      </c>
      <c r="U136" s="366">
        <v>4.4999999999999998E-2</v>
      </c>
      <c r="V136" s="365">
        <v>19100</v>
      </c>
      <c r="W136" s="365">
        <v>0</v>
      </c>
      <c r="X136" s="365">
        <v>19100</v>
      </c>
      <c r="Y136" s="365">
        <v>19100</v>
      </c>
      <c r="Z136" s="365">
        <v>0</v>
      </c>
      <c r="AA136" s="365">
        <v>0</v>
      </c>
    </row>
    <row r="137" spans="1:27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</row>
    <row r="138" spans="1:27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</row>
    <row r="139" spans="1:27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</row>
    <row r="140" spans="1:27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</row>
    <row r="141" spans="1:27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</row>
    <row r="142" spans="1:27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</row>
    <row r="143" spans="1:27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</row>
    <row r="144" spans="1:27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</row>
    <row r="145" spans="1:27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</row>
    <row r="146" spans="1:27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</row>
    <row r="147" spans="1:27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</row>
    <row r="148" spans="1:27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</row>
    <row r="149" spans="1:27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</row>
    <row r="150" spans="1:27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</row>
    <row r="151" spans="1:27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</row>
    <row r="152" spans="1:27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</row>
    <row r="153" spans="1:27" ht="12" customHeight="1" x14ac:dyDescent="0.25">
      <c r="A153" s="354"/>
      <c r="B153" s="360" t="s">
        <v>544</v>
      </c>
      <c r="C153" s="361">
        <v>0</v>
      </c>
      <c r="D153" s="361">
        <v>0</v>
      </c>
      <c r="E153" s="361">
        <v>0</v>
      </c>
      <c r="F153" s="361">
        <v>0</v>
      </c>
      <c r="G153" s="361">
        <v>0</v>
      </c>
      <c r="H153" s="361">
        <v>0</v>
      </c>
      <c r="I153" s="361">
        <v>0</v>
      </c>
      <c r="J153" s="361">
        <v>0</v>
      </c>
      <c r="K153" s="361">
        <v>0</v>
      </c>
      <c r="L153" s="361">
        <v>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0</v>
      </c>
      <c r="U153" s="363" t="e">
        <v>#DIV/0!</v>
      </c>
      <c r="V153" s="362">
        <v>0</v>
      </c>
      <c r="W153" s="362">
        <v>0</v>
      </c>
      <c r="X153" s="362">
        <v>0</v>
      </c>
      <c r="Y153" s="362">
        <v>0</v>
      </c>
      <c r="Z153" s="362">
        <v>0</v>
      </c>
      <c r="AA153" s="362">
        <v>0</v>
      </c>
    </row>
    <row r="154" spans="1:27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</row>
    <row r="155" spans="1:27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</row>
    <row r="156" spans="1:27" ht="12" customHeight="1" x14ac:dyDescent="0.25">
      <c r="A156" s="354" t="s">
        <v>1242</v>
      </c>
      <c r="B156" s="354" t="s">
        <v>547</v>
      </c>
      <c r="C156" s="365">
        <v>0</v>
      </c>
      <c r="D156" s="365">
        <v>0</v>
      </c>
      <c r="E156" s="365">
        <v>0</v>
      </c>
      <c r="F156" s="365">
        <v>0</v>
      </c>
      <c r="G156" s="365">
        <v>0</v>
      </c>
      <c r="H156" s="365">
        <v>0</v>
      </c>
      <c r="I156" s="365">
        <v>0</v>
      </c>
      <c r="J156" s="365">
        <v>0</v>
      </c>
      <c r="K156" s="365">
        <v>0</v>
      </c>
      <c r="L156" s="365">
        <v>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0</v>
      </c>
      <c r="U156" s="366" t="e">
        <v>#DIV/0!</v>
      </c>
      <c r="V156" s="365">
        <v>0</v>
      </c>
      <c r="W156" s="365">
        <v>0</v>
      </c>
      <c r="X156" s="365">
        <v>0</v>
      </c>
      <c r="Y156" s="365">
        <v>0</v>
      </c>
      <c r="Z156" s="365">
        <v>0</v>
      </c>
      <c r="AA156" s="365">
        <v>0</v>
      </c>
    </row>
    <row r="157" spans="1:27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</row>
    <row r="158" spans="1:27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</row>
    <row r="159" spans="1:27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</row>
    <row r="160" spans="1:27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</row>
    <row r="161" spans="1:27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</row>
    <row r="162" spans="1:27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</row>
    <row r="163" spans="1:27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</row>
    <row r="164" spans="1:27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</row>
    <row r="165" spans="1:27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</row>
    <row r="166" spans="1:27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</row>
    <row r="167" spans="1:27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</row>
    <row r="168" spans="1:27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</row>
    <row r="169" spans="1:27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</row>
    <row r="170" spans="1:27" ht="12" customHeight="1" x14ac:dyDescent="0.25">
      <c r="A170" s="354"/>
      <c r="B170" s="355" t="s">
        <v>561</v>
      </c>
      <c r="C170" s="356">
        <v>0</v>
      </c>
      <c r="D170" s="356">
        <v>0</v>
      </c>
      <c r="E170" s="356">
        <v>0</v>
      </c>
      <c r="F170" s="356">
        <v>0</v>
      </c>
      <c r="G170" s="356">
        <v>0</v>
      </c>
      <c r="H170" s="356">
        <v>0</v>
      </c>
      <c r="I170" s="356">
        <v>0</v>
      </c>
      <c r="J170" s="356">
        <v>0</v>
      </c>
      <c r="K170" s="356">
        <v>0</v>
      </c>
      <c r="L170" s="356">
        <v>0</v>
      </c>
      <c r="M170" s="356">
        <v>0</v>
      </c>
      <c r="N170" s="356">
        <v>0</v>
      </c>
      <c r="O170" s="356">
        <v>0</v>
      </c>
      <c r="P170" s="356">
        <v>0</v>
      </c>
      <c r="Q170" s="356">
        <v>0</v>
      </c>
      <c r="R170" s="356">
        <v>0</v>
      </c>
      <c r="S170" s="356">
        <v>0</v>
      </c>
      <c r="T170" s="357">
        <v>0</v>
      </c>
      <c r="U170" s="358" t="e">
        <v>#DIV/0!</v>
      </c>
      <c r="V170" s="357">
        <v>0</v>
      </c>
      <c r="W170" s="357">
        <v>0</v>
      </c>
      <c r="X170" s="357">
        <v>0</v>
      </c>
      <c r="Y170" s="357">
        <v>0</v>
      </c>
      <c r="Z170" s="357">
        <v>0</v>
      </c>
      <c r="AA170" s="357">
        <v>0</v>
      </c>
    </row>
    <row r="171" spans="1:27" ht="12" customHeight="1" x14ac:dyDescent="0.25">
      <c r="A171" s="354"/>
      <c r="B171" s="360" t="s">
        <v>562</v>
      </c>
      <c r="C171" s="361">
        <v>0</v>
      </c>
      <c r="D171" s="361">
        <v>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 t="e">
        <v>#DIV/0!</v>
      </c>
      <c r="V171" s="362">
        <v>0</v>
      </c>
      <c r="W171" s="362">
        <v>0</v>
      </c>
      <c r="X171" s="362">
        <v>0</v>
      </c>
      <c r="Y171" s="362">
        <v>0</v>
      </c>
      <c r="Z171" s="362">
        <v>0</v>
      </c>
      <c r="AA171" s="362">
        <v>0</v>
      </c>
    </row>
    <row r="172" spans="1:27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</row>
    <row r="173" spans="1:27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</row>
    <row r="174" spans="1:27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</row>
    <row r="175" spans="1:27" ht="12" customHeight="1" x14ac:dyDescent="0.25">
      <c r="A175" s="354"/>
      <c r="B175" s="354" t="s">
        <v>1257</v>
      </c>
      <c r="C175" s="365">
        <v>0</v>
      </c>
      <c r="D175" s="365">
        <v>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 t="e">
        <v>#DIV/0!</v>
      </c>
      <c r="V175" s="365">
        <v>0</v>
      </c>
      <c r="W175" s="365">
        <v>0</v>
      </c>
      <c r="X175" s="365">
        <v>0</v>
      </c>
      <c r="Y175" s="365">
        <v>0</v>
      </c>
      <c r="Z175" s="365">
        <v>0</v>
      </c>
      <c r="AA175" s="365">
        <v>0</v>
      </c>
    </row>
    <row r="176" spans="1:27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</row>
    <row r="177" spans="1:27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</row>
    <row r="178" spans="1:27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</row>
    <row r="179" spans="1:27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</row>
    <row r="180" spans="1:27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</row>
    <row r="181" spans="1:27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</row>
    <row r="182" spans="1:27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</row>
    <row r="183" spans="1:27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</row>
    <row r="184" spans="1:27" ht="12" customHeight="1" x14ac:dyDescent="0.25">
      <c r="A184" s="354"/>
      <c r="B184" s="360" t="s">
        <v>572</v>
      </c>
      <c r="C184" s="361">
        <v>0</v>
      </c>
      <c r="D184" s="361">
        <v>0</v>
      </c>
      <c r="E184" s="361">
        <v>0</v>
      </c>
      <c r="F184" s="361">
        <v>0</v>
      </c>
      <c r="G184" s="361">
        <v>0</v>
      </c>
      <c r="H184" s="361">
        <v>0</v>
      </c>
      <c r="I184" s="361">
        <v>0</v>
      </c>
      <c r="J184" s="361">
        <v>0</v>
      </c>
      <c r="K184" s="361">
        <v>0</v>
      </c>
      <c r="L184" s="361">
        <v>0</v>
      </c>
      <c r="M184" s="361">
        <v>0</v>
      </c>
      <c r="N184" s="361">
        <v>0</v>
      </c>
      <c r="O184" s="361">
        <v>0</v>
      </c>
      <c r="P184" s="361">
        <v>0</v>
      </c>
      <c r="Q184" s="361">
        <v>0</v>
      </c>
      <c r="R184" s="361">
        <v>0</v>
      </c>
      <c r="S184" s="361">
        <v>0</v>
      </c>
      <c r="T184" s="362">
        <v>0</v>
      </c>
      <c r="U184" s="363" t="e">
        <v>#DIV/0!</v>
      </c>
      <c r="V184" s="362">
        <v>0</v>
      </c>
      <c r="W184" s="362">
        <v>0</v>
      </c>
      <c r="X184" s="362">
        <v>0</v>
      </c>
      <c r="Y184" s="362">
        <v>0</v>
      </c>
      <c r="Z184" s="362">
        <v>0</v>
      </c>
      <c r="AA184" s="362">
        <v>0</v>
      </c>
    </row>
    <row r="185" spans="1:27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</row>
    <row r="186" spans="1:27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</row>
    <row r="187" spans="1:27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</row>
    <row r="188" spans="1:27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</row>
    <row r="189" spans="1:27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</row>
    <row r="190" spans="1:27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</row>
    <row r="191" spans="1:27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</row>
    <row r="192" spans="1:27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</row>
    <row r="193" spans="1:27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</row>
    <row r="194" spans="1:27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</row>
    <row r="195" spans="1:27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</row>
    <row r="196" spans="1:27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</row>
    <row r="197" spans="1:27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</row>
    <row r="198" spans="1:27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</row>
    <row r="199" spans="1:27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</row>
    <row r="200" spans="1:27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</row>
    <row r="201" spans="1:27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</row>
    <row r="202" spans="1:27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</row>
    <row r="203" spans="1:27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</row>
    <row r="204" spans="1:27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</row>
    <row r="205" spans="1:27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</row>
    <row r="206" spans="1:27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</row>
    <row r="207" spans="1:27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</row>
    <row r="208" spans="1:27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</row>
    <row r="209" spans="1:27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</row>
    <row r="210" spans="1:27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</row>
    <row r="211" spans="1:27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</row>
    <row r="212" spans="1:27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</row>
    <row r="213" spans="1:27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</row>
    <row r="214" spans="1:27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</row>
    <row r="215" spans="1:27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</row>
    <row r="216" spans="1:27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</row>
    <row r="217" spans="1:27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</row>
    <row r="218" spans="1:27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</row>
    <row r="219" spans="1:27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</row>
    <row r="220" spans="1:27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</row>
    <row r="221" spans="1:27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</row>
    <row r="222" spans="1:27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</row>
    <row r="223" spans="1:27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</row>
    <row r="224" spans="1:27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</row>
    <row r="225" spans="1:27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</row>
    <row r="226" spans="1:27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</row>
    <row r="227" spans="1:27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</row>
    <row r="228" spans="1:27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</row>
    <row r="229" spans="1:27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</row>
    <row r="230" spans="1:27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</row>
    <row r="231" spans="1:27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</row>
    <row r="232" spans="1:27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</row>
    <row r="233" spans="1:27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</row>
    <row r="234" spans="1:27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</row>
    <row r="235" spans="1:27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</row>
    <row r="236" spans="1:27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</row>
    <row r="237" spans="1:27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</row>
    <row r="238" spans="1:27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</row>
    <row r="239" spans="1:27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</row>
    <row r="240" spans="1:27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</row>
    <row r="241" spans="1:27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</row>
    <row r="242" spans="1:27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</row>
    <row r="243" spans="1:27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</row>
    <row r="244" spans="1:27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</row>
    <row r="245" spans="1:27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</row>
    <row r="246" spans="1:27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</row>
    <row r="247" spans="1:27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</row>
    <row r="248" spans="1:27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</row>
    <row r="249" spans="1:27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</row>
    <row r="250" spans="1:27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</row>
    <row r="251" spans="1:27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</row>
    <row r="252" spans="1:27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</row>
    <row r="253" spans="1:27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</row>
    <row r="254" spans="1:27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</row>
    <row r="255" spans="1:27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</row>
    <row r="256" spans="1:27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</row>
    <row r="257" spans="1:27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</row>
    <row r="258" spans="1:27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</row>
    <row r="259" spans="1:27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</row>
    <row r="260" spans="1:27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</row>
    <row r="261" spans="1:27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</row>
    <row r="262" spans="1:27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</row>
    <row r="263" spans="1:27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</row>
    <row r="264" spans="1:27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</row>
    <row r="265" spans="1:27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</row>
    <row r="266" spans="1:27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</row>
    <row r="267" spans="1:27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</row>
    <row r="268" spans="1:27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</row>
    <row r="269" spans="1:27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</row>
    <row r="270" spans="1:27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</row>
    <row r="271" spans="1:27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</row>
    <row r="272" spans="1:27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</row>
    <row r="273" spans="1:27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</row>
    <row r="274" spans="1:27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</row>
    <row r="275" spans="1:27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</row>
    <row r="276" spans="1:27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</row>
    <row r="277" spans="1:27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</row>
    <row r="278" spans="1:27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</row>
    <row r="279" spans="1:27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</row>
    <row r="280" spans="1:27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</row>
    <row r="281" spans="1:27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</row>
    <row r="282" spans="1:27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</row>
    <row r="283" spans="1:27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</row>
    <row r="284" spans="1:27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</row>
    <row r="285" spans="1:27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</row>
    <row r="286" spans="1:27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</row>
    <row r="287" spans="1:27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</row>
    <row r="288" spans="1:27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</row>
    <row r="289" spans="1:27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</row>
    <row r="290" spans="1:27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</row>
    <row r="291" spans="1:27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</row>
    <row r="292" spans="1:27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</row>
    <row r="293" spans="1:27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</row>
    <row r="294" spans="1:27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</row>
    <row r="295" spans="1:27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</row>
    <row r="296" spans="1:27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</row>
    <row r="297" spans="1:27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</row>
    <row r="298" spans="1:27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</row>
    <row r="299" spans="1:27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</row>
    <row r="300" spans="1:27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</row>
    <row r="301" spans="1:27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</row>
    <row r="302" spans="1:27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</row>
    <row r="303" spans="1:27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</row>
    <row r="304" spans="1:27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</row>
    <row r="305" spans="1:27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</row>
    <row r="306" spans="1:27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</row>
    <row r="307" spans="1:27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</row>
    <row r="308" spans="1:27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</row>
    <row r="309" spans="1:27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</row>
    <row r="310" spans="1:27" ht="12" customHeight="1" x14ac:dyDescent="0.25">
      <c r="A310" s="354"/>
      <c r="B310" s="374" t="s">
        <v>35</v>
      </c>
      <c r="C310" s="375">
        <v>113335</v>
      </c>
      <c r="D310" s="375">
        <v>105588</v>
      </c>
      <c r="E310" s="375">
        <v>105588</v>
      </c>
      <c r="F310" s="375">
        <v>1718</v>
      </c>
      <c r="G310" s="375">
        <v>1718</v>
      </c>
      <c r="H310" s="375">
        <v>0</v>
      </c>
      <c r="I310" s="375">
        <v>0</v>
      </c>
      <c r="J310" s="375">
        <v>0</v>
      </c>
      <c r="K310" s="375">
        <v>0</v>
      </c>
      <c r="L310" s="375">
        <v>0</v>
      </c>
      <c r="M310" s="375">
        <v>900</v>
      </c>
      <c r="N310" s="375">
        <v>0</v>
      </c>
      <c r="O310" s="375">
        <v>0</v>
      </c>
      <c r="P310" s="375">
        <v>818</v>
      </c>
      <c r="Q310" s="375">
        <v>0</v>
      </c>
      <c r="R310" s="375">
        <v>0</v>
      </c>
      <c r="S310" s="375">
        <v>0</v>
      </c>
      <c r="T310" s="376">
        <v>1718</v>
      </c>
      <c r="U310" s="377">
        <v>1.6270788347160663E-2</v>
      </c>
      <c r="V310" s="376">
        <v>103870</v>
      </c>
      <c r="W310" s="376">
        <v>0</v>
      </c>
      <c r="X310" s="376">
        <v>103870</v>
      </c>
      <c r="Y310" s="376">
        <v>103870</v>
      </c>
      <c r="Z310" s="376">
        <v>0</v>
      </c>
      <c r="AA310" s="376">
        <v>0</v>
      </c>
    </row>
    <row r="311" spans="1:27" ht="12" customHeight="1" x14ac:dyDescent="0.25">
      <c r="A311" s="354"/>
      <c r="B311" s="378" t="s">
        <v>1379</v>
      </c>
      <c r="C311" s="379">
        <v>113335</v>
      </c>
      <c r="D311" s="379">
        <v>105588</v>
      </c>
      <c r="E311" s="379">
        <v>105588</v>
      </c>
      <c r="F311" s="379">
        <v>1718</v>
      </c>
      <c r="G311" s="379">
        <v>1718</v>
      </c>
      <c r="H311" s="379">
        <v>0</v>
      </c>
      <c r="I311" s="379">
        <v>0</v>
      </c>
      <c r="J311" s="379">
        <v>0</v>
      </c>
      <c r="K311" s="379">
        <v>0</v>
      </c>
      <c r="L311" s="379">
        <v>0</v>
      </c>
      <c r="M311" s="379">
        <v>900</v>
      </c>
      <c r="N311" s="379">
        <v>0</v>
      </c>
      <c r="O311" s="379">
        <v>0</v>
      </c>
      <c r="P311" s="379">
        <v>818</v>
      </c>
      <c r="Q311" s="379">
        <v>0</v>
      </c>
      <c r="R311" s="379">
        <v>0</v>
      </c>
      <c r="S311" s="379">
        <v>0</v>
      </c>
      <c r="T311" s="380">
        <v>1718</v>
      </c>
      <c r="U311" s="381">
        <v>1.6270788347160663E-2</v>
      </c>
      <c r="V311" s="380">
        <v>103870</v>
      </c>
      <c r="W311" s="380">
        <v>0</v>
      </c>
      <c r="X311" s="380">
        <v>103870</v>
      </c>
      <c r="Y311" s="380">
        <v>103870</v>
      </c>
      <c r="Z311" s="380">
        <v>0</v>
      </c>
      <c r="AA311" s="380">
        <v>0</v>
      </c>
    </row>
    <row r="312" spans="1:27" ht="12" customHeight="1" x14ac:dyDescent="0.25">
      <c r="A312" s="354"/>
      <c r="B312" s="382" t="s">
        <v>74</v>
      </c>
      <c r="C312" s="383">
        <v>113335</v>
      </c>
      <c r="D312" s="383">
        <v>105588</v>
      </c>
      <c r="E312" s="383">
        <v>105588</v>
      </c>
      <c r="F312" s="383">
        <v>1718</v>
      </c>
      <c r="G312" s="383">
        <v>1718</v>
      </c>
      <c r="H312" s="383">
        <v>0</v>
      </c>
      <c r="I312" s="383">
        <v>0</v>
      </c>
      <c r="J312" s="383">
        <v>0</v>
      </c>
      <c r="K312" s="383">
        <v>0</v>
      </c>
      <c r="L312" s="383">
        <v>0</v>
      </c>
      <c r="M312" s="383">
        <v>900</v>
      </c>
      <c r="N312" s="383">
        <v>0</v>
      </c>
      <c r="O312" s="383">
        <v>0</v>
      </c>
      <c r="P312" s="383">
        <v>818</v>
      </c>
      <c r="Q312" s="383">
        <v>0</v>
      </c>
      <c r="R312" s="383">
        <v>0</v>
      </c>
      <c r="S312" s="383">
        <v>0</v>
      </c>
      <c r="T312" s="384">
        <v>1718</v>
      </c>
      <c r="U312" s="385">
        <v>1.6270788347160663E-2</v>
      </c>
      <c r="V312" s="384">
        <v>103870</v>
      </c>
      <c r="W312" s="384">
        <v>0</v>
      </c>
      <c r="X312" s="384">
        <v>103870</v>
      </c>
      <c r="Y312" s="384">
        <v>103870</v>
      </c>
      <c r="Z312" s="384">
        <v>0</v>
      </c>
      <c r="AA312" s="384">
        <v>0</v>
      </c>
    </row>
    <row r="313" spans="1:27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</row>
    <row r="314" spans="1:27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</row>
    <row r="315" spans="1:27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</row>
    <row r="316" spans="1:27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</row>
    <row r="317" spans="1:27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</row>
    <row r="318" spans="1:27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</row>
    <row r="319" spans="1:27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</row>
    <row r="320" spans="1:27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</row>
    <row r="321" spans="1:27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</row>
    <row r="322" spans="1:27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</row>
    <row r="323" spans="1:27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</row>
    <row r="324" spans="1:27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</row>
    <row r="325" spans="1:27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</row>
    <row r="326" spans="1:27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</row>
    <row r="327" spans="1:27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</row>
    <row r="328" spans="1:27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</row>
    <row r="329" spans="1:27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</row>
    <row r="330" spans="1:27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</row>
    <row r="331" spans="1:27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</row>
    <row r="332" spans="1:27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</row>
    <row r="333" spans="1:27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</row>
    <row r="334" spans="1:27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</row>
    <row r="335" spans="1:27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</row>
    <row r="336" spans="1:27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</row>
    <row r="337" spans="1:27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</row>
    <row r="338" spans="1:27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</row>
    <row r="339" spans="1:27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</row>
    <row r="340" spans="1:27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</row>
    <row r="341" spans="1:27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</row>
    <row r="342" spans="1:27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</row>
    <row r="343" spans="1:27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</row>
    <row r="344" spans="1:27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</row>
    <row r="345" spans="1:27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</row>
    <row r="346" spans="1:27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</row>
    <row r="347" spans="1:27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</row>
    <row r="348" spans="1:27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</row>
    <row r="349" spans="1:27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</row>
    <row r="350" spans="1:27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</row>
    <row r="351" spans="1:27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</row>
    <row r="352" spans="1:27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</row>
    <row r="353" spans="1:27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</row>
    <row r="354" spans="1:27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</row>
    <row r="355" spans="1:27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</row>
    <row r="356" spans="1:27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</row>
    <row r="357" spans="1:27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</row>
    <row r="358" spans="1:27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</row>
    <row r="359" spans="1:27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</row>
    <row r="360" spans="1:27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</row>
    <row r="361" spans="1:27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</row>
    <row r="362" spans="1:27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</row>
    <row r="363" spans="1:27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</row>
    <row r="364" spans="1:27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</row>
    <row r="365" spans="1:27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</row>
    <row r="366" spans="1:27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</row>
    <row r="367" spans="1:27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</row>
    <row r="368" spans="1:27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</row>
    <row r="369" spans="1:27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</row>
    <row r="370" spans="1:27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</row>
    <row r="371" spans="1:27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</row>
    <row r="372" spans="1:27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</row>
    <row r="373" spans="1:27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</row>
    <row r="374" spans="1:27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</row>
    <row r="375" spans="1:27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</row>
    <row r="376" spans="1:27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</row>
    <row r="377" spans="1:27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</row>
    <row r="378" spans="1:27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</row>
    <row r="379" spans="1:27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</row>
    <row r="380" spans="1:27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</row>
    <row r="381" spans="1:27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</row>
    <row r="382" spans="1:27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</row>
    <row r="383" spans="1:27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</row>
    <row r="384" spans="1:27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</row>
    <row r="385" spans="1:27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</row>
    <row r="386" spans="1:27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</row>
    <row r="387" spans="1:27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</row>
    <row r="388" spans="1:27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</row>
    <row r="389" spans="1:27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</row>
    <row r="390" spans="1:27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</row>
    <row r="391" spans="1:27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</row>
    <row r="392" spans="1:27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</row>
    <row r="393" spans="1:27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</row>
    <row r="394" spans="1:27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</row>
    <row r="395" spans="1:27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</row>
    <row r="396" spans="1:27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</row>
    <row r="397" spans="1:27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</row>
    <row r="398" spans="1:27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</row>
    <row r="399" spans="1:27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</row>
    <row r="400" spans="1:27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</row>
    <row r="401" spans="1:27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</row>
    <row r="402" spans="1:27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</row>
    <row r="403" spans="1:27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</row>
    <row r="404" spans="1:27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</row>
    <row r="405" spans="1:27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</row>
    <row r="406" spans="1:27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</row>
    <row r="407" spans="1:27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</row>
    <row r="408" spans="1:27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</row>
    <row r="409" spans="1:27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</row>
    <row r="410" spans="1:27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</row>
    <row r="411" spans="1:27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</row>
    <row r="412" spans="1:27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</row>
    <row r="413" spans="1:27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</row>
    <row r="414" spans="1:27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</row>
    <row r="415" spans="1:27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</row>
    <row r="416" spans="1:27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</row>
    <row r="417" spans="1:27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</row>
    <row r="418" spans="1:27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</row>
    <row r="419" spans="1:27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</row>
    <row r="420" spans="1:27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</row>
    <row r="421" spans="1:27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</row>
    <row r="422" spans="1:27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</row>
    <row r="423" spans="1:27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</row>
    <row r="424" spans="1:27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</row>
    <row r="425" spans="1:27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</row>
    <row r="426" spans="1:27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</row>
    <row r="427" spans="1:27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</row>
    <row r="428" spans="1:27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</row>
    <row r="429" spans="1:27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</row>
    <row r="430" spans="1:27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</row>
    <row r="431" spans="1:27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</row>
    <row r="432" spans="1:27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</row>
    <row r="433" spans="1:27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</row>
    <row r="434" spans="1:27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</row>
    <row r="435" spans="1:27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</row>
    <row r="436" spans="1:27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</row>
    <row r="437" spans="1:27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</row>
    <row r="438" spans="1:27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</row>
    <row r="439" spans="1:27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</row>
    <row r="440" spans="1:27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</row>
    <row r="441" spans="1:27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</row>
    <row r="442" spans="1:27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</row>
    <row r="443" spans="1:27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</row>
    <row r="444" spans="1:27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</row>
    <row r="445" spans="1:27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</row>
    <row r="446" spans="1:27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</row>
    <row r="447" spans="1:27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</row>
    <row r="448" spans="1:27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</row>
    <row r="449" spans="1:27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</row>
    <row r="450" spans="1:27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</row>
    <row r="451" spans="1:27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</row>
    <row r="452" spans="1:27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</row>
    <row r="453" spans="1:27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</row>
    <row r="454" spans="1:27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</row>
    <row r="455" spans="1:27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</row>
    <row r="456" spans="1:27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</row>
    <row r="457" spans="1:27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</row>
    <row r="458" spans="1:27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</row>
    <row r="459" spans="1:27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</row>
    <row r="460" spans="1:27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</row>
    <row r="461" spans="1:27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</row>
    <row r="462" spans="1:27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</row>
    <row r="463" spans="1:27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</row>
    <row r="464" spans="1:27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</row>
    <row r="465" spans="1:27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</row>
    <row r="466" spans="1:27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</row>
    <row r="467" spans="1:27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</row>
    <row r="468" spans="1:27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</row>
    <row r="469" spans="1:27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</row>
    <row r="470" spans="1:27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</row>
    <row r="471" spans="1:27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</row>
    <row r="472" spans="1:27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</row>
    <row r="473" spans="1:27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</row>
    <row r="474" spans="1:27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</row>
    <row r="475" spans="1:27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</row>
    <row r="476" spans="1:27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</row>
    <row r="477" spans="1:27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</row>
    <row r="478" spans="1:27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</row>
    <row r="479" spans="1:27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</row>
    <row r="480" spans="1:27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</row>
    <row r="481" spans="1:27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</row>
    <row r="482" spans="1:27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</row>
    <row r="483" spans="1:27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</row>
    <row r="484" spans="1:27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</row>
    <row r="485" spans="1:27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</row>
    <row r="486" spans="1:27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</row>
    <row r="487" spans="1:27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</row>
    <row r="488" spans="1:27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</row>
    <row r="489" spans="1:27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</row>
    <row r="490" spans="1:27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</row>
    <row r="491" spans="1:27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</row>
    <row r="492" spans="1:27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</row>
    <row r="493" spans="1:27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</row>
    <row r="494" spans="1:27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</row>
    <row r="495" spans="1:27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</row>
    <row r="496" spans="1:27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</row>
    <row r="497" spans="1:27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</row>
    <row r="498" spans="1:27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</row>
    <row r="499" spans="1:27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</row>
    <row r="500" spans="1:27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</row>
    <row r="501" spans="1:27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</row>
    <row r="502" spans="1:27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</row>
    <row r="503" spans="1:27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</row>
    <row r="504" spans="1:27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</row>
    <row r="505" spans="1:27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</row>
    <row r="506" spans="1:27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</row>
    <row r="507" spans="1:27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</row>
    <row r="508" spans="1:27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</row>
    <row r="509" spans="1:27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</row>
    <row r="510" spans="1:27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</row>
    <row r="511" spans="1:27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</row>
    <row r="512" spans="1:27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</row>
    <row r="513" spans="1:27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</row>
    <row r="514" spans="1:27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</row>
    <row r="515" spans="1:27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</row>
    <row r="516" spans="1:27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</row>
    <row r="517" spans="1:27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</row>
    <row r="518" spans="1:27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</row>
    <row r="519" spans="1:27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</row>
    <row r="520" spans="1:27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</row>
    <row r="521" spans="1:27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</row>
    <row r="522" spans="1:27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</row>
    <row r="523" spans="1:27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</row>
    <row r="524" spans="1:27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</row>
    <row r="525" spans="1:27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</row>
    <row r="526" spans="1:27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</row>
    <row r="527" spans="1:27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</row>
    <row r="528" spans="1:27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</row>
    <row r="529" spans="1:27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</row>
    <row r="530" spans="1:27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</row>
    <row r="531" spans="1:27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</row>
    <row r="532" spans="1:27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</row>
    <row r="533" spans="1:27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</row>
    <row r="534" spans="1:27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</row>
    <row r="535" spans="1:27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</row>
    <row r="536" spans="1:27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</row>
    <row r="537" spans="1:27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</row>
    <row r="538" spans="1:27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</row>
    <row r="539" spans="1:27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</row>
    <row r="540" spans="1:27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</row>
    <row r="541" spans="1:27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</row>
    <row r="542" spans="1:27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</row>
    <row r="543" spans="1:27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</row>
    <row r="544" spans="1:27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</row>
    <row r="545" spans="1:27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</row>
    <row r="546" spans="1:27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</row>
    <row r="547" spans="1:27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</row>
    <row r="548" spans="1:27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</row>
    <row r="549" spans="1:27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</row>
    <row r="550" spans="1:27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</row>
    <row r="551" spans="1:27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</row>
    <row r="552" spans="1:27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</row>
    <row r="553" spans="1:27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</row>
    <row r="554" spans="1:27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</row>
    <row r="555" spans="1:27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</row>
    <row r="556" spans="1:27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</row>
    <row r="557" spans="1:27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</row>
    <row r="558" spans="1:27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</row>
    <row r="559" spans="1:27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</row>
    <row r="560" spans="1:27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</row>
    <row r="561" spans="1:27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</row>
    <row r="562" spans="1:27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</row>
    <row r="563" spans="1:27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</row>
    <row r="564" spans="1:27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</row>
    <row r="565" spans="1:27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</row>
    <row r="566" spans="1:27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</row>
    <row r="567" spans="1:27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</row>
    <row r="568" spans="1:27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</row>
    <row r="569" spans="1:27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</row>
    <row r="570" spans="1:27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</row>
    <row r="571" spans="1:27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</row>
    <row r="572" spans="1:27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</row>
    <row r="573" spans="1:27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</row>
    <row r="574" spans="1:27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</row>
    <row r="575" spans="1:27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</row>
    <row r="576" spans="1:27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</row>
    <row r="577" spans="1:27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</row>
    <row r="578" spans="1:27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</row>
    <row r="579" spans="1:27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</row>
    <row r="580" spans="1:27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</row>
    <row r="581" spans="1:27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</row>
    <row r="582" spans="1:27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</row>
    <row r="583" spans="1:27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</row>
    <row r="584" spans="1:27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</row>
    <row r="585" spans="1:27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</row>
    <row r="586" spans="1:27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</row>
    <row r="587" spans="1:27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</row>
    <row r="588" spans="1:27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</row>
    <row r="589" spans="1:27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</row>
    <row r="590" spans="1:27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</row>
    <row r="591" spans="1:27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</row>
    <row r="592" spans="1:27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</row>
    <row r="593" spans="1:27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</row>
    <row r="594" spans="1:27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</row>
    <row r="595" spans="1:27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</row>
    <row r="596" spans="1:27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</row>
    <row r="597" spans="1:27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</row>
    <row r="598" spans="1:27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</row>
    <row r="599" spans="1:27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</row>
    <row r="600" spans="1:27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</row>
    <row r="601" spans="1:27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</row>
    <row r="602" spans="1:27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</row>
    <row r="603" spans="1:27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</row>
    <row r="604" spans="1:27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</row>
    <row r="605" spans="1:27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</row>
    <row r="606" spans="1:27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</row>
    <row r="607" spans="1:27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</row>
    <row r="608" spans="1:27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</row>
    <row r="609" spans="1:27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</row>
    <row r="610" spans="1:27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</row>
    <row r="611" spans="1:27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</row>
    <row r="612" spans="1:27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</row>
    <row r="613" spans="1:27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</row>
    <row r="614" spans="1:27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</row>
    <row r="615" spans="1:27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</row>
    <row r="616" spans="1:27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</row>
    <row r="617" spans="1:27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</row>
    <row r="618" spans="1:27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</row>
    <row r="619" spans="1:27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</row>
    <row r="620" spans="1:27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</row>
    <row r="621" spans="1:27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</row>
    <row r="622" spans="1:27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</row>
    <row r="623" spans="1:27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</row>
    <row r="624" spans="1:27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</row>
    <row r="625" spans="1:27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</row>
    <row r="626" spans="1:27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</row>
    <row r="627" spans="1:27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</row>
    <row r="628" spans="1:27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</row>
    <row r="629" spans="1:27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</row>
    <row r="630" spans="1:27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</row>
    <row r="631" spans="1:27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</row>
    <row r="632" spans="1:27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</row>
    <row r="633" spans="1:27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</row>
    <row r="634" spans="1:27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</row>
    <row r="635" spans="1:27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</row>
    <row r="636" spans="1:27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</row>
    <row r="637" spans="1:27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</row>
    <row r="638" spans="1:27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</row>
    <row r="639" spans="1:27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</row>
    <row r="640" spans="1:27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</row>
    <row r="641" spans="1:27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</row>
    <row r="642" spans="1:27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</row>
    <row r="643" spans="1:27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</row>
    <row r="644" spans="1:27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</row>
    <row r="645" spans="1:27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</row>
    <row r="646" spans="1:27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</row>
    <row r="647" spans="1:27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</row>
    <row r="648" spans="1:27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</row>
    <row r="649" spans="1:27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</row>
    <row r="650" spans="1:27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</row>
    <row r="651" spans="1:27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</row>
    <row r="652" spans="1:27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</row>
    <row r="653" spans="1:27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</row>
    <row r="654" spans="1:27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</row>
    <row r="655" spans="1:27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</row>
    <row r="656" spans="1:27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</row>
    <row r="657" spans="1:27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</row>
    <row r="658" spans="1:27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</row>
    <row r="659" spans="1:27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</row>
    <row r="660" spans="1:27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</row>
    <row r="661" spans="1:27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</row>
    <row r="662" spans="1:27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</row>
    <row r="663" spans="1:27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</row>
    <row r="664" spans="1:27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</row>
    <row r="665" spans="1:27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</row>
    <row r="666" spans="1:27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</row>
    <row r="667" spans="1:27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</row>
    <row r="668" spans="1:27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</row>
    <row r="669" spans="1:27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</row>
    <row r="670" spans="1:27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</row>
    <row r="671" spans="1:27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</row>
    <row r="672" spans="1:27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</row>
    <row r="673" spans="1:27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</row>
    <row r="674" spans="1:27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</row>
    <row r="675" spans="1:27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</row>
    <row r="676" spans="1:27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</row>
    <row r="677" spans="1:27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</row>
    <row r="678" spans="1:27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</row>
    <row r="679" spans="1:27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</row>
    <row r="680" spans="1:27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</row>
    <row r="681" spans="1:27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</row>
    <row r="682" spans="1:27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</row>
    <row r="683" spans="1:27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</row>
    <row r="684" spans="1:27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</row>
    <row r="685" spans="1:27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</row>
    <row r="686" spans="1:27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</row>
    <row r="687" spans="1:27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</row>
    <row r="688" spans="1:27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</row>
    <row r="689" spans="1:27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</row>
    <row r="690" spans="1:27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</row>
    <row r="691" spans="1:27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</row>
    <row r="692" spans="1:27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</row>
    <row r="693" spans="1:27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</row>
    <row r="694" spans="1:27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</row>
    <row r="695" spans="1:27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</row>
    <row r="696" spans="1:27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</row>
    <row r="697" spans="1:27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</row>
    <row r="698" spans="1:27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</row>
    <row r="699" spans="1:27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</row>
    <row r="700" spans="1:27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</row>
    <row r="701" spans="1:27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</row>
    <row r="702" spans="1:27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</row>
    <row r="703" spans="1:27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</row>
    <row r="704" spans="1:27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</row>
    <row r="705" spans="1:27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</row>
    <row r="706" spans="1:27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</row>
    <row r="707" spans="1:27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</row>
    <row r="708" spans="1:27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</row>
    <row r="709" spans="1:27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</row>
    <row r="710" spans="1:27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</row>
    <row r="711" spans="1:27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</row>
    <row r="712" spans="1:27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</row>
    <row r="713" spans="1:27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</row>
    <row r="714" spans="1:27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</row>
    <row r="715" spans="1:27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</row>
    <row r="716" spans="1:27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</row>
    <row r="717" spans="1:27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</row>
    <row r="718" spans="1:27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</row>
    <row r="719" spans="1:27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</row>
    <row r="720" spans="1:27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</row>
    <row r="721" spans="1:27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</row>
    <row r="722" spans="1:27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</row>
    <row r="723" spans="1:27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</row>
    <row r="724" spans="1:27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</row>
    <row r="725" spans="1:27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</row>
    <row r="726" spans="1:27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</row>
    <row r="727" spans="1:27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</row>
    <row r="728" spans="1:27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</row>
    <row r="729" spans="1:27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</row>
    <row r="730" spans="1:27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</row>
    <row r="731" spans="1:27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</row>
    <row r="732" spans="1:27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</row>
    <row r="733" spans="1:27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</row>
    <row r="734" spans="1:27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</row>
    <row r="735" spans="1:27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</row>
    <row r="736" spans="1:27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</row>
    <row r="737" spans="1:27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</row>
    <row r="738" spans="1:27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</row>
    <row r="739" spans="1:27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</row>
    <row r="740" spans="1:27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</row>
    <row r="741" spans="1:27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</row>
    <row r="742" spans="1:27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</row>
    <row r="743" spans="1:27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</row>
    <row r="744" spans="1:27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</row>
    <row r="745" spans="1:27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</row>
    <row r="746" spans="1:27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</row>
    <row r="747" spans="1:27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</row>
    <row r="748" spans="1:27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</row>
    <row r="749" spans="1:27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</row>
    <row r="750" spans="1:27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</row>
    <row r="751" spans="1:27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</row>
    <row r="752" spans="1:27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</row>
    <row r="753" spans="1:27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</row>
    <row r="754" spans="1:27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</row>
    <row r="755" spans="1:27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</row>
    <row r="756" spans="1:27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</row>
    <row r="757" spans="1:27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</row>
    <row r="758" spans="1:27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</row>
    <row r="759" spans="1:27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</row>
    <row r="760" spans="1:27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</row>
    <row r="761" spans="1:27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</row>
    <row r="762" spans="1:27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</row>
    <row r="763" spans="1:27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</row>
    <row r="764" spans="1:27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</row>
    <row r="765" spans="1:27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</row>
    <row r="766" spans="1:27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</row>
    <row r="767" spans="1:27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</row>
    <row r="768" spans="1:27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</row>
    <row r="769" spans="1:27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</row>
    <row r="770" spans="1:27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</row>
    <row r="771" spans="1:27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</row>
    <row r="772" spans="1:27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</row>
    <row r="773" spans="1:27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</row>
    <row r="774" spans="1:27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</row>
    <row r="775" spans="1:27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</row>
    <row r="776" spans="1:27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</row>
    <row r="777" spans="1:27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</row>
    <row r="778" spans="1:27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</row>
    <row r="779" spans="1:27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</row>
    <row r="780" spans="1:27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</row>
    <row r="781" spans="1:27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</row>
    <row r="782" spans="1:27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</row>
    <row r="783" spans="1:27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</row>
    <row r="784" spans="1:27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</row>
    <row r="785" spans="1:27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</row>
    <row r="786" spans="1:27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</row>
    <row r="787" spans="1:27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</row>
    <row r="788" spans="1:27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</row>
    <row r="789" spans="1:27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</row>
    <row r="790" spans="1:27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</row>
    <row r="791" spans="1:27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</row>
    <row r="792" spans="1:27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</row>
    <row r="793" spans="1:27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</row>
    <row r="794" spans="1:27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</row>
    <row r="795" spans="1:27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</row>
    <row r="796" spans="1:27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</row>
    <row r="797" spans="1:27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</row>
    <row r="798" spans="1:27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</row>
    <row r="799" spans="1:27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</row>
    <row r="800" spans="1:27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</row>
    <row r="801" spans="1:27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</row>
    <row r="802" spans="1:27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</row>
    <row r="803" spans="1:27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</row>
    <row r="804" spans="1:27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</row>
    <row r="805" spans="1:27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</row>
    <row r="806" spans="1:27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</row>
    <row r="807" spans="1:27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</row>
    <row r="808" spans="1:27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</row>
    <row r="809" spans="1:27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</row>
    <row r="810" spans="1:27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</row>
    <row r="811" spans="1:27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</row>
    <row r="812" spans="1:27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</row>
    <row r="813" spans="1:27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</row>
    <row r="814" spans="1:27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</row>
    <row r="815" spans="1:27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</row>
    <row r="816" spans="1:27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</row>
    <row r="817" spans="1:27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</row>
    <row r="818" spans="1:27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</row>
    <row r="819" spans="1:27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</row>
    <row r="820" spans="1:27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</row>
    <row r="821" spans="1:27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</row>
    <row r="822" spans="1:27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</row>
    <row r="823" spans="1:27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</row>
    <row r="824" spans="1:27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</row>
    <row r="825" spans="1:27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</row>
    <row r="826" spans="1:27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</row>
    <row r="827" spans="1:27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</row>
    <row r="828" spans="1:27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</row>
    <row r="829" spans="1:27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</row>
    <row r="830" spans="1:27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</row>
    <row r="831" spans="1:27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</row>
    <row r="832" spans="1:27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</row>
    <row r="833" spans="1:27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</row>
    <row r="834" spans="1:27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</row>
    <row r="835" spans="1:27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</row>
    <row r="836" spans="1:27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</row>
    <row r="837" spans="1:27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</row>
    <row r="838" spans="1:27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</row>
    <row r="839" spans="1:27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</row>
    <row r="840" spans="1:27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</row>
    <row r="841" spans="1:27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</row>
    <row r="842" spans="1:27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</row>
    <row r="843" spans="1:27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</row>
    <row r="844" spans="1:27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</row>
    <row r="845" spans="1:27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</row>
    <row r="846" spans="1:27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</row>
    <row r="847" spans="1:27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</row>
    <row r="848" spans="1:27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</row>
    <row r="849" spans="1:27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</row>
    <row r="850" spans="1:27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</row>
    <row r="851" spans="1:27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</row>
    <row r="852" spans="1:27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</row>
    <row r="853" spans="1:27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</row>
    <row r="854" spans="1:27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</row>
    <row r="855" spans="1:27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</row>
    <row r="856" spans="1:27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</row>
    <row r="857" spans="1:27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</row>
    <row r="858" spans="1:27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</row>
    <row r="859" spans="1:27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</row>
    <row r="860" spans="1:27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</row>
    <row r="861" spans="1:27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</row>
    <row r="862" spans="1:27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</row>
    <row r="863" spans="1:27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</row>
    <row r="864" spans="1:27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</row>
    <row r="865" spans="1:27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</row>
    <row r="866" spans="1:27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</row>
    <row r="867" spans="1:27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</row>
    <row r="868" spans="1:27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</row>
    <row r="869" spans="1:27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</row>
    <row r="870" spans="1:27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</row>
    <row r="871" spans="1:27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</row>
    <row r="872" spans="1:27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</row>
    <row r="873" spans="1:27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</row>
    <row r="874" spans="1:27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</row>
    <row r="875" spans="1:27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</row>
    <row r="876" spans="1:27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</row>
    <row r="877" spans="1:27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</row>
    <row r="878" spans="1:27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</row>
    <row r="879" spans="1:27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</row>
    <row r="880" spans="1:27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</row>
    <row r="881" spans="1:27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</row>
    <row r="882" spans="1:27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</row>
    <row r="883" spans="1:27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</row>
    <row r="884" spans="1:27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</row>
    <row r="885" spans="1:27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</row>
    <row r="886" spans="1:27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</row>
    <row r="887" spans="1:27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</row>
    <row r="888" spans="1:27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</row>
    <row r="889" spans="1:27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</row>
    <row r="890" spans="1:27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</row>
    <row r="891" spans="1:27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</row>
    <row r="892" spans="1:27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</row>
    <row r="893" spans="1:27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</row>
    <row r="894" spans="1:27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</row>
    <row r="895" spans="1:27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</row>
    <row r="896" spans="1:27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</row>
    <row r="897" spans="1:27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</row>
    <row r="898" spans="1:27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</row>
    <row r="899" spans="1:27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</row>
    <row r="900" spans="1:27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</row>
    <row r="901" spans="1:27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</row>
    <row r="902" spans="1:27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</row>
    <row r="903" spans="1:27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</row>
    <row r="904" spans="1:27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</row>
    <row r="905" spans="1:27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</row>
    <row r="906" spans="1:27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</row>
    <row r="907" spans="1:27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</row>
    <row r="908" spans="1:27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</row>
    <row r="909" spans="1:27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</row>
    <row r="910" spans="1:27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</row>
    <row r="911" spans="1:27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</row>
    <row r="912" spans="1:27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</row>
    <row r="913" spans="1:27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</row>
    <row r="914" spans="1:27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</row>
    <row r="915" spans="1:27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</row>
    <row r="916" spans="1:27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</row>
    <row r="917" spans="1:27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</row>
    <row r="918" spans="1:27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</row>
    <row r="919" spans="1:27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</row>
    <row r="920" spans="1:27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</row>
    <row r="921" spans="1:27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</row>
    <row r="922" spans="1:27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</row>
    <row r="923" spans="1:27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</row>
    <row r="924" spans="1:27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</row>
    <row r="925" spans="1:27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</row>
    <row r="926" spans="1:27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</row>
    <row r="927" spans="1:27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</row>
    <row r="928" spans="1:27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</row>
    <row r="929" spans="1:27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</row>
    <row r="930" spans="1:27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</row>
    <row r="931" spans="1:27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</row>
    <row r="932" spans="1:27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</row>
    <row r="933" spans="1:27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</row>
    <row r="934" spans="1:27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</row>
    <row r="935" spans="1:27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</row>
    <row r="936" spans="1:27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</row>
    <row r="937" spans="1:27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</row>
    <row r="938" spans="1:27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</row>
    <row r="939" spans="1:27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</row>
    <row r="940" spans="1:27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</row>
    <row r="941" spans="1:27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</row>
    <row r="942" spans="1:27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</row>
    <row r="943" spans="1:27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</row>
    <row r="944" spans="1:27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</row>
    <row r="945" spans="1:27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</row>
    <row r="946" spans="1:27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</row>
    <row r="947" spans="1:27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</row>
    <row r="948" spans="1:27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</row>
    <row r="949" spans="1:27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</row>
    <row r="950" spans="1:27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</row>
    <row r="951" spans="1:27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</row>
    <row r="952" spans="1:27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</row>
    <row r="953" spans="1:27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</row>
    <row r="954" spans="1:27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</row>
    <row r="955" spans="1:27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</row>
    <row r="956" spans="1:27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</row>
    <row r="957" spans="1:27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</row>
    <row r="958" spans="1:27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</row>
    <row r="959" spans="1:27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</row>
    <row r="960" spans="1:27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</row>
    <row r="961" spans="1:27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</row>
    <row r="962" spans="1:27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</row>
    <row r="963" spans="1:27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</row>
    <row r="964" spans="1:27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</row>
    <row r="965" spans="1:27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</row>
    <row r="966" spans="1:27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</row>
    <row r="967" spans="1:27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</row>
    <row r="968" spans="1:27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</row>
    <row r="969" spans="1:27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</row>
    <row r="970" spans="1:27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</row>
    <row r="971" spans="1:27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</row>
    <row r="972" spans="1:27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</row>
    <row r="973" spans="1:27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</row>
    <row r="974" spans="1:27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</row>
    <row r="975" spans="1:27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</row>
    <row r="976" spans="1:27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</row>
    <row r="977" spans="1:27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</row>
    <row r="978" spans="1:27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</row>
    <row r="979" spans="1:27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</row>
    <row r="980" spans="1:27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</row>
    <row r="981" spans="1:27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</row>
    <row r="982" spans="1:27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</row>
    <row r="983" spans="1:27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</row>
    <row r="984" spans="1:27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</row>
    <row r="985" spans="1:27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</row>
    <row r="986" spans="1:27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</row>
    <row r="987" spans="1:27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</row>
    <row r="988" spans="1:27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</row>
    <row r="989" spans="1:27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</row>
    <row r="990" spans="1:27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</row>
    <row r="991" spans="1:27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</row>
    <row r="992" spans="1:27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</row>
    <row r="993" spans="1:27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</row>
    <row r="994" spans="1:27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</row>
    <row r="995" spans="1:27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</row>
    <row r="996" spans="1:27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</row>
    <row r="997" spans="1:27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</row>
    <row r="998" spans="1:27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</row>
    <row r="999" spans="1:27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</row>
    <row r="1000" spans="1:27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C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BDAB-7639-4EF2-AE7A-003571B106B6}">
  <sheetPr>
    <tabColor theme="0" tint="-0.249977111117893"/>
  </sheetPr>
  <dimension ref="A1:AA1000"/>
  <sheetViews>
    <sheetView topLeftCell="B1" workbookViewId="0">
      <pane ySplit="12" topLeftCell="A297" activePane="bottomLeft" state="frozen"/>
      <selection pane="bottomLeft" activeCell="F321" sqref="F321"/>
    </sheetView>
  </sheetViews>
  <sheetFormatPr defaultColWidth="14.42578125" defaultRowHeight="15" customHeight="1" x14ac:dyDescent="0.25"/>
  <cols>
    <col min="1" max="1" width="218.7109375" style="145" hidden="1" customWidth="1"/>
    <col min="2" max="2" width="87.140625" style="145" customWidth="1"/>
    <col min="3" max="3" width="15.140625" style="145" customWidth="1"/>
    <col min="4" max="4" width="15.5703125" style="145" customWidth="1"/>
    <col min="5" max="5" width="14.85546875" style="145" customWidth="1"/>
    <col min="6" max="6" width="15.85546875" style="145" customWidth="1"/>
    <col min="7" max="7" width="16.28515625" style="145" customWidth="1"/>
    <col min="8" max="19" width="12.7109375" style="145" customWidth="1"/>
    <col min="20" max="20" width="17" style="145" customWidth="1"/>
    <col min="21" max="21" width="17.140625" style="145" customWidth="1"/>
    <col min="22" max="22" width="12.7109375" style="145" customWidth="1"/>
    <col min="23" max="23" width="17.85546875" style="145" customWidth="1"/>
    <col min="24" max="24" width="14.42578125" style="145" customWidth="1"/>
    <col min="25" max="25" width="13.140625" style="145" customWidth="1"/>
    <col min="26" max="26" width="18.5703125" style="145" customWidth="1"/>
    <col min="27" max="27" width="16.140625" style="145" customWidth="1"/>
    <col min="28" max="16384" width="14.42578125" style="145"/>
  </cols>
  <sheetData>
    <row r="1" spans="1:27" ht="12" customHeight="1" x14ac:dyDescent="0.25">
      <c r="A1" s="143"/>
      <c r="B1" s="143"/>
      <c r="C1" s="143"/>
      <c r="D1" s="144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ht="12" customHeight="1" x14ac:dyDescent="0.25">
      <c r="A2" s="528" t="s">
        <v>1119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143"/>
      <c r="Y2" s="143"/>
      <c r="Z2" s="143"/>
      <c r="AA2" s="143"/>
    </row>
    <row r="3" spans="1:27" ht="15" customHeight="1" x14ac:dyDescent="0.25">
      <c r="A3" s="528" t="s">
        <v>1383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143"/>
      <c r="Y3" s="143"/>
      <c r="Z3" s="143"/>
      <c r="AA3" s="143"/>
    </row>
    <row r="4" spans="1:27" ht="12" customHeight="1" x14ac:dyDescent="0.25">
      <c r="A4" s="530">
        <v>2026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143"/>
      <c r="Y4" s="143"/>
      <c r="Z4" s="143"/>
      <c r="AA4" s="143"/>
    </row>
    <row r="5" spans="1:27" ht="12" customHeight="1" x14ac:dyDescent="0.25">
      <c r="A5" s="146"/>
      <c r="B5" s="147" t="s">
        <v>1383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3"/>
      <c r="Y5" s="143"/>
      <c r="Z5" s="143"/>
      <c r="AA5" s="143"/>
    </row>
    <row r="6" spans="1:27" ht="12" customHeight="1" x14ac:dyDescent="0.25">
      <c r="A6" s="146"/>
      <c r="B6" s="147" t="s">
        <v>1077</v>
      </c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3"/>
      <c r="Y6" s="143"/>
      <c r="Z6" s="143"/>
      <c r="AA6" s="143"/>
    </row>
    <row r="7" spans="1:27" ht="12" customHeight="1" x14ac:dyDescent="0.25">
      <c r="A7" s="146"/>
      <c r="B7" s="531" t="s">
        <v>1082</v>
      </c>
      <c r="C7" s="532"/>
      <c r="D7" s="532"/>
      <c r="E7" s="532"/>
      <c r="F7" s="532"/>
      <c r="G7" s="532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9"/>
      <c r="Y7" s="149"/>
      <c r="Z7" s="149"/>
      <c r="AA7" s="149"/>
    </row>
    <row r="8" spans="1:27" ht="12" customHeight="1" x14ac:dyDescent="0.25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3"/>
      <c r="Y8" s="143"/>
      <c r="Z8" s="143"/>
      <c r="AA8" s="150" t="s">
        <v>1</v>
      </c>
    </row>
    <row r="9" spans="1:27" ht="12" customHeight="1" x14ac:dyDescent="0.25">
      <c r="A9" s="151"/>
      <c r="B9" s="533" t="s">
        <v>34</v>
      </c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34"/>
      <c r="Q9" s="534"/>
      <c r="R9" s="534"/>
      <c r="S9" s="534"/>
      <c r="T9" s="534"/>
      <c r="U9" s="534"/>
      <c r="V9" s="534"/>
      <c r="W9" s="534"/>
      <c r="X9" s="534"/>
      <c r="Y9" s="534"/>
      <c r="Z9" s="534"/>
      <c r="AA9" s="535"/>
    </row>
    <row r="10" spans="1:27" ht="12" customHeight="1" x14ac:dyDescent="0.25">
      <c r="A10" s="524"/>
      <c r="B10" s="527" t="s">
        <v>1083</v>
      </c>
      <c r="C10" s="527" t="s">
        <v>2</v>
      </c>
      <c r="D10" s="527" t="s">
        <v>3</v>
      </c>
      <c r="E10" s="152" t="s">
        <v>57</v>
      </c>
      <c r="F10" s="152" t="s">
        <v>30</v>
      </c>
      <c r="G10" s="152" t="s">
        <v>58</v>
      </c>
      <c r="H10" s="527" t="s">
        <v>5</v>
      </c>
      <c r="I10" s="527" t="s">
        <v>6</v>
      </c>
      <c r="J10" s="527" t="s">
        <v>7</v>
      </c>
      <c r="K10" s="527" t="s">
        <v>8</v>
      </c>
      <c r="L10" s="527" t="s">
        <v>9</v>
      </c>
      <c r="M10" s="527" t="s">
        <v>10</v>
      </c>
      <c r="N10" s="527" t="s">
        <v>11</v>
      </c>
      <c r="O10" s="527" t="s">
        <v>12</v>
      </c>
      <c r="P10" s="527" t="s">
        <v>13</v>
      </c>
      <c r="Q10" s="527" t="s">
        <v>14</v>
      </c>
      <c r="R10" s="527" t="s">
        <v>15</v>
      </c>
      <c r="S10" s="527" t="s">
        <v>16</v>
      </c>
      <c r="T10" s="152" t="s">
        <v>17</v>
      </c>
      <c r="U10" s="152" t="s">
        <v>18</v>
      </c>
      <c r="V10" s="527" t="s">
        <v>59</v>
      </c>
      <c r="W10" s="527" t="s">
        <v>60</v>
      </c>
      <c r="X10" s="527" t="s">
        <v>32</v>
      </c>
      <c r="Y10" s="527" t="s">
        <v>31</v>
      </c>
      <c r="Z10" s="527" t="s">
        <v>61</v>
      </c>
      <c r="AA10" s="527" t="s">
        <v>62</v>
      </c>
    </row>
    <row r="11" spans="1:27" ht="12" customHeight="1" x14ac:dyDescent="0.25">
      <c r="A11" s="525"/>
      <c r="B11" s="525"/>
      <c r="C11" s="526"/>
      <c r="D11" s="526"/>
      <c r="E11" s="153" t="s">
        <v>1408</v>
      </c>
      <c r="F11" s="153" t="s">
        <v>1408</v>
      </c>
      <c r="G11" s="153" t="s">
        <v>1408</v>
      </c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6"/>
      <c r="T11" s="153" t="s">
        <v>1408</v>
      </c>
      <c r="U11" s="153" t="s">
        <v>1408</v>
      </c>
      <c r="V11" s="526"/>
      <c r="W11" s="526"/>
      <c r="X11" s="526"/>
      <c r="Y11" s="526"/>
      <c r="Z11" s="526"/>
      <c r="AA11" s="526"/>
    </row>
    <row r="12" spans="1:27" ht="12" customHeight="1" x14ac:dyDescent="0.25">
      <c r="A12" s="526"/>
      <c r="B12" s="526"/>
      <c r="C12" s="154" t="s">
        <v>20</v>
      </c>
      <c r="D12" s="154" t="s">
        <v>21</v>
      </c>
      <c r="E12" s="154" t="s">
        <v>22</v>
      </c>
      <c r="F12" s="154" t="s">
        <v>23</v>
      </c>
      <c r="G12" s="154" t="s">
        <v>24</v>
      </c>
      <c r="H12" s="154" t="s">
        <v>63</v>
      </c>
      <c r="I12" s="154" t="s">
        <v>63</v>
      </c>
      <c r="J12" s="154" t="s">
        <v>63</v>
      </c>
      <c r="K12" s="154" t="s">
        <v>63</v>
      </c>
      <c r="L12" s="154" t="s">
        <v>63</v>
      </c>
      <c r="M12" s="154" t="s">
        <v>63</v>
      </c>
      <c r="N12" s="154" t="s">
        <v>63</v>
      </c>
      <c r="O12" s="154" t="s">
        <v>63</v>
      </c>
      <c r="P12" s="154" t="s">
        <v>63</v>
      </c>
      <c r="Q12" s="154" t="s">
        <v>63</v>
      </c>
      <c r="R12" s="154" t="s">
        <v>63</v>
      </c>
      <c r="S12" s="154" t="s">
        <v>63</v>
      </c>
      <c r="T12" s="154" t="s">
        <v>64</v>
      </c>
      <c r="U12" s="154" t="s">
        <v>65</v>
      </c>
      <c r="V12" s="154" t="s">
        <v>66</v>
      </c>
      <c r="W12" s="154" t="s">
        <v>67</v>
      </c>
      <c r="X12" s="154" t="s">
        <v>68</v>
      </c>
      <c r="Y12" s="154" t="s">
        <v>69</v>
      </c>
      <c r="Z12" s="154" t="s">
        <v>70</v>
      </c>
      <c r="AA12" s="154" t="s">
        <v>71</v>
      </c>
    </row>
    <row r="13" spans="1:27" ht="12" customHeight="1" x14ac:dyDescent="0.25">
      <c r="A13" s="155"/>
      <c r="B13" s="156" t="s">
        <v>404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8">
        <v>0</v>
      </c>
      <c r="U13" s="159" t="e">
        <v>#DIV/0!</v>
      </c>
      <c r="V13" s="158">
        <v>0</v>
      </c>
      <c r="W13" s="158">
        <v>0</v>
      </c>
      <c r="X13" s="158">
        <v>0</v>
      </c>
      <c r="Y13" s="158">
        <v>0</v>
      </c>
      <c r="Z13" s="158">
        <v>0</v>
      </c>
      <c r="AA13" s="158">
        <v>0</v>
      </c>
    </row>
    <row r="14" spans="1:27" ht="12" customHeight="1" x14ac:dyDescent="0.25">
      <c r="A14" s="155"/>
      <c r="B14" s="162" t="s">
        <v>405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163">
        <v>0</v>
      </c>
      <c r="K14" s="163">
        <v>0</v>
      </c>
      <c r="L14" s="163">
        <v>0</v>
      </c>
      <c r="M14" s="163">
        <v>0</v>
      </c>
      <c r="N14" s="163">
        <v>0</v>
      </c>
      <c r="O14" s="163">
        <v>0</v>
      </c>
      <c r="P14" s="163">
        <v>0</v>
      </c>
      <c r="Q14" s="163">
        <v>0</v>
      </c>
      <c r="R14" s="163">
        <v>0</v>
      </c>
      <c r="S14" s="163">
        <v>0</v>
      </c>
      <c r="T14" s="164">
        <v>0</v>
      </c>
      <c r="U14" s="165" t="e">
        <v>#DIV/0!</v>
      </c>
      <c r="V14" s="164">
        <v>0</v>
      </c>
      <c r="W14" s="164">
        <v>0</v>
      </c>
      <c r="X14" s="164">
        <v>0</v>
      </c>
      <c r="Y14" s="164">
        <v>0</v>
      </c>
      <c r="Z14" s="164">
        <v>0</v>
      </c>
      <c r="AA14" s="164">
        <v>0</v>
      </c>
    </row>
    <row r="15" spans="1:27" ht="12" customHeight="1" x14ac:dyDescent="0.25">
      <c r="A15" s="155" t="s">
        <v>1120</v>
      </c>
      <c r="B15" s="166" t="s">
        <v>406</v>
      </c>
      <c r="C15" s="167">
        <v>0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8" t="e">
        <v>#DIV/0!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</row>
    <row r="16" spans="1:27" ht="12" customHeight="1" x14ac:dyDescent="0.25">
      <c r="A16" s="155" t="s">
        <v>1121</v>
      </c>
      <c r="B16" s="166" t="s">
        <v>407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8" t="e">
        <v>#DIV/0!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</row>
    <row r="17" spans="1:27" ht="12" customHeight="1" x14ac:dyDescent="0.25">
      <c r="A17" s="155" t="s">
        <v>1122</v>
      </c>
      <c r="B17" s="166" t="s">
        <v>408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8" t="e">
        <v>#DIV/0!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</row>
    <row r="18" spans="1:27" ht="12" customHeight="1" x14ac:dyDescent="0.25">
      <c r="A18" s="155" t="s">
        <v>1123</v>
      </c>
      <c r="B18" s="166" t="s">
        <v>409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8" t="e">
        <v>#DIV/0!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</row>
    <row r="19" spans="1:27" ht="12" customHeight="1" x14ac:dyDescent="0.25">
      <c r="A19" s="155" t="s">
        <v>1124</v>
      </c>
      <c r="B19" s="166" t="s">
        <v>410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8" t="e">
        <v>#DIV/0!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</row>
    <row r="20" spans="1:27" ht="12" customHeight="1" x14ac:dyDescent="0.25">
      <c r="A20" s="155" t="s">
        <v>1125</v>
      </c>
      <c r="B20" s="166" t="s">
        <v>411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8" t="e">
        <v>#DIV/0!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</row>
    <row r="21" spans="1:27" ht="12" customHeight="1" x14ac:dyDescent="0.25">
      <c r="A21" s="155" t="s">
        <v>1126</v>
      </c>
      <c r="B21" s="166" t="s">
        <v>412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8" t="e">
        <v>#DIV/0!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</row>
    <row r="22" spans="1:27" ht="12" customHeight="1" x14ac:dyDescent="0.25">
      <c r="A22" s="155" t="s">
        <v>1127</v>
      </c>
      <c r="B22" s="166" t="s">
        <v>413</v>
      </c>
      <c r="C22" s="167">
        <v>0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8" t="e">
        <v>#DIV/0!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</row>
    <row r="23" spans="1:27" ht="12" customHeight="1" x14ac:dyDescent="0.25">
      <c r="A23" s="155" t="s">
        <v>1128</v>
      </c>
      <c r="B23" s="166" t="s">
        <v>414</v>
      </c>
      <c r="C23" s="167">
        <v>0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8" t="e">
        <v>#DIV/0!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</row>
    <row r="24" spans="1:27" ht="12" customHeight="1" x14ac:dyDescent="0.25">
      <c r="A24" s="155" t="s">
        <v>1129</v>
      </c>
      <c r="B24" s="166" t="s">
        <v>415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8" t="e">
        <v>#DIV/0!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</row>
    <row r="25" spans="1:27" ht="12" customHeight="1" x14ac:dyDescent="0.25">
      <c r="A25" s="155" t="s">
        <v>1130</v>
      </c>
      <c r="B25" s="166" t="s">
        <v>416</v>
      </c>
      <c r="C25" s="167">
        <v>0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8" t="e">
        <v>#DIV/0!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</row>
    <row r="26" spans="1:27" ht="12" customHeight="1" x14ac:dyDescent="0.25">
      <c r="A26" s="155" t="s">
        <v>1131</v>
      </c>
      <c r="B26" s="166" t="s">
        <v>417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8" t="e">
        <v>#DIV/0!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</row>
    <row r="27" spans="1:27" ht="12" customHeight="1" x14ac:dyDescent="0.25">
      <c r="A27" s="155"/>
      <c r="B27" s="162" t="s">
        <v>418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3">
        <v>0</v>
      </c>
      <c r="R27" s="163">
        <v>0</v>
      </c>
      <c r="S27" s="163">
        <v>0</v>
      </c>
      <c r="T27" s="164">
        <v>0</v>
      </c>
      <c r="U27" s="165" t="e">
        <v>#DIV/0!</v>
      </c>
      <c r="V27" s="164">
        <v>0</v>
      </c>
      <c r="W27" s="164">
        <v>0</v>
      </c>
      <c r="X27" s="164">
        <v>0</v>
      </c>
      <c r="Y27" s="164">
        <v>0</v>
      </c>
      <c r="Z27" s="164">
        <v>0</v>
      </c>
      <c r="AA27" s="164">
        <v>0</v>
      </c>
    </row>
    <row r="28" spans="1:27" ht="12" customHeight="1" x14ac:dyDescent="0.25">
      <c r="A28" s="155" t="s">
        <v>1132</v>
      </c>
      <c r="B28" s="166" t="s">
        <v>419</v>
      </c>
      <c r="C28" s="167">
        <v>0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8" t="e">
        <v>#DIV/0!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</row>
    <row r="29" spans="1:27" ht="12" customHeight="1" x14ac:dyDescent="0.25">
      <c r="A29" s="155" t="s">
        <v>1133</v>
      </c>
      <c r="B29" s="166" t="s">
        <v>420</v>
      </c>
      <c r="C29" s="167">
        <v>0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8" t="e">
        <v>#DIV/0!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</row>
    <row r="30" spans="1:27" ht="12" customHeight="1" x14ac:dyDescent="0.25">
      <c r="A30" s="155" t="s">
        <v>1134</v>
      </c>
      <c r="B30" s="166" t="s">
        <v>421</v>
      </c>
      <c r="C30" s="167"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8" t="e">
        <v>#DIV/0!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</row>
    <row r="31" spans="1:27" ht="12" customHeight="1" x14ac:dyDescent="0.25">
      <c r="A31" s="155" t="s">
        <v>1135</v>
      </c>
      <c r="B31" s="166" t="s">
        <v>422</v>
      </c>
      <c r="C31" s="167">
        <v>0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8" t="e">
        <v>#DIV/0!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</row>
    <row r="32" spans="1:27" ht="12" customHeight="1" x14ac:dyDescent="0.25">
      <c r="A32" s="155" t="s">
        <v>1136</v>
      </c>
      <c r="B32" s="166" t="s">
        <v>423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8" t="e">
        <v>#DIV/0!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</row>
    <row r="33" spans="1:27" ht="12" customHeight="1" x14ac:dyDescent="0.25">
      <c r="A33" s="155" t="s">
        <v>1137</v>
      </c>
      <c r="B33" s="166" t="s">
        <v>424</v>
      </c>
      <c r="C33" s="167">
        <v>0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8" t="e">
        <v>#DIV/0!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</row>
    <row r="34" spans="1:27" ht="12" customHeight="1" x14ac:dyDescent="0.25">
      <c r="A34" s="155" t="s">
        <v>1138</v>
      </c>
      <c r="B34" s="166" t="s">
        <v>425</v>
      </c>
      <c r="C34" s="167">
        <v>0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8" t="e">
        <v>#DIV/0!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</row>
    <row r="35" spans="1:27" ht="12" customHeight="1" x14ac:dyDescent="0.25">
      <c r="A35" s="155" t="s">
        <v>1139</v>
      </c>
      <c r="B35" s="166" t="s">
        <v>426</v>
      </c>
      <c r="C35" s="167">
        <v>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8" t="e">
        <v>#DIV/0!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</row>
    <row r="36" spans="1:27" ht="12" customHeight="1" x14ac:dyDescent="0.25">
      <c r="A36" s="155" t="s">
        <v>1140</v>
      </c>
      <c r="B36" s="166" t="s">
        <v>427</v>
      </c>
      <c r="C36" s="167">
        <v>0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8" t="e">
        <v>#DIV/0!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</row>
    <row r="37" spans="1:27" ht="12" customHeight="1" x14ac:dyDescent="0.25">
      <c r="A37" s="155" t="s">
        <v>1141</v>
      </c>
      <c r="B37" s="162" t="s">
        <v>428</v>
      </c>
      <c r="C37" s="164">
        <v>0</v>
      </c>
      <c r="D37" s="164">
        <v>0</v>
      </c>
      <c r="E37" s="164">
        <v>0</v>
      </c>
      <c r="F37" s="164">
        <v>0</v>
      </c>
      <c r="G37" s="164">
        <v>0</v>
      </c>
      <c r="H37" s="164">
        <v>0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0</v>
      </c>
      <c r="Q37" s="164">
        <v>0</v>
      </c>
      <c r="R37" s="164">
        <v>0</v>
      </c>
      <c r="S37" s="164">
        <v>0</v>
      </c>
      <c r="T37" s="164">
        <v>0</v>
      </c>
      <c r="U37" s="165" t="e">
        <v>#DIV/0!</v>
      </c>
      <c r="V37" s="164">
        <v>0</v>
      </c>
      <c r="W37" s="164">
        <v>0</v>
      </c>
      <c r="X37" s="164">
        <v>0</v>
      </c>
      <c r="Y37" s="164">
        <v>0</v>
      </c>
      <c r="Z37" s="164">
        <v>0</v>
      </c>
      <c r="AA37" s="164">
        <v>0</v>
      </c>
    </row>
    <row r="38" spans="1:27" ht="12" customHeight="1" x14ac:dyDescent="0.25">
      <c r="A38" s="155" t="s">
        <v>1142</v>
      </c>
      <c r="B38" s="162" t="s">
        <v>429</v>
      </c>
      <c r="C38" s="164">
        <v>0</v>
      </c>
      <c r="D38" s="164">
        <v>0</v>
      </c>
      <c r="E38" s="164">
        <v>0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0</v>
      </c>
      <c r="O38" s="164">
        <v>0</v>
      </c>
      <c r="P38" s="164">
        <v>0</v>
      </c>
      <c r="Q38" s="164">
        <v>0</v>
      </c>
      <c r="R38" s="164">
        <v>0</v>
      </c>
      <c r="S38" s="164">
        <v>0</v>
      </c>
      <c r="T38" s="164">
        <v>0</v>
      </c>
      <c r="U38" s="165" t="e">
        <v>#DIV/0!</v>
      </c>
      <c r="V38" s="164">
        <v>0</v>
      </c>
      <c r="W38" s="164">
        <v>0</v>
      </c>
      <c r="X38" s="164">
        <v>0</v>
      </c>
      <c r="Y38" s="164">
        <v>0</v>
      </c>
      <c r="Z38" s="164">
        <v>0</v>
      </c>
      <c r="AA38" s="164">
        <v>0</v>
      </c>
    </row>
    <row r="39" spans="1:27" ht="12" customHeight="1" x14ac:dyDescent="0.25">
      <c r="A39" s="155"/>
      <c r="B39" s="156" t="s">
        <v>430</v>
      </c>
      <c r="C39" s="157">
        <v>0</v>
      </c>
      <c r="D39" s="157">
        <v>0</v>
      </c>
      <c r="E39" s="157">
        <v>0</v>
      </c>
      <c r="F39" s="157">
        <v>0</v>
      </c>
      <c r="G39" s="157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7">
        <v>0</v>
      </c>
      <c r="Q39" s="157">
        <v>0</v>
      </c>
      <c r="R39" s="157">
        <v>0</v>
      </c>
      <c r="S39" s="157">
        <v>0</v>
      </c>
      <c r="T39" s="158">
        <v>0</v>
      </c>
      <c r="U39" s="159" t="e">
        <v>#DIV/0!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0</v>
      </c>
    </row>
    <row r="40" spans="1:27" ht="12" customHeight="1" x14ac:dyDescent="0.25">
      <c r="A40" s="155" t="s">
        <v>1143</v>
      </c>
      <c r="B40" s="162" t="s">
        <v>431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v>0</v>
      </c>
      <c r="Q40" s="164">
        <v>0</v>
      </c>
      <c r="R40" s="164">
        <v>0</v>
      </c>
      <c r="S40" s="164">
        <v>0</v>
      </c>
      <c r="T40" s="164">
        <v>0</v>
      </c>
      <c r="U40" s="165" t="e">
        <v>#DIV/0!</v>
      </c>
      <c r="V40" s="164">
        <v>0</v>
      </c>
      <c r="W40" s="164">
        <v>0</v>
      </c>
      <c r="X40" s="164">
        <v>0</v>
      </c>
      <c r="Y40" s="164">
        <v>0</v>
      </c>
      <c r="Z40" s="164">
        <v>0</v>
      </c>
      <c r="AA40" s="164">
        <v>0</v>
      </c>
    </row>
    <row r="41" spans="1:27" ht="12" customHeight="1" x14ac:dyDescent="0.25">
      <c r="A41" s="155" t="s">
        <v>1144</v>
      </c>
      <c r="B41" s="162" t="s">
        <v>432</v>
      </c>
      <c r="C41" s="164">
        <v>0</v>
      </c>
      <c r="D41" s="164">
        <v>0</v>
      </c>
      <c r="E41" s="164">
        <v>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0</v>
      </c>
      <c r="N41" s="164">
        <v>0</v>
      </c>
      <c r="O41" s="164">
        <v>0</v>
      </c>
      <c r="P41" s="164">
        <v>0</v>
      </c>
      <c r="Q41" s="164">
        <v>0</v>
      </c>
      <c r="R41" s="164">
        <v>0</v>
      </c>
      <c r="S41" s="164">
        <v>0</v>
      </c>
      <c r="T41" s="164">
        <v>0</v>
      </c>
      <c r="U41" s="165" t="e">
        <v>#DIV/0!</v>
      </c>
      <c r="V41" s="164">
        <v>0</v>
      </c>
      <c r="W41" s="164">
        <v>0</v>
      </c>
      <c r="X41" s="164">
        <v>0</v>
      </c>
      <c r="Y41" s="164">
        <v>0</v>
      </c>
      <c r="Z41" s="164">
        <v>0</v>
      </c>
      <c r="AA41" s="164">
        <v>0</v>
      </c>
    </row>
    <row r="42" spans="1:27" ht="12" customHeight="1" x14ac:dyDescent="0.25">
      <c r="A42" s="155"/>
      <c r="B42" s="162" t="s">
        <v>433</v>
      </c>
      <c r="C42" s="163">
        <v>0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4">
        <v>0</v>
      </c>
      <c r="U42" s="165" t="e">
        <v>#DIV/0!</v>
      </c>
      <c r="V42" s="164">
        <v>0</v>
      </c>
      <c r="W42" s="164">
        <v>0</v>
      </c>
      <c r="X42" s="164">
        <v>0</v>
      </c>
      <c r="Y42" s="164">
        <v>0</v>
      </c>
      <c r="Z42" s="164">
        <v>0</v>
      </c>
      <c r="AA42" s="164">
        <v>0</v>
      </c>
    </row>
    <row r="43" spans="1:27" ht="12" customHeight="1" x14ac:dyDescent="0.25">
      <c r="A43" s="155" t="s">
        <v>1145</v>
      </c>
      <c r="B43" s="166" t="s">
        <v>434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8" t="e">
        <v>#DIV/0!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</row>
    <row r="44" spans="1:27" ht="12" customHeight="1" x14ac:dyDescent="0.25">
      <c r="A44" s="155" t="s">
        <v>1146</v>
      </c>
      <c r="B44" s="166" t="s">
        <v>435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8" t="e">
        <v>#DIV/0!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</row>
    <row r="45" spans="1:27" ht="12" customHeight="1" x14ac:dyDescent="0.25">
      <c r="A45" s="155"/>
      <c r="B45" s="162" t="s">
        <v>436</v>
      </c>
      <c r="C45" s="163">
        <v>0</v>
      </c>
      <c r="D45" s="163">
        <v>0</v>
      </c>
      <c r="E45" s="163">
        <v>0</v>
      </c>
      <c r="F45" s="163">
        <v>0</v>
      </c>
      <c r="G45" s="163">
        <v>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3">
        <v>0</v>
      </c>
      <c r="R45" s="163">
        <v>0</v>
      </c>
      <c r="S45" s="163">
        <v>0</v>
      </c>
      <c r="T45" s="164">
        <v>0</v>
      </c>
      <c r="U45" s="165" t="e">
        <v>#DIV/0!</v>
      </c>
      <c r="V45" s="164">
        <v>0</v>
      </c>
      <c r="W45" s="164">
        <v>0</v>
      </c>
      <c r="X45" s="164">
        <v>0</v>
      </c>
      <c r="Y45" s="164">
        <v>0</v>
      </c>
      <c r="Z45" s="164">
        <v>0</v>
      </c>
      <c r="AA45" s="164">
        <v>0</v>
      </c>
    </row>
    <row r="46" spans="1:27" ht="12" customHeight="1" x14ac:dyDescent="0.25">
      <c r="A46" s="155" t="s">
        <v>1147</v>
      </c>
      <c r="B46" s="166" t="s">
        <v>437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8" t="e">
        <v>#DIV/0!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</row>
    <row r="47" spans="1:27" ht="12" customHeight="1" x14ac:dyDescent="0.25">
      <c r="A47" s="155" t="s">
        <v>1148</v>
      </c>
      <c r="B47" s="166" t="s">
        <v>438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8" t="e">
        <v>#DIV/0!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</row>
    <row r="48" spans="1:27" ht="12" customHeight="1" x14ac:dyDescent="0.25">
      <c r="A48" s="155" t="s">
        <v>1149</v>
      </c>
      <c r="B48" s="166" t="s">
        <v>439</v>
      </c>
      <c r="C48" s="167">
        <v>0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8" t="e">
        <v>#DIV/0!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</row>
    <row r="49" spans="1:27" ht="12" customHeight="1" x14ac:dyDescent="0.25">
      <c r="A49" s="155" t="s">
        <v>1150</v>
      </c>
      <c r="B49" s="166" t="s">
        <v>440</v>
      </c>
      <c r="C49" s="167">
        <v>0</v>
      </c>
      <c r="D49" s="167">
        <v>0</v>
      </c>
      <c r="E49" s="167">
        <v>0</v>
      </c>
      <c r="F49" s="167">
        <v>0</v>
      </c>
      <c r="G49" s="167">
        <v>0</v>
      </c>
      <c r="H49" s="167">
        <v>0</v>
      </c>
      <c r="I49" s="167"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8" t="e">
        <v>#DIV/0!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</row>
    <row r="50" spans="1:27" ht="12" customHeight="1" x14ac:dyDescent="0.25">
      <c r="A50" s="155"/>
      <c r="B50" s="162" t="s">
        <v>441</v>
      </c>
      <c r="C50" s="163">
        <v>0</v>
      </c>
      <c r="D50" s="163">
        <v>0</v>
      </c>
      <c r="E50" s="163">
        <v>0</v>
      </c>
      <c r="F50" s="163">
        <v>0</v>
      </c>
      <c r="G50" s="163">
        <v>0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163">
        <v>0</v>
      </c>
      <c r="T50" s="164">
        <v>0</v>
      </c>
      <c r="U50" s="165" t="e">
        <v>#DIV/0!</v>
      </c>
      <c r="V50" s="164">
        <v>0</v>
      </c>
      <c r="W50" s="164">
        <v>0</v>
      </c>
      <c r="X50" s="164">
        <v>0</v>
      </c>
      <c r="Y50" s="164">
        <v>0</v>
      </c>
      <c r="Z50" s="164">
        <v>0</v>
      </c>
      <c r="AA50" s="164">
        <v>0</v>
      </c>
    </row>
    <row r="51" spans="1:27" ht="12" customHeight="1" x14ac:dyDescent="0.25">
      <c r="A51" s="155" t="s">
        <v>1151</v>
      </c>
      <c r="B51" s="166" t="s">
        <v>442</v>
      </c>
      <c r="C51" s="167">
        <v>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8" t="e">
        <v>#DIV/0!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</row>
    <row r="52" spans="1:27" ht="12" customHeight="1" x14ac:dyDescent="0.25">
      <c r="A52" s="155" t="s">
        <v>1152</v>
      </c>
      <c r="B52" s="166" t="s">
        <v>443</v>
      </c>
      <c r="C52" s="167">
        <v>0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8" t="e">
        <v>#DIV/0!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</row>
    <row r="53" spans="1:27" ht="12" customHeight="1" x14ac:dyDescent="0.25">
      <c r="A53" s="155" t="s">
        <v>1153</v>
      </c>
      <c r="B53" s="166" t="s">
        <v>444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8" t="e">
        <v>#DIV/0!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</row>
    <row r="54" spans="1:27" ht="12" customHeight="1" x14ac:dyDescent="0.25">
      <c r="A54" s="155" t="s">
        <v>1154</v>
      </c>
      <c r="B54" s="166" t="s">
        <v>445</v>
      </c>
      <c r="C54" s="167">
        <v>0</v>
      </c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8" t="e">
        <v>#DIV/0!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</row>
    <row r="55" spans="1:27" ht="12" customHeight="1" x14ac:dyDescent="0.25">
      <c r="A55" s="155" t="s">
        <v>1155</v>
      </c>
      <c r="B55" s="162" t="s">
        <v>446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4">
        <v>0</v>
      </c>
      <c r="R55" s="164">
        <v>0</v>
      </c>
      <c r="S55" s="164">
        <v>0</v>
      </c>
      <c r="T55" s="164">
        <v>0</v>
      </c>
      <c r="U55" s="165" t="e">
        <v>#DIV/0!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64">
        <v>0</v>
      </c>
    </row>
    <row r="56" spans="1:27" ht="12" customHeight="1" x14ac:dyDescent="0.25">
      <c r="A56" s="155" t="s">
        <v>1156</v>
      </c>
      <c r="B56" s="162" t="s">
        <v>447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4">
        <v>0</v>
      </c>
      <c r="R56" s="164">
        <v>0</v>
      </c>
      <c r="S56" s="164">
        <v>0</v>
      </c>
      <c r="T56" s="164">
        <v>0</v>
      </c>
      <c r="U56" s="165" t="e">
        <v>#DIV/0!</v>
      </c>
      <c r="V56" s="164">
        <v>0</v>
      </c>
      <c r="W56" s="164">
        <v>0</v>
      </c>
      <c r="X56" s="164">
        <v>0</v>
      </c>
      <c r="Y56" s="164">
        <v>0</v>
      </c>
      <c r="Z56" s="164">
        <v>0</v>
      </c>
      <c r="AA56" s="164">
        <v>0</v>
      </c>
    </row>
    <row r="57" spans="1:27" ht="12" customHeight="1" x14ac:dyDescent="0.25">
      <c r="A57" s="155" t="s">
        <v>1157</v>
      </c>
      <c r="B57" s="162" t="s">
        <v>448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4">
        <v>0</v>
      </c>
      <c r="J57" s="164"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4">
        <v>0</v>
      </c>
      <c r="R57" s="164">
        <v>0</v>
      </c>
      <c r="S57" s="164">
        <v>0</v>
      </c>
      <c r="T57" s="164">
        <v>0</v>
      </c>
      <c r="U57" s="165" t="e">
        <v>#DIV/0!</v>
      </c>
      <c r="V57" s="164">
        <v>0</v>
      </c>
      <c r="W57" s="164">
        <v>0</v>
      </c>
      <c r="X57" s="164">
        <v>0</v>
      </c>
      <c r="Y57" s="164">
        <v>0</v>
      </c>
      <c r="Z57" s="164">
        <v>0</v>
      </c>
      <c r="AA57" s="164">
        <v>0</v>
      </c>
    </row>
    <row r="58" spans="1:27" ht="12" customHeight="1" x14ac:dyDescent="0.25">
      <c r="A58" s="155" t="s">
        <v>1158</v>
      </c>
      <c r="B58" s="162" t="s">
        <v>449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4">
        <v>0</v>
      </c>
      <c r="J58" s="164"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4">
        <v>0</v>
      </c>
      <c r="R58" s="164">
        <v>0</v>
      </c>
      <c r="S58" s="164">
        <v>0</v>
      </c>
      <c r="T58" s="164">
        <v>0</v>
      </c>
      <c r="U58" s="165" t="e">
        <v>#DIV/0!</v>
      </c>
      <c r="V58" s="164">
        <v>0</v>
      </c>
      <c r="W58" s="164">
        <v>0</v>
      </c>
      <c r="X58" s="164">
        <v>0</v>
      </c>
      <c r="Y58" s="164">
        <v>0</v>
      </c>
      <c r="Z58" s="164">
        <v>0</v>
      </c>
      <c r="AA58" s="164">
        <v>0</v>
      </c>
    </row>
    <row r="59" spans="1:27" ht="12" customHeight="1" x14ac:dyDescent="0.25">
      <c r="A59" s="155"/>
      <c r="B59" s="162" t="s">
        <v>450</v>
      </c>
      <c r="C59" s="163">
        <v>0</v>
      </c>
      <c r="D59" s="163">
        <v>0</v>
      </c>
      <c r="E59" s="163">
        <v>0</v>
      </c>
      <c r="F59" s="163">
        <v>0</v>
      </c>
      <c r="G59" s="163">
        <v>0</v>
      </c>
      <c r="H59" s="163">
        <v>0</v>
      </c>
      <c r="I59" s="163">
        <v>0</v>
      </c>
      <c r="J59" s="163">
        <v>0</v>
      </c>
      <c r="K59" s="163">
        <v>0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3">
        <v>0</v>
      </c>
      <c r="R59" s="163">
        <v>0</v>
      </c>
      <c r="S59" s="163">
        <v>0</v>
      </c>
      <c r="T59" s="164">
        <v>0</v>
      </c>
      <c r="U59" s="165" t="e">
        <v>#DIV/0!</v>
      </c>
      <c r="V59" s="164">
        <v>0</v>
      </c>
      <c r="W59" s="164">
        <v>0</v>
      </c>
      <c r="X59" s="164">
        <v>0</v>
      </c>
      <c r="Y59" s="164">
        <v>0</v>
      </c>
      <c r="Z59" s="164">
        <v>0</v>
      </c>
      <c r="AA59" s="164">
        <v>0</v>
      </c>
    </row>
    <row r="60" spans="1:27" ht="12" customHeight="1" x14ac:dyDescent="0.25">
      <c r="A60" s="155" t="s">
        <v>1159</v>
      </c>
      <c r="B60" s="166" t="s">
        <v>451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8" t="e">
        <v>#DIV/0!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</row>
    <row r="61" spans="1:27" ht="12" customHeight="1" x14ac:dyDescent="0.25">
      <c r="A61" s="155" t="s">
        <v>1160</v>
      </c>
      <c r="B61" s="166" t="s">
        <v>452</v>
      </c>
      <c r="C61" s="167">
        <v>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8" t="e">
        <v>#DIV/0!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</row>
    <row r="62" spans="1:27" ht="12" customHeight="1" x14ac:dyDescent="0.25">
      <c r="A62" s="155" t="s">
        <v>1161</v>
      </c>
      <c r="B62" s="166" t="s">
        <v>453</v>
      </c>
      <c r="C62" s="167">
        <v>0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8" t="e">
        <v>#DIV/0!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</row>
    <row r="63" spans="1:27" ht="12" customHeight="1" x14ac:dyDescent="0.25">
      <c r="A63" s="155" t="s">
        <v>1162</v>
      </c>
      <c r="B63" s="166" t="s">
        <v>454</v>
      </c>
      <c r="C63" s="167">
        <v>0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8" t="e">
        <v>#DIV/0!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</row>
    <row r="64" spans="1:27" ht="12" customHeight="1" x14ac:dyDescent="0.25">
      <c r="A64" s="155" t="s">
        <v>1163</v>
      </c>
      <c r="B64" s="166" t="s">
        <v>455</v>
      </c>
      <c r="C64" s="167">
        <v>0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8" t="e">
        <v>#DIV/0!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</row>
    <row r="65" spans="1:27" ht="12" customHeight="1" x14ac:dyDescent="0.25">
      <c r="A65" s="155"/>
      <c r="B65" s="162" t="s">
        <v>456</v>
      </c>
      <c r="C65" s="163">
        <v>0</v>
      </c>
      <c r="D65" s="163">
        <v>0</v>
      </c>
      <c r="E65" s="163">
        <v>0</v>
      </c>
      <c r="F65" s="163">
        <v>0</v>
      </c>
      <c r="G65" s="163">
        <v>0</v>
      </c>
      <c r="H65" s="163">
        <v>0</v>
      </c>
      <c r="I65" s="163">
        <v>0</v>
      </c>
      <c r="J65" s="163">
        <v>0</v>
      </c>
      <c r="K65" s="163">
        <v>0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3">
        <v>0</v>
      </c>
      <c r="R65" s="163">
        <v>0</v>
      </c>
      <c r="S65" s="163">
        <v>0</v>
      </c>
      <c r="T65" s="164">
        <v>0</v>
      </c>
      <c r="U65" s="165" t="e">
        <v>#DIV/0!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</row>
    <row r="66" spans="1:27" ht="12" customHeight="1" x14ac:dyDescent="0.25">
      <c r="A66" s="155" t="s">
        <v>1164</v>
      </c>
      <c r="B66" s="166" t="s">
        <v>457</v>
      </c>
      <c r="C66" s="167">
        <v>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8" t="e">
        <v>#DIV/0!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</row>
    <row r="67" spans="1:27" ht="12" customHeight="1" x14ac:dyDescent="0.25">
      <c r="A67" s="155" t="s">
        <v>1165</v>
      </c>
      <c r="B67" s="166" t="s">
        <v>458</v>
      </c>
      <c r="C67" s="167">
        <v>0</v>
      </c>
      <c r="D67" s="167">
        <v>0</v>
      </c>
      <c r="E67" s="167">
        <v>0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0</v>
      </c>
      <c r="U67" s="168" t="e">
        <v>#DIV/0!</v>
      </c>
      <c r="V67" s="167">
        <v>0</v>
      </c>
      <c r="W67" s="167">
        <v>0</v>
      </c>
      <c r="X67" s="167">
        <v>0</v>
      </c>
      <c r="Y67" s="167">
        <v>0</v>
      </c>
      <c r="Z67" s="167">
        <v>0</v>
      </c>
      <c r="AA67" s="167">
        <v>0</v>
      </c>
    </row>
    <row r="68" spans="1:27" ht="12" customHeight="1" x14ac:dyDescent="0.25">
      <c r="A68" s="155" t="s">
        <v>1166</v>
      </c>
      <c r="B68" s="166" t="s">
        <v>459</v>
      </c>
      <c r="C68" s="167">
        <v>0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8" t="e">
        <v>#DIV/0!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</row>
    <row r="69" spans="1:27" ht="12" customHeight="1" x14ac:dyDescent="0.25">
      <c r="A69" s="155" t="s">
        <v>1167</v>
      </c>
      <c r="B69" s="166" t="s">
        <v>460</v>
      </c>
      <c r="C69" s="167">
        <v>0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8" t="e">
        <v>#DIV/0!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</row>
    <row r="70" spans="1:27" ht="12" customHeight="1" x14ac:dyDescent="0.25">
      <c r="A70" s="155" t="s">
        <v>1168</v>
      </c>
      <c r="B70" s="166" t="s">
        <v>461</v>
      </c>
      <c r="C70" s="167">
        <v>0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8" t="e">
        <v>#DIV/0!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</row>
    <row r="71" spans="1:27" ht="12" customHeight="1" x14ac:dyDescent="0.25">
      <c r="A71" s="155" t="s">
        <v>1169</v>
      </c>
      <c r="B71" s="166" t="s">
        <v>462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8" t="e">
        <v>#DIV/0!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</row>
    <row r="72" spans="1:27" ht="12" customHeight="1" x14ac:dyDescent="0.25">
      <c r="A72" s="155"/>
      <c r="B72" s="162" t="s">
        <v>463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3">
        <v>0</v>
      </c>
      <c r="T72" s="164">
        <v>0</v>
      </c>
      <c r="U72" s="165" t="e">
        <v>#DIV/0!</v>
      </c>
      <c r="V72" s="164">
        <v>0</v>
      </c>
      <c r="W72" s="164">
        <v>0</v>
      </c>
      <c r="X72" s="164">
        <v>0</v>
      </c>
      <c r="Y72" s="164">
        <v>0</v>
      </c>
      <c r="Z72" s="164">
        <v>0</v>
      </c>
      <c r="AA72" s="164">
        <v>0</v>
      </c>
    </row>
    <row r="73" spans="1:27" ht="12" customHeight="1" x14ac:dyDescent="0.25">
      <c r="A73" s="155" t="s">
        <v>1170</v>
      </c>
      <c r="B73" s="166" t="s">
        <v>464</v>
      </c>
      <c r="C73" s="167">
        <v>0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8" t="e">
        <v>#DIV/0!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</row>
    <row r="74" spans="1:27" ht="12" customHeight="1" x14ac:dyDescent="0.25">
      <c r="A74" s="155" t="s">
        <v>1171</v>
      </c>
      <c r="B74" s="166" t="s">
        <v>465</v>
      </c>
      <c r="C74" s="167">
        <v>0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8" t="e">
        <v>#DIV/0!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</row>
    <row r="75" spans="1:27" ht="12" customHeight="1" x14ac:dyDescent="0.25">
      <c r="A75" s="155" t="s">
        <v>1172</v>
      </c>
      <c r="B75" s="162" t="s">
        <v>466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4">
        <v>0</v>
      </c>
      <c r="J75" s="164"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4">
        <v>0</v>
      </c>
      <c r="Q75" s="164">
        <v>0</v>
      </c>
      <c r="R75" s="164">
        <v>0</v>
      </c>
      <c r="S75" s="164">
        <v>0</v>
      </c>
      <c r="T75" s="164">
        <v>0</v>
      </c>
      <c r="U75" s="165" t="e">
        <v>#DIV/0!</v>
      </c>
      <c r="V75" s="164">
        <v>0</v>
      </c>
      <c r="W75" s="164">
        <v>0</v>
      </c>
      <c r="X75" s="164">
        <v>0</v>
      </c>
      <c r="Y75" s="164">
        <v>0</v>
      </c>
      <c r="Z75" s="164">
        <v>0</v>
      </c>
      <c r="AA75" s="164">
        <v>0</v>
      </c>
    </row>
    <row r="76" spans="1:27" ht="12" customHeight="1" x14ac:dyDescent="0.25">
      <c r="A76" s="155" t="s">
        <v>1173</v>
      </c>
      <c r="B76" s="162" t="s">
        <v>467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4">
        <v>0</v>
      </c>
      <c r="I76" s="164">
        <v>0</v>
      </c>
      <c r="J76" s="164"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4">
        <v>0</v>
      </c>
      <c r="Q76" s="164">
        <v>0</v>
      </c>
      <c r="R76" s="164">
        <v>0</v>
      </c>
      <c r="S76" s="164">
        <v>0</v>
      </c>
      <c r="T76" s="164">
        <v>0</v>
      </c>
      <c r="U76" s="165" t="e">
        <v>#DIV/0!</v>
      </c>
      <c r="V76" s="164">
        <v>0</v>
      </c>
      <c r="W76" s="164">
        <v>0</v>
      </c>
      <c r="X76" s="164">
        <v>0</v>
      </c>
      <c r="Y76" s="164">
        <v>0</v>
      </c>
      <c r="Z76" s="164">
        <v>0</v>
      </c>
      <c r="AA76" s="164">
        <v>0</v>
      </c>
    </row>
    <row r="77" spans="1:27" ht="12" customHeight="1" x14ac:dyDescent="0.25">
      <c r="A77" s="155" t="s">
        <v>1174</v>
      </c>
      <c r="B77" s="162" t="s">
        <v>468</v>
      </c>
      <c r="C77" s="164">
        <v>0</v>
      </c>
      <c r="D77" s="164">
        <v>0</v>
      </c>
      <c r="E77" s="164">
        <v>0</v>
      </c>
      <c r="F77" s="164">
        <v>0</v>
      </c>
      <c r="G77" s="164">
        <v>0</v>
      </c>
      <c r="H77" s="164">
        <v>0</v>
      </c>
      <c r="I77" s="164">
        <v>0</v>
      </c>
      <c r="J77" s="164">
        <v>0</v>
      </c>
      <c r="K77" s="164">
        <v>0</v>
      </c>
      <c r="L77" s="164">
        <v>0</v>
      </c>
      <c r="M77" s="164">
        <v>0</v>
      </c>
      <c r="N77" s="164">
        <v>0</v>
      </c>
      <c r="O77" s="164">
        <v>0</v>
      </c>
      <c r="P77" s="164">
        <v>0</v>
      </c>
      <c r="Q77" s="164">
        <v>0</v>
      </c>
      <c r="R77" s="164">
        <v>0</v>
      </c>
      <c r="S77" s="164">
        <v>0</v>
      </c>
      <c r="T77" s="164">
        <v>0</v>
      </c>
      <c r="U77" s="165" t="e">
        <v>#DIV/0!</v>
      </c>
      <c r="V77" s="164">
        <v>0</v>
      </c>
      <c r="W77" s="164">
        <v>0</v>
      </c>
      <c r="X77" s="164">
        <v>0</v>
      </c>
      <c r="Y77" s="164">
        <v>0</v>
      </c>
      <c r="Z77" s="164">
        <v>0</v>
      </c>
      <c r="AA77" s="164">
        <v>0</v>
      </c>
    </row>
    <row r="78" spans="1:27" ht="12" customHeight="1" x14ac:dyDescent="0.25">
      <c r="A78" s="155"/>
      <c r="B78" s="162" t="s">
        <v>469</v>
      </c>
      <c r="C78" s="163">
        <v>0</v>
      </c>
      <c r="D78" s="163">
        <v>0</v>
      </c>
      <c r="E78" s="163">
        <v>0</v>
      </c>
      <c r="F78" s="163">
        <v>0</v>
      </c>
      <c r="G78" s="163">
        <v>0</v>
      </c>
      <c r="H78" s="163">
        <v>0</v>
      </c>
      <c r="I78" s="163">
        <v>0</v>
      </c>
      <c r="J78" s="163">
        <v>0</v>
      </c>
      <c r="K78" s="163">
        <v>0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3">
        <v>0</v>
      </c>
      <c r="R78" s="163">
        <v>0</v>
      </c>
      <c r="S78" s="163">
        <v>0</v>
      </c>
      <c r="T78" s="164">
        <v>0</v>
      </c>
      <c r="U78" s="165" t="e">
        <v>#DIV/0!</v>
      </c>
      <c r="V78" s="164">
        <v>0</v>
      </c>
      <c r="W78" s="164">
        <v>0</v>
      </c>
      <c r="X78" s="164">
        <v>0</v>
      </c>
      <c r="Y78" s="164">
        <v>0</v>
      </c>
      <c r="Z78" s="164">
        <v>0</v>
      </c>
      <c r="AA78" s="164">
        <v>0</v>
      </c>
    </row>
    <row r="79" spans="1:27" ht="12" customHeight="1" x14ac:dyDescent="0.25">
      <c r="A79" s="155" t="s">
        <v>1175</v>
      </c>
      <c r="B79" s="166" t="s">
        <v>470</v>
      </c>
      <c r="C79" s="167">
        <v>0</v>
      </c>
      <c r="D79" s="167">
        <v>0</v>
      </c>
      <c r="E79" s="167">
        <v>0</v>
      </c>
      <c r="F79" s="167">
        <v>0</v>
      </c>
      <c r="G79" s="167">
        <v>0</v>
      </c>
      <c r="H79" s="167">
        <v>0</v>
      </c>
      <c r="I79" s="167">
        <v>0</v>
      </c>
      <c r="J79" s="167">
        <v>0</v>
      </c>
      <c r="K79" s="167">
        <v>0</v>
      </c>
      <c r="L79" s="167">
        <v>0</v>
      </c>
      <c r="M79" s="167">
        <v>0</v>
      </c>
      <c r="N79" s="167">
        <v>0</v>
      </c>
      <c r="O79" s="167">
        <v>0</v>
      </c>
      <c r="P79" s="167">
        <v>0</v>
      </c>
      <c r="Q79" s="167">
        <v>0</v>
      </c>
      <c r="R79" s="167">
        <v>0</v>
      </c>
      <c r="S79" s="167">
        <v>0</v>
      </c>
      <c r="T79" s="167">
        <v>0</v>
      </c>
      <c r="U79" s="168" t="e">
        <v>#DIV/0!</v>
      </c>
      <c r="V79" s="167">
        <v>0</v>
      </c>
      <c r="W79" s="167">
        <v>0</v>
      </c>
      <c r="X79" s="167">
        <v>0</v>
      </c>
      <c r="Y79" s="167">
        <v>0</v>
      </c>
      <c r="Z79" s="167">
        <v>0</v>
      </c>
      <c r="AA79" s="167">
        <v>0</v>
      </c>
    </row>
    <row r="80" spans="1:27" ht="12" customHeight="1" x14ac:dyDescent="0.25">
      <c r="A80" s="155" t="s">
        <v>1176</v>
      </c>
      <c r="B80" s="166" t="s">
        <v>471</v>
      </c>
      <c r="C80" s="167">
        <v>0</v>
      </c>
      <c r="D80" s="167">
        <v>0</v>
      </c>
      <c r="E80" s="167">
        <v>0</v>
      </c>
      <c r="F80" s="167">
        <v>0</v>
      </c>
      <c r="G80" s="167">
        <v>0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67">
        <v>0</v>
      </c>
      <c r="N80" s="167">
        <v>0</v>
      </c>
      <c r="O80" s="167">
        <v>0</v>
      </c>
      <c r="P80" s="167">
        <v>0</v>
      </c>
      <c r="Q80" s="167">
        <v>0</v>
      </c>
      <c r="R80" s="167">
        <v>0</v>
      </c>
      <c r="S80" s="167">
        <v>0</v>
      </c>
      <c r="T80" s="167">
        <v>0</v>
      </c>
      <c r="U80" s="168" t="e">
        <v>#DIV/0!</v>
      </c>
      <c r="V80" s="167">
        <v>0</v>
      </c>
      <c r="W80" s="167">
        <v>0</v>
      </c>
      <c r="X80" s="167">
        <v>0</v>
      </c>
      <c r="Y80" s="167">
        <v>0</v>
      </c>
      <c r="Z80" s="167">
        <v>0</v>
      </c>
      <c r="AA80" s="167">
        <v>0</v>
      </c>
    </row>
    <row r="81" spans="1:27" ht="12" customHeight="1" x14ac:dyDescent="0.25">
      <c r="A81" s="155"/>
      <c r="B81" s="162" t="s">
        <v>472</v>
      </c>
      <c r="C81" s="163">
        <v>0</v>
      </c>
      <c r="D81" s="163">
        <v>0</v>
      </c>
      <c r="E81" s="163">
        <v>0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3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3">
        <v>0</v>
      </c>
      <c r="R81" s="163">
        <v>0</v>
      </c>
      <c r="S81" s="163">
        <v>0</v>
      </c>
      <c r="T81" s="164">
        <v>0</v>
      </c>
      <c r="U81" s="165" t="e">
        <v>#DIV/0!</v>
      </c>
      <c r="V81" s="164">
        <v>0</v>
      </c>
      <c r="W81" s="164">
        <v>0</v>
      </c>
      <c r="X81" s="164">
        <v>0</v>
      </c>
      <c r="Y81" s="164">
        <v>0</v>
      </c>
      <c r="Z81" s="164">
        <v>0</v>
      </c>
      <c r="AA81" s="164">
        <v>0</v>
      </c>
    </row>
    <row r="82" spans="1:27" ht="12" customHeight="1" x14ac:dyDescent="0.25">
      <c r="A82" s="155" t="s">
        <v>1177</v>
      </c>
      <c r="B82" s="155" t="s">
        <v>473</v>
      </c>
      <c r="C82" s="167">
        <v>0</v>
      </c>
      <c r="D82" s="167">
        <v>0</v>
      </c>
      <c r="E82" s="167">
        <v>0</v>
      </c>
      <c r="F82" s="167">
        <v>0</v>
      </c>
      <c r="G82" s="16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67">
        <v>0</v>
      </c>
      <c r="N82" s="167">
        <v>0</v>
      </c>
      <c r="O82" s="167">
        <v>0</v>
      </c>
      <c r="P82" s="167">
        <v>0</v>
      </c>
      <c r="Q82" s="167">
        <v>0</v>
      </c>
      <c r="R82" s="167">
        <v>0</v>
      </c>
      <c r="S82" s="167">
        <v>0</v>
      </c>
      <c r="T82" s="167">
        <v>0</v>
      </c>
      <c r="U82" s="168" t="e">
        <v>#DIV/0!</v>
      </c>
      <c r="V82" s="167">
        <v>0</v>
      </c>
      <c r="W82" s="167">
        <v>0</v>
      </c>
      <c r="X82" s="167">
        <v>0</v>
      </c>
      <c r="Y82" s="167">
        <v>0</v>
      </c>
      <c r="Z82" s="167">
        <v>0</v>
      </c>
      <c r="AA82" s="167">
        <v>0</v>
      </c>
    </row>
    <row r="83" spans="1:27" ht="12" customHeight="1" x14ac:dyDescent="0.25">
      <c r="A83" s="155" t="s">
        <v>1178</v>
      </c>
      <c r="B83" s="155" t="s">
        <v>474</v>
      </c>
      <c r="C83" s="167">
        <v>0</v>
      </c>
      <c r="D83" s="167">
        <v>0</v>
      </c>
      <c r="E83" s="167">
        <v>0</v>
      </c>
      <c r="F83" s="167">
        <v>0</v>
      </c>
      <c r="G83" s="167">
        <v>0</v>
      </c>
      <c r="H83" s="167">
        <v>0</v>
      </c>
      <c r="I83" s="167">
        <v>0</v>
      </c>
      <c r="J83" s="167">
        <v>0</v>
      </c>
      <c r="K83" s="167">
        <v>0</v>
      </c>
      <c r="L83" s="167">
        <v>0</v>
      </c>
      <c r="M83" s="167">
        <v>0</v>
      </c>
      <c r="N83" s="167">
        <v>0</v>
      </c>
      <c r="O83" s="167">
        <v>0</v>
      </c>
      <c r="P83" s="167">
        <v>0</v>
      </c>
      <c r="Q83" s="167">
        <v>0</v>
      </c>
      <c r="R83" s="167">
        <v>0</v>
      </c>
      <c r="S83" s="167">
        <v>0</v>
      </c>
      <c r="T83" s="167">
        <v>0</v>
      </c>
      <c r="U83" s="168" t="e">
        <v>#DIV/0!</v>
      </c>
      <c r="V83" s="167">
        <v>0</v>
      </c>
      <c r="W83" s="167">
        <v>0</v>
      </c>
      <c r="X83" s="167">
        <v>0</v>
      </c>
      <c r="Y83" s="167">
        <v>0</v>
      </c>
      <c r="Z83" s="167">
        <v>0</v>
      </c>
      <c r="AA83" s="167">
        <v>0</v>
      </c>
    </row>
    <row r="84" spans="1:27" ht="12" customHeight="1" x14ac:dyDescent="0.25">
      <c r="A84" s="155" t="s">
        <v>1179</v>
      </c>
      <c r="B84" s="155" t="s">
        <v>475</v>
      </c>
      <c r="C84" s="167">
        <v>0</v>
      </c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167">
        <v>0</v>
      </c>
      <c r="R84" s="167">
        <v>0</v>
      </c>
      <c r="S84" s="167">
        <v>0</v>
      </c>
      <c r="T84" s="167">
        <v>0</v>
      </c>
      <c r="U84" s="168" t="e">
        <v>#DIV/0!</v>
      </c>
      <c r="V84" s="167">
        <v>0</v>
      </c>
      <c r="W84" s="167">
        <v>0</v>
      </c>
      <c r="X84" s="167">
        <v>0</v>
      </c>
      <c r="Y84" s="167">
        <v>0</v>
      </c>
      <c r="Z84" s="167">
        <v>0</v>
      </c>
      <c r="AA84" s="167">
        <v>0</v>
      </c>
    </row>
    <row r="85" spans="1:27" ht="12" customHeight="1" x14ac:dyDescent="0.25">
      <c r="A85" s="155" t="s">
        <v>1180</v>
      </c>
      <c r="B85" s="155" t="s">
        <v>476</v>
      </c>
      <c r="C85" s="167">
        <v>0</v>
      </c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0</v>
      </c>
      <c r="L85" s="167">
        <v>0</v>
      </c>
      <c r="M85" s="167">
        <v>0</v>
      </c>
      <c r="N85" s="167">
        <v>0</v>
      </c>
      <c r="O85" s="167">
        <v>0</v>
      </c>
      <c r="P85" s="167">
        <v>0</v>
      </c>
      <c r="Q85" s="167">
        <v>0</v>
      </c>
      <c r="R85" s="167">
        <v>0</v>
      </c>
      <c r="S85" s="167">
        <v>0</v>
      </c>
      <c r="T85" s="167">
        <v>0</v>
      </c>
      <c r="U85" s="168" t="e">
        <v>#DIV/0!</v>
      </c>
      <c r="V85" s="167">
        <v>0</v>
      </c>
      <c r="W85" s="167">
        <v>0</v>
      </c>
      <c r="X85" s="167">
        <v>0</v>
      </c>
      <c r="Y85" s="167">
        <v>0</v>
      </c>
      <c r="Z85" s="167">
        <v>0</v>
      </c>
      <c r="AA85" s="167">
        <v>0</v>
      </c>
    </row>
    <row r="86" spans="1:27" ht="12" customHeight="1" x14ac:dyDescent="0.25">
      <c r="A86" s="155" t="s">
        <v>1181</v>
      </c>
      <c r="B86" s="155" t="s">
        <v>477</v>
      </c>
      <c r="C86" s="167">
        <v>0</v>
      </c>
      <c r="D86" s="167">
        <v>0</v>
      </c>
      <c r="E86" s="167">
        <v>0</v>
      </c>
      <c r="F86" s="167">
        <v>0</v>
      </c>
      <c r="G86" s="167">
        <v>0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7">
        <v>0</v>
      </c>
      <c r="O86" s="167">
        <v>0</v>
      </c>
      <c r="P86" s="167">
        <v>0</v>
      </c>
      <c r="Q86" s="167">
        <v>0</v>
      </c>
      <c r="R86" s="167">
        <v>0</v>
      </c>
      <c r="S86" s="167">
        <v>0</v>
      </c>
      <c r="T86" s="167">
        <v>0</v>
      </c>
      <c r="U86" s="168" t="e">
        <v>#DIV/0!</v>
      </c>
      <c r="V86" s="167">
        <v>0</v>
      </c>
      <c r="W86" s="167">
        <v>0</v>
      </c>
      <c r="X86" s="167">
        <v>0</v>
      </c>
      <c r="Y86" s="167">
        <v>0</v>
      </c>
      <c r="Z86" s="167">
        <v>0</v>
      </c>
      <c r="AA86" s="167">
        <v>0</v>
      </c>
    </row>
    <row r="87" spans="1:27" ht="12" customHeight="1" x14ac:dyDescent="0.25">
      <c r="A87" s="155" t="s">
        <v>1182</v>
      </c>
      <c r="B87" s="155" t="s">
        <v>478</v>
      </c>
      <c r="C87" s="167">
        <v>0</v>
      </c>
      <c r="D87" s="167">
        <v>0</v>
      </c>
      <c r="E87" s="167">
        <v>0</v>
      </c>
      <c r="F87" s="167">
        <v>0</v>
      </c>
      <c r="G87" s="167">
        <v>0</v>
      </c>
      <c r="H87" s="167">
        <v>0</v>
      </c>
      <c r="I87" s="167">
        <v>0</v>
      </c>
      <c r="J87" s="167">
        <v>0</v>
      </c>
      <c r="K87" s="167">
        <v>0</v>
      </c>
      <c r="L87" s="167">
        <v>0</v>
      </c>
      <c r="M87" s="167">
        <v>0</v>
      </c>
      <c r="N87" s="167">
        <v>0</v>
      </c>
      <c r="O87" s="167">
        <v>0</v>
      </c>
      <c r="P87" s="167">
        <v>0</v>
      </c>
      <c r="Q87" s="167">
        <v>0</v>
      </c>
      <c r="R87" s="167">
        <v>0</v>
      </c>
      <c r="S87" s="167">
        <v>0</v>
      </c>
      <c r="T87" s="167">
        <v>0</v>
      </c>
      <c r="U87" s="168" t="e">
        <v>#DIV/0!</v>
      </c>
      <c r="V87" s="167">
        <v>0</v>
      </c>
      <c r="W87" s="167">
        <v>0</v>
      </c>
      <c r="X87" s="167">
        <v>0</v>
      </c>
      <c r="Y87" s="167">
        <v>0</v>
      </c>
      <c r="Z87" s="167">
        <v>0</v>
      </c>
      <c r="AA87" s="167">
        <v>0</v>
      </c>
    </row>
    <row r="88" spans="1:27" ht="12" customHeight="1" x14ac:dyDescent="0.25">
      <c r="A88" s="155" t="s">
        <v>1183</v>
      </c>
      <c r="B88" s="155" t="s">
        <v>479</v>
      </c>
      <c r="C88" s="167">
        <v>0</v>
      </c>
      <c r="D88" s="167">
        <v>0</v>
      </c>
      <c r="E88" s="167">
        <v>0</v>
      </c>
      <c r="F88" s="167">
        <v>0</v>
      </c>
      <c r="G88" s="167">
        <v>0</v>
      </c>
      <c r="H88" s="167">
        <v>0</v>
      </c>
      <c r="I88" s="167">
        <v>0</v>
      </c>
      <c r="J88" s="167">
        <v>0</v>
      </c>
      <c r="K88" s="167">
        <v>0</v>
      </c>
      <c r="L88" s="167">
        <v>0</v>
      </c>
      <c r="M88" s="167">
        <v>0</v>
      </c>
      <c r="N88" s="167">
        <v>0</v>
      </c>
      <c r="O88" s="167">
        <v>0</v>
      </c>
      <c r="P88" s="167">
        <v>0</v>
      </c>
      <c r="Q88" s="167">
        <v>0</v>
      </c>
      <c r="R88" s="167">
        <v>0</v>
      </c>
      <c r="S88" s="167">
        <v>0</v>
      </c>
      <c r="T88" s="167">
        <v>0</v>
      </c>
      <c r="U88" s="168" t="e">
        <v>#DIV/0!</v>
      </c>
      <c r="V88" s="167">
        <v>0</v>
      </c>
      <c r="W88" s="167">
        <v>0</v>
      </c>
      <c r="X88" s="167">
        <v>0</v>
      </c>
      <c r="Y88" s="167">
        <v>0</v>
      </c>
      <c r="Z88" s="167">
        <v>0</v>
      </c>
      <c r="AA88" s="167">
        <v>0</v>
      </c>
    </row>
    <row r="89" spans="1:27" ht="12" customHeight="1" x14ac:dyDescent="0.25">
      <c r="A89" s="155" t="s">
        <v>1184</v>
      </c>
      <c r="B89" s="155" t="s">
        <v>480</v>
      </c>
      <c r="C89" s="167">
        <v>0</v>
      </c>
      <c r="D89" s="167">
        <v>0</v>
      </c>
      <c r="E89" s="167">
        <v>0</v>
      </c>
      <c r="F89" s="167">
        <v>0</v>
      </c>
      <c r="G89" s="167">
        <v>0</v>
      </c>
      <c r="H89" s="167">
        <v>0</v>
      </c>
      <c r="I89" s="167">
        <v>0</v>
      </c>
      <c r="J89" s="167">
        <v>0</v>
      </c>
      <c r="K89" s="167">
        <v>0</v>
      </c>
      <c r="L89" s="167">
        <v>0</v>
      </c>
      <c r="M89" s="167">
        <v>0</v>
      </c>
      <c r="N89" s="167">
        <v>0</v>
      </c>
      <c r="O89" s="167">
        <v>0</v>
      </c>
      <c r="P89" s="167">
        <v>0</v>
      </c>
      <c r="Q89" s="167">
        <v>0</v>
      </c>
      <c r="R89" s="167">
        <v>0</v>
      </c>
      <c r="S89" s="167">
        <v>0</v>
      </c>
      <c r="T89" s="167">
        <v>0</v>
      </c>
      <c r="U89" s="168" t="e">
        <v>#DIV/0!</v>
      </c>
      <c r="V89" s="167">
        <v>0</v>
      </c>
      <c r="W89" s="167">
        <v>0</v>
      </c>
      <c r="X89" s="167">
        <v>0</v>
      </c>
      <c r="Y89" s="167">
        <v>0</v>
      </c>
      <c r="Z89" s="167">
        <v>0</v>
      </c>
      <c r="AA89" s="167">
        <v>0</v>
      </c>
    </row>
    <row r="90" spans="1:27" ht="12" customHeight="1" x14ac:dyDescent="0.25">
      <c r="A90" s="155" t="s">
        <v>1185</v>
      </c>
      <c r="B90" s="155" t="s">
        <v>481</v>
      </c>
      <c r="C90" s="167">
        <v>0</v>
      </c>
      <c r="D90" s="167">
        <v>0</v>
      </c>
      <c r="E90" s="167">
        <v>0</v>
      </c>
      <c r="F90" s="167">
        <v>0</v>
      </c>
      <c r="G90" s="167">
        <v>0</v>
      </c>
      <c r="H90" s="167">
        <v>0</v>
      </c>
      <c r="I90" s="167">
        <v>0</v>
      </c>
      <c r="J90" s="167">
        <v>0</v>
      </c>
      <c r="K90" s="167">
        <v>0</v>
      </c>
      <c r="L90" s="167">
        <v>0</v>
      </c>
      <c r="M90" s="167">
        <v>0</v>
      </c>
      <c r="N90" s="167">
        <v>0</v>
      </c>
      <c r="O90" s="167">
        <v>0</v>
      </c>
      <c r="P90" s="167">
        <v>0</v>
      </c>
      <c r="Q90" s="167">
        <v>0</v>
      </c>
      <c r="R90" s="167">
        <v>0</v>
      </c>
      <c r="S90" s="167">
        <v>0</v>
      </c>
      <c r="T90" s="167">
        <v>0</v>
      </c>
      <c r="U90" s="168" t="e">
        <v>#DIV/0!</v>
      </c>
      <c r="V90" s="167">
        <v>0</v>
      </c>
      <c r="W90" s="167">
        <v>0</v>
      </c>
      <c r="X90" s="167">
        <v>0</v>
      </c>
      <c r="Y90" s="167">
        <v>0</v>
      </c>
      <c r="Z90" s="167">
        <v>0</v>
      </c>
      <c r="AA90" s="167">
        <v>0</v>
      </c>
    </row>
    <row r="91" spans="1:27" ht="12" customHeight="1" x14ac:dyDescent="0.25">
      <c r="A91" s="155" t="s">
        <v>1186</v>
      </c>
      <c r="B91" s="155" t="s">
        <v>482</v>
      </c>
      <c r="C91" s="167">
        <v>0</v>
      </c>
      <c r="D91" s="167">
        <v>0</v>
      </c>
      <c r="E91" s="167">
        <v>0</v>
      </c>
      <c r="F91" s="167">
        <v>0</v>
      </c>
      <c r="G91" s="167">
        <v>0</v>
      </c>
      <c r="H91" s="167">
        <v>0</v>
      </c>
      <c r="I91" s="167">
        <v>0</v>
      </c>
      <c r="J91" s="167">
        <v>0</v>
      </c>
      <c r="K91" s="167">
        <v>0</v>
      </c>
      <c r="L91" s="167">
        <v>0</v>
      </c>
      <c r="M91" s="167">
        <v>0</v>
      </c>
      <c r="N91" s="167">
        <v>0</v>
      </c>
      <c r="O91" s="167">
        <v>0</v>
      </c>
      <c r="P91" s="167">
        <v>0</v>
      </c>
      <c r="Q91" s="167">
        <v>0</v>
      </c>
      <c r="R91" s="167">
        <v>0</v>
      </c>
      <c r="S91" s="167">
        <v>0</v>
      </c>
      <c r="T91" s="167">
        <v>0</v>
      </c>
      <c r="U91" s="168" t="e">
        <v>#DIV/0!</v>
      </c>
      <c r="V91" s="167">
        <v>0</v>
      </c>
      <c r="W91" s="167">
        <v>0</v>
      </c>
      <c r="X91" s="167">
        <v>0</v>
      </c>
      <c r="Y91" s="167">
        <v>0</v>
      </c>
      <c r="Z91" s="167">
        <v>0</v>
      </c>
      <c r="AA91" s="167">
        <v>0</v>
      </c>
    </row>
    <row r="92" spans="1:27" ht="12" customHeight="1" x14ac:dyDescent="0.25">
      <c r="A92" s="155" t="s">
        <v>1187</v>
      </c>
      <c r="B92" s="155" t="s">
        <v>483</v>
      </c>
      <c r="C92" s="167">
        <v>0</v>
      </c>
      <c r="D92" s="167">
        <v>0</v>
      </c>
      <c r="E92" s="167">
        <v>0</v>
      </c>
      <c r="F92" s="167">
        <v>0</v>
      </c>
      <c r="G92" s="167">
        <v>0</v>
      </c>
      <c r="H92" s="167">
        <v>0</v>
      </c>
      <c r="I92" s="167">
        <v>0</v>
      </c>
      <c r="J92" s="167">
        <v>0</v>
      </c>
      <c r="K92" s="167">
        <v>0</v>
      </c>
      <c r="L92" s="167">
        <v>0</v>
      </c>
      <c r="M92" s="167">
        <v>0</v>
      </c>
      <c r="N92" s="167">
        <v>0</v>
      </c>
      <c r="O92" s="167">
        <v>0</v>
      </c>
      <c r="P92" s="167">
        <v>0</v>
      </c>
      <c r="Q92" s="167">
        <v>0</v>
      </c>
      <c r="R92" s="167">
        <v>0</v>
      </c>
      <c r="S92" s="167">
        <v>0</v>
      </c>
      <c r="T92" s="167">
        <v>0</v>
      </c>
      <c r="U92" s="168" t="e">
        <v>#DIV/0!</v>
      </c>
      <c r="V92" s="167">
        <v>0</v>
      </c>
      <c r="W92" s="167">
        <v>0</v>
      </c>
      <c r="X92" s="167">
        <v>0</v>
      </c>
      <c r="Y92" s="167">
        <v>0</v>
      </c>
      <c r="Z92" s="167">
        <v>0</v>
      </c>
      <c r="AA92" s="167">
        <v>0</v>
      </c>
    </row>
    <row r="93" spans="1:27" ht="12" customHeight="1" x14ac:dyDescent="0.25">
      <c r="A93" s="155" t="s">
        <v>1188</v>
      </c>
      <c r="B93" s="155" t="s">
        <v>484</v>
      </c>
      <c r="C93" s="167">
        <v>0</v>
      </c>
      <c r="D93" s="167">
        <v>0</v>
      </c>
      <c r="E93" s="167">
        <v>0</v>
      </c>
      <c r="F93" s="167">
        <v>0</v>
      </c>
      <c r="G93" s="167">
        <v>0</v>
      </c>
      <c r="H93" s="167">
        <v>0</v>
      </c>
      <c r="I93" s="167">
        <v>0</v>
      </c>
      <c r="J93" s="167">
        <v>0</v>
      </c>
      <c r="K93" s="167">
        <v>0</v>
      </c>
      <c r="L93" s="167">
        <v>0</v>
      </c>
      <c r="M93" s="167">
        <v>0</v>
      </c>
      <c r="N93" s="167">
        <v>0</v>
      </c>
      <c r="O93" s="167">
        <v>0</v>
      </c>
      <c r="P93" s="167">
        <v>0</v>
      </c>
      <c r="Q93" s="167">
        <v>0</v>
      </c>
      <c r="R93" s="167">
        <v>0</v>
      </c>
      <c r="S93" s="167">
        <v>0</v>
      </c>
      <c r="T93" s="167">
        <v>0</v>
      </c>
      <c r="U93" s="168" t="e">
        <v>#DIV/0!</v>
      </c>
      <c r="V93" s="167">
        <v>0</v>
      </c>
      <c r="W93" s="167">
        <v>0</v>
      </c>
      <c r="X93" s="167">
        <v>0</v>
      </c>
      <c r="Y93" s="167">
        <v>0</v>
      </c>
      <c r="Z93" s="167">
        <v>0</v>
      </c>
      <c r="AA93" s="167">
        <v>0</v>
      </c>
    </row>
    <row r="94" spans="1:27" ht="12" customHeight="1" x14ac:dyDescent="0.25">
      <c r="A94" s="155" t="s">
        <v>1189</v>
      </c>
      <c r="B94" s="155" t="s">
        <v>485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167">
        <v>0</v>
      </c>
      <c r="R94" s="167">
        <v>0</v>
      </c>
      <c r="S94" s="167">
        <v>0</v>
      </c>
      <c r="T94" s="167">
        <v>0</v>
      </c>
      <c r="U94" s="168" t="e">
        <v>#DIV/0!</v>
      </c>
      <c r="V94" s="167">
        <v>0</v>
      </c>
      <c r="W94" s="167">
        <v>0</v>
      </c>
      <c r="X94" s="167">
        <v>0</v>
      </c>
      <c r="Y94" s="167">
        <v>0</v>
      </c>
      <c r="Z94" s="167">
        <v>0</v>
      </c>
      <c r="AA94" s="167">
        <v>0</v>
      </c>
    </row>
    <row r="95" spans="1:27" ht="12" customHeight="1" x14ac:dyDescent="0.25">
      <c r="A95" s="155" t="s">
        <v>1190</v>
      </c>
      <c r="B95" s="155" t="s">
        <v>486</v>
      </c>
      <c r="C95" s="167">
        <v>0</v>
      </c>
      <c r="D95" s="167">
        <v>0</v>
      </c>
      <c r="E95" s="167">
        <v>0</v>
      </c>
      <c r="F95" s="167">
        <v>0</v>
      </c>
      <c r="G95" s="167">
        <v>0</v>
      </c>
      <c r="H95" s="167">
        <v>0</v>
      </c>
      <c r="I95" s="167">
        <v>0</v>
      </c>
      <c r="J95" s="167">
        <v>0</v>
      </c>
      <c r="K95" s="167">
        <v>0</v>
      </c>
      <c r="L95" s="167">
        <v>0</v>
      </c>
      <c r="M95" s="167">
        <v>0</v>
      </c>
      <c r="N95" s="167">
        <v>0</v>
      </c>
      <c r="O95" s="167">
        <v>0</v>
      </c>
      <c r="P95" s="167">
        <v>0</v>
      </c>
      <c r="Q95" s="167">
        <v>0</v>
      </c>
      <c r="R95" s="167">
        <v>0</v>
      </c>
      <c r="S95" s="167">
        <v>0</v>
      </c>
      <c r="T95" s="167">
        <v>0</v>
      </c>
      <c r="U95" s="168" t="e">
        <v>#DIV/0!</v>
      </c>
      <c r="V95" s="167">
        <v>0</v>
      </c>
      <c r="W95" s="167">
        <v>0</v>
      </c>
      <c r="X95" s="167">
        <v>0</v>
      </c>
      <c r="Y95" s="167">
        <v>0</v>
      </c>
      <c r="Z95" s="167">
        <v>0</v>
      </c>
      <c r="AA95" s="167">
        <v>0</v>
      </c>
    </row>
    <row r="96" spans="1:27" ht="12" customHeight="1" x14ac:dyDescent="0.25">
      <c r="A96" s="155" t="s">
        <v>1191</v>
      </c>
      <c r="B96" s="155" t="s">
        <v>487</v>
      </c>
      <c r="C96" s="167">
        <v>0</v>
      </c>
      <c r="D96" s="167">
        <v>0</v>
      </c>
      <c r="E96" s="167">
        <v>0</v>
      </c>
      <c r="F96" s="167">
        <v>0</v>
      </c>
      <c r="G96" s="16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0</v>
      </c>
      <c r="O96" s="167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8" t="e">
        <v>#DIV/0!</v>
      </c>
      <c r="V96" s="167">
        <v>0</v>
      </c>
      <c r="W96" s="167">
        <v>0</v>
      </c>
      <c r="X96" s="167">
        <v>0</v>
      </c>
      <c r="Y96" s="167">
        <v>0</v>
      </c>
      <c r="Z96" s="167">
        <v>0</v>
      </c>
      <c r="AA96" s="167">
        <v>0</v>
      </c>
    </row>
    <row r="97" spans="1:27" ht="12" customHeight="1" x14ac:dyDescent="0.25">
      <c r="A97" s="155" t="s">
        <v>1192</v>
      </c>
      <c r="B97" s="155" t="s">
        <v>488</v>
      </c>
      <c r="C97" s="167">
        <v>0</v>
      </c>
      <c r="D97" s="167">
        <v>0</v>
      </c>
      <c r="E97" s="167">
        <v>0</v>
      </c>
      <c r="F97" s="167">
        <v>0</v>
      </c>
      <c r="G97" s="167">
        <v>0</v>
      </c>
      <c r="H97" s="167">
        <v>0</v>
      </c>
      <c r="I97" s="167">
        <v>0</v>
      </c>
      <c r="J97" s="167">
        <v>0</v>
      </c>
      <c r="K97" s="167">
        <v>0</v>
      </c>
      <c r="L97" s="167">
        <v>0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8" t="e">
        <v>#DIV/0!</v>
      </c>
      <c r="V97" s="167">
        <v>0</v>
      </c>
      <c r="W97" s="167">
        <v>0</v>
      </c>
      <c r="X97" s="167">
        <v>0</v>
      </c>
      <c r="Y97" s="167">
        <v>0</v>
      </c>
      <c r="Z97" s="167">
        <v>0</v>
      </c>
      <c r="AA97" s="167">
        <v>0</v>
      </c>
    </row>
    <row r="98" spans="1:27" ht="12" customHeight="1" x14ac:dyDescent="0.25">
      <c r="A98" s="155" t="s">
        <v>1193</v>
      </c>
      <c r="B98" s="155" t="s">
        <v>489</v>
      </c>
      <c r="C98" s="167">
        <v>0</v>
      </c>
      <c r="D98" s="167">
        <v>0</v>
      </c>
      <c r="E98" s="167">
        <v>0</v>
      </c>
      <c r="F98" s="167">
        <v>0</v>
      </c>
      <c r="G98" s="167">
        <v>0</v>
      </c>
      <c r="H98" s="167">
        <v>0</v>
      </c>
      <c r="I98" s="167">
        <v>0</v>
      </c>
      <c r="J98" s="167">
        <v>0</v>
      </c>
      <c r="K98" s="167">
        <v>0</v>
      </c>
      <c r="L98" s="167">
        <v>0</v>
      </c>
      <c r="M98" s="167">
        <v>0</v>
      </c>
      <c r="N98" s="167">
        <v>0</v>
      </c>
      <c r="O98" s="167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8" t="e">
        <v>#DIV/0!</v>
      </c>
      <c r="V98" s="167">
        <v>0</v>
      </c>
      <c r="W98" s="167">
        <v>0</v>
      </c>
      <c r="X98" s="167">
        <v>0</v>
      </c>
      <c r="Y98" s="167">
        <v>0</v>
      </c>
      <c r="Z98" s="167">
        <v>0</v>
      </c>
      <c r="AA98" s="167">
        <v>0</v>
      </c>
    </row>
    <row r="99" spans="1:27" ht="12" customHeight="1" x14ac:dyDescent="0.25">
      <c r="A99" s="155" t="s">
        <v>1194</v>
      </c>
      <c r="B99" s="155" t="s">
        <v>490</v>
      </c>
      <c r="C99" s="167">
        <v>0</v>
      </c>
      <c r="D99" s="167">
        <v>0</v>
      </c>
      <c r="E99" s="167">
        <v>0</v>
      </c>
      <c r="F99" s="167">
        <v>0</v>
      </c>
      <c r="G99" s="167">
        <v>0</v>
      </c>
      <c r="H99" s="167">
        <v>0</v>
      </c>
      <c r="I99" s="167">
        <v>0</v>
      </c>
      <c r="J99" s="167">
        <v>0</v>
      </c>
      <c r="K99" s="167">
        <v>0</v>
      </c>
      <c r="L99" s="167">
        <v>0</v>
      </c>
      <c r="M99" s="167">
        <v>0</v>
      </c>
      <c r="N99" s="167">
        <v>0</v>
      </c>
      <c r="O99" s="167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8" t="e">
        <v>#DIV/0!</v>
      </c>
      <c r="V99" s="167">
        <v>0</v>
      </c>
      <c r="W99" s="167">
        <v>0</v>
      </c>
      <c r="X99" s="167">
        <v>0</v>
      </c>
      <c r="Y99" s="167">
        <v>0</v>
      </c>
      <c r="Z99" s="167">
        <v>0</v>
      </c>
      <c r="AA99" s="167">
        <v>0</v>
      </c>
    </row>
    <row r="100" spans="1:27" ht="12" customHeight="1" x14ac:dyDescent="0.25">
      <c r="A100" s="155" t="s">
        <v>1195</v>
      </c>
      <c r="B100" s="155" t="s">
        <v>491</v>
      </c>
      <c r="C100" s="167">
        <v>0</v>
      </c>
      <c r="D100" s="167">
        <v>0</v>
      </c>
      <c r="E100" s="167">
        <v>0</v>
      </c>
      <c r="F100" s="167">
        <v>0</v>
      </c>
      <c r="G100" s="167">
        <v>0</v>
      </c>
      <c r="H100" s="167">
        <v>0</v>
      </c>
      <c r="I100" s="167">
        <v>0</v>
      </c>
      <c r="J100" s="167">
        <v>0</v>
      </c>
      <c r="K100" s="167">
        <v>0</v>
      </c>
      <c r="L100" s="167">
        <v>0</v>
      </c>
      <c r="M100" s="167">
        <v>0</v>
      </c>
      <c r="N100" s="167">
        <v>0</v>
      </c>
      <c r="O100" s="167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8" t="e">
        <v>#DIV/0!</v>
      </c>
      <c r="V100" s="167">
        <v>0</v>
      </c>
      <c r="W100" s="167">
        <v>0</v>
      </c>
      <c r="X100" s="167">
        <v>0</v>
      </c>
      <c r="Y100" s="167">
        <v>0</v>
      </c>
      <c r="Z100" s="167">
        <v>0</v>
      </c>
      <c r="AA100" s="167">
        <v>0</v>
      </c>
    </row>
    <row r="101" spans="1:27" ht="12" customHeight="1" x14ac:dyDescent="0.25">
      <c r="A101" s="155" t="s">
        <v>1196</v>
      </c>
      <c r="B101" s="155" t="s">
        <v>492</v>
      </c>
      <c r="C101" s="167">
        <v>0</v>
      </c>
      <c r="D101" s="167">
        <v>0</v>
      </c>
      <c r="E101" s="167">
        <v>0</v>
      </c>
      <c r="F101" s="167">
        <v>0</v>
      </c>
      <c r="G101" s="167">
        <v>0</v>
      </c>
      <c r="H101" s="167">
        <v>0</v>
      </c>
      <c r="I101" s="167">
        <v>0</v>
      </c>
      <c r="J101" s="167">
        <v>0</v>
      </c>
      <c r="K101" s="167">
        <v>0</v>
      </c>
      <c r="L101" s="167">
        <v>0</v>
      </c>
      <c r="M101" s="167">
        <v>0</v>
      </c>
      <c r="N101" s="167">
        <v>0</v>
      </c>
      <c r="O101" s="167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8" t="e">
        <v>#DIV/0!</v>
      </c>
      <c r="V101" s="167">
        <v>0</v>
      </c>
      <c r="W101" s="167">
        <v>0</v>
      </c>
      <c r="X101" s="167">
        <v>0</v>
      </c>
      <c r="Y101" s="167">
        <v>0</v>
      </c>
      <c r="Z101" s="167">
        <v>0</v>
      </c>
      <c r="AA101" s="167">
        <v>0</v>
      </c>
    </row>
    <row r="102" spans="1:27" ht="12" customHeight="1" x14ac:dyDescent="0.25">
      <c r="A102" s="155" t="s">
        <v>1197</v>
      </c>
      <c r="B102" s="155" t="s">
        <v>493</v>
      </c>
      <c r="C102" s="167">
        <v>0</v>
      </c>
      <c r="D102" s="167">
        <v>0</v>
      </c>
      <c r="E102" s="167">
        <v>0</v>
      </c>
      <c r="F102" s="167">
        <v>0</v>
      </c>
      <c r="G102" s="16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167">
        <v>0</v>
      </c>
      <c r="R102" s="167">
        <v>0</v>
      </c>
      <c r="S102" s="167">
        <v>0</v>
      </c>
      <c r="T102" s="167">
        <v>0</v>
      </c>
      <c r="U102" s="168" t="e">
        <v>#DIV/0!</v>
      </c>
      <c r="V102" s="167">
        <v>0</v>
      </c>
      <c r="W102" s="167">
        <v>0</v>
      </c>
      <c r="X102" s="167">
        <v>0</v>
      </c>
      <c r="Y102" s="167">
        <v>0</v>
      </c>
      <c r="Z102" s="167">
        <v>0</v>
      </c>
      <c r="AA102" s="167">
        <v>0</v>
      </c>
    </row>
    <row r="103" spans="1:27" ht="12" customHeight="1" x14ac:dyDescent="0.25">
      <c r="A103" s="155" t="s">
        <v>1198</v>
      </c>
      <c r="B103" s="155" t="s">
        <v>494</v>
      </c>
      <c r="C103" s="167">
        <v>0</v>
      </c>
      <c r="D103" s="167">
        <v>0</v>
      </c>
      <c r="E103" s="167">
        <v>0</v>
      </c>
      <c r="F103" s="167">
        <v>0</v>
      </c>
      <c r="G103" s="167">
        <v>0</v>
      </c>
      <c r="H103" s="167">
        <v>0</v>
      </c>
      <c r="I103" s="167">
        <v>0</v>
      </c>
      <c r="J103" s="167">
        <v>0</v>
      </c>
      <c r="K103" s="167">
        <v>0</v>
      </c>
      <c r="L103" s="167">
        <v>0</v>
      </c>
      <c r="M103" s="167">
        <v>0</v>
      </c>
      <c r="N103" s="167">
        <v>0</v>
      </c>
      <c r="O103" s="167">
        <v>0</v>
      </c>
      <c r="P103" s="167">
        <v>0</v>
      </c>
      <c r="Q103" s="167">
        <v>0</v>
      </c>
      <c r="R103" s="167">
        <v>0</v>
      </c>
      <c r="S103" s="167">
        <v>0</v>
      </c>
      <c r="T103" s="167">
        <v>0</v>
      </c>
      <c r="U103" s="168" t="e">
        <v>#DIV/0!</v>
      </c>
      <c r="V103" s="167">
        <v>0</v>
      </c>
      <c r="W103" s="167">
        <v>0</v>
      </c>
      <c r="X103" s="167">
        <v>0</v>
      </c>
      <c r="Y103" s="167">
        <v>0</v>
      </c>
      <c r="Z103" s="167">
        <v>0</v>
      </c>
      <c r="AA103" s="167">
        <v>0</v>
      </c>
    </row>
    <row r="104" spans="1:27" ht="12" customHeight="1" x14ac:dyDescent="0.25">
      <c r="A104" s="155" t="s">
        <v>1199</v>
      </c>
      <c r="B104" s="155" t="s">
        <v>495</v>
      </c>
      <c r="C104" s="167">
        <v>0</v>
      </c>
      <c r="D104" s="167">
        <v>0</v>
      </c>
      <c r="E104" s="167">
        <v>0</v>
      </c>
      <c r="F104" s="167">
        <v>0</v>
      </c>
      <c r="G104" s="16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67">
        <v>0</v>
      </c>
      <c r="N104" s="167">
        <v>0</v>
      </c>
      <c r="O104" s="167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8" t="e">
        <v>#DIV/0!</v>
      </c>
      <c r="V104" s="167">
        <v>0</v>
      </c>
      <c r="W104" s="167">
        <v>0</v>
      </c>
      <c r="X104" s="167">
        <v>0</v>
      </c>
      <c r="Y104" s="167">
        <v>0</v>
      </c>
      <c r="Z104" s="167">
        <v>0</v>
      </c>
      <c r="AA104" s="167">
        <v>0</v>
      </c>
    </row>
    <row r="105" spans="1:27" ht="12" customHeight="1" x14ac:dyDescent="0.25">
      <c r="A105" s="155" t="s">
        <v>1200</v>
      </c>
      <c r="B105" s="155" t="s">
        <v>496</v>
      </c>
      <c r="C105" s="167">
        <v>0</v>
      </c>
      <c r="D105" s="167">
        <v>0</v>
      </c>
      <c r="E105" s="167">
        <v>0</v>
      </c>
      <c r="F105" s="167">
        <v>0</v>
      </c>
      <c r="G105" s="167">
        <v>0</v>
      </c>
      <c r="H105" s="167">
        <v>0</v>
      </c>
      <c r="I105" s="167">
        <v>0</v>
      </c>
      <c r="J105" s="167">
        <v>0</v>
      </c>
      <c r="K105" s="167">
        <v>0</v>
      </c>
      <c r="L105" s="167">
        <v>0</v>
      </c>
      <c r="M105" s="167">
        <v>0</v>
      </c>
      <c r="N105" s="167">
        <v>0</v>
      </c>
      <c r="O105" s="167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8" t="e">
        <v>#DIV/0!</v>
      </c>
      <c r="V105" s="167">
        <v>0</v>
      </c>
      <c r="W105" s="167">
        <v>0</v>
      </c>
      <c r="X105" s="167">
        <v>0</v>
      </c>
      <c r="Y105" s="167">
        <v>0</v>
      </c>
      <c r="Z105" s="167">
        <v>0</v>
      </c>
      <c r="AA105" s="167">
        <v>0</v>
      </c>
    </row>
    <row r="106" spans="1:27" ht="12" customHeight="1" x14ac:dyDescent="0.25">
      <c r="A106" s="155" t="s">
        <v>1201</v>
      </c>
      <c r="B106" s="155" t="s">
        <v>497</v>
      </c>
      <c r="C106" s="167">
        <v>0</v>
      </c>
      <c r="D106" s="167">
        <v>0</v>
      </c>
      <c r="E106" s="167">
        <v>0</v>
      </c>
      <c r="F106" s="167">
        <v>0</v>
      </c>
      <c r="G106" s="16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167">
        <v>0</v>
      </c>
      <c r="R106" s="167">
        <v>0</v>
      </c>
      <c r="S106" s="167">
        <v>0</v>
      </c>
      <c r="T106" s="167">
        <v>0</v>
      </c>
      <c r="U106" s="168" t="e">
        <v>#DIV/0!</v>
      </c>
      <c r="V106" s="167">
        <v>0</v>
      </c>
      <c r="W106" s="167">
        <v>0</v>
      </c>
      <c r="X106" s="167">
        <v>0</v>
      </c>
      <c r="Y106" s="167">
        <v>0</v>
      </c>
      <c r="Z106" s="167">
        <v>0</v>
      </c>
      <c r="AA106" s="167">
        <v>0</v>
      </c>
    </row>
    <row r="107" spans="1:27" ht="12" customHeight="1" x14ac:dyDescent="0.25">
      <c r="A107" s="155" t="s">
        <v>1202</v>
      </c>
      <c r="B107" s="155" t="s">
        <v>498</v>
      </c>
      <c r="C107" s="167">
        <v>0</v>
      </c>
      <c r="D107" s="167">
        <v>0</v>
      </c>
      <c r="E107" s="167">
        <v>0</v>
      </c>
      <c r="F107" s="167">
        <v>0</v>
      </c>
      <c r="G107" s="167">
        <v>0</v>
      </c>
      <c r="H107" s="167">
        <v>0</v>
      </c>
      <c r="I107" s="167">
        <v>0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0</v>
      </c>
      <c r="P107" s="167">
        <v>0</v>
      </c>
      <c r="Q107" s="167">
        <v>0</v>
      </c>
      <c r="R107" s="167">
        <v>0</v>
      </c>
      <c r="S107" s="167">
        <v>0</v>
      </c>
      <c r="T107" s="167">
        <v>0</v>
      </c>
      <c r="U107" s="168" t="e">
        <v>#DIV/0!</v>
      </c>
      <c r="V107" s="167">
        <v>0</v>
      </c>
      <c r="W107" s="167">
        <v>0</v>
      </c>
      <c r="X107" s="167">
        <v>0</v>
      </c>
      <c r="Y107" s="167">
        <v>0</v>
      </c>
      <c r="Z107" s="167">
        <v>0</v>
      </c>
      <c r="AA107" s="167">
        <v>0</v>
      </c>
    </row>
    <row r="108" spans="1:27" ht="12" customHeight="1" x14ac:dyDescent="0.25">
      <c r="A108" s="155"/>
      <c r="B108" s="162" t="s">
        <v>499</v>
      </c>
      <c r="C108" s="163">
        <v>0</v>
      </c>
      <c r="D108" s="163">
        <v>0</v>
      </c>
      <c r="E108" s="163">
        <v>0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3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4">
        <v>0</v>
      </c>
      <c r="U108" s="165" t="e">
        <v>#DIV/0!</v>
      </c>
      <c r="V108" s="164">
        <v>0</v>
      </c>
      <c r="W108" s="164">
        <v>0</v>
      </c>
      <c r="X108" s="164">
        <v>0</v>
      </c>
      <c r="Y108" s="164">
        <v>0</v>
      </c>
      <c r="Z108" s="164">
        <v>0</v>
      </c>
      <c r="AA108" s="164">
        <v>0</v>
      </c>
    </row>
    <row r="109" spans="1:27" ht="12" customHeight="1" x14ac:dyDescent="0.25">
      <c r="A109" s="155" t="s">
        <v>1203</v>
      </c>
      <c r="B109" s="155" t="s">
        <v>500</v>
      </c>
      <c r="C109" s="167">
        <v>0</v>
      </c>
      <c r="D109" s="167">
        <v>0</v>
      </c>
      <c r="E109" s="167">
        <v>0</v>
      </c>
      <c r="F109" s="167">
        <v>0</v>
      </c>
      <c r="G109" s="167">
        <v>0</v>
      </c>
      <c r="H109" s="167">
        <v>0</v>
      </c>
      <c r="I109" s="167">
        <v>0</v>
      </c>
      <c r="J109" s="167">
        <v>0</v>
      </c>
      <c r="K109" s="167">
        <v>0</v>
      </c>
      <c r="L109" s="167">
        <v>0</v>
      </c>
      <c r="M109" s="167">
        <v>0</v>
      </c>
      <c r="N109" s="167">
        <v>0</v>
      </c>
      <c r="O109" s="167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8" t="e">
        <v>#DIV/0!</v>
      </c>
      <c r="V109" s="167">
        <v>0</v>
      </c>
      <c r="W109" s="167">
        <v>0</v>
      </c>
      <c r="X109" s="167">
        <v>0</v>
      </c>
      <c r="Y109" s="167">
        <v>0</v>
      </c>
      <c r="Z109" s="167">
        <v>0</v>
      </c>
      <c r="AA109" s="167">
        <v>0</v>
      </c>
    </row>
    <row r="110" spans="1:27" ht="12" customHeight="1" x14ac:dyDescent="0.25">
      <c r="A110" s="155" t="s">
        <v>1204</v>
      </c>
      <c r="B110" s="155" t="s">
        <v>501</v>
      </c>
      <c r="C110" s="167">
        <v>0</v>
      </c>
      <c r="D110" s="167">
        <v>0</v>
      </c>
      <c r="E110" s="167">
        <v>0</v>
      </c>
      <c r="F110" s="167">
        <v>0</v>
      </c>
      <c r="G110" s="167">
        <v>0</v>
      </c>
      <c r="H110" s="167">
        <v>0</v>
      </c>
      <c r="I110" s="167">
        <v>0</v>
      </c>
      <c r="J110" s="167">
        <v>0</v>
      </c>
      <c r="K110" s="167">
        <v>0</v>
      </c>
      <c r="L110" s="167">
        <v>0</v>
      </c>
      <c r="M110" s="167">
        <v>0</v>
      </c>
      <c r="N110" s="167">
        <v>0</v>
      </c>
      <c r="O110" s="167">
        <v>0</v>
      </c>
      <c r="P110" s="167">
        <v>0</v>
      </c>
      <c r="Q110" s="167">
        <v>0</v>
      </c>
      <c r="R110" s="167">
        <v>0</v>
      </c>
      <c r="S110" s="167">
        <v>0</v>
      </c>
      <c r="T110" s="167">
        <v>0</v>
      </c>
      <c r="U110" s="168" t="e">
        <v>#DIV/0!</v>
      </c>
      <c r="V110" s="167">
        <v>0</v>
      </c>
      <c r="W110" s="167">
        <v>0</v>
      </c>
      <c r="X110" s="167">
        <v>0</v>
      </c>
      <c r="Y110" s="167">
        <v>0</v>
      </c>
      <c r="Z110" s="167">
        <v>0</v>
      </c>
      <c r="AA110" s="167">
        <v>0</v>
      </c>
    </row>
    <row r="111" spans="1:27" ht="12" customHeight="1" x14ac:dyDescent="0.25">
      <c r="A111" s="155" t="s">
        <v>1205</v>
      </c>
      <c r="B111" s="155" t="s">
        <v>502</v>
      </c>
      <c r="C111" s="167">
        <v>0</v>
      </c>
      <c r="D111" s="167">
        <v>0</v>
      </c>
      <c r="E111" s="167">
        <v>0</v>
      </c>
      <c r="F111" s="167">
        <v>0</v>
      </c>
      <c r="G111" s="167">
        <v>0</v>
      </c>
      <c r="H111" s="167">
        <v>0</v>
      </c>
      <c r="I111" s="167">
        <v>0</v>
      </c>
      <c r="J111" s="167">
        <v>0</v>
      </c>
      <c r="K111" s="167">
        <v>0</v>
      </c>
      <c r="L111" s="167">
        <v>0</v>
      </c>
      <c r="M111" s="167">
        <v>0</v>
      </c>
      <c r="N111" s="167">
        <v>0</v>
      </c>
      <c r="O111" s="167">
        <v>0</v>
      </c>
      <c r="P111" s="167">
        <v>0</v>
      </c>
      <c r="Q111" s="167">
        <v>0</v>
      </c>
      <c r="R111" s="167">
        <v>0</v>
      </c>
      <c r="S111" s="167">
        <v>0</v>
      </c>
      <c r="T111" s="167">
        <v>0</v>
      </c>
      <c r="U111" s="168" t="e">
        <v>#DIV/0!</v>
      </c>
      <c r="V111" s="167">
        <v>0</v>
      </c>
      <c r="W111" s="167">
        <v>0</v>
      </c>
      <c r="X111" s="167">
        <v>0</v>
      </c>
      <c r="Y111" s="167">
        <v>0</v>
      </c>
      <c r="Z111" s="167">
        <v>0</v>
      </c>
      <c r="AA111" s="167">
        <v>0</v>
      </c>
    </row>
    <row r="112" spans="1:27" ht="12" customHeight="1" x14ac:dyDescent="0.25">
      <c r="A112" s="155" t="s">
        <v>1206</v>
      </c>
      <c r="B112" s="155" t="s">
        <v>503</v>
      </c>
      <c r="C112" s="167">
        <v>0</v>
      </c>
      <c r="D112" s="167">
        <v>0</v>
      </c>
      <c r="E112" s="167">
        <v>0</v>
      </c>
      <c r="F112" s="167">
        <v>0</v>
      </c>
      <c r="G112" s="167">
        <v>0</v>
      </c>
      <c r="H112" s="167">
        <v>0</v>
      </c>
      <c r="I112" s="167">
        <v>0</v>
      </c>
      <c r="J112" s="167">
        <v>0</v>
      </c>
      <c r="K112" s="167">
        <v>0</v>
      </c>
      <c r="L112" s="167">
        <v>0</v>
      </c>
      <c r="M112" s="167">
        <v>0</v>
      </c>
      <c r="N112" s="167">
        <v>0</v>
      </c>
      <c r="O112" s="167">
        <v>0</v>
      </c>
      <c r="P112" s="167">
        <v>0</v>
      </c>
      <c r="Q112" s="167">
        <v>0</v>
      </c>
      <c r="R112" s="167">
        <v>0</v>
      </c>
      <c r="S112" s="167">
        <v>0</v>
      </c>
      <c r="T112" s="167">
        <v>0</v>
      </c>
      <c r="U112" s="168" t="e">
        <v>#DIV/0!</v>
      </c>
      <c r="V112" s="167">
        <v>0</v>
      </c>
      <c r="W112" s="167">
        <v>0</v>
      </c>
      <c r="X112" s="167">
        <v>0</v>
      </c>
      <c r="Y112" s="167">
        <v>0</v>
      </c>
      <c r="Z112" s="167">
        <v>0</v>
      </c>
      <c r="AA112" s="167">
        <v>0</v>
      </c>
    </row>
    <row r="113" spans="1:27" ht="12" customHeight="1" x14ac:dyDescent="0.25">
      <c r="A113" s="155"/>
      <c r="B113" s="162" t="s">
        <v>504</v>
      </c>
      <c r="C113" s="163">
        <v>0</v>
      </c>
      <c r="D113" s="163">
        <v>0</v>
      </c>
      <c r="E113" s="163">
        <v>0</v>
      </c>
      <c r="F113" s="163">
        <v>0</v>
      </c>
      <c r="G113" s="163">
        <v>0</v>
      </c>
      <c r="H113" s="163">
        <v>0</v>
      </c>
      <c r="I113" s="163">
        <v>0</v>
      </c>
      <c r="J113" s="163">
        <v>0</v>
      </c>
      <c r="K113" s="163">
        <v>0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3">
        <v>0</v>
      </c>
      <c r="R113" s="163">
        <v>0</v>
      </c>
      <c r="S113" s="163">
        <v>0</v>
      </c>
      <c r="T113" s="164">
        <v>0</v>
      </c>
      <c r="U113" s="165" t="e">
        <v>#DIV/0!</v>
      </c>
      <c r="V113" s="164">
        <v>0</v>
      </c>
      <c r="W113" s="164">
        <v>0</v>
      </c>
      <c r="X113" s="164">
        <v>0</v>
      </c>
      <c r="Y113" s="164">
        <v>0</v>
      </c>
      <c r="Z113" s="164">
        <v>0</v>
      </c>
      <c r="AA113" s="164">
        <v>0</v>
      </c>
    </row>
    <row r="114" spans="1:27" ht="12" customHeight="1" x14ac:dyDescent="0.25">
      <c r="A114" s="155" t="s">
        <v>1207</v>
      </c>
      <c r="B114" s="155" t="s">
        <v>505</v>
      </c>
      <c r="C114" s="167">
        <v>0</v>
      </c>
      <c r="D114" s="167">
        <v>0</v>
      </c>
      <c r="E114" s="167">
        <v>0</v>
      </c>
      <c r="F114" s="167">
        <v>0</v>
      </c>
      <c r="G114" s="167">
        <v>0</v>
      </c>
      <c r="H114" s="167">
        <v>0</v>
      </c>
      <c r="I114" s="167">
        <v>0</v>
      </c>
      <c r="J114" s="167">
        <v>0</v>
      </c>
      <c r="K114" s="167">
        <v>0</v>
      </c>
      <c r="L114" s="167">
        <v>0</v>
      </c>
      <c r="M114" s="167">
        <v>0</v>
      </c>
      <c r="N114" s="167">
        <v>0</v>
      </c>
      <c r="O114" s="167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8" t="e">
        <v>#DIV/0!</v>
      </c>
      <c r="V114" s="167">
        <v>0</v>
      </c>
      <c r="W114" s="167">
        <v>0</v>
      </c>
      <c r="X114" s="167">
        <v>0</v>
      </c>
      <c r="Y114" s="167">
        <v>0</v>
      </c>
      <c r="Z114" s="167">
        <v>0</v>
      </c>
      <c r="AA114" s="167">
        <v>0</v>
      </c>
    </row>
    <row r="115" spans="1:27" ht="12" customHeight="1" x14ac:dyDescent="0.25">
      <c r="A115" s="155" t="s">
        <v>1208</v>
      </c>
      <c r="B115" s="155" t="s">
        <v>506</v>
      </c>
      <c r="C115" s="167">
        <v>0</v>
      </c>
      <c r="D115" s="167">
        <v>0</v>
      </c>
      <c r="E115" s="167">
        <v>0</v>
      </c>
      <c r="F115" s="167">
        <v>0</v>
      </c>
      <c r="G115" s="167">
        <v>0</v>
      </c>
      <c r="H115" s="167">
        <v>0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0</v>
      </c>
      <c r="O115" s="167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8" t="e">
        <v>#DIV/0!</v>
      </c>
      <c r="V115" s="167">
        <v>0</v>
      </c>
      <c r="W115" s="167">
        <v>0</v>
      </c>
      <c r="X115" s="167">
        <v>0</v>
      </c>
      <c r="Y115" s="167">
        <v>0</v>
      </c>
      <c r="Z115" s="167">
        <v>0</v>
      </c>
      <c r="AA115" s="167">
        <v>0</v>
      </c>
    </row>
    <row r="116" spans="1:27" ht="12" customHeight="1" x14ac:dyDescent="0.25">
      <c r="A116" s="155" t="s">
        <v>1209</v>
      </c>
      <c r="B116" s="155" t="s">
        <v>507</v>
      </c>
      <c r="C116" s="167">
        <v>0</v>
      </c>
      <c r="D116" s="167">
        <v>0</v>
      </c>
      <c r="E116" s="167">
        <v>0</v>
      </c>
      <c r="F116" s="167">
        <v>0</v>
      </c>
      <c r="G116" s="167">
        <v>0</v>
      </c>
      <c r="H116" s="167">
        <v>0</v>
      </c>
      <c r="I116" s="167">
        <v>0</v>
      </c>
      <c r="J116" s="167">
        <v>0</v>
      </c>
      <c r="K116" s="167">
        <v>0</v>
      </c>
      <c r="L116" s="167">
        <v>0</v>
      </c>
      <c r="M116" s="167">
        <v>0</v>
      </c>
      <c r="N116" s="167">
        <v>0</v>
      </c>
      <c r="O116" s="167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8" t="e">
        <v>#DIV/0!</v>
      </c>
      <c r="V116" s="167">
        <v>0</v>
      </c>
      <c r="W116" s="167">
        <v>0</v>
      </c>
      <c r="X116" s="167">
        <v>0</v>
      </c>
      <c r="Y116" s="167">
        <v>0</v>
      </c>
      <c r="Z116" s="167">
        <v>0</v>
      </c>
      <c r="AA116" s="167">
        <v>0</v>
      </c>
    </row>
    <row r="117" spans="1:27" ht="12" customHeight="1" x14ac:dyDescent="0.25">
      <c r="A117" s="155" t="s">
        <v>1210</v>
      </c>
      <c r="B117" s="155" t="s">
        <v>508</v>
      </c>
      <c r="C117" s="167">
        <v>0</v>
      </c>
      <c r="D117" s="167">
        <v>0</v>
      </c>
      <c r="E117" s="167">
        <v>0</v>
      </c>
      <c r="F117" s="167">
        <v>0</v>
      </c>
      <c r="G117" s="167">
        <v>0</v>
      </c>
      <c r="H117" s="167">
        <v>0</v>
      </c>
      <c r="I117" s="167">
        <v>0</v>
      </c>
      <c r="J117" s="167">
        <v>0</v>
      </c>
      <c r="K117" s="167">
        <v>0</v>
      </c>
      <c r="L117" s="167">
        <v>0</v>
      </c>
      <c r="M117" s="167">
        <v>0</v>
      </c>
      <c r="N117" s="167">
        <v>0</v>
      </c>
      <c r="O117" s="167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8" t="e">
        <v>#DIV/0!</v>
      </c>
      <c r="V117" s="167">
        <v>0</v>
      </c>
      <c r="W117" s="167">
        <v>0</v>
      </c>
      <c r="X117" s="167">
        <v>0</v>
      </c>
      <c r="Y117" s="167">
        <v>0</v>
      </c>
      <c r="Z117" s="167">
        <v>0</v>
      </c>
      <c r="AA117" s="167">
        <v>0</v>
      </c>
    </row>
    <row r="118" spans="1:27" ht="12" customHeight="1" x14ac:dyDescent="0.25">
      <c r="A118" s="155" t="s">
        <v>1211</v>
      </c>
      <c r="B118" s="155" t="s">
        <v>509</v>
      </c>
      <c r="C118" s="167">
        <v>0</v>
      </c>
      <c r="D118" s="167">
        <v>0</v>
      </c>
      <c r="E118" s="167">
        <v>0</v>
      </c>
      <c r="F118" s="167">
        <v>0</v>
      </c>
      <c r="G118" s="167">
        <v>0</v>
      </c>
      <c r="H118" s="167">
        <v>0</v>
      </c>
      <c r="I118" s="167">
        <v>0</v>
      </c>
      <c r="J118" s="167">
        <v>0</v>
      </c>
      <c r="K118" s="167">
        <v>0</v>
      </c>
      <c r="L118" s="167">
        <v>0</v>
      </c>
      <c r="M118" s="167">
        <v>0</v>
      </c>
      <c r="N118" s="167">
        <v>0</v>
      </c>
      <c r="O118" s="167">
        <v>0</v>
      </c>
      <c r="P118" s="167">
        <v>0</v>
      </c>
      <c r="Q118" s="167">
        <v>0</v>
      </c>
      <c r="R118" s="167">
        <v>0</v>
      </c>
      <c r="S118" s="167">
        <v>0</v>
      </c>
      <c r="T118" s="167">
        <v>0</v>
      </c>
      <c r="U118" s="168" t="e">
        <v>#DIV/0!</v>
      </c>
      <c r="V118" s="167">
        <v>0</v>
      </c>
      <c r="W118" s="167">
        <v>0</v>
      </c>
      <c r="X118" s="167">
        <v>0</v>
      </c>
      <c r="Y118" s="167">
        <v>0</v>
      </c>
      <c r="Z118" s="167">
        <v>0</v>
      </c>
      <c r="AA118" s="167">
        <v>0</v>
      </c>
    </row>
    <row r="119" spans="1:27" ht="12" customHeight="1" x14ac:dyDescent="0.25">
      <c r="A119" s="155" t="s">
        <v>1212</v>
      </c>
      <c r="B119" s="155" t="s">
        <v>510</v>
      </c>
      <c r="C119" s="167">
        <v>0</v>
      </c>
      <c r="D119" s="167">
        <v>0</v>
      </c>
      <c r="E119" s="167">
        <v>0</v>
      </c>
      <c r="F119" s="167">
        <v>0</v>
      </c>
      <c r="G119" s="167">
        <v>0</v>
      </c>
      <c r="H119" s="167">
        <v>0</v>
      </c>
      <c r="I119" s="167">
        <v>0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</v>
      </c>
      <c r="R119" s="167">
        <v>0</v>
      </c>
      <c r="S119" s="167">
        <v>0</v>
      </c>
      <c r="T119" s="167">
        <v>0</v>
      </c>
      <c r="U119" s="168" t="e">
        <v>#DIV/0!</v>
      </c>
      <c r="V119" s="167">
        <v>0</v>
      </c>
      <c r="W119" s="167">
        <v>0</v>
      </c>
      <c r="X119" s="167">
        <v>0</v>
      </c>
      <c r="Y119" s="167">
        <v>0</v>
      </c>
      <c r="Z119" s="167">
        <v>0</v>
      </c>
      <c r="AA119" s="167">
        <v>0</v>
      </c>
    </row>
    <row r="120" spans="1:27" ht="12" customHeight="1" x14ac:dyDescent="0.25">
      <c r="A120" s="155"/>
      <c r="B120" s="162" t="s">
        <v>511</v>
      </c>
      <c r="C120" s="163">
        <v>0</v>
      </c>
      <c r="D120" s="163">
        <v>0</v>
      </c>
      <c r="E120" s="163">
        <v>0</v>
      </c>
      <c r="F120" s="163">
        <v>0</v>
      </c>
      <c r="G120" s="163">
        <v>0</v>
      </c>
      <c r="H120" s="163">
        <v>0</v>
      </c>
      <c r="I120" s="163">
        <v>0</v>
      </c>
      <c r="J120" s="163">
        <v>0</v>
      </c>
      <c r="K120" s="163">
        <v>0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3">
        <v>0</v>
      </c>
      <c r="R120" s="163">
        <v>0</v>
      </c>
      <c r="S120" s="163">
        <v>0</v>
      </c>
      <c r="T120" s="164">
        <v>0</v>
      </c>
      <c r="U120" s="165" t="e">
        <v>#DIV/0!</v>
      </c>
      <c r="V120" s="164">
        <v>0</v>
      </c>
      <c r="W120" s="164">
        <v>0</v>
      </c>
      <c r="X120" s="164">
        <v>0</v>
      </c>
      <c r="Y120" s="164">
        <v>0</v>
      </c>
      <c r="Z120" s="164">
        <v>0</v>
      </c>
      <c r="AA120" s="164">
        <v>0</v>
      </c>
    </row>
    <row r="121" spans="1:27" ht="12" customHeight="1" x14ac:dyDescent="0.25">
      <c r="A121" s="155" t="s">
        <v>1213</v>
      </c>
      <c r="B121" s="155" t="s">
        <v>512</v>
      </c>
      <c r="C121" s="167">
        <v>0</v>
      </c>
      <c r="D121" s="167">
        <v>0</v>
      </c>
      <c r="E121" s="167">
        <v>0</v>
      </c>
      <c r="F121" s="167">
        <v>0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0</v>
      </c>
      <c r="M121" s="167">
        <v>0</v>
      </c>
      <c r="N121" s="167">
        <v>0</v>
      </c>
      <c r="O121" s="167">
        <v>0</v>
      </c>
      <c r="P121" s="167">
        <v>0</v>
      </c>
      <c r="Q121" s="167">
        <v>0</v>
      </c>
      <c r="R121" s="167">
        <v>0</v>
      </c>
      <c r="S121" s="167">
        <v>0</v>
      </c>
      <c r="T121" s="167">
        <v>0</v>
      </c>
      <c r="U121" s="168" t="e">
        <v>#DIV/0!</v>
      </c>
      <c r="V121" s="167">
        <v>0</v>
      </c>
      <c r="W121" s="167">
        <v>0</v>
      </c>
      <c r="X121" s="167">
        <v>0</v>
      </c>
      <c r="Y121" s="167">
        <v>0</v>
      </c>
      <c r="Z121" s="167">
        <v>0</v>
      </c>
      <c r="AA121" s="167">
        <v>0</v>
      </c>
    </row>
    <row r="122" spans="1:27" ht="12" customHeight="1" x14ac:dyDescent="0.25">
      <c r="A122" s="155" t="s">
        <v>1214</v>
      </c>
      <c r="B122" s="155" t="s">
        <v>513</v>
      </c>
      <c r="C122" s="167">
        <v>0</v>
      </c>
      <c r="D122" s="167">
        <v>0</v>
      </c>
      <c r="E122" s="167">
        <v>0</v>
      </c>
      <c r="F122" s="167">
        <v>0</v>
      </c>
      <c r="G122" s="167">
        <v>0</v>
      </c>
      <c r="H122" s="167">
        <v>0</v>
      </c>
      <c r="I122" s="167">
        <v>0</v>
      </c>
      <c r="J122" s="167">
        <v>0</v>
      </c>
      <c r="K122" s="167">
        <v>0</v>
      </c>
      <c r="L122" s="167">
        <v>0</v>
      </c>
      <c r="M122" s="167">
        <v>0</v>
      </c>
      <c r="N122" s="167">
        <v>0</v>
      </c>
      <c r="O122" s="167">
        <v>0</v>
      </c>
      <c r="P122" s="167">
        <v>0</v>
      </c>
      <c r="Q122" s="167">
        <v>0</v>
      </c>
      <c r="R122" s="167">
        <v>0</v>
      </c>
      <c r="S122" s="167">
        <v>0</v>
      </c>
      <c r="T122" s="167">
        <v>0</v>
      </c>
      <c r="U122" s="168" t="e">
        <v>#DIV/0!</v>
      </c>
      <c r="V122" s="167">
        <v>0</v>
      </c>
      <c r="W122" s="167">
        <v>0</v>
      </c>
      <c r="X122" s="167">
        <v>0</v>
      </c>
      <c r="Y122" s="167">
        <v>0</v>
      </c>
      <c r="Z122" s="167">
        <v>0</v>
      </c>
      <c r="AA122" s="167">
        <v>0</v>
      </c>
    </row>
    <row r="123" spans="1:27" ht="12" customHeight="1" x14ac:dyDescent="0.25">
      <c r="A123" s="155" t="s">
        <v>1215</v>
      </c>
      <c r="B123" s="162" t="s">
        <v>514</v>
      </c>
      <c r="C123" s="164">
        <v>0</v>
      </c>
      <c r="D123" s="164">
        <v>0</v>
      </c>
      <c r="E123" s="164">
        <v>0</v>
      </c>
      <c r="F123" s="164">
        <v>0</v>
      </c>
      <c r="G123" s="164">
        <v>0</v>
      </c>
      <c r="H123" s="164">
        <v>0</v>
      </c>
      <c r="I123" s="164">
        <v>0</v>
      </c>
      <c r="J123" s="164">
        <v>0</v>
      </c>
      <c r="K123" s="164">
        <v>0</v>
      </c>
      <c r="L123" s="164">
        <v>0</v>
      </c>
      <c r="M123" s="164">
        <v>0</v>
      </c>
      <c r="N123" s="164">
        <v>0</v>
      </c>
      <c r="O123" s="164">
        <v>0</v>
      </c>
      <c r="P123" s="164">
        <v>0</v>
      </c>
      <c r="Q123" s="164">
        <v>0</v>
      </c>
      <c r="R123" s="164">
        <v>0</v>
      </c>
      <c r="S123" s="164">
        <v>0</v>
      </c>
      <c r="T123" s="164">
        <v>0</v>
      </c>
      <c r="U123" s="165" t="e">
        <v>#DIV/0!</v>
      </c>
      <c r="V123" s="164">
        <v>0</v>
      </c>
      <c r="W123" s="164">
        <v>0</v>
      </c>
      <c r="X123" s="164">
        <v>0</v>
      </c>
      <c r="Y123" s="164">
        <v>0</v>
      </c>
      <c r="Z123" s="164">
        <v>0</v>
      </c>
      <c r="AA123" s="164">
        <v>0</v>
      </c>
    </row>
    <row r="124" spans="1:27" ht="12" customHeight="1" x14ac:dyDescent="0.25">
      <c r="A124" s="155"/>
      <c r="B124" s="162" t="s">
        <v>515</v>
      </c>
      <c r="C124" s="163">
        <v>0</v>
      </c>
      <c r="D124" s="163">
        <v>0</v>
      </c>
      <c r="E124" s="163">
        <v>0</v>
      </c>
      <c r="F124" s="163">
        <v>0</v>
      </c>
      <c r="G124" s="163">
        <v>0</v>
      </c>
      <c r="H124" s="163">
        <v>0</v>
      </c>
      <c r="I124" s="163">
        <v>0</v>
      </c>
      <c r="J124" s="163">
        <v>0</v>
      </c>
      <c r="K124" s="163">
        <v>0</v>
      </c>
      <c r="L124" s="163">
        <v>0</v>
      </c>
      <c r="M124" s="163">
        <v>0</v>
      </c>
      <c r="N124" s="163">
        <v>0</v>
      </c>
      <c r="O124" s="163">
        <v>0</v>
      </c>
      <c r="P124" s="163">
        <v>0</v>
      </c>
      <c r="Q124" s="163">
        <v>0</v>
      </c>
      <c r="R124" s="163">
        <v>0</v>
      </c>
      <c r="S124" s="163">
        <v>0</v>
      </c>
      <c r="T124" s="164">
        <v>0</v>
      </c>
      <c r="U124" s="165" t="e">
        <v>#DIV/0!</v>
      </c>
      <c r="V124" s="164">
        <v>0</v>
      </c>
      <c r="W124" s="164">
        <v>0</v>
      </c>
      <c r="X124" s="164">
        <v>0</v>
      </c>
      <c r="Y124" s="164">
        <v>0</v>
      </c>
      <c r="Z124" s="164">
        <v>0</v>
      </c>
      <c r="AA124" s="164">
        <v>0</v>
      </c>
    </row>
    <row r="125" spans="1:27" ht="12" customHeight="1" x14ac:dyDescent="0.25">
      <c r="A125" s="155" t="s">
        <v>1216</v>
      </c>
      <c r="B125" s="155" t="s">
        <v>516</v>
      </c>
      <c r="C125" s="167">
        <v>0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0</v>
      </c>
      <c r="O125" s="167">
        <v>0</v>
      </c>
      <c r="P125" s="167">
        <v>0</v>
      </c>
      <c r="Q125" s="167">
        <v>0</v>
      </c>
      <c r="R125" s="167">
        <v>0</v>
      </c>
      <c r="S125" s="167">
        <v>0</v>
      </c>
      <c r="T125" s="167">
        <v>0</v>
      </c>
      <c r="U125" s="168" t="e">
        <v>#DIV/0!</v>
      </c>
      <c r="V125" s="167">
        <v>0</v>
      </c>
      <c r="W125" s="167">
        <v>0</v>
      </c>
      <c r="X125" s="167">
        <v>0</v>
      </c>
      <c r="Y125" s="167">
        <v>0</v>
      </c>
      <c r="Z125" s="167">
        <v>0</v>
      </c>
      <c r="AA125" s="167">
        <v>0</v>
      </c>
    </row>
    <row r="126" spans="1:27" ht="12" customHeight="1" x14ac:dyDescent="0.25">
      <c r="A126" s="155" t="s">
        <v>1217</v>
      </c>
      <c r="B126" s="155" t="s">
        <v>517</v>
      </c>
      <c r="C126" s="167">
        <v>0</v>
      </c>
      <c r="D126" s="167">
        <v>0</v>
      </c>
      <c r="E126" s="167">
        <v>0</v>
      </c>
      <c r="F126" s="167">
        <v>0</v>
      </c>
      <c r="G126" s="167">
        <v>0</v>
      </c>
      <c r="H126" s="167">
        <v>0</v>
      </c>
      <c r="I126" s="167">
        <v>0</v>
      </c>
      <c r="J126" s="167">
        <v>0</v>
      </c>
      <c r="K126" s="167">
        <v>0</v>
      </c>
      <c r="L126" s="167">
        <v>0</v>
      </c>
      <c r="M126" s="167">
        <v>0</v>
      </c>
      <c r="N126" s="167">
        <v>0</v>
      </c>
      <c r="O126" s="167">
        <v>0</v>
      </c>
      <c r="P126" s="167">
        <v>0</v>
      </c>
      <c r="Q126" s="167">
        <v>0</v>
      </c>
      <c r="R126" s="167">
        <v>0</v>
      </c>
      <c r="S126" s="167">
        <v>0</v>
      </c>
      <c r="T126" s="167">
        <v>0</v>
      </c>
      <c r="U126" s="168" t="e">
        <v>#DIV/0!</v>
      </c>
      <c r="V126" s="167">
        <v>0</v>
      </c>
      <c r="W126" s="167">
        <v>0</v>
      </c>
      <c r="X126" s="167">
        <v>0</v>
      </c>
      <c r="Y126" s="167">
        <v>0</v>
      </c>
      <c r="Z126" s="167">
        <v>0</v>
      </c>
      <c r="AA126" s="167">
        <v>0</v>
      </c>
    </row>
    <row r="127" spans="1:27" ht="12" customHeight="1" x14ac:dyDescent="0.25">
      <c r="A127" s="155"/>
      <c r="B127" s="162" t="s">
        <v>518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3">
        <v>0</v>
      </c>
      <c r="R127" s="163">
        <v>0</v>
      </c>
      <c r="S127" s="163">
        <v>0</v>
      </c>
      <c r="T127" s="164">
        <v>0</v>
      </c>
      <c r="U127" s="165" t="e">
        <v>#DIV/0!</v>
      </c>
      <c r="V127" s="164">
        <v>0</v>
      </c>
      <c r="W127" s="164">
        <v>0</v>
      </c>
      <c r="X127" s="164">
        <v>0</v>
      </c>
      <c r="Y127" s="164">
        <v>0</v>
      </c>
      <c r="Z127" s="164">
        <v>0</v>
      </c>
      <c r="AA127" s="164">
        <v>0</v>
      </c>
    </row>
    <row r="128" spans="1:27" ht="12" customHeight="1" x14ac:dyDescent="0.25">
      <c r="A128" s="155" t="s">
        <v>1218</v>
      </c>
      <c r="B128" s="155" t="s">
        <v>519</v>
      </c>
      <c r="C128" s="167">
        <v>0</v>
      </c>
      <c r="D128" s="167">
        <v>0</v>
      </c>
      <c r="E128" s="167">
        <v>0</v>
      </c>
      <c r="F128" s="167">
        <v>0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7">
        <v>0</v>
      </c>
      <c r="P128" s="167">
        <v>0</v>
      </c>
      <c r="Q128" s="167">
        <v>0</v>
      </c>
      <c r="R128" s="167">
        <v>0</v>
      </c>
      <c r="S128" s="167">
        <v>0</v>
      </c>
      <c r="T128" s="167">
        <v>0</v>
      </c>
      <c r="U128" s="168" t="e">
        <v>#DIV/0!</v>
      </c>
      <c r="V128" s="167">
        <v>0</v>
      </c>
      <c r="W128" s="167">
        <v>0</v>
      </c>
      <c r="X128" s="167">
        <v>0</v>
      </c>
      <c r="Y128" s="167">
        <v>0</v>
      </c>
      <c r="Z128" s="167">
        <v>0</v>
      </c>
      <c r="AA128" s="167">
        <v>0</v>
      </c>
    </row>
    <row r="129" spans="1:27" ht="12" customHeight="1" x14ac:dyDescent="0.25">
      <c r="A129" s="155" t="s">
        <v>1219</v>
      </c>
      <c r="B129" s="155" t="s">
        <v>520</v>
      </c>
      <c r="C129" s="167">
        <v>0</v>
      </c>
      <c r="D129" s="167">
        <v>0</v>
      </c>
      <c r="E129" s="167">
        <v>0</v>
      </c>
      <c r="F129" s="167">
        <v>0</v>
      </c>
      <c r="G129" s="167">
        <v>0</v>
      </c>
      <c r="H129" s="167">
        <v>0</v>
      </c>
      <c r="I129" s="167">
        <v>0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0</v>
      </c>
      <c r="S129" s="167">
        <v>0</v>
      </c>
      <c r="T129" s="167">
        <v>0</v>
      </c>
      <c r="U129" s="168" t="e">
        <v>#DIV/0!</v>
      </c>
      <c r="V129" s="167">
        <v>0</v>
      </c>
      <c r="W129" s="167">
        <v>0</v>
      </c>
      <c r="X129" s="167">
        <v>0</v>
      </c>
      <c r="Y129" s="167">
        <v>0</v>
      </c>
      <c r="Z129" s="167">
        <v>0</v>
      </c>
      <c r="AA129" s="167">
        <v>0</v>
      </c>
    </row>
    <row r="130" spans="1:27" ht="12" customHeight="1" x14ac:dyDescent="0.25">
      <c r="A130" s="155"/>
      <c r="B130" s="162" t="s">
        <v>521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3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3">
        <v>0</v>
      </c>
      <c r="R130" s="163">
        <v>0</v>
      </c>
      <c r="S130" s="163">
        <v>0</v>
      </c>
      <c r="T130" s="164">
        <v>0</v>
      </c>
      <c r="U130" s="165" t="e">
        <v>#DIV/0!</v>
      </c>
      <c r="V130" s="164">
        <v>0</v>
      </c>
      <c r="W130" s="164">
        <v>0</v>
      </c>
      <c r="X130" s="164">
        <v>0</v>
      </c>
      <c r="Y130" s="164">
        <v>0</v>
      </c>
      <c r="Z130" s="164">
        <v>0</v>
      </c>
      <c r="AA130" s="164">
        <v>0</v>
      </c>
    </row>
    <row r="131" spans="1:27" ht="12" customHeight="1" x14ac:dyDescent="0.25">
      <c r="A131" s="155" t="s">
        <v>1220</v>
      </c>
      <c r="B131" s="166" t="s">
        <v>522</v>
      </c>
      <c r="C131" s="167">
        <v>0</v>
      </c>
      <c r="D131" s="167">
        <v>0</v>
      </c>
      <c r="E131" s="167">
        <v>0</v>
      </c>
      <c r="F131" s="167">
        <v>0</v>
      </c>
      <c r="G131" s="167">
        <v>0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8" t="e">
        <v>#DIV/0!</v>
      </c>
      <c r="V131" s="167">
        <v>0</v>
      </c>
      <c r="W131" s="167">
        <v>0</v>
      </c>
      <c r="X131" s="167">
        <v>0</v>
      </c>
      <c r="Y131" s="167">
        <v>0</v>
      </c>
      <c r="Z131" s="167">
        <v>0</v>
      </c>
      <c r="AA131" s="167">
        <v>0</v>
      </c>
    </row>
    <row r="132" spans="1:27" ht="12" customHeight="1" x14ac:dyDescent="0.25">
      <c r="A132" s="155" t="s">
        <v>1221</v>
      </c>
      <c r="B132" s="166" t="s">
        <v>523</v>
      </c>
      <c r="C132" s="167">
        <v>0</v>
      </c>
      <c r="D132" s="167">
        <v>0</v>
      </c>
      <c r="E132" s="167">
        <v>0</v>
      </c>
      <c r="F132" s="167">
        <v>0</v>
      </c>
      <c r="G132" s="167">
        <v>0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7">
        <v>0</v>
      </c>
      <c r="O132" s="167">
        <v>0</v>
      </c>
      <c r="P132" s="167">
        <v>0</v>
      </c>
      <c r="Q132" s="167">
        <v>0</v>
      </c>
      <c r="R132" s="167">
        <v>0</v>
      </c>
      <c r="S132" s="167">
        <v>0</v>
      </c>
      <c r="T132" s="167">
        <v>0</v>
      </c>
      <c r="U132" s="168" t="e">
        <v>#DIV/0!</v>
      </c>
      <c r="V132" s="167">
        <v>0</v>
      </c>
      <c r="W132" s="167">
        <v>0</v>
      </c>
      <c r="X132" s="167">
        <v>0</v>
      </c>
      <c r="Y132" s="167">
        <v>0</v>
      </c>
      <c r="Z132" s="167">
        <v>0</v>
      </c>
      <c r="AA132" s="167">
        <v>0</v>
      </c>
    </row>
    <row r="133" spans="1:27" ht="12" customHeight="1" x14ac:dyDescent="0.25">
      <c r="A133" s="155" t="s">
        <v>1222</v>
      </c>
      <c r="B133" s="166" t="s">
        <v>524</v>
      </c>
      <c r="C133" s="167">
        <v>0</v>
      </c>
      <c r="D133" s="167">
        <v>0</v>
      </c>
      <c r="E133" s="167">
        <v>0</v>
      </c>
      <c r="F133" s="167">
        <v>0</v>
      </c>
      <c r="G133" s="167">
        <v>0</v>
      </c>
      <c r="H133" s="167">
        <v>0</v>
      </c>
      <c r="I133" s="167">
        <v>0</v>
      </c>
      <c r="J133" s="167">
        <v>0</v>
      </c>
      <c r="K133" s="167">
        <v>0</v>
      </c>
      <c r="L133" s="167">
        <v>0</v>
      </c>
      <c r="M133" s="167">
        <v>0</v>
      </c>
      <c r="N133" s="167">
        <v>0</v>
      </c>
      <c r="O133" s="167">
        <v>0</v>
      </c>
      <c r="P133" s="167">
        <v>0</v>
      </c>
      <c r="Q133" s="167">
        <v>0</v>
      </c>
      <c r="R133" s="167">
        <v>0</v>
      </c>
      <c r="S133" s="167">
        <v>0</v>
      </c>
      <c r="T133" s="167">
        <v>0</v>
      </c>
      <c r="U133" s="168" t="e">
        <v>#DIV/0!</v>
      </c>
      <c r="V133" s="167">
        <v>0</v>
      </c>
      <c r="W133" s="167">
        <v>0</v>
      </c>
      <c r="X133" s="167">
        <v>0</v>
      </c>
      <c r="Y133" s="167">
        <v>0</v>
      </c>
      <c r="Z133" s="167">
        <v>0</v>
      </c>
      <c r="AA133" s="167">
        <v>0</v>
      </c>
    </row>
    <row r="134" spans="1:27" ht="12" customHeight="1" x14ac:dyDescent="0.25">
      <c r="A134" s="155"/>
      <c r="B134" s="162" t="s">
        <v>525</v>
      </c>
      <c r="C134" s="163">
        <v>0</v>
      </c>
      <c r="D134" s="163">
        <v>0</v>
      </c>
      <c r="E134" s="163">
        <v>0</v>
      </c>
      <c r="F134" s="163">
        <v>0</v>
      </c>
      <c r="G134" s="163">
        <v>0</v>
      </c>
      <c r="H134" s="163">
        <v>0</v>
      </c>
      <c r="I134" s="163">
        <v>0</v>
      </c>
      <c r="J134" s="163">
        <v>0</v>
      </c>
      <c r="K134" s="163">
        <v>0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3">
        <v>0</v>
      </c>
      <c r="R134" s="163">
        <v>0</v>
      </c>
      <c r="S134" s="163">
        <v>0</v>
      </c>
      <c r="T134" s="164">
        <v>0</v>
      </c>
      <c r="U134" s="165" t="e">
        <v>#DIV/0!</v>
      </c>
      <c r="V134" s="164">
        <v>0</v>
      </c>
      <c r="W134" s="164">
        <v>0</v>
      </c>
      <c r="X134" s="164">
        <v>0</v>
      </c>
      <c r="Y134" s="164">
        <v>0</v>
      </c>
      <c r="Z134" s="164">
        <v>0</v>
      </c>
      <c r="AA134" s="164">
        <v>0</v>
      </c>
    </row>
    <row r="135" spans="1:27" ht="12" customHeight="1" x14ac:dyDescent="0.25">
      <c r="A135" s="155" t="s">
        <v>1223</v>
      </c>
      <c r="B135" s="155" t="s">
        <v>526</v>
      </c>
      <c r="C135" s="167">
        <v>0</v>
      </c>
      <c r="D135" s="167">
        <v>0</v>
      </c>
      <c r="E135" s="167">
        <v>0</v>
      </c>
      <c r="F135" s="167">
        <v>0</v>
      </c>
      <c r="G135" s="167">
        <v>0</v>
      </c>
      <c r="H135" s="167">
        <v>0</v>
      </c>
      <c r="I135" s="167">
        <v>0</v>
      </c>
      <c r="J135" s="167">
        <v>0</v>
      </c>
      <c r="K135" s="167">
        <v>0</v>
      </c>
      <c r="L135" s="167">
        <v>0</v>
      </c>
      <c r="M135" s="167">
        <v>0</v>
      </c>
      <c r="N135" s="167">
        <v>0</v>
      </c>
      <c r="O135" s="167">
        <v>0</v>
      </c>
      <c r="P135" s="167">
        <v>0</v>
      </c>
      <c r="Q135" s="167">
        <v>0</v>
      </c>
      <c r="R135" s="167">
        <v>0</v>
      </c>
      <c r="S135" s="167">
        <v>0</v>
      </c>
      <c r="T135" s="167">
        <v>0</v>
      </c>
      <c r="U135" s="168" t="e">
        <v>#DIV/0!</v>
      </c>
      <c r="V135" s="167">
        <v>0</v>
      </c>
      <c r="W135" s="167">
        <v>0</v>
      </c>
      <c r="X135" s="167">
        <v>0</v>
      </c>
      <c r="Y135" s="167">
        <v>0</v>
      </c>
      <c r="Z135" s="167">
        <v>0</v>
      </c>
      <c r="AA135" s="167">
        <v>0</v>
      </c>
    </row>
    <row r="136" spans="1:27" ht="12" customHeight="1" x14ac:dyDescent="0.25">
      <c r="A136" s="155" t="s">
        <v>1224</v>
      </c>
      <c r="B136" s="155" t="s">
        <v>527</v>
      </c>
      <c r="C136" s="167">
        <v>0</v>
      </c>
      <c r="D136" s="167">
        <v>0</v>
      </c>
      <c r="E136" s="167">
        <v>0</v>
      </c>
      <c r="F136" s="167">
        <v>0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0</v>
      </c>
      <c r="M136" s="167">
        <v>0</v>
      </c>
      <c r="N136" s="167">
        <v>0</v>
      </c>
      <c r="O136" s="167">
        <v>0</v>
      </c>
      <c r="P136" s="167">
        <v>0</v>
      </c>
      <c r="Q136" s="167">
        <v>0</v>
      </c>
      <c r="R136" s="167">
        <v>0</v>
      </c>
      <c r="S136" s="167">
        <v>0</v>
      </c>
      <c r="T136" s="167">
        <v>0</v>
      </c>
      <c r="U136" s="168" t="e">
        <v>#DIV/0!</v>
      </c>
      <c r="V136" s="167">
        <v>0</v>
      </c>
      <c r="W136" s="167">
        <v>0</v>
      </c>
      <c r="X136" s="167">
        <v>0</v>
      </c>
      <c r="Y136" s="167">
        <v>0</v>
      </c>
      <c r="Z136" s="167">
        <v>0</v>
      </c>
      <c r="AA136" s="167">
        <v>0</v>
      </c>
    </row>
    <row r="137" spans="1:27" ht="12" customHeight="1" x14ac:dyDescent="0.25">
      <c r="A137" s="155" t="s">
        <v>1225</v>
      </c>
      <c r="B137" s="155" t="s">
        <v>528</v>
      </c>
      <c r="C137" s="167">
        <v>0</v>
      </c>
      <c r="D137" s="167">
        <v>0</v>
      </c>
      <c r="E137" s="167">
        <v>0</v>
      </c>
      <c r="F137" s="167">
        <v>0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0</v>
      </c>
      <c r="M137" s="167">
        <v>0</v>
      </c>
      <c r="N137" s="167">
        <v>0</v>
      </c>
      <c r="O137" s="167">
        <v>0</v>
      </c>
      <c r="P137" s="167">
        <v>0</v>
      </c>
      <c r="Q137" s="167">
        <v>0</v>
      </c>
      <c r="R137" s="167">
        <v>0</v>
      </c>
      <c r="S137" s="167">
        <v>0</v>
      </c>
      <c r="T137" s="167">
        <v>0</v>
      </c>
      <c r="U137" s="168" t="e">
        <v>#DIV/0!</v>
      </c>
      <c r="V137" s="167">
        <v>0</v>
      </c>
      <c r="W137" s="167">
        <v>0</v>
      </c>
      <c r="X137" s="167">
        <v>0</v>
      </c>
      <c r="Y137" s="167">
        <v>0</v>
      </c>
      <c r="Z137" s="167">
        <v>0</v>
      </c>
      <c r="AA137" s="167">
        <v>0</v>
      </c>
    </row>
    <row r="138" spans="1:27" ht="12" customHeight="1" x14ac:dyDescent="0.25">
      <c r="A138" s="155" t="s">
        <v>1226</v>
      </c>
      <c r="B138" s="155" t="s">
        <v>529</v>
      </c>
      <c r="C138" s="167">
        <v>0</v>
      </c>
      <c r="D138" s="167">
        <v>0</v>
      </c>
      <c r="E138" s="167">
        <v>0</v>
      </c>
      <c r="F138" s="167">
        <v>0</v>
      </c>
      <c r="G138" s="167">
        <v>0</v>
      </c>
      <c r="H138" s="167">
        <v>0</v>
      </c>
      <c r="I138" s="167">
        <v>0</v>
      </c>
      <c r="J138" s="167">
        <v>0</v>
      </c>
      <c r="K138" s="167">
        <v>0</v>
      </c>
      <c r="L138" s="167">
        <v>0</v>
      </c>
      <c r="M138" s="167">
        <v>0</v>
      </c>
      <c r="N138" s="167">
        <v>0</v>
      </c>
      <c r="O138" s="167">
        <v>0</v>
      </c>
      <c r="P138" s="167">
        <v>0</v>
      </c>
      <c r="Q138" s="167">
        <v>0</v>
      </c>
      <c r="R138" s="167">
        <v>0</v>
      </c>
      <c r="S138" s="167">
        <v>0</v>
      </c>
      <c r="T138" s="167">
        <v>0</v>
      </c>
      <c r="U138" s="168" t="e">
        <v>#DIV/0!</v>
      </c>
      <c r="V138" s="167">
        <v>0</v>
      </c>
      <c r="W138" s="167">
        <v>0</v>
      </c>
      <c r="X138" s="167">
        <v>0</v>
      </c>
      <c r="Y138" s="167">
        <v>0</v>
      </c>
      <c r="Z138" s="167">
        <v>0</v>
      </c>
      <c r="AA138" s="167">
        <v>0</v>
      </c>
    </row>
    <row r="139" spans="1:27" ht="12" customHeight="1" x14ac:dyDescent="0.25">
      <c r="A139" s="155" t="s">
        <v>1227</v>
      </c>
      <c r="B139" s="155" t="s">
        <v>530</v>
      </c>
      <c r="C139" s="167">
        <v>0</v>
      </c>
      <c r="D139" s="167">
        <v>0</v>
      </c>
      <c r="E139" s="167">
        <v>0</v>
      </c>
      <c r="F139" s="167">
        <v>0</v>
      </c>
      <c r="G139" s="167">
        <v>0</v>
      </c>
      <c r="H139" s="167">
        <v>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0</v>
      </c>
      <c r="O139" s="167">
        <v>0</v>
      </c>
      <c r="P139" s="167">
        <v>0</v>
      </c>
      <c r="Q139" s="167">
        <v>0</v>
      </c>
      <c r="R139" s="167">
        <v>0</v>
      </c>
      <c r="S139" s="167">
        <v>0</v>
      </c>
      <c r="T139" s="167">
        <v>0</v>
      </c>
      <c r="U139" s="168" t="e">
        <v>#DIV/0!</v>
      </c>
      <c r="V139" s="167">
        <v>0</v>
      </c>
      <c r="W139" s="167">
        <v>0</v>
      </c>
      <c r="X139" s="167">
        <v>0</v>
      </c>
      <c r="Y139" s="167">
        <v>0</v>
      </c>
      <c r="Z139" s="167">
        <v>0</v>
      </c>
      <c r="AA139" s="167">
        <v>0</v>
      </c>
    </row>
    <row r="140" spans="1:27" ht="12" customHeight="1" x14ac:dyDescent="0.25">
      <c r="A140" s="155" t="s">
        <v>1228</v>
      </c>
      <c r="B140" s="155" t="s">
        <v>531</v>
      </c>
      <c r="C140" s="167">
        <v>0</v>
      </c>
      <c r="D140" s="167">
        <v>0</v>
      </c>
      <c r="E140" s="167">
        <v>0</v>
      </c>
      <c r="F140" s="167">
        <v>0</v>
      </c>
      <c r="G140" s="167">
        <v>0</v>
      </c>
      <c r="H140" s="167">
        <v>0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67">
        <v>0</v>
      </c>
      <c r="U140" s="168" t="e">
        <v>#DIV/0!</v>
      </c>
      <c r="V140" s="167">
        <v>0</v>
      </c>
      <c r="W140" s="167">
        <v>0</v>
      </c>
      <c r="X140" s="167">
        <v>0</v>
      </c>
      <c r="Y140" s="167">
        <v>0</v>
      </c>
      <c r="Z140" s="167">
        <v>0</v>
      </c>
      <c r="AA140" s="167">
        <v>0</v>
      </c>
    </row>
    <row r="141" spans="1:27" ht="12" customHeight="1" x14ac:dyDescent="0.25">
      <c r="A141" s="155" t="s">
        <v>1229</v>
      </c>
      <c r="B141" s="155" t="s">
        <v>532</v>
      </c>
      <c r="C141" s="167">
        <v>0</v>
      </c>
      <c r="D141" s="167">
        <v>0</v>
      </c>
      <c r="E141" s="167">
        <v>0</v>
      </c>
      <c r="F141" s="167">
        <v>0</v>
      </c>
      <c r="G141" s="167">
        <v>0</v>
      </c>
      <c r="H141" s="167">
        <v>0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67">
        <v>0</v>
      </c>
      <c r="U141" s="168" t="e">
        <v>#DIV/0!</v>
      </c>
      <c r="V141" s="167">
        <v>0</v>
      </c>
      <c r="W141" s="167">
        <v>0</v>
      </c>
      <c r="X141" s="167">
        <v>0</v>
      </c>
      <c r="Y141" s="167">
        <v>0</v>
      </c>
      <c r="Z141" s="167">
        <v>0</v>
      </c>
      <c r="AA141" s="167">
        <v>0</v>
      </c>
    </row>
    <row r="142" spans="1:27" ht="12" customHeight="1" x14ac:dyDescent="0.25">
      <c r="A142" s="155" t="s">
        <v>1230</v>
      </c>
      <c r="B142" s="162" t="s">
        <v>533</v>
      </c>
      <c r="C142" s="164">
        <v>0</v>
      </c>
      <c r="D142" s="164">
        <v>0</v>
      </c>
      <c r="E142" s="164">
        <v>0</v>
      </c>
      <c r="F142" s="164">
        <v>0</v>
      </c>
      <c r="G142" s="164">
        <v>0</v>
      </c>
      <c r="H142" s="164">
        <v>0</v>
      </c>
      <c r="I142" s="164">
        <v>0</v>
      </c>
      <c r="J142" s="164">
        <v>0</v>
      </c>
      <c r="K142" s="164">
        <v>0</v>
      </c>
      <c r="L142" s="164">
        <v>0</v>
      </c>
      <c r="M142" s="164">
        <v>0</v>
      </c>
      <c r="N142" s="164">
        <v>0</v>
      </c>
      <c r="O142" s="164">
        <v>0</v>
      </c>
      <c r="P142" s="164">
        <v>0</v>
      </c>
      <c r="Q142" s="164">
        <v>0</v>
      </c>
      <c r="R142" s="164">
        <v>0</v>
      </c>
      <c r="S142" s="164">
        <v>0</v>
      </c>
      <c r="T142" s="164">
        <v>0</v>
      </c>
      <c r="U142" s="165" t="e">
        <v>#DIV/0!</v>
      </c>
      <c r="V142" s="164">
        <v>0</v>
      </c>
      <c r="W142" s="164">
        <v>0</v>
      </c>
      <c r="X142" s="164">
        <v>0</v>
      </c>
      <c r="Y142" s="164">
        <v>0</v>
      </c>
      <c r="Z142" s="164">
        <v>0</v>
      </c>
      <c r="AA142" s="164">
        <v>0</v>
      </c>
    </row>
    <row r="143" spans="1:27" ht="12" customHeight="1" x14ac:dyDescent="0.25">
      <c r="A143" s="155" t="s">
        <v>1231</v>
      </c>
      <c r="B143" s="162" t="s">
        <v>534</v>
      </c>
      <c r="C143" s="164">
        <v>0</v>
      </c>
      <c r="D143" s="164">
        <v>0</v>
      </c>
      <c r="E143" s="164">
        <v>0</v>
      </c>
      <c r="F143" s="164">
        <v>0</v>
      </c>
      <c r="G143" s="164">
        <v>0</v>
      </c>
      <c r="H143" s="164">
        <v>0</v>
      </c>
      <c r="I143" s="164">
        <v>0</v>
      </c>
      <c r="J143" s="164">
        <v>0</v>
      </c>
      <c r="K143" s="164">
        <v>0</v>
      </c>
      <c r="L143" s="164">
        <v>0</v>
      </c>
      <c r="M143" s="164">
        <v>0</v>
      </c>
      <c r="N143" s="164">
        <v>0</v>
      </c>
      <c r="O143" s="164">
        <v>0</v>
      </c>
      <c r="P143" s="164">
        <v>0</v>
      </c>
      <c r="Q143" s="164">
        <v>0</v>
      </c>
      <c r="R143" s="164">
        <v>0</v>
      </c>
      <c r="S143" s="164">
        <v>0</v>
      </c>
      <c r="T143" s="164">
        <v>0</v>
      </c>
      <c r="U143" s="165" t="e">
        <v>#DIV/0!</v>
      </c>
      <c r="V143" s="164">
        <v>0</v>
      </c>
      <c r="W143" s="164">
        <v>0</v>
      </c>
      <c r="X143" s="164">
        <v>0</v>
      </c>
      <c r="Y143" s="164">
        <v>0</v>
      </c>
      <c r="Z143" s="164">
        <v>0</v>
      </c>
      <c r="AA143" s="164">
        <v>0</v>
      </c>
    </row>
    <row r="144" spans="1:27" ht="12" customHeight="1" x14ac:dyDescent="0.25">
      <c r="A144" s="155"/>
      <c r="B144" s="162" t="s">
        <v>535</v>
      </c>
      <c r="C144" s="163">
        <v>0</v>
      </c>
      <c r="D144" s="163">
        <v>0</v>
      </c>
      <c r="E144" s="163">
        <v>0</v>
      </c>
      <c r="F144" s="163">
        <v>0</v>
      </c>
      <c r="G144" s="163">
        <v>0</v>
      </c>
      <c r="H144" s="163">
        <v>0</v>
      </c>
      <c r="I144" s="163">
        <v>0</v>
      </c>
      <c r="J144" s="163">
        <v>0</v>
      </c>
      <c r="K144" s="163">
        <v>0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3">
        <v>0</v>
      </c>
      <c r="R144" s="163">
        <v>0</v>
      </c>
      <c r="S144" s="163">
        <v>0</v>
      </c>
      <c r="T144" s="164">
        <v>0</v>
      </c>
      <c r="U144" s="165" t="e">
        <v>#DIV/0!</v>
      </c>
      <c r="V144" s="164">
        <v>0</v>
      </c>
      <c r="W144" s="164">
        <v>0</v>
      </c>
      <c r="X144" s="164">
        <v>0</v>
      </c>
      <c r="Y144" s="164">
        <v>0</v>
      </c>
      <c r="Z144" s="164">
        <v>0</v>
      </c>
      <c r="AA144" s="164">
        <v>0</v>
      </c>
    </row>
    <row r="145" spans="1:27" ht="12" customHeight="1" x14ac:dyDescent="0.25">
      <c r="A145" s="155" t="s">
        <v>1232</v>
      </c>
      <c r="B145" s="155" t="s">
        <v>536</v>
      </c>
      <c r="C145" s="167">
        <v>0</v>
      </c>
      <c r="D145" s="167">
        <v>0</v>
      </c>
      <c r="E145" s="167">
        <v>0</v>
      </c>
      <c r="F145" s="167">
        <v>0</v>
      </c>
      <c r="G145" s="167">
        <v>0</v>
      </c>
      <c r="H145" s="167">
        <v>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0</v>
      </c>
      <c r="T145" s="167">
        <v>0</v>
      </c>
      <c r="U145" s="168" t="e">
        <v>#DIV/0!</v>
      </c>
      <c r="V145" s="167">
        <v>0</v>
      </c>
      <c r="W145" s="167">
        <v>0</v>
      </c>
      <c r="X145" s="167">
        <v>0</v>
      </c>
      <c r="Y145" s="167">
        <v>0</v>
      </c>
      <c r="Z145" s="167">
        <v>0</v>
      </c>
      <c r="AA145" s="167">
        <v>0</v>
      </c>
    </row>
    <row r="146" spans="1:27" ht="12" customHeight="1" x14ac:dyDescent="0.25">
      <c r="A146" s="155" t="s">
        <v>1233</v>
      </c>
      <c r="B146" s="155" t="s">
        <v>537</v>
      </c>
      <c r="C146" s="167">
        <v>0</v>
      </c>
      <c r="D146" s="167">
        <v>0</v>
      </c>
      <c r="E146" s="167">
        <v>0</v>
      </c>
      <c r="F146" s="167">
        <v>0</v>
      </c>
      <c r="G146" s="167">
        <v>0</v>
      </c>
      <c r="H146" s="167">
        <v>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0</v>
      </c>
      <c r="O146" s="167">
        <v>0</v>
      </c>
      <c r="P146" s="167">
        <v>0</v>
      </c>
      <c r="Q146" s="167">
        <v>0</v>
      </c>
      <c r="R146" s="167">
        <v>0</v>
      </c>
      <c r="S146" s="167">
        <v>0</v>
      </c>
      <c r="T146" s="167">
        <v>0</v>
      </c>
      <c r="U146" s="168" t="e">
        <v>#DIV/0!</v>
      </c>
      <c r="V146" s="167">
        <v>0</v>
      </c>
      <c r="W146" s="167">
        <v>0</v>
      </c>
      <c r="X146" s="167">
        <v>0</v>
      </c>
      <c r="Y146" s="167">
        <v>0</v>
      </c>
      <c r="Z146" s="167">
        <v>0</v>
      </c>
      <c r="AA146" s="167">
        <v>0</v>
      </c>
    </row>
    <row r="147" spans="1:27" ht="12" customHeight="1" x14ac:dyDescent="0.25">
      <c r="A147" s="155" t="s">
        <v>1234</v>
      </c>
      <c r="B147" s="155" t="s">
        <v>538</v>
      </c>
      <c r="C147" s="167">
        <v>0</v>
      </c>
      <c r="D147" s="167">
        <v>0</v>
      </c>
      <c r="E147" s="167">
        <v>0</v>
      </c>
      <c r="F147" s="167">
        <v>0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0</v>
      </c>
      <c r="T147" s="167">
        <v>0</v>
      </c>
      <c r="U147" s="168" t="e">
        <v>#DIV/0!</v>
      </c>
      <c r="V147" s="167">
        <v>0</v>
      </c>
      <c r="W147" s="167">
        <v>0</v>
      </c>
      <c r="X147" s="167">
        <v>0</v>
      </c>
      <c r="Y147" s="167">
        <v>0</v>
      </c>
      <c r="Z147" s="167">
        <v>0</v>
      </c>
      <c r="AA147" s="167">
        <v>0</v>
      </c>
    </row>
    <row r="148" spans="1:27" ht="12" customHeight="1" x14ac:dyDescent="0.25">
      <c r="A148" s="155" t="s">
        <v>1235</v>
      </c>
      <c r="B148" s="155" t="s">
        <v>539</v>
      </c>
      <c r="C148" s="167">
        <v>0</v>
      </c>
      <c r="D148" s="167">
        <v>0</v>
      </c>
      <c r="E148" s="167">
        <v>0</v>
      </c>
      <c r="F148" s="167">
        <v>0</v>
      </c>
      <c r="G148" s="167">
        <v>0</v>
      </c>
      <c r="H148" s="167">
        <v>0</v>
      </c>
      <c r="I148" s="167">
        <v>0</v>
      </c>
      <c r="J148" s="167">
        <v>0</v>
      </c>
      <c r="K148" s="167">
        <v>0</v>
      </c>
      <c r="L148" s="167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0</v>
      </c>
      <c r="U148" s="168" t="e">
        <v>#DIV/0!</v>
      </c>
      <c r="V148" s="167">
        <v>0</v>
      </c>
      <c r="W148" s="167">
        <v>0</v>
      </c>
      <c r="X148" s="167">
        <v>0</v>
      </c>
      <c r="Y148" s="167">
        <v>0</v>
      </c>
      <c r="Z148" s="167">
        <v>0</v>
      </c>
      <c r="AA148" s="167">
        <v>0</v>
      </c>
    </row>
    <row r="149" spans="1:27" ht="12" customHeight="1" x14ac:dyDescent="0.25">
      <c r="A149" s="155" t="s">
        <v>1236</v>
      </c>
      <c r="B149" s="155" t="s">
        <v>540</v>
      </c>
      <c r="C149" s="167">
        <v>0</v>
      </c>
      <c r="D149" s="167">
        <v>0</v>
      </c>
      <c r="E149" s="167">
        <v>0</v>
      </c>
      <c r="F149" s="167">
        <v>0</v>
      </c>
      <c r="G149" s="167">
        <v>0</v>
      </c>
      <c r="H149" s="167">
        <v>0</v>
      </c>
      <c r="I149" s="167">
        <v>0</v>
      </c>
      <c r="J149" s="167">
        <v>0</v>
      </c>
      <c r="K149" s="167">
        <v>0</v>
      </c>
      <c r="L149" s="167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0</v>
      </c>
      <c r="U149" s="168" t="e">
        <v>#DIV/0!</v>
      </c>
      <c r="V149" s="167">
        <v>0</v>
      </c>
      <c r="W149" s="167">
        <v>0</v>
      </c>
      <c r="X149" s="167">
        <v>0</v>
      </c>
      <c r="Y149" s="167">
        <v>0</v>
      </c>
      <c r="Z149" s="167">
        <v>0</v>
      </c>
      <c r="AA149" s="167">
        <v>0</v>
      </c>
    </row>
    <row r="150" spans="1:27" ht="12" customHeight="1" x14ac:dyDescent="0.25">
      <c r="A150" s="155" t="s">
        <v>1237</v>
      </c>
      <c r="B150" s="155" t="s">
        <v>541</v>
      </c>
      <c r="C150" s="167">
        <v>0</v>
      </c>
      <c r="D150" s="167">
        <v>0</v>
      </c>
      <c r="E150" s="167">
        <v>0</v>
      </c>
      <c r="F150" s="167">
        <v>0</v>
      </c>
      <c r="G150" s="167">
        <v>0</v>
      </c>
      <c r="H150" s="167">
        <v>0</v>
      </c>
      <c r="I150" s="167">
        <v>0</v>
      </c>
      <c r="J150" s="167">
        <v>0</v>
      </c>
      <c r="K150" s="167">
        <v>0</v>
      </c>
      <c r="L150" s="167">
        <v>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67">
        <v>0</v>
      </c>
      <c r="U150" s="168" t="e">
        <v>#DIV/0!</v>
      </c>
      <c r="V150" s="167">
        <v>0</v>
      </c>
      <c r="W150" s="167">
        <v>0</v>
      </c>
      <c r="X150" s="167">
        <v>0</v>
      </c>
      <c r="Y150" s="167">
        <v>0</v>
      </c>
      <c r="Z150" s="167">
        <v>0</v>
      </c>
      <c r="AA150" s="167">
        <v>0</v>
      </c>
    </row>
    <row r="151" spans="1:27" ht="12" customHeight="1" x14ac:dyDescent="0.25">
      <c r="A151" s="155" t="s">
        <v>1238</v>
      </c>
      <c r="B151" s="162" t="s">
        <v>542</v>
      </c>
      <c r="C151" s="164">
        <v>0</v>
      </c>
      <c r="D151" s="164">
        <v>0</v>
      </c>
      <c r="E151" s="164">
        <v>0</v>
      </c>
      <c r="F151" s="164">
        <v>0</v>
      </c>
      <c r="G151" s="164">
        <v>0</v>
      </c>
      <c r="H151" s="164">
        <v>0</v>
      </c>
      <c r="I151" s="164">
        <v>0</v>
      </c>
      <c r="J151" s="164">
        <v>0</v>
      </c>
      <c r="K151" s="164">
        <v>0</v>
      </c>
      <c r="L151" s="164">
        <v>0</v>
      </c>
      <c r="M151" s="164">
        <v>0</v>
      </c>
      <c r="N151" s="164">
        <v>0</v>
      </c>
      <c r="O151" s="164">
        <v>0</v>
      </c>
      <c r="P151" s="164">
        <v>0</v>
      </c>
      <c r="Q151" s="164">
        <v>0</v>
      </c>
      <c r="R151" s="164">
        <v>0</v>
      </c>
      <c r="S151" s="164">
        <v>0</v>
      </c>
      <c r="T151" s="164">
        <v>0</v>
      </c>
      <c r="U151" s="165" t="e">
        <v>#DIV/0!</v>
      </c>
      <c r="V151" s="164">
        <v>0</v>
      </c>
      <c r="W151" s="164">
        <v>0</v>
      </c>
      <c r="X151" s="164">
        <v>0</v>
      </c>
      <c r="Y151" s="164">
        <v>0</v>
      </c>
      <c r="Z151" s="164">
        <v>0</v>
      </c>
      <c r="AA151" s="164">
        <v>0</v>
      </c>
    </row>
    <row r="152" spans="1:27" ht="12" customHeight="1" x14ac:dyDescent="0.25">
      <c r="A152" s="155" t="s">
        <v>1239</v>
      </c>
      <c r="B152" s="162" t="s">
        <v>543</v>
      </c>
      <c r="C152" s="164">
        <v>0</v>
      </c>
      <c r="D152" s="164">
        <v>0</v>
      </c>
      <c r="E152" s="164">
        <v>0</v>
      </c>
      <c r="F152" s="164">
        <v>0</v>
      </c>
      <c r="G152" s="164">
        <v>0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4">
        <v>0</v>
      </c>
      <c r="O152" s="164">
        <v>0</v>
      </c>
      <c r="P152" s="164">
        <v>0</v>
      </c>
      <c r="Q152" s="164">
        <v>0</v>
      </c>
      <c r="R152" s="164">
        <v>0</v>
      </c>
      <c r="S152" s="164">
        <v>0</v>
      </c>
      <c r="T152" s="164">
        <v>0</v>
      </c>
      <c r="U152" s="165" t="e">
        <v>#DIV/0!</v>
      </c>
      <c r="V152" s="164">
        <v>0</v>
      </c>
      <c r="W152" s="164">
        <v>0</v>
      </c>
      <c r="X152" s="164">
        <v>0</v>
      </c>
      <c r="Y152" s="164">
        <v>0</v>
      </c>
      <c r="Z152" s="164">
        <v>0</v>
      </c>
      <c r="AA152" s="164">
        <v>0</v>
      </c>
    </row>
    <row r="153" spans="1:27" ht="12" customHeight="1" x14ac:dyDescent="0.25">
      <c r="A153" s="155"/>
      <c r="B153" s="162" t="s">
        <v>544</v>
      </c>
      <c r="C153" s="163">
        <v>0</v>
      </c>
      <c r="D153" s="163">
        <v>0</v>
      </c>
      <c r="E153" s="163">
        <v>0</v>
      </c>
      <c r="F153" s="163">
        <v>0</v>
      </c>
      <c r="G153" s="163">
        <v>0</v>
      </c>
      <c r="H153" s="163">
        <v>0</v>
      </c>
      <c r="I153" s="163">
        <v>0</v>
      </c>
      <c r="J153" s="163">
        <v>0</v>
      </c>
      <c r="K153" s="163">
        <v>0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3">
        <v>0</v>
      </c>
      <c r="R153" s="163">
        <v>0</v>
      </c>
      <c r="S153" s="163">
        <v>0</v>
      </c>
      <c r="T153" s="164">
        <v>0</v>
      </c>
      <c r="U153" s="165" t="e">
        <v>#DIV/0!</v>
      </c>
      <c r="V153" s="164">
        <v>0</v>
      </c>
      <c r="W153" s="164">
        <v>0</v>
      </c>
      <c r="X153" s="164">
        <v>0</v>
      </c>
      <c r="Y153" s="164">
        <v>0</v>
      </c>
      <c r="Z153" s="164">
        <v>0</v>
      </c>
      <c r="AA153" s="164">
        <v>0</v>
      </c>
    </row>
    <row r="154" spans="1:27" ht="12" customHeight="1" x14ac:dyDescent="0.25">
      <c r="A154" s="155" t="s">
        <v>1240</v>
      </c>
      <c r="B154" s="155" t="s">
        <v>545</v>
      </c>
      <c r="C154" s="167">
        <v>0</v>
      </c>
      <c r="D154" s="167">
        <v>0</v>
      </c>
      <c r="E154" s="167">
        <v>0</v>
      </c>
      <c r="F154" s="167">
        <v>0</v>
      </c>
      <c r="G154" s="167">
        <v>0</v>
      </c>
      <c r="H154" s="167">
        <v>0</v>
      </c>
      <c r="I154" s="167">
        <v>0</v>
      </c>
      <c r="J154" s="167">
        <v>0</v>
      </c>
      <c r="K154" s="167">
        <v>0</v>
      </c>
      <c r="L154" s="167">
        <v>0</v>
      </c>
      <c r="M154" s="167">
        <v>0</v>
      </c>
      <c r="N154" s="167">
        <v>0</v>
      </c>
      <c r="O154" s="167">
        <v>0</v>
      </c>
      <c r="P154" s="167">
        <v>0</v>
      </c>
      <c r="Q154" s="167">
        <v>0</v>
      </c>
      <c r="R154" s="167">
        <v>0</v>
      </c>
      <c r="S154" s="167">
        <v>0</v>
      </c>
      <c r="T154" s="167">
        <v>0</v>
      </c>
      <c r="U154" s="168" t="e">
        <v>#DIV/0!</v>
      </c>
      <c r="V154" s="167">
        <v>0</v>
      </c>
      <c r="W154" s="167">
        <v>0</v>
      </c>
      <c r="X154" s="167">
        <v>0</v>
      </c>
      <c r="Y154" s="167">
        <v>0</v>
      </c>
      <c r="Z154" s="167">
        <v>0</v>
      </c>
      <c r="AA154" s="167">
        <v>0</v>
      </c>
    </row>
    <row r="155" spans="1:27" ht="12" customHeight="1" x14ac:dyDescent="0.25">
      <c r="A155" s="155" t="s">
        <v>1241</v>
      </c>
      <c r="B155" s="155" t="s">
        <v>546</v>
      </c>
      <c r="C155" s="167">
        <v>0</v>
      </c>
      <c r="D155" s="167">
        <v>0</v>
      </c>
      <c r="E155" s="167">
        <v>0</v>
      </c>
      <c r="F155" s="167">
        <v>0</v>
      </c>
      <c r="G155" s="167">
        <v>0</v>
      </c>
      <c r="H155" s="167">
        <v>0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0</v>
      </c>
      <c r="T155" s="167">
        <v>0</v>
      </c>
      <c r="U155" s="168" t="e">
        <v>#DIV/0!</v>
      </c>
      <c r="V155" s="167">
        <v>0</v>
      </c>
      <c r="W155" s="167">
        <v>0</v>
      </c>
      <c r="X155" s="167">
        <v>0</v>
      </c>
      <c r="Y155" s="167">
        <v>0</v>
      </c>
      <c r="Z155" s="167">
        <v>0</v>
      </c>
      <c r="AA155" s="167">
        <v>0</v>
      </c>
    </row>
    <row r="156" spans="1:27" ht="12" customHeight="1" x14ac:dyDescent="0.25">
      <c r="A156" s="155" t="s">
        <v>1242</v>
      </c>
      <c r="B156" s="155" t="s">
        <v>547</v>
      </c>
      <c r="C156" s="167">
        <v>0</v>
      </c>
      <c r="D156" s="167">
        <v>0</v>
      </c>
      <c r="E156" s="167">
        <v>0</v>
      </c>
      <c r="F156" s="167">
        <v>0</v>
      </c>
      <c r="G156" s="167">
        <v>0</v>
      </c>
      <c r="H156" s="167">
        <v>0</v>
      </c>
      <c r="I156" s="167">
        <v>0</v>
      </c>
      <c r="J156" s="167">
        <v>0</v>
      </c>
      <c r="K156" s="167">
        <v>0</v>
      </c>
      <c r="L156" s="167">
        <v>0</v>
      </c>
      <c r="M156" s="167">
        <v>0</v>
      </c>
      <c r="N156" s="167">
        <v>0</v>
      </c>
      <c r="O156" s="167">
        <v>0</v>
      </c>
      <c r="P156" s="167">
        <v>0</v>
      </c>
      <c r="Q156" s="167">
        <v>0</v>
      </c>
      <c r="R156" s="167">
        <v>0</v>
      </c>
      <c r="S156" s="167">
        <v>0</v>
      </c>
      <c r="T156" s="167">
        <v>0</v>
      </c>
      <c r="U156" s="168" t="e">
        <v>#DIV/0!</v>
      </c>
      <c r="V156" s="167">
        <v>0</v>
      </c>
      <c r="W156" s="167">
        <v>0</v>
      </c>
      <c r="X156" s="167">
        <v>0</v>
      </c>
      <c r="Y156" s="167">
        <v>0</v>
      </c>
      <c r="Z156" s="167">
        <v>0</v>
      </c>
      <c r="AA156" s="167">
        <v>0</v>
      </c>
    </row>
    <row r="157" spans="1:27" ht="12" customHeight="1" x14ac:dyDescent="0.25">
      <c r="A157" s="155" t="s">
        <v>1243</v>
      </c>
      <c r="B157" s="155" t="s">
        <v>548</v>
      </c>
      <c r="C157" s="167">
        <v>0</v>
      </c>
      <c r="D157" s="167">
        <v>0</v>
      </c>
      <c r="E157" s="167">
        <v>0</v>
      </c>
      <c r="F157" s="167">
        <v>0</v>
      </c>
      <c r="G157" s="167">
        <v>0</v>
      </c>
      <c r="H157" s="167">
        <v>0</v>
      </c>
      <c r="I157" s="167">
        <v>0</v>
      </c>
      <c r="J157" s="167">
        <v>0</v>
      </c>
      <c r="K157" s="167">
        <v>0</v>
      </c>
      <c r="L157" s="167">
        <v>0</v>
      </c>
      <c r="M157" s="167">
        <v>0</v>
      </c>
      <c r="N157" s="167">
        <v>0</v>
      </c>
      <c r="O157" s="167">
        <v>0</v>
      </c>
      <c r="P157" s="167">
        <v>0</v>
      </c>
      <c r="Q157" s="167">
        <v>0</v>
      </c>
      <c r="R157" s="167">
        <v>0</v>
      </c>
      <c r="S157" s="167">
        <v>0</v>
      </c>
      <c r="T157" s="167">
        <v>0</v>
      </c>
      <c r="U157" s="168" t="e">
        <v>#DIV/0!</v>
      </c>
      <c r="V157" s="167">
        <v>0</v>
      </c>
      <c r="W157" s="167">
        <v>0</v>
      </c>
      <c r="X157" s="167">
        <v>0</v>
      </c>
      <c r="Y157" s="167">
        <v>0</v>
      </c>
      <c r="Z157" s="167">
        <v>0</v>
      </c>
      <c r="AA157" s="167">
        <v>0</v>
      </c>
    </row>
    <row r="158" spans="1:27" ht="12" customHeight="1" x14ac:dyDescent="0.25">
      <c r="A158" s="155" t="s">
        <v>1244</v>
      </c>
      <c r="B158" s="155" t="s">
        <v>549</v>
      </c>
      <c r="C158" s="167">
        <v>0</v>
      </c>
      <c r="D158" s="167">
        <v>0</v>
      </c>
      <c r="E158" s="167">
        <v>0</v>
      </c>
      <c r="F158" s="167">
        <v>0</v>
      </c>
      <c r="G158" s="167">
        <v>0</v>
      </c>
      <c r="H158" s="167">
        <v>0</v>
      </c>
      <c r="I158" s="167">
        <v>0</v>
      </c>
      <c r="J158" s="167">
        <v>0</v>
      </c>
      <c r="K158" s="167">
        <v>0</v>
      </c>
      <c r="L158" s="167">
        <v>0</v>
      </c>
      <c r="M158" s="167">
        <v>0</v>
      </c>
      <c r="N158" s="167">
        <v>0</v>
      </c>
      <c r="O158" s="167">
        <v>0</v>
      </c>
      <c r="P158" s="167">
        <v>0</v>
      </c>
      <c r="Q158" s="167">
        <v>0</v>
      </c>
      <c r="R158" s="167">
        <v>0</v>
      </c>
      <c r="S158" s="167">
        <v>0</v>
      </c>
      <c r="T158" s="167">
        <v>0</v>
      </c>
      <c r="U158" s="168" t="e">
        <v>#DIV/0!</v>
      </c>
      <c r="V158" s="167">
        <v>0</v>
      </c>
      <c r="W158" s="167">
        <v>0</v>
      </c>
      <c r="X158" s="167">
        <v>0</v>
      </c>
      <c r="Y158" s="167">
        <v>0</v>
      </c>
      <c r="Z158" s="167">
        <v>0</v>
      </c>
      <c r="AA158" s="167">
        <v>0</v>
      </c>
    </row>
    <row r="159" spans="1:27" ht="12" customHeight="1" x14ac:dyDescent="0.25">
      <c r="A159" s="155" t="s">
        <v>1245</v>
      </c>
      <c r="B159" s="155" t="s">
        <v>550</v>
      </c>
      <c r="C159" s="167">
        <v>0</v>
      </c>
      <c r="D159" s="167">
        <v>0</v>
      </c>
      <c r="E159" s="167">
        <v>0</v>
      </c>
      <c r="F159" s="167">
        <v>0</v>
      </c>
      <c r="G159" s="167">
        <v>0</v>
      </c>
      <c r="H159" s="167">
        <v>0</v>
      </c>
      <c r="I159" s="167">
        <v>0</v>
      </c>
      <c r="J159" s="167">
        <v>0</v>
      </c>
      <c r="K159" s="167">
        <v>0</v>
      </c>
      <c r="L159" s="167">
        <v>0</v>
      </c>
      <c r="M159" s="167">
        <v>0</v>
      </c>
      <c r="N159" s="167">
        <v>0</v>
      </c>
      <c r="O159" s="167">
        <v>0</v>
      </c>
      <c r="P159" s="167">
        <v>0</v>
      </c>
      <c r="Q159" s="167">
        <v>0</v>
      </c>
      <c r="R159" s="167">
        <v>0</v>
      </c>
      <c r="S159" s="167">
        <v>0</v>
      </c>
      <c r="T159" s="167">
        <v>0</v>
      </c>
      <c r="U159" s="168" t="e">
        <v>#DIV/0!</v>
      </c>
      <c r="V159" s="167">
        <v>0</v>
      </c>
      <c r="W159" s="167">
        <v>0</v>
      </c>
      <c r="X159" s="167">
        <v>0</v>
      </c>
      <c r="Y159" s="167">
        <v>0</v>
      </c>
      <c r="Z159" s="167">
        <v>0</v>
      </c>
      <c r="AA159" s="167">
        <v>0</v>
      </c>
    </row>
    <row r="160" spans="1:27" ht="12" customHeight="1" x14ac:dyDescent="0.25">
      <c r="A160" s="155" t="s">
        <v>1246</v>
      </c>
      <c r="B160" s="155" t="s">
        <v>551</v>
      </c>
      <c r="C160" s="167">
        <v>0</v>
      </c>
      <c r="D160" s="167">
        <v>0</v>
      </c>
      <c r="E160" s="167">
        <v>0</v>
      </c>
      <c r="F160" s="167">
        <v>0</v>
      </c>
      <c r="G160" s="167">
        <v>0</v>
      </c>
      <c r="H160" s="167">
        <v>0</v>
      </c>
      <c r="I160" s="167">
        <v>0</v>
      </c>
      <c r="J160" s="167">
        <v>0</v>
      </c>
      <c r="K160" s="167">
        <v>0</v>
      </c>
      <c r="L160" s="167">
        <v>0</v>
      </c>
      <c r="M160" s="167">
        <v>0</v>
      </c>
      <c r="N160" s="167">
        <v>0</v>
      </c>
      <c r="O160" s="167">
        <v>0</v>
      </c>
      <c r="P160" s="167">
        <v>0</v>
      </c>
      <c r="Q160" s="167">
        <v>0</v>
      </c>
      <c r="R160" s="167">
        <v>0</v>
      </c>
      <c r="S160" s="167">
        <v>0</v>
      </c>
      <c r="T160" s="167">
        <v>0</v>
      </c>
      <c r="U160" s="168" t="e">
        <v>#DIV/0!</v>
      </c>
      <c r="V160" s="167">
        <v>0</v>
      </c>
      <c r="W160" s="167">
        <v>0</v>
      </c>
      <c r="X160" s="167">
        <v>0</v>
      </c>
      <c r="Y160" s="167">
        <v>0</v>
      </c>
      <c r="Z160" s="167">
        <v>0</v>
      </c>
      <c r="AA160" s="167">
        <v>0</v>
      </c>
    </row>
    <row r="161" spans="1:27" ht="12" customHeight="1" x14ac:dyDescent="0.25">
      <c r="A161" s="155" t="s">
        <v>1247</v>
      </c>
      <c r="B161" s="155" t="s">
        <v>552</v>
      </c>
      <c r="C161" s="167">
        <v>0</v>
      </c>
      <c r="D161" s="167">
        <v>0</v>
      </c>
      <c r="E161" s="167">
        <v>0</v>
      </c>
      <c r="F161" s="167">
        <v>0</v>
      </c>
      <c r="G161" s="167">
        <v>0</v>
      </c>
      <c r="H161" s="167">
        <v>0</v>
      </c>
      <c r="I161" s="167">
        <v>0</v>
      </c>
      <c r="J161" s="167">
        <v>0</v>
      </c>
      <c r="K161" s="167">
        <v>0</v>
      </c>
      <c r="L161" s="167">
        <v>0</v>
      </c>
      <c r="M161" s="167">
        <v>0</v>
      </c>
      <c r="N161" s="167">
        <v>0</v>
      </c>
      <c r="O161" s="167">
        <v>0</v>
      </c>
      <c r="P161" s="167">
        <v>0</v>
      </c>
      <c r="Q161" s="167">
        <v>0</v>
      </c>
      <c r="R161" s="167">
        <v>0</v>
      </c>
      <c r="S161" s="167">
        <v>0</v>
      </c>
      <c r="T161" s="167">
        <v>0</v>
      </c>
      <c r="U161" s="168" t="e">
        <v>#DIV/0!</v>
      </c>
      <c r="V161" s="167">
        <v>0</v>
      </c>
      <c r="W161" s="167">
        <v>0</v>
      </c>
      <c r="X161" s="167">
        <v>0</v>
      </c>
      <c r="Y161" s="167">
        <v>0</v>
      </c>
      <c r="Z161" s="167">
        <v>0</v>
      </c>
      <c r="AA161" s="167">
        <v>0</v>
      </c>
    </row>
    <row r="162" spans="1:27" ht="12" customHeight="1" x14ac:dyDescent="0.25">
      <c r="A162" s="155" t="s">
        <v>1248</v>
      </c>
      <c r="B162" s="155" t="s">
        <v>553</v>
      </c>
      <c r="C162" s="167">
        <v>0</v>
      </c>
      <c r="D162" s="167">
        <v>0</v>
      </c>
      <c r="E162" s="167">
        <v>0</v>
      </c>
      <c r="F162" s="167">
        <v>0</v>
      </c>
      <c r="G162" s="167">
        <v>0</v>
      </c>
      <c r="H162" s="167">
        <v>0</v>
      </c>
      <c r="I162" s="167">
        <v>0</v>
      </c>
      <c r="J162" s="167">
        <v>0</v>
      </c>
      <c r="K162" s="167">
        <v>0</v>
      </c>
      <c r="L162" s="167">
        <v>0</v>
      </c>
      <c r="M162" s="167">
        <v>0</v>
      </c>
      <c r="N162" s="167">
        <v>0</v>
      </c>
      <c r="O162" s="167">
        <v>0</v>
      </c>
      <c r="P162" s="167">
        <v>0</v>
      </c>
      <c r="Q162" s="167">
        <v>0</v>
      </c>
      <c r="R162" s="167">
        <v>0</v>
      </c>
      <c r="S162" s="167">
        <v>0</v>
      </c>
      <c r="T162" s="167">
        <v>0</v>
      </c>
      <c r="U162" s="168" t="e">
        <v>#DIV/0!</v>
      </c>
      <c r="V162" s="167">
        <v>0</v>
      </c>
      <c r="W162" s="167">
        <v>0</v>
      </c>
      <c r="X162" s="167">
        <v>0</v>
      </c>
      <c r="Y162" s="167">
        <v>0</v>
      </c>
      <c r="Z162" s="167">
        <v>0</v>
      </c>
      <c r="AA162" s="167">
        <v>0</v>
      </c>
    </row>
    <row r="163" spans="1:27" ht="12" customHeight="1" x14ac:dyDescent="0.25">
      <c r="A163" s="155" t="s">
        <v>1249</v>
      </c>
      <c r="B163" s="155" t="s">
        <v>554</v>
      </c>
      <c r="C163" s="167">
        <v>0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7">
        <v>0</v>
      </c>
      <c r="P163" s="167">
        <v>0</v>
      </c>
      <c r="Q163" s="167">
        <v>0</v>
      </c>
      <c r="R163" s="167">
        <v>0</v>
      </c>
      <c r="S163" s="167">
        <v>0</v>
      </c>
      <c r="T163" s="167">
        <v>0</v>
      </c>
      <c r="U163" s="168" t="e">
        <v>#DIV/0!</v>
      </c>
      <c r="V163" s="167">
        <v>0</v>
      </c>
      <c r="W163" s="167">
        <v>0</v>
      </c>
      <c r="X163" s="167">
        <v>0</v>
      </c>
      <c r="Y163" s="167">
        <v>0</v>
      </c>
      <c r="Z163" s="167">
        <v>0</v>
      </c>
      <c r="AA163" s="167">
        <v>0</v>
      </c>
    </row>
    <row r="164" spans="1:27" ht="12" customHeight="1" x14ac:dyDescent="0.25">
      <c r="A164" s="155" t="s">
        <v>1250</v>
      </c>
      <c r="B164" s="155" t="s">
        <v>555</v>
      </c>
      <c r="C164" s="167">
        <v>0</v>
      </c>
      <c r="D164" s="167">
        <v>0</v>
      </c>
      <c r="E164" s="167">
        <v>0</v>
      </c>
      <c r="F164" s="167">
        <v>0</v>
      </c>
      <c r="G164" s="167">
        <v>0</v>
      </c>
      <c r="H164" s="167">
        <v>0</v>
      </c>
      <c r="I164" s="167">
        <v>0</v>
      </c>
      <c r="J164" s="167">
        <v>0</v>
      </c>
      <c r="K164" s="167">
        <v>0</v>
      </c>
      <c r="L164" s="167">
        <v>0</v>
      </c>
      <c r="M164" s="167">
        <v>0</v>
      </c>
      <c r="N164" s="167">
        <v>0</v>
      </c>
      <c r="O164" s="167">
        <v>0</v>
      </c>
      <c r="P164" s="167">
        <v>0</v>
      </c>
      <c r="Q164" s="167">
        <v>0</v>
      </c>
      <c r="R164" s="167">
        <v>0</v>
      </c>
      <c r="S164" s="167">
        <v>0</v>
      </c>
      <c r="T164" s="167">
        <v>0</v>
      </c>
      <c r="U164" s="168" t="e">
        <v>#DIV/0!</v>
      </c>
      <c r="V164" s="167">
        <v>0</v>
      </c>
      <c r="W164" s="167">
        <v>0</v>
      </c>
      <c r="X164" s="167">
        <v>0</v>
      </c>
      <c r="Y164" s="167">
        <v>0</v>
      </c>
      <c r="Z164" s="167">
        <v>0</v>
      </c>
      <c r="AA164" s="167">
        <v>0</v>
      </c>
    </row>
    <row r="165" spans="1:27" ht="12" customHeight="1" x14ac:dyDescent="0.25">
      <c r="A165" s="155" t="s">
        <v>1251</v>
      </c>
      <c r="B165" s="155" t="s">
        <v>556</v>
      </c>
      <c r="C165" s="167">
        <v>0</v>
      </c>
      <c r="D165" s="167">
        <v>0</v>
      </c>
      <c r="E165" s="167">
        <v>0</v>
      </c>
      <c r="F165" s="167">
        <v>0</v>
      </c>
      <c r="G165" s="167">
        <v>0</v>
      </c>
      <c r="H165" s="167">
        <v>0</v>
      </c>
      <c r="I165" s="167">
        <v>0</v>
      </c>
      <c r="J165" s="167">
        <v>0</v>
      </c>
      <c r="K165" s="167">
        <v>0</v>
      </c>
      <c r="L165" s="167">
        <v>0</v>
      </c>
      <c r="M165" s="167">
        <v>0</v>
      </c>
      <c r="N165" s="167">
        <v>0</v>
      </c>
      <c r="O165" s="167">
        <v>0</v>
      </c>
      <c r="P165" s="167">
        <v>0</v>
      </c>
      <c r="Q165" s="167">
        <v>0</v>
      </c>
      <c r="R165" s="167">
        <v>0</v>
      </c>
      <c r="S165" s="167">
        <v>0</v>
      </c>
      <c r="T165" s="167">
        <v>0</v>
      </c>
      <c r="U165" s="168" t="e">
        <v>#DIV/0!</v>
      </c>
      <c r="V165" s="167">
        <v>0</v>
      </c>
      <c r="W165" s="167">
        <v>0</v>
      </c>
      <c r="X165" s="167">
        <v>0</v>
      </c>
      <c r="Y165" s="167">
        <v>0</v>
      </c>
      <c r="Z165" s="167">
        <v>0</v>
      </c>
      <c r="AA165" s="167">
        <v>0</v>
      </c>
    </row>
    <row r="166" spans="1:27" ht="12" customHeight="1" x14ac:dyDescent="0.25">
      <c r="A166" s="155"/>
      <c r="B166" s="162" t="s">
        <v>557</v>
      </c>
      <c r="C166" s="163">
        <v>0</v>
      </c>
      <c r="D166" s="163">
        <v>0</v>
      </c>
      <c r="E166" s="163">
        <v>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3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3">
        <v>0</v>
      </c>
      <c r="R166" s="163">
        <v>0</v>
      </c>
      <c r="S166" s="163">
        <v>0</v>
      </c>
      <c r="T166" s="164">
        <v>0</v>
      </c>
      <c r="U166" s="165" t="e">
        <v>#DIV/0!</v>
      </c>
      <c r="V166" s="164">
        <v>0</v>
      </c>
      <c r="W166" s="164">
        <v>0</v>
      </c>
      <c r="X166" s="164">
        <v>0</v>
      </c>
      <c r="Y166" s="164">
        <v>0</v>
      </c>
      <c r="Z166" s="164">
        <v>0</v>
      </c>
      <c r="AA166" s="164">
        <v>0</v>
      </c>
    </row>
    <row r="167" spans="1:27" ht="12" customHeight="1" x14ac:dyDescent="0.25">
      <c r="A167" s="155" t="s">
        <v>1252</v>
      </c>
      <c r="B167" s="155" t="s">
        <v>558</v>
      </c>
      <c r="C167" s="167">
        <v>0</v>
      </c>
      <c r="D167" s="167">
        <v>0</v>
      </c>
      <c r="E167" s="167">
        <v>0</v>
      </c>
      <c r="F167" s="167">
        <v>0</v>
      </c>
      <c r="G167" s="167">
        <v>0</v>
      </c>
      <c r="H167" s="167">
        <v>0</v>
      </c>
      <c r="I167" s="167">
        <v>0</v>
      </c>
      <c r="J167" s="167">
        <v>0</v>
      </c>
      <c r="K167" s="167">
        <v>0</v>
      </c>
      <c r="L167" s="167">
        <v>0</v>
      </c>
      <c r="M167" s="167">
        <v>0</v>
      </c>
      <c r="N167" s="167">
        <v>0</v>
      </c>
      <c r="O167" s="167">
        <v>0</v>
      </c>
      <c r="P167" s="167">
        <v>0</v>
      </c>
      <c r="Q167" s="167">
        <v>0</v>
      </c>
      <c r="R167" s="167">
        <v>0</v>
      </c>
      <c r="S167" s="167">
        <v>0</v>
      </c>
      <c r="T167" s="167">
        <v>0</v>
      </c>
      <c r="U167" s="168" t="e">
        <v>#DIV/0!</v>
      </c>
      <c r="V167" s="167">
        <v>0</v>
      </c>
      <c r="W167" s="167">
        <v>0</v>
      </c>
      <c r="X167" s="167">
        <v>0</v>
      </c>
      <c r="Y167" s="167">
        <v>0</v>
      </c>
      <c r="Z167" s="167">
        <v>0</v>
      </c>
      <c r="AA167" s="167">
        <v>0</v>
      </c>
    </row>
    <row r="168" spans="1:27" ht="12" customHeight="1" x14ac:dyDescent="0.25">
      <c r="A168" s="155" t="s">
        <v>1253</v>
      </c>
      <c r="B168" s="155" t="s">
        <v>559</v>
      </c>
      <c r="C168" s="167">
        <v>0</v>
      </c>
      <c r="D168" s="167">
        <v>0</v>
      </c>
      <c r="E168" s="167">
        <v>0</v>
      </c>
      <c r="F168" s="167">
        <v>0</v>
      </c>
      <c r="G168" s="167">
        <v>0</v>
      </c>
      <c r="H168" s="167">
        <v>0</v>
      </c>
      <c r="I168" s="167">
        <v>0</v>
      </c>
      <c r="J168" s="167">
        <v>0</v>
      </c>
      <c r="K168" s="167">
        <v>0</v>
      </c>
      <c r="L168" s="167">
        <v>0</v>
      </c>
      <c r="M168" s="167">
        <v>0</v>
      </c>
      <c r="N168" s="167">
        <v>0</v>
      </c>
      <c r="O168" s="167">
        <v>0</v>
      </c>
      <c r="P168" s="167">
        <v>0</v>
      </c>
      <c r="Q168" s="167">
        <v>0</v>
      </c>
      <c r="R168" s="167">
        <v>0</v>
      </c>
      <c r="S168" s="167">
        <v>0</v>
      </c>
      <c r="T168" s="167">
        <v>0</v>
      </c>
      <c r="U168" s="168" t="e">
        <v>#DIV/0!</v>
      </c>
      <c r="V168" s="167">
        <v>0</v>
      </c>
      <c r="W168" s="167">
        <v>0</v>
      </c>
      <c r="X168" s="167">
        <v>0</v>
      </c>
      <c r="Y168" s="167">
        <v>0</v>
      </c>
      <c r="Z168" s="167">
        <v>0</v>
      </c>
      <c r="AA168" s="167">
        <v>0</v>
      </c>
    </row>
    <row r="169" spans="1:27" ht="12" customHeight="1" x14ac:dyDescent="0.25">
      <c r="A169" s="155" t="s">
        <v>1254</v>
      </c>
      <c r="B169" s="155" t="s">
        <v>560</v>
      </c>
      <c r="C169" s="167">
        <v>0</v>
      </c>
      <c r="D169" s="167">
        <v>0</v>
      </c>
      <c r="E169" s="167">
        <v>0</v>
      </c>
      <c r="F169" s="167">
        <v>0</v>
      </c>
      <c r="G169" s="167">
        <v>0</v>
      </c>
      <c r="H169" s="167">
        <v>0</v>
      </c>
      <c r="I169" s="167">
        <v>0</v>
      </c>
      <c r="J169" s="167">
        <v>0</v>
      </c>
      <c r="K169" s="167">
        <v>0</v>
      </c>
      <c r="L169" s="167">
        <v>0</v>
      </c>
      <c r="M169" s="167">
        <v>0</v>
      </c>
      <c r="N169" s="167">
        <v>0</v>
      </c>
      <c r="O169" s="167">
        <v>0</v>
      </c>
      <c r="P169" s="167">
        <v>0</v>
      </c>
      <c r="Q169" s="167">
        <v>0</v>
      </c>
      <c r="R169" s="167">
        <v>0</v>
      </c>
      <c r="S169" s="167">
        <v>0</v>
      </c>
      <c r="T169" s="167">
        <v>0</v>
      </c>
      <c r="U169" s="168" t="e">
        <v>#DIV/0!</v>
      </c>
      <c r="V169" s="167">
        <v>0</v>
      </c>
      <c r="W169" s="167">
        <v>0</v>
      </c>
      <c r="X169" s="167">
        <v>0</v>
      </c>
      <c r="Y169" s="167">
        <v>0</v>
      </c>
      <c r="Z169" s="167">
        <v>0</v>
      </c>
      <c r="AA169" s="167">
        <v>0</v>
      </c>
    </row>
    <row r="170" spans="1:27" ht="12" customHeight="1" x14ac:dyDescent="0.25">
      <c r="A170" s="155"/>
      <c r="B170" s="156" t="s">
        <v>561</v>
      </c>
      <c r="C170" s="157">
        <v>0</v>
      </c>
      <c r="D170" s="157">
        <v>0</v>
      </c>
      <c r="E170" s="157">
        <v>0</v>
      </c>
      <c r="F170" s="157">
        <v>0</v>
      </c>
      <c r="G170" s="157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7">
        <v>0</v>
      </c>
      <c r="Q170" s="157">
        <v>0</v>
      </c>
      <c r="R170" s="157">
        <v>0</v>
      </c>
      <c r="S170" s="157">
        <v>0</v>
      </c>
      <c r="T170" s="158">
        <v>0</v>
      </c>
      <c r="U170" s="159" t="e">
        <v>#DIV/0!</v>
      </c>
      <c r="V170" s="158">
        <v>0</v>
      </c>
      <c r="W170" s="158">
        <v>0</v>
      </c>
      <c r="X170" s="158">
        <v>0</v>
      </c>
      <c r="Y170" s="158">
        <v>0</v>
      </c>
      <c r="Z170" s="158">
        <v>0</v>
      </c>
      <c r="AA170" s="158">
        <v>0</v>
      </c>
    </row>
    <row r="171" spans="1:27" ht="12" customHeight="1" x14ac:dyDescent="0.25">
      <c r="A171" s="155"/>
      <c r="B171" s="162" t="s">
        <v>562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3">
        <v>0</v>
      </c>
      <c r="R171" s="163">
        <v>0</v>
      </c>
      <c r="S171" s="163">
        <v>0</v>
      </c>
      <c r="T171" s="164">
        <v>0</v>
      </c>
      <c r="U171" s="165" t="e">
        <v>#DIV/0!</v>
      </c>
      <c r="V171" s="164">
        <v>0</v>
      </c>
      <c r="W171" s="164">
        <v>0</v>
      </c>
      <c r="X171" s="164">
        <v>0</v>
      </c>
      <c r="Y171" s="164">
        <v>0</v>
      </c>
      <c r="Z171" s="164">
        <v>0</v>
      </c>
      <c r="AA171" s="164">
        <v>0</v>
      </c>
    </row>
    <row r="172" spans="1:27" ht="12" customHeight="1" x14ac:dyDescent="0.25">
      <c r="A172" s="155"/>
      <c r="B172" s="155" t="s">
        <v>563</v>
      </c>
      <c r="C172" s="169">
        <v>0</v>
      </c>
      <c r="D172" s="169">
        <v>0</v>
      </c>
      <c r="E172" s="169">
        <v>0</v>
      </c>
      <c r="F172" s="169">
        <v>0</v>
      </c>
      <c r="G172" s="169">
        <v>0</v>
      </c>
      <c r="H172" s="169">
        <v>0</v>
      </c>
      <c r="I172" s="169">
        <v>0</v>
      </c>
      <c r="J172" s="169">
        <v>0</v>
      </c>
      <c r="K172" s="169">
        <v>0</v>
      </c>
      <c r="L172" s="169">
        <v>0</v>
      </c>
      <c r="M172" s="169">
        <v>0</v>
      </c>
      <c r="N172" s="169">
        <v>0</v>
      </c>
      <c r="O172" s="169">
        <v>0</v>
      </c>
      <c r="P172" s="169">
        <v>0</v>
      </c>
      <c r="Q172" s="169">
        <v>0</v>
      </c>
      <c r="R172" s="169">
        <v>0</v>
      </c>
      <c r="S172" s="169">
        <v>0</v>
      </c>
      <c r="T172" s="167">
        <v>0</v>
      </c>
      <c r="U172" s="168" t="e">
        <v>#DIV/0!</v>
      </c>
      <c r="V172" s="167">
        <v>0</v>
      </c>
      <c r="W172" s="167">
        <v>0</v>
      </c>
      <c r="X172" s="167">
        <v>0</v>
      </c>
      <c r="Y172" s="167">
        <v>0</v>
      </c>
      <c r="Z172" s="167">
        <v>0</v>
      </c>
      <c r="AA172" s="167">
        <v>0</v>
      </c>
    </row>
    <row r="173" spans="1:27" ht="12" customHeight="1" x14ac:dyDescent="0.25">
      <c r="A173" s="155" t="s">
        <v>1255</v>
      </c>
      <c r="B173" s="166" t="s">
        <v>564</v>
      </c>
      <c r="C173" s="167">
        <v>0</v>
      </c>
      <c r="D173" s="167">
        <v>0</v>
      </c>
      <c r="E173" s="167">
        <v>0</v>
      </c>
      <c r="F173" s="167">
        <v>0</v>
      </c>
      <c r="G173" s="167">
        <v>0</v>
      </c>
      <c r="H173" s="167">
        <v>0</v>
      </c>
      <c r="I173" s="167">
        <v>0</v>
      </c>
      <c r="J173" s="167">
        <v>0</v>
      </c>
      <c r="K173" s="167">
        <v>0</v>
      </c>
      <c r="L173" s="167">
        <v>0</v>
      </c>
      <c r="M173" s="167">
        <v>0</v>
      </c>
      <c r="N173" s="167">
        <v>0</v>
      </c>
      <c r="O173" s="167">
        <v>0</v>
      </c>
      <c r="P173" s="167">
        <v>0</v>
      </c>
      <c r="Q173" s="167">
        <v>0</v>
      </c>
      <c r="R173" s="167">
        <v>0</v>
      </c>
      <c r="S173" s="167">
        <v>0</v>
      </c>
      <c r="T173" s="167">
        <v>0</v>
      </c>
      <c r="U173" s="168" t="e">
        <v>#DIV/0!</v>
      </c>
      <c r="V173" s="167">
        <v>0</v>
      </c>
      <c r="W173" s="167">
        <v>0</v>
      </c>
      <c r="X173" s="167">
        <v>0</v>
      </c>
      <c r="Y173" s="167">
        <v>0</v>
      </c>
      <c r="Z173" s="167">
        <v>0</v>
      </c>
      <c r="AA173" s="167">
        <v>0</v>
      </c>
    </row>
    <row r="174" spans="1:27" ht="12" customHeight="1" x14ac:dyDescent="0.25">
      <c r="A174" s="155" t="s">
        <v>1256</v>
      </c>
      <c r="B174" s="166" t="s">
        <v>565</v>
      </c>
      <c r="C174" s="167">
        <v>0</v>
      </c>
      <c r="D174" s="167">
        <v>0</v>
      </c>
      <c r="E174" s="167">
        <v>0</v>
      </c>
      <c r="F174" s="167">
        <v>0</v>
      </c>
      <c r="G174" s="167">
        <v>0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7">
        <v>0</v>
      </c>
      <c r="O174" s="167">
        <v>0</v>
      </c>
      <c r="P174" s="167">
        <v>0</v>
      </c>
      <c r="Q174" s="167">
        <v>0</v>
      </c>
      <c r="R174" s="167">
        <v>0</v>
      </c>
      <c r="S174" s="167">
        <v>0</v>
      </c>
      <c r="T174" s="167">
        <v>0</v>
      </c>
      <c r="U174" s="168" t="e">
        <v>#DIV/0!</v>
      </c>
      <c r="V174" s="167">
        <v>0</v>
      </c>
      <c r="W174" s="167">
        <v>0</v>
      </c>
      <c r="X174" s="167">
        <v>0</v>
      </c>
      <c r="Y174" s="167">
        <v>0</v>
      </c>
      <c r="Z174" s="167">
        <v>0</v>
      </c>
      <c r="AA174" s="167">
        <v>0</v>
      </c>
    </row>
    <row r="175" spans="1:27" ht="12" customHeight="1" x14ac:dyDescent="0.25">
      <c r="A175" s="155"/>
      <c r="B175" s="155" t="s">
        <v>1257</v>
      </c>
      <c r="C175" s="167">
        <v>0</v>
      </c>
      <c r="D175" s="167">
        <v>0</v>
      </c>
      <c r="E175" s="167">
        <v>0</v>
      </c>
      <c r="F175" s="167">
        <v>0</v>
      </c>
      <c r="G175" s="167">
        <v>0</v>
      </c>
      <c r="H175" s="167">
        <v>0</v>
      </c>
      <c r="I175" s="167">
        <v>0</v>
      </c>
      <c r="J175" s="167">
        <v>0</v>
      </c>
      <c r="K175" s="167">
        <v>0</v>
      </c>
      <c r="L175" s="167">
        <v>0</v>
      </c>
      <c r="M175" s="167">
        <v>0</v>
      </c>
      <c r="N175" s="167">
        <v>0</v>
      </c>
      <c r="O175" s="167">
        <v>0</v>
      </c>
      <c r="P175" s="167">
        <v>0</v>
      </c>
      <c r="Q175" s="167">
        <v>0</v>
      </c>
      <c r="R175" s="167">
        <v>0</v>
      </c>
      <c r="S175" s="167">
        <v>0</v>
      </c>
      <c r="T175" s="167">
        <v>0</v>
      </c>
      <c r="U175" s="168" t="e">
        <v>#DIV/0!</v>
      </c>
      <c r="V175" s="167">
        <v>0</v>
      </c>
      <c r="W175" s="167">
        <v>0</v>
      </c>
      <c r="X175" s="167">
        <v>0</v>
      </c>
      <c r="Y175" s="167">
        <v>0</v>
      </c>
      <c r="Z175" s="167">
        <v>0</v>
      </c>
      <c r="AA175" s="167">
        <v>0</v>
      </c>
    </row>
    <row r="176" spans="1:27" ht="12" customHeight="1" x14ac:dyDescent="0.25">
      <c r="A176" s="155" t="s">
        <v>1258</v>
      </c>
      <c r="B176" s="166" t="s">
        <v>1259</v>
      </c>
      <c r="C176" s="167">
        <v>0</v>
      </c>
      <c r="D176" s="167">
        <v>0</v>
      </c>
      <c r="E176" s="167">
        <v>0</v>
      </c>
      <c r="F176" s="167">
        <v>0</v>
      </c>
      <c r="G176" s="167">
        <v>0</v>
      </c>
      <c r="H176" s="167">
        <v>0</v>
      </c>
      <c r="I176" s="167">
        <v>0</v>
      </c>
      <c r="J176" s="167">
        <v>0</v>
      </c>
      <c r="K176" s="167">
        <v>0</v>
      </c>
      <c r="L176" s="167">
        <v>0</v>
      </c>
      <c r="M176" s="167">
        <v>0</v>
      </c>
      <c r="N176" s="167">
        <v>0</v>
      </c>
      <c r="O176" s="167">
        <v>0</v>
      </c>
      <c r="P176" s="167">
        <v>0</v>
      </c>
      <c r="Q176" s="167">
        <v>0</v>
      </c>
      <c r="R176" s="167">
        <v>0</v>
      </c>
      <c r="S176" s="167">
        <v>0</v>
      </c>
      <c r="T176" s="167">
        <v>0</v>
      </c>
      <c r="U176" s="168" t="e">
        <v>#DIV/0!</v>
      </c>
      <c r="V176" s="167">
        <v>0</v>
      </c>
      <c r="W176" s="167">
        <v>0</v>
      </c>
      <c r="X176" s="167">
        <v>0</v>
      </c>
      <c r="Y176" s="167">
        <v>0</v>
      </c>
      <c r="Z176" s="167">
        <v>0</v>
      </c>
      <c r="AA176" s="167">
        <v>0</v>
      </c>
    </row>
    <row r="177" spans="1:27" ht="12" customHeight="1" x14ac:dyDescent="0.25">
      <c r="A177" s="155" t="s">
        <v>1260</v>
      </c>
      <c r="B177" s="166" t="s">
        <v>1261</v>
      </c>
      <c r="C177" s="167">
        <v>0</v>
      </c>
      <c r="D177" s="167">
        <v>0</v>
      </c>
      <c r="E177" s="167">
        <v>0</v>
      </c>
      <c r="F177" s="167">
        <v>0</v>
      </c>
      <c r="G177" s="167">
        <v>0</v>
      </c>
      <c r="H177" s="167">
        <v>0</v>
      </c>
      <c r="I177" s="167">
        <v>0</v>
      </c>
      <c r="J177" s="167">
        <v>0</v>
      </c>
      <c r="K177" s="167">
        <v>0</v>
      </c>
      <c r="L177" s="167">
        <v>0</v>
      </c>
      <c r="M177" s="167">
        <v>0</v>
      </c>
      <c r="N177" s="167">
        <v>0</v>
      </c>
      <c r="O177" s="167">
        <v>0</v>
      </c>
      <c r="P177" s="167">
        <v>0</v>
      </c>
      <c r="Q177" s="167">
        <v>0</v>
      </c>
      <c r="R177" s="167">
        <v>0</v>
      </c>
      <c r="S177" s="167">
        <v>0</v>
      </c>
      <c r="T177" s="167">
        <v>0</v>
      </c>
      <c r="U177" s="168" t="e">
        <v>#DIV/0!</v>
      </c>
      <c r="V177" s="167">
        <v>0</v>
      </c>
      <c r="W177" s="167">
        <v>0</v>
      </c>
      <c r="X177" s="167">
        <v>0</v>
      </c>
      <c r="Y177" s="167">
        <v>0</v>
      </c>
      <c r="Z177" s="167">
        <v>0</v>
      </c>
      <c r="AA177" s="167">
        <v>0</v>
      </c>
    </row>
    <row r="178" spans="1:27" ht="12" customHeight="1" x14ac:dyDescent="0.25">
      <c r="A178" s="155" t="s">
        <v>1262</v>
      </c>
      <c r="B178" s="155" t="s">
        <v>566</v>
      </c>
      <c r="C178" s="167">
        <v>0</v>
      </c>
      <c r="D178" s="167">
        <v>0</v>
      </c>
      <c r="E178" s="167">
        <v>0</v>
      </c>
      <c r="F178" s="167">
        <v>0</v>
      </c>
      <c r="G178" s="167">
        <v>0</v>
      </c>
      <c r="H178" s="167">
        <v>0</v>
      </c>
      <c r="I178" s="167">
        <v>0</v>
      </c>
      <c r="J178" s="167">
        <v>0</v>
      </c>
      <c r="K178" s="167">
        <v>0</v>
      </c>
      <c r="L178" s="167">
        <v>0</v>
      </c>
      <c r="M178" s="167">
        <v>0</v>
      </c>
      <c r="N178" s="167">
        <v>0</v>
      </c>
      <c r="O178" s="167">
        <v>0</v>
      </c>
      <c r="P178" s="167">
        <v>0</v>
      </c>
      <c r="Q178" s="167">
        <v>0</v>
      </c>
      <c r="R178" s="167">
        <v>0</v>
      </c>
      <c r="S178" s="167">
        <v>0</v>
      </c>
      <c r="T178" s="167">
        <v>0</v>
      </c>
      <c r="U178" s="168" t="e">
        <v>#DIV/0!</v>
      </c>
      <c r="V178" s="167">
        <v>0</v>
      </c>
      <c r="W178" s="167">
        <v>0</v>
      </c>
      <c r="X178" s="167">
        <v>0</v>
      </c>
      <c r="Y178" s="167">
        <v>0</v>
      </c>
      <c r="Z178" s="167">
        <v>0</v>
      </c>
      <c r="AA178" s="167">
        <v>0</v>
      </c>
    </row>
    <row r="179" spans="1:27" ht="12" customHeight="1" x14ac:dyDescent="0.25">
      <c r="A179" s="155" t="s">
        <v>1263</v>
      </c>
      <c r="B179" s="155" t="s">
        <v>567</v>
      </c>
      <c r="C179" s="167">
        <v>0</v>
      </c>
      <c r="D179" s="167">
        <v>0</v>
      </c>
      <c r="E179" s="167">
        <v>0</v>
      </c>
      <c r="F179" s="167">
        <v>0</v>
      </c>
      <c r="G179" s="167">
        <v>0</v>
      </c>
      <c r="H179" s="167">
        <v>0</v>
      </c>
      <c r="I179" s="167">
        <v>0</v>
      </c>
      <c r="J179" s="167">
        <v>0</v>
      </c>
      <c r="K179" s="167">
        <v>0</v>
      </c>
      <c r="L179" s="167">
        <v>0</v>
      </c>
      <c r="M179" s="167">
        <v>0</v>
      </c>
      <c r="N179" s="167">
        <v>0</v>
      </c>
      <c r="O179" s="167">
        <v>0</v>
      </c>
      <c r="P179" s="167">
        <v>0</v>
      </c>
      <c r="Q179" s="167">
        <v>0</v>
      </c>
      <c r="R179" s="167">
        <v>0</v>
      </c>
      <c r="S179" s="167">
        <v>0</v>
      </c>
      <c r="T179" s="167">
        <v>0</v>
      </c>
      <c r="U179" s="168" t="e">
        <v>#DIV/0!</v>
      </c>
      <c r="V179" s="167">
        <v>0</v>
      </c>
      <c r="W179" s="167">
        <v>0</v>
      </c>
      <c r="X179" s="167">
        <v>0</v>
      </c>
      <c r="Y179" s="167">
        <v>0</v>
      </c>
      <c r="Z179" s="167">
        <v>0</v>
      </c>
      <c r="AA179" s="167">
        <v>0</v>
      </c>
    </row>
    <row r="180" spans="1:27" ht="12" customHeight="1" x14ac:dyDescent="0.25">
      <c r="A180" s="155"/>
      <c r="B180" s="162" t="s">
        <v>568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3">
        <v>0</v>
      </c>
      <c r="R180" s="163">
        <v>0</v>
      </c>
      <c r="S180" s="163">
        <v>0</v>
      </c>
      <c r="T180" s="164">
        <v>0</v>
      </c>
      <c r="U180" s="165" t="e">
        <v>#DIV/0!</v>
      </c>
      <c r="V180" s="164">
        <v>0</v>
      </c>
      <c r="W180" s="164">
        <v>0</v>
      </c>
      <c r="X180" s="164">
        <v>0</v>
      </c>
      <c r="Y180" s="164">
        <v>0</v>
      </c>
      <c r="Z180" s="164">
        <v>0</v>
      </c>
      <c r="AA180" s="164">
        <v>0</v>
      </c>
    </row>
    <row r="181" spans="1:27" ht="12" customHeight="1" x14ac:dyDescent="0.25">
      <c r="A181" s="155" t="s">
        <v>1264</v>
      </c>
      <c r="B181" s="155" t="s">
        <v>569</v>
      </c>
      <c r="C181" s="167">
        <v>0</v>
      </c>
      <c r="D181" s="167">
        <v>0</v>
      </c>
      <c r="E181" s="167">
        <v>0</v>
      </c>
      <c r="F181" s="167">
        <v>0</v>
      </c>
      <c r="G181" s="167">
        <v>0</v>
      </c>
      <c r="H181" s="167">
        <v>0</v>
      </c>
      <c r="I181" s="167">
        <v>0</v>
      </c>
      <c r="J181" s="167">
        <v>0</v>
      </c>
      <c r="K181" s="167">
        <v>0</v>
      </c>
      <c r="L181" s="167">
        <v>0</v>
      </c>
      <c r="M181" s="167">
        <v>0</v>
      </c>
      <c r="N181" s="167">
        <v>0</v>
      </c>
      <c r="O181" s="167">
        <v>0</v>
      </c>
      <c r="P181" s="167">
        <v>0</v>
      </c>
      <c r="Q181" s="167">
        <v>0</v>
      </c>
      <c r="R181" s="167">
        <v>0</v>
      </c>
      <c r="S181" s="167">
        <v>0</v>
      </c>
      <c r="T181" s="167">
        <v>0</v>
      </c>
      <c r="U181" s="168" t="e">
        <v>#DIV/0!</v>
      </c>
      <c r="V181" s="167">
        <v>0</v>
      </c>
      <c r="W181" s="167">
        <v>0</v>
      </c>
      <c r="X181" s="167">
        <v>0</v>
      </c>
      <c r="Y181" s="167">
        <v>0</v>
      </c>
      <c r="Z181" s="167">
        <v>0</v>
      </c>
      <c r="AA181" s="167">
        <v>0</v>
      </c>
    </row>
    <row r="182" spans="1:27" ht="12" customHeight="1" x14ac:dyDescent="0.25">
      <c r="A182" s="155" t="s">
        <v>1265</v>
      </c>
      <c r="B182" s="155" t="s">
        <v>570</v>
      </c>
      <c r="C182" s="167">
        <v>0</v>
      </c>
      <c r="D182" s="167">
        <v>0</v>
      </c>
      <c r="E182" s="167">
        <v>0</v>
      </c>
      <c r="F182" s="167">
        <v>0</v>
      </c>
      <c r="G182" s="167">
        <v>0</v>
      </c>
      <c r="H182" s="167">
        <v>0</v>
      </c>
      <c r="I182" s="167">
        <v>0</v>
      </c>
      <c r="J182" s="167">
        <v>0</v>
      </c>
      <c r="K182" s="167">
        <v>0</v>
      </c>
      <c r="L182" s="167">
        <v>0</v>
      </c>
      <c r="M182" s="167">
        <v>0</v>
      </c>
      <c r="N182" s="167">
        <v>0</v>
      </c>
      <c r="O182" s="167">
        <v>0</v>
      </c>
      <c r="P182" s="167">
        <v>0</v>
      </c>
      <c r="Q182" s="167">
        <v>0</v>
      </c>
      <c r="R182" s="167">
        <v>0</v>
      </c>
      <c r="S182" s="167">
        <v>0</v>
      </c>
      <c r="T182" s="167">
        <v>0</v>
      </c>
      <c r="U182" s="168" t="e">
        <v>#DIV/0!</v>
      </c>
      <c r="V182" s="167">
        <v>0</v>
      </c>
      <c r="W182" s="167">
        <v>0</v>
      </c>
      <c r="X182" s="167">
        <v>0</v>
      </c>
      <c r="Y182" s="167">
        <v>0</v>
      </c>
      <c r="Z182" s="167">
        <v>0</v>
      </c>
      <c r="AA182" s="167">
        <v>0</v>
      </c>
    </row>
    <row r="183" spans="1:27" ht="12" customHeight="1" x14ac:dyDescent="0.25">
      <c r="A183" s="155" t="s">
        <v>1266</v>
      </c>
      <c r="B183" s="155" t="s">
        <v>571</v>
      </c>
      <c r="C183" s="167">
        <v>0</v>
      </c>
      <c r="D183" s="167">
        <v>0</v>
      </c>
      <c r="E183" s="167">
        <v>0</v>
      </c>
      <c r="F183" s="167">
        <v>0</v>
      </c>
      <c r="G183" s="167">
        <v>0</v>
      </c>
      <c r="H183" s="167">
        <v>0</v>
      </c>
      <c r="I183" s="167">
        <v>0</v>
      </c>
      <c r="J183" s="167">
        <v>0</v>
      </c>
      <c r="K183" s="167">
        <v>0</v>
      </c>
      <c r="L183" s="167">
        <v>0</v>
      </c>
      <c r="M183" s="167">
        <v>0</v>
      </c>
      <c r="N183" s="167">
        <v>0</v>
      </c>
      <c r="O183" s="167">
        <v>0</v>
      </c>
      <c r="P183" s="167">
        <v>0</v>
      </c>
      <c r="Q183" s="167">
        <v>0</v>
      </c>
      <c r="R183" s="167">
        <v>0</v>
      </c>
      <c r="S183" s="167">
        <v>0</v>
      </c>
      <c r="T183" s="167">
        <v>0</v>
      </c>
      <c r="U183" s="168" t="e">
        <v>#DIV/0!</v>
      </c>
      <c r="V183" s="167">
        <v>0</v>
      </c>
      <c r="W183" s="167">
        <v>0</v>
      </c>
      <c r="X183" s="167">
        <v>0</v>
      </c>
      <c r="Y183" s="167">
        <v>0</v>
      </c>
      <c r="Z183" s="167">
        <v>0</v>
      </c>
      <c r="AA183" s="167">
        <v>0</v>
      </c>
    </row>
    <row r="184" spans="1:27" ht="12" customHeight="1" x14ac:dyDescent="0.25">
      <c r="A184" s="155"/>
      <c r="B184" s="162" t="s">
        <v>572</v>
      </c>
      <c r="C184" s="163">
        <v>0</v>
      </c>
      <c r="D184" s="163">
        <v>0</v>
      </c>
      <c r="E184" s="163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3">
        <v>0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3">
        <v>0</v>
      </c>
      <c r="R184" s="163">
        <v>0</v>
      </c>
      <c r="S184" s="163">
        <v>0</v>
      </c>
      <c r="T184" s="164">
        <v>0</v>
      </c>
      <c r="U184" s="165" t="e">
        <v>#DIV/0!</v>
      </c>
      <c r="V184" s="164">
        <v>0</v>
      </c>
      <c r="W184" s="164">
        <v>0</v>
      </c>
      <c r="X184" s="164">
        <v>0</v>
      </c>
      <c r="Y184" s="164">
        <v>0</v>
      </c>
      <c r="Z184" s="164">
        <v>0</v>
      </c>
      <c r="AA184" s="164">
        <v>0</v>
      </c>
    </row>
    <row r="185" spans="1:27" ht="12" customHeight="1" x14ac:dyDescent="0.25">
      <c r="A185" s="155" t="s">
        <v>1267</v>
      </c>
      <c r="B185" s="155" t="s">
        <v>573</v>
      </c>
      <c r="C185" s="167">
        <v>0</v>
      </c>
      <c r="D185" s="167">
        <v>0</v>
      </c>
      <c r="E185" s="167">
        <v>0</v>
      </c>
      <c r="F185" s="167">
        <v>0</v>
      </c>
      <c r="G185" s="167">
        <v>0</v>
      </c>
      <c r="H185" s="167">
        <v>0</v>
      </c>
      <c r="I185" s="167">
        <v>0</v>
      </c>
      <c r="J185" s="167">
        <v>0</v>
      </c>
      <c r="K185" s="167">
        <v>0</v>
      </c>
      <c r="L185" s="167">
        <v>0</v>
      </c>
      <c r="M185" s="167">
        <v>0</v>
      </c>
      <c r="N185" s="167">
        <v>0</v>
      </c>
      <c r="O185" s="167">
        <v>0</v>
      </c>
      <c r="P185" s="167">
        <v>0</v>
      </c>
      <c r="Q185" s="167">
        <v>0</v>
      </c>
      <c r="R185" s="167">
        <v>0</v>
      </c>
      <c r="S185" s="167">
        <v>0</v>
      </c>
      <c r="T185" s="167">
        <v>0</v>
      </c>
      <c r="U185" s="168" t="e">
        <v>#DIV/0!</v>
      </c>
      <c r="V185" s="167">
        <v>0</v>
      </c>
      <c r="W185" s="167">
        <v>0</v>
      </c>
      <c r="X185" s="167">
        <v>0</v>
      </c>
      <c r="Y185" s="167">
        <v>0</v>
      </c>
      <c r="Z185" s="167">
        <v>0</v>
      </c>
      <c r="AA185" s="167">
        <v>0</v>
      </c>
    </row>
    <row r="186" spans="1:27" ht="12" customHeight="1" x14ac:dyDescent="0.25">
      <c r="A186" s="155" t="s">
        <v>1268</v>
      </c>
      <c r="B186" s="155" t="s">
        <v>574</v>
      </c>
      <c r="C186" s="167">
        <v>0</v>
      </c>
      <c r="D186" s="167">
        <v>0</v>
      </c>
      <c r="E186" s="167">
        <v>0</v>
      </c>
      <c r="F186" s="167">
        <v>0</v>
      </c>
      <c r="G186" s="167">
        <v>0</v>
      </c>
      <c r="H186" s="167">
        <v>0</v>
      </c>
      <c r="I186" s="167">
        <v>0</v>
      </c>
      <c r="J186" s="167">
        <v>0</v>
      </c>
      <c r="K186" s="167">
        <v>0</v>
      </c>
      <c r="L186" s="167">
        <v>0</v>
      </c>
      <c r="M186" s="167">
        <v>0</v>
      </c>
      <c r="N186" s="167">
        <v>0</v>
      </c>
      <c r="O186" s="167">
        <v>0</v>
      </c>
      <c r="P186" s="167">
        <v>0</v>
      </c>
      <c r="Q186" s="167">
        <v>0</v>
      </c>
      <c r="R186" s="167">
        <v>0</v>
      </c>
      <c r="S186" s="167">
        <v>0</v>
      </c>
      <c r="T186" s="167">
        <v>0</v>
      </c>
      <c r="U186" s="168" t="e">
        <v>#DIV/0!</v>
      </c>
      <c r="V186" s="167">
        <v>0</v>
      </c>
      <c r="W186" s="167">
        <v>0</v>
      </c>
      <c r="X186" s="167">
        <v>0</v>
      </c>
      <c r="Y186" s="167">
        <v>0</v>
      </c>
      <c r="Z186" s="167">
        <v>0</v>
      </c>
      <c r="AA186" s="167">
        <v>0</v>
      </c>
    </row>
    <row r="187" spans="1:27" ht="12" customHeight="1" x14ac:dyDescent="0.25">
      <c r="A187" s="155" t="s">
        <v>1269</v>
      </c>
      <c r="B187" s="155" t="s">
        <v>575</v>
      </c>
      <c r="C187" s="167">
        <v>0</v>
      </c>
      <c r="D187" s="167">
        <v>0</v>
      </c>
      <c r="E187" s="167">
        <v>0</v>
      </c>
      <c r="F187" s="167">
        <v>0</v>
      </c>
      <c r="G187" s="167">
        <v>0</v>
      </c>
      <c r="H187" s="167">
        <v>0</v>
      </c>
      <c r="I187" s="167">
        <v>0</v>
      </c>
      <c r="J187" s="167">
        <v>0</v>
      </c>
      <c r="K187" s="167">
        <v>0</v>
      </c>
      <c r="L187" s="167">
        <v>0</v>
      </c>
      <c r="M187" s="167">
        <v>0</v>
      </c>
      <c r="N187" s="167">
        <v>0</v>
      </c>
      <c r="O187" s="167">
        <v>0</v>
      </c>
      <c r="P187" s="167">
        <v>0</v>
      </c>
      <c r="Q187" s="167">
        <v>0</v>
      </c>
      <c r="R187" s="167">
        <v>0</v>
      </c>
      <c r="S187" s="167">
        <v>0</v>
      </c>
      <c r="T187" s="167">
        <v>0</v>
      </c>
      <c r="U187" s="168" t="e">
        <v>#DIV/0!</v>
      </c>
      <c r="V187" s="167">
        <v>0</v>
      </c>
      <c r="W187" s="167">
        <v>0</v>
      </c>
      <c r="X187" s="167">
        <v>0</v>
      </c>
      <c r="Y187" s="167">
        <v>0</v>
      </c>
      <c r="Z187" s="167">
        <v>0</v>
      </c>
      <c r="AA187" s="167">
        <v>0</v>
      </c>
    </row>
    <row r="188" spans="1:27" ht="12" customHeight="1" x14ac:dyDescent="0.25">
      <c r="A188" s="155" t="s">
        <v>1270</v>
      </c>
      <c r="B188" s="155" t="s">
        <v>576</v>
      </c>
      <c r="C188" s="167">
        <v>0</v>
      </c>
      <c r="D188" s="167">
        <v>0</v>
      </c>
      <c r="E188" s="167">
        <v>0</v>
      </c>
      <c r="F188" s="167">
        <v>0</v>
      </c>
      <c r="G188" s="167">
        <v>0</v>
      </c>
      <c r="H188" s="167">
        <v>0</v>
      </c>
      <c r="I188" s="167">
        <v>0</v>
      </c>
      <c r="J188" s="167">
        <v>0</v>
      </c>
      <c r="K188" s="167">
        <v>0</v>
      </c>
      <c r="L188" s="167">
        <v>0</v>
      </c>
      <c r="M188" s="167">
        <v>0</v>
      </c>
      <c r="N188" s="167">
        <v>0</v>
      </c>
      <c r="O188" s="167">
        <v>0</v>
      </c>
      <c r="P188" s="167">
        <v>0</v>
      </c>
      <c r="Q188" s="167">
        <v>0</v>
      </c>
      <c r="R188" s="167">
        <v>0</v>
      </c>
      <c r="S188" s="167">
        <v>0</v>
      </c>
      <c r="T188" s="167">
        <v>0</v>
      </c>
      <c r="U188" s="168" t="e">
        <v>#DIV/0!</v>
      </c>
      <c r="V188" s="167">
        <v>0</v>
      </c>
      <c r="W188" s="167">
        <v>0</v>
      </c>
      <c r="X188" s="167">
        <v>0</v>
      </c>
      <c r="Y188" s="167">
        <v>0</v>
      </c>
      <c r="Z188" s="167">
        <v>0</v>
      </c>
      <c r="AA188" s="167">
        <v>0</v>
      </c>
    </row>
    <row r="189" spans="1:27" ht="12" customHeight="1" x14ac:dyDescent="0.25">
      <c r="A189" s="155" t="s">
        <v>1271</v>
      </c>
      <c r="B189" s="155" t="s">
        <v>577</v>
      </c>
      <c r="C189" s="167">
        <v>0</v>
      </c>
      <c r="D189" s="167">
        <v>0</v>
      </c>
      <c r="E189" s="167">
        <v>0</v>
      </c>
      <c r="F189" s="167">
        <v>0</v>
      </c>
      <c r="G189" s="167">
        <v>0</v>
      </c>
      <c r="H189" s="167">
        <v>0</v>
      </c>
      <c r="I189" s="167">
        <v>0</v>
      </c>
      <c r="J189" s="167">
        <v>0</v>
      </c>
      <c r="K189" s="167">
        <v>0</v>
      </c>
      <c r="L189" s="167">
        <v>0</v>
      </c>
      <c r="M189" s="167">
        <v>0</v>
      </c>
      <c r="N189" s="167">
        <v>0</v>
      </c>
      <c r="O189" s="167">
        <v>0</v>
      </c>
      <c r="P189" s="167">
        <v>0</v>
      </c>
      <c r="Q189" s="167">
        <v>0</v>
      </c>
      <c r="R189" s="167">
        <v>0</v>
      </c>
      <c r="S189" s="167">
        <v>0</v>
      </c>
      <c r="T189" s="167">
        <v>0</v>
      </c>
      <c r="U189" s="168" t="e">
        <v>#DIV/0!</v>
      </c>
      <c r="V189" s="167">
        <v>0</v>
      </c>
      <c r="W189" s="167">
        <v>0</v>
      </c>
      <c r="X189" s="167">
        <v>0</v>
      </c>
      <c r="Y189" s="167">
        <v>0</v>
      </c>
      <c r="Z189" s="167">
        <v>0</v>
      </c>
      <c r="AA189" s="167">
        <v>0</v>
      </c>
    </row>
    <row r="190" spans="1:27" ht="12" customHeight="1" x14ac:dyDescent="0.25">
      <c r="A190" s="155" t="s">
        <v>1272</v>
      </c>
      <c r="B190" s="155" t="s">
        <v>578</v>
      </c>
      <c r="C190" s="167">
        <v>0</v>
      </c>
      <c r="D190" s="167">
        <v>0</v>
      </c>
      <c r="E190" s="167">
        <v>0</v>
      </c>
      <c r="F190" s="167">
        <v>0</v>
      </c>
      <c r="G190" s="167">
        <v>0</v>
      </c>
      <c r="H190" s="167">
        <v>0</v>
      </c>
      <c r="I190" s="167">
        <v>0</v>
      </c>
      <c r="J190" s="167">
        <v>0</v>
      </c>
      <c r="K190" s="167">
        <v>0</v>
      </c>
      <c r="L190" s="167">
        <v>0</v>
      </c>
      <c r="M190" s="167">
        <v>0</v>
      </c>
      <c r="N190" s="167">
        <v>0</v>
      </c>
      <c r="O190" s="167">
        <v>0</v>
      </c>
      <c r="P190" s="167">
        <v>0</v>
      </c>
      <c r="Q190" s="167">
        <v>0</v>
      </c>
      <c r="R190" s="167">
        <v>0</v>
      </c>
      <c r="S190" s="167">
        <v>0</v>
      </c>
      <c r="T190" s="167">
        <v>0</v>
      </c>
      <c r="U190" s="168" t="e">
        <v>#DIV/0!</v>
      </c>
      <c r="V190" s="167">
        <v>0</v>
      </c>
      <c r="W190" s="167">
        <v>0</v>
      </c>
      <c r="X190" s="167">
        <v>0</v>
      </c>
      <c r="Y190" s="167">
        <v>0</v>
      </c>
      <c r="Z190" s="167">
        <v>0</v>
      </c>
      <c r="AA190" s="167">
        <v>0</v>
      </c>
    </row>
    <row r="191" spans="1:27" ht="12" customHeight="1" x14ac:dyDescent="0.25">
      <c r="A191" s="155" t="s">
        <v>1273</v>
      </c>
      <c r="B191" s="155" t="s">
        <v>579</v>
      </c>
      <c r="C191" s="167">
        <v>0</v>
      </c>
      <c r="D191" s="167">
        <v>0</v>
      </c>
      <c r="E191" s="167">
        <v>0</v>
      </c>
      <c r="F191" s="167">
        <v>0</v>
      </c>
      <c r="G191" s="167">
        <v>0</v>
      </c>
      <c r="H191" s="167">
        <v>0</v>
      </c>
      <c r="I191" s="167">
        <v>0</v>
      </c>
      <c r="J191" s="167">
        <v>0</v>
      </c>
      <c r="K191" s="167">
        <v>0</v>
      </c>
      <c r="L191" s="167">
        <v>0</v>
      </c>
      <c r="M191" s="167">
        <v>0</v>
      </c>
      <c r="N191" s="167">
        <v>0</v>
      </c>
      <c r="O191" s="167">
        <v>0</v>
      </c>
      <c r="P191" s="167">
        <v>0</v>
      </c>
      <c r="Q191" s="167">
        <v>0</v>
      </c>
      <c r="R191" s="167">
        <v>0</v>
      </c>
      <c r="S191" s="167">
        <v>0</v>
      </c>
      <c r="T191" s="167">
        <v>0</v>
      </c>
      <c r="U191" s="168" t="e">
        <v>#DIV/0!</v>
      </c>
      <c r="V191" s="167">
        <v>0</v>
      </c>
      <c r="W191" s="167">
        <v>0</v>
      </c>
      <c r="X191" s="167">
        <v>0</v>
      </c>
      <c r="Y191" s="167">
        <v>0</v>
      </c>
      <c r="Z191" s="167">
        <v>0</v>
      </c>
      <c r="AA191" s="167">
        <v>0</v>
      </c>
    </row>
    <row r="192" spans="1:27" ht="12" customHeight="1" x14ac:dyDescent="0.25">
      <c r="A192" s="155" t="s">
        <v>1274</v>
      </c>
      <c r="B192" s="155" t="s">
        <v>580</v>
      </c>
      <c r="C192" s="167">
        <v>0</v>
      </c>
      <c r="D192" s="167">
        <v>0</v>
      </c>
      <c r="E192" s="167">
        <v>0</v>
      </c>
      <c r="F192" s="167">
        <v>0</v>
      </c>
      <c r="G192" s="167">
        <v>0</v>
      </c>
      <c r="H192" s="167">
        <v>0</v>
      </c>
      <c r="I192" s="167">
        <v>0</v>
      </c>
      <c r="J192" s="167">
        <v>0</v>
      </c>
      <c r="K192" s="167">
        <v>0</v>
      </c>
      <c r="L192" s="167">
        <v>0</v>
      </c>
      <c r="M192" s="167">
        <v>0</v>
      </c>
      <c r="N192" s="167">
        <v>0</v>
      </c>
      <c r="O192" s="167">
        <v>0</v>
      </c>
      <c r="P192" s="167">
        <v>0</v>
      </c>
      <c r="Q192" s="167">
        <v>0</v>
      </c>
      <c r="R192" s="167">
        <v>0</v>
      </c>
      <c r="S192" s="167">
        <v>0</v>
      </c>
      <c r="T192" s="167">
        <v>0</v>
      </c>
      <c r="U192" s="168" t="e">
        <v>#DIV/0!</v>
      </c>
      <c r="V192" s="167">
        <v>0</v>
      </c>
      <c r="W192" s="167">
        <v>0</v>
      </c>
      <c r="X192" s="167">
        <v>0</v>
      </c>
      <c r="Y192" s="167">
        <v>0</v>
      </c>
      <c r="Z192" s="167">
        <v>0</v>
      </c>
      <c r="AA192" s="167">
        <v>0</v>
      </c>
    </row>
    <row r="193" spans="1:27" ht="12" customHeight="1" x14ac:dyDescent="0.25">
      <c r="A193" s="155" t="s">
        <v>1275</v>
      </c>
      <c r="B193" s="155" t="s">
        <v>581</v>
      </c>
      <c r="C193" s="167">
        <v>0</v>
      </c>
      <c r="D193" s="167">
        <v>0</v>
      </c>
      <c r="E193" s="167">
        <v>0</v>
      </c>
      <c r="F193" s="167">
        <v>0</v>
      </c>
      <c r="G193" s="167">
        <v>0</v>
      </c>
      <c r="H193" s="167">
        <v>0</v>
      </c>
      <c r="I193" s="167">
        <v>0</v>
      </c>
      <c r="J193" s="167">
        <v>0</v>
      </c>
      <c r="K193" s="167">
        <v>0</v>
      </c>
      <c r="L193" s="167">
        <v>0</v>
      </c>
      <c r="M193" s="167">
        <v>0</v>
      </c>
      <c r="N193" s="167">
        <v>0</v>
      </c>
      <c r="O193" s="167">
        <v>0</v>
      </c>
      <c r="P193" s="167">
        <v>0</v>
      </c>
      <c r="Q193" s="167">
        <v>0</v>
      </c>
      <c r="R193" s="167">
        <v>0</v>
      </c>
      <c r="S193" s="167">
        <v>0</v>
      </c>
      <c r="T193" s="167">
        <v>0</v>
      </c>
      <c r="U193" s="168" t="e">
        <v>#DIV/0!</v>
      </c>
      <c r="V193" s="167">
        <v>0</v>
      </c>
      <c r="W193" s="167">
        <v>0</v>
      </c>
      <c r="X193" s="167">
        <v>0</v>
      </c>
      <c r="Y193" s="167">
        <v>0</v>
      </c>
      <c r="Z193" s="167">
        <v>0</v>
      </c>
      <c r="AA193" s="167">
        <v>0</v>
      </c>
    </row>
    <row r="194" spans="1:27" ht="12" customHeight="1" x14ac:dyDescent="0.25">
      <c r="A194" s="155" t="s">
        <v>1276</v>
      </c>
      <c r="B194" s="155" t="s">
        <v>582</v>
      </c>
      <c r="C194" s="167">
        <v>0</v>
      </c>
      <c r="D194" s="167">
        <v>0</v>
      </c>
      <c r="E194" s="167">
        <v>0</v>
      </c>
      <c r="F194" s="167">
        <v>0</v>
      </c>
      <c r="G194" s="167">
        <v>0</v>
      </c>
      <c r="H194" s="167">
        <v>0</v>
      </c>
      <c r="I194" s="167">
        <v>0</v>
      </c>
      <c r="J194" s="167">
        <v>0</v>
      </c>
      <c r="K194" s="167">
        <v>0</v>
      </c>
      <c r="L194" s="167">
        <v>0</v>
      </c>
      <c r="M194" s="167">
        <v>0</v>
      </c>
      <c r="N194" s="167">
        <v>0</v>
      </c>
      <c r="O194" s="167">
        <v>0</v>
      </c>
      <c r="P194" s="167">
        <v>0</v>
      </c>
      <c r="Q194" s="167">
        <v>0</v>
      </c>
      <c r="R194" s="167">
        <v>0</v>
      </c>
      <c r="S194" s="167">
        <v>0</v>
      </c>
      <c r="T194" s="167">
        <v>0</v>
      </c>
      <c r="U194" s="168" t="e">
        <v>#DIV/0!</v>
      </c>
      <c r="V194" s="167">
        <v>0</v>
      </c>
      <c r="W194" s="167">
        <v>0</v>
      </c>
      <c r="X194" s="167">
        <v>0</v>
      </c>
      <c r="Y194" s="167">
        <v>0</v>
      </c>
      <c r="Z194" s="167">
        <v>0</v>
      </c>
      <c r="AA194" s="167">
        <v>0</v>
      </c>
    </row>
    <row r="195" spans="1:27" ht="12" customHeight="1" x14ac:dyDescent="0.25">
      <c r="A195" s="155" t="s">
        <v>1277</v>
      </c>
      <c r="B195" s="155" t="s">
        <v>583</v>
      </c>
      <c r="C195" s="167">
        <v>0</v>
      </c>
      <c r="D195" s="167">
        <v>0</v>
      </c>
      <c r="E195" s="167">
        <v>0</v>
      </c>
      <c r="F195" s="167">
        <v>0</v>
      </c>
      <c r="G195" s="167">
        <v>0</v>
      </c>
      <c r="H195" s="167">
        <v>0</v>
      </c>
      <c r="I195" s="167">
        <v>0</v>
      </c>
      <c r="J195" s="167">
        <v>0</v>
      </c>
      <c r="K195" s="167">
        <v>0</v>
      </c>
      <c r="L195" s="167">
        <v>0</v>
      </c>
      <c r="M195" s="167">
        <v>0</v>
      </c>
      <c r="N195" s="167">
        <v>0</v>
      </c>
      <c r="O195" s="167">
        <v>0</v>
      </c>
      <c r="P195" s="167">
        <v>0</v>
      </c>
      <c r="Q195" s="167">
        <v>0</v>
      </c>
      <c r="R195" s="167">
        <v>0</v>
      </c>
      <c r="S195" s="167">
        <v>0</v>
      </c>
      <c r="T195" s="167">
        <v>0</v>
      </c>
      <c r="U195" s="168" t="e">
        <v>#DIV/0!</v>
      </c>
      <c r="V195" s="167">
        <v>0</v>
      </c>
      <c r="W195" s="167">
        <v>0</v>
      </c>
      <c r="X195" s="167">
        <v>0</v>
      </c>
      <c r="Y195" s="167">
        <v>0</v>
      </c>
      <c r="Z195" s="167">
        <v>0</v>
      </c>
      <c r="AA195" s="167">
        <v>0</v>
      </c>
    </row>
    <row r="196" spans="1:27" ht="12" customHeight="1" x14ac:dyDescent="0.25">
      <c r="A196" s="155" t="s">
        <v>1278</v>
      </c>
      <c r="B196" s="155" t="s">
        <v>584</v>
      </c>
      <c r="C196" s="167">
        <v>0</v>
      </c>
      <c r="D196" s="167">
        <v>0</v>
      </c>
      <c r="E196" s="167">
        <v>0</v>
      </c>
      <c r="F196" s="167">
        <v>0</v>
      </c>
      <c r="G196" s="167">
        <v>0</v>
      </c>
      <c r="H196" s="167">
        <v>0</v>
      </c>
      <c r="I196" s="167">
        <v>0</v>
      </c>
      <c r="J196" s="167">
        <v>0</v>
      </c>
      <c r="K196" s="167">
        <v>0</v>
      </c>
      <c r="L196" s="167">
        <v>0</v>
      </c>
      <c r="M196" s="167">
        <v>0</v>
      </c>
      <c r="N196" s="167">
        <v>0</v>
      </c>
      <c r="O196" s="167">
        <v>0</v>
      </c>
      <c r="P196" s="167">
        <v>0</v>
      </c>
      <c r="Q196" s="167">
        <v>0</v>
      </c>
      <c r="R196" s="167">
        <v>0</v>
      </c>
      <c r="S196" s="167">
        <v>0</v>
      </c>
      <c r="T196" s="167">
        <v>0</v>
      </c>
      <c r="U196" s="168" t="e">
        <v>#DIV/0!</v>
      </c>
      <c r="V196" s="167">
        <v>0</v>
      </c>
      <c r="W196" s="167">
        <v>0</v>
      </c>
      <c r="X196" s="167">
        <v>0</v>
      </c>
      <c r="Y196" s="167">
        <v>0</v>
      </c>
      <c r="Z196" s="167">
        <v>0</v>
      </c>
      <c r="AA196" s="167">
        <v>0</v>
      </c>
    </row>
    <row r="197" spans="1:27" ht="12" customHeight="1" x14ac:dyDescent="0.25">
      <c r="A197" s="155" t="s">
        <v>1279</v>
      </c>
      <c r="B197" s="155" t="s">
        <v>585</v>
      </c>
      <c r="C197" s="167">
        <v>0</v>
      </c>
      <c r="D197" s="167">
        <v>0</v>
      </c>
      <c r="E197" s="167">
        <v>0</v>
      </c>
      <c r="F197" s="167">
        <v>0</v>
      </c>
      <c r="G197" s="167">
        <v>0</v>
      </c>
      <c r="H197" s="167">
        <v>0</v>
      </c>
      <c r="I197" s="167">
        <v>0</v>
      </c>
      <c r="J197" s="167">
        <v>0</v>
      </c>
      <c r="K197" s="167">
        <v>0</v>
      </c>
      <c r="L197" s="167">
        <v>0</v>
      </c>
      <c r="M197" s="167">
        <v>0</v>
      </c>
      <c r="N197" s="167">
        <v>0</v>
      </c>
      <c r="O197" s="167">
        <v>0</v>
      </c>
      <c r="P197" s="167">
        <v>0</v>
      </c>
      <c r="Q197" s="167">
        <v>0</v>
      </c>
      <c r="R197" s="167">
        <v>0</v>
      </c>
      <c r="S197" s="167">
        <v>0</v>
      </c>
      <c r="T197" s="167">
        <v>0</v>
      </c>
      <c r="U197" s="168" t="e">
        <v>#DIV/0!</v>
      </c>
      <c r="V197" s="167">
        <v>0</v>
      </c>
      <c r="W197" s="167">
        <v>0</v>
      </c>
      <c r="X197" s="167">
        <v>0</v>
      </c>
      <c r="Y197" s="167">
        <v>0</v>
      </c>
      <c r="Z197" s="167">
        <v>0</v>
      </c>
      <c r="AA197" s="167">
        <v>0</v>
      </c>
    </row>
    <row r="198" spans="1:27" ht="12" customHeight="1" x14ac:dyDescent="0.25">
      <c r="A198" s="155" t="s">
        <v>1280</v>
      </c>
      <c r="B198" s="155" t="s">
        <v>586</v>
      </c>
      <c r="C198" s="167">
        <v>0</v>
      </c>
      <c r="D198" s="167">
        <v>0</v>
      </c>
      <c r="E198" s="167">
        <v>0</v>
      </c>
      <c r="F198" s="167">
        <v>0</v>
      </c>
      <c r="G198" s="167">
        <v>0</v>
      </c>
      <c r="H198" s="167">
        <v>0</v>
      </c>
      <c r="I198" s="167">
        <v>0</v>
      </c>
      <c r="J198" s="167">
        <v>0</v>
      </c>
      <c r="K198" s="167">
        <v>0</v>
      </c>
      <c r="L198" s="167">
        <v>0</v>
      </c>
      <c r="M198" s="167">
        <v>0</v>
      </c>
      <c r="N198" s="167">
        <v>0</v>
      </c>
      <c r="O198" s="167">
        <v>0</v>
      </c>
      <c r="P198" s="167">
        <v>0</v>
      </c>
      <c r="Q198" s="167">
        <v>0</v>
      </c>
      <c r="R198" s="167">
        <v>0</v>
      </c>
      <c r="S198" s="167">
        <v>0</v>
      </c>
      <c r="T198" s="167">
        <v>0</v>
      </c>
      <c r="U198" s="168" t="e">
        <v>#DIV/0!</v>
      </c>
      <c r="V198" s="167">
        <v>0</v>
      </c>
      <c r="W198" s="167">
        <v>0</v>
      </c>
      <c r="X198" s="167">
        <v>0</v>
      </c>
      <c r="Y198" s="167">
        <v>0</v>
      </c>
      <c r="Z198" s="167">
        <v>0</v>
      </c>
      <c r="AA198" s="167">
        <v>0</v>
      </c>
    </row>
    <row r="199" spans="1:27" ht="12" customHeight="1" x14ac:dyDescent="0.25">
      <c r="A199" s="155" t="s">
        <v>1281</v>
      </c>
      <c r="B199" s="155" t="s">
        <v>587</v>
      </c>
      <c r="C199" s="167">
        <v>0</v>
      </c>
      <c r="D199" s="167">
        <v>0</v>
      </c>
      <c r="E199" s="167">
        <v>0</v>
      </c>
      <c r="F199" s="167">
        <v>0</v>
      </c>
      <c r="G199" s="167">
        <v>0</v>
      </c>
      <c r="H199" s="167">
        <v>0</v>
      </c>
      <c r="I199" s="167">
        <v>0</v>
      </c>
      <c r="J199" s="167">
        <v>0</v>
      </c>
      <c r="K199" s="167">
        <v>0</v>
      </c>
      <c r="L199" s="167">
        <v>0</v>
      </c>
      <c r="M199" s="167">
        <v>0</v>
      </c>
      <c r="N199" s="167">
        <v>0</v>
      </c>
      <c r="O199" s="167">
        <v>0</v>
      </c>
      <c r="P199" s="167">
        <v>0</v>
      </c>
      <c r="Q199" s="167">
        <v>0</v>
      </c>
      <c r="R199" s="167">
        <v>0</v>
      </c>
      <c r="S199" s="167">
        <v>0</v>
      </c>
      <c r="T199" s="167">
        <v>0</v>
      </c>
      <c r="U199" s="168" t="e">
        <v>#DIV/0!</v>
      </c>
      <c r="V199" s="167">
        <v>0</v>
      </c>
      <c r="W199" s="167">
        <v>0</v>
      </c>
      <c r="X199" s="167">
        <v>0</v>
      </c>
      <c r="Y199" s="167">
        <v>0</v>
      </c>
      <c r="Z199" s="167">
        <v>0</v>
      </c>
      <c r="AA199" s="167">
        <v>0</v>
      </c>
    </row>
    <row r="200" spans="1:27" ht="12" customHeight="1" x14ac:dyDescent="0.25">
      <c r="A200" s="155" t="s">
        <v>1282</v>
      </c>
      <c r="B200" s="155" t="s">
        <v>588</v>
      </c>
      <c r="C200" s="167">
        <v>0</v>
      </c>
      <c r="D200" s="167">
        <v>0</v>
      </c>
      <c r="E200" s="167">
        <v>0</v>
      </c>
      <c r="F200" s="167">
        <v>0</v>
      </c>
      <c r="G200" s="167">
        <v>0</v>
      </c>
      <c r="H200" s="167">
        <v>0</v>
      </c>
      <c r="I200" s="167">
        <v>0</v>
      </c>
      <c r="J200" s="167">
        <v>0</v>
      </c>
      <c r="K200" s="167">
        <v>0</v>
      </c>
      <c r="L200" s="167">
        <v>0</v>
      </c>
      <c r="M200" s="167">
        <v>0</v>
      </c>
      <c r="N200" s="167">
        <v>0</v>
      </c>
      <c r="O200" s="167">
        <v>0</v>
      </c>
      <c r="P200" s="167">
        <v>0</v>
      </c>
      <c r="Q200" s="167">
        <v>0</v>
      </c>
      <c r="R200" s="167">
        <v>0</v>
      </c>
      <c r="S200" s="167">
        <v>0</v>
      </c>
      <c r="T200" s="167">
        <v>0</v>
      </c>
      <c r="U200" s="168" t="e">
        <v>#DIV/0!</v>
      </c>
      <c r="V200" s="167">
        <v>0</v>
      </c>
      <c r="W200" s="167">
        <v>0</v>
      </c>
      <c r="X200" s="167">
        <v>0</v>
      </c>
      <c r="Y200" s="167">
        <v>0</v>
      </c>
      <c r="Z200" s="167">
        <v>0</v>
      </c>
      <c r="AA200" s="167">
        <v>0</v>
      </c>
    </row>
    <row r="201" spans="1:27" ht="12" customHeight="1" x14ac:dyDescent="0.25">
      <c r="A201" s="155" t="s">
        <v>1283</v>
      </c>
      <c r="B201" s="155" t="s">
        <v>589</v>
      </c>
      <c r="C201" s="167">
        <v>0</v>
      </c>
      <c r="D201" s="167">
        <v>0</v>
      </c>
      <c r="E201" s="167">
        <v>0</v>
      </c>
      <c r="F201" s="167">
        <v>0</v>
      </c>
      <c r="G201" s="167">
        <v>0</v>
      </c>
      <c r="H201" s="167">
        <v>0</v>
      </c>
      <c r="I201" s="167">
        <v>0</v>
      </c>
      <c r="J201" s="167">
        <v>0</v>
      </c>
      <c r="K201" s="167">
        <v>0</v>
      </c>
      <c r="L201" s="167">
        <v>0</v>
      </c>
      <c r="M201" s="167">
        <v>0</v>
      </c>
      <c r="N201" s="167">
        <v>0</v>
      </c>
      <c r="O201" s="167">
        <v>0</v>
      </c>
      <c r="P201" s="167">
        <v>0</v>
      </c>
      <c r="Q201" s="167">
        <v>0</v>
      </c>
      <c r="R201" s="167">
        <v>0</v>
      </c>
      <c r="S201" s="167">
        <v>0</v>
      </c>
      <c r="T201" s="167">
        <v>0</v>
      </c>
      <c r="U201" s="168" t="e">
        <v>#DIV/0!</v>
      </c>
      <c r="V201" s="167">
        <v>0</v>
      </c>
      <c r="W201" s="167">
        <v>0</v>
      </c>
      <c r="X201" s="167">
        <v>0</v>
      </c>
      <c r="Y201" s="167">
        <v>0</v>
      </c>
      <c r="Z201" s="167">
        <v>0</v>
      </c>
      <c r="AA201" s="167">
        <v>0</v>
      </c>
    </row>
    <row r="202" spans="1:27" ht="12" customHeight="1" x14ac:dyDescent="0.25">
      <c r="A202" s="155" t="s">
        <v>1284</v>
      </c>
      <c r="B202" s="155" t="s">
        <v>590</v>
      </c>
      <c r="C202" s="167">
        <v>0</v>
      </c>
      <c r="D202" s="167">
        <v>0</v>
      </c>
      <c r="E202" s="167">
        <v>0</v>
      </c>
      <c r="F202" s="167">
        <v>0</v>
      </c>
      <c r="G202" s="167">
        <v>0</v>
      </c>
      <c r="H202" s="167">
        <v>0</v>
      </c>
      <c r="I202" s="167">
        <v>0</v>
      </c>
      <c r="J202" s="167">
        <v>0</v>
      </c>
      <c r="K202" s="167">
        <v>0</v>
      </c>
      <c r="L202" s="167">
        <v>0</v>
      </c>
      <c r="M202" s="167">
        <v>0</v>
      </c>
      <c r="N202" s="167">
        <v>0</v>
      </c>
      <c r="O202" s="167">
        <v>0</v>
      </c>
      <c r="P202" s="167">
        <v>0</v>
      </c>
      <c r="Q202" s="167">
        <v>0</v>
      </c>
      <c r="R202" s="167">
        <v>0</v>
      </c>
      <c r="S202" s="167">
        <v>0</v>
      </c>
      <c r="T202" s="167">
        <v>0</v>
      </c>
      <c r="U202" s="168" t="e">
        <v>#DIV/0!</v>
      </c>
      <c r="V202" s="167">
        <v>0</v>
      </c>
      <c r="W202" s="167">
        <v>0</v>
      </c>
      <c r="X202" s="167">
        <v>0</v>
      </c>
      <c r="Y202" s="167">
        <v>0</v>
      </c>
      <c r="Z202" s="167">
        <v>0</v>
      </c>
      <c r="AA202" s="167">
        <v>0</v>
      </c>
    </row>
    <row r="203" spans="1:27" ht="12" customHeight="1" x14ac:dyDescent="0.25">
      <c r="A203" s="155" t="s">
        <v>1285</v>
      </c>
      <c r="B203" s="155" t="s">
        <v>591</v>
      </c>
      <c r="C203" s="167">
        <v>0</v>
      </c>
      <c r="D203" s="167">
        <v>0</v>
      </c>
      <c r="E203" s="167">
        <v>0</v>
      </c>
      <c r="F203" s="167">
        <v>0</v>
      </c>
      <c r="G203" s="167">
        <v>0</v>
      </c>
      <c r="H203" s="167">
        <v>0</v>
      </c>
      <c r="I203" s="167">
        <v>0</v>
      </c>
      <c r="J203" s="167">
        <v>0</v>
      </c>
      <c r="K203" s="167">
        <v>0</v>
      </c>
      <c r="L203" s="167">
        <v>0</v>
      </c>
      <c r="M203" s="167">
        <v>0</v>
      </c>
      <c r="N203" s="167">
        <v>0</v>
      </c>
      <c r="O203" s="167">
        <v>0</v>
      </c>
      <c r="P203" s="167">
        <v>0</v>
      </c>
      <c r="Q203" s="167">
        <v>0</v>
      </c>
      <c r="R203" s="167">
        <v>0</v>
      </c>
      <c r="S203" s="167">
        <v>0</v>
      </c>
      <c r="T203" s="167">
        <v>0</v>
      </c>
      <c r="U203" s="168" t="e">
        <v>#DIV/0!</v>
      </c>
      <c r="V203" s="167">
        <v>0</v>
      </c>
      <c r="W203" s="167">
        <v>0</v>
      </c>
      <c r="X203" s="167">
        <v>0</v>
      </c>
      <c r="Y203" s="167">
        <v>0</v>
      </c>
      <c r="Z203" s="167">
        <v>0</v>
      </c>
      <c r="AA203" s="167">
        <v>0</v>
      </c>
    </row>
    <row r="204" spans="1:27" ht="12" customHeight="1" x14ac:dyDescent="0.25">
      <c r="A204" s="155" t="s">
        <v>1286</v>
      </c>
      <c r="B204" s="155" t="s">
        <v>592</v>
      </c>
      <c r="C204" s="167">
        <v>0</v>
      </c>
      <c r="D204" s="167">
        <v>0</v>
      </c>
      <c r="E204" s="167">
        <v>0</v>
      </c>
      <c r="F204" s="167">
        <v>0</v>
      </c>
      <c r="G204" s="167">
        <v>0</v>
      </c>
      <c r="H204" s="167">
        <v>0</v>
      </c>
      <c r="I204" s="167">
        <v>0</v>
      </c>
      <c r="J204" s="167">
        <v>0</v>
      </c>
      <c r="K204" s="167">
        <v>0</v>
      </c>
      <c r="L204" s="167">
        <v>0</v>
      </c>
      <c r="M204" s="167">
        <v>0</v>
      </c>
      <c r="N204" s="167">
        <v>0</v>
      </c>
      <c r="O204" s="167">
        <v>0</v>
      </c>
      <c r="P204" s="167">
        <v>0</v>
      </c>
      <c r="Q204" s="167">
        <v>0</v>
      </c>
      <c r="R204" s="167">
        <v>0</v>
      </c>
      <c r="S204" s="167">
        <v>0</v>
      </c>
      <c r="T204" s="167">
        <v>0</v>
      </c>
      <c r="U204" s="168" t="e">
        <v>#DIV/0!</v>
      </c>
      <c r="V204" s="167">
        <v>0</v>
      </c>
      <c r="W204" s="167">
        <v>0</v>
      </c>
      <c r="X204" s="167">
        <v>0</v>
      </c>
      <c r="Y204" s="167">
        <v>0</v>
      </c>
      <c r="Z204" s="167">
        <v>0</v>
      </c>
      <c r="AA204" s="167">
        <v>0</v>
      </c>
    </row>
    <row r="205" spans="1:27" ht="12" customHeight="1" x14ac:dyDescent="0.25">
      <c r="A205" s="155" t="s">
        <v>1287</v>
      </c>
      <c r="B205" s="155" t="s">
        <v>593</v>
      </c>
      <c r="C205" s="167">
        <v>0</v>
      </c>
      <c r="D205" s="167">
        <v>0</v>
      </c>
      <c r="E205" s="167">
        <v>0</v>
      </c>
      <c r="F205" s="167">
        <v>0</v>
      </c>
      <c r="G205" s="167">
        <v>0</v>
      </c>
      <c r="H205" s="167">
        <v>0</v>
      </c>
      <c r="I205" s="167">
        <v>0</v>
      </c>
      <c r="J205" s="167">
        <v>0</v>
      </c>
      <c r="K205" s="167">
        <v>0</v>
      </c>
      <c r="L205" s="167">
        <v>0</v>
      </c>
      <c r="M205" s="167">
        <v>0</v>
      </c>
      <c r="N205" s="167">
        <v>0</v>
      </c>
      <c r="O205" s="167">
        <v>0</v>
      </c>
      <c r="P205" s="167">
        <v>0</v>
      </c>
      <c r="Q205" s="167">
        <v>0</v>
      </c>
      <c r="R205" s="167">
        <v>0</v>
      </c>
      <c r="S205" s="167">
        <v>0</v>
      </c>
      <c r="T205" s="167">
        <v>0</v>
      </c>
      <c r="U205" s="168" t="e">
        <v>#DIV/0!</v>
      </c>
      <c r="V205" s="167">
        <v>0</v>
      </c>
      <c r="W205" s="167">
        <v>0</v>
      </c>
      <c r="X205" s="167">
        <v>0</v>
      </c>
      <c r="Y205" s="167">
        <v>0</v>
      </c>
      <c r="Z205" s="167">
        <v>0</v>
      </c>
      <c r="AA205" s="167">
        <v>0</v>
      </c>
    </row>
    <row r="206" spans="1:27" ht="12" customHeight="1" x14ac:dyDescent="0.25">
      <c r="A206" s="155" t="s">
        <v>1288</v>
      </c>
      <c r="B206" s="155" t="s">
        <v>594</v>
      </c>
      <c r="C206" s="167">
        <v>0</v>
      </c>
      <c r="D206" s="167">
        <v>0</v>
      </c>
      <c r="E206" s="167">
        <v>0</v>
      </c>
      <c r="F206" s="167">
        <v>0</v>
      </c>
      <c r="G206" s="167">
        <v>0</v>
      </c>
      <c r="H206" s="167">
        <v>0</v>
      </c>
      <c r="I206" s="167">
        <v>0</v>
      </c>
      <c r="J206" s="167">
        <v>0</v>
      </c>
      <c r="K206" s="167">
        <v>0</v>
      </c>
      <c r="L206" s="167">
        <v>0</v>
      </c>
      <c r="M206" s="167">
        <v>0</v>
      </c>
      <c r="N206" s="167">
        <v>0</v>
      </c>
      <c r="O206" s="167">
        <v>0</v>
      </c>
      <c r="P206" s="167">
        <v>0</v>
      </c>
      <c r="Q206" s="167">
        <v>0</v>
      </c>
      <c r="R206" s="167">
        <v>0</v>
      </c>
      <c r="S206" s="167">
        <v>0</v>
      </c>
      <c r="T206" s="167">
        <v>0</v>
      </c>
      <c r="U206" s="168" t="e">
        <v>#DIV/0!</v>
      </c>
      <c r="V206" s="167">
        <v>0</v>
      </c>
      <c r="W206" s="167">
        <v>0</v>
      </c>
      <c r="X206" s="167">
        <v>0</v>
      </c>
      <c r="Y206" s="167">
        <v>0</v>
      </c>
      <c r="Z206" s="167">
        <v>0</v>
      </c>
      <c r="AA206" s="167">
        <v>0</v>
      </c>
    </row>
    <row r="207" spans="1:27" ht="12" customHeight="1" x14ac:dyDescent="0.25">
      <c r="A207" s="155" t="s">
        <v>1289</v>
      </c>
      <c r="B207" s="155" t="s">
        <v>595</v>
      </c>
      <c r="C207" s="167">
        <v>0</v>
      </c>
      <c r="D207" s="167">
        <v>0</v>
      </c>
      <c r="E207" s="167">
        <v>0</v>
      </c>
      <c r="F207" s="167">
        <v>0</v>
      </c>
      <c r="G207" s="167">
        <v>0</v>
      </c>
      <c r="H207" s="167">
        <v>0</v>
      </c>
      <c r="I207" s="167">
        <v>0</v>
      </c>
      <c r="J207" s="167">
        <v>0</v>
      </c>
      <c r="K207" s="167">
        <v>0</v>
      </c>
      <c r="L207" s="167">
        <v>0</v>
      </c>
      <c r="M207" s="167">
        <v>0</v>
      </c>
      <c r="N207" s="167">
        <v>0</v>
      </c>
      <c r="O207" s="167">
        <v>0</v>
      </c>
      <c r="P207" s="167">
        <v>0</v>
      </c>
      <c r="Q207" s="167">
        <v>0</v>
      </c>
      <c r="R207" s="167">
        <v>0</v>
      </c>
      <c r="S207" s="167">
        <v>0</v>
      </c>
      <c r="T207" s="167">
        <v>0</v>
      </c>
      <c r="U207" s="168" t="e">
        <v>#DIV/0!</v>
      </c>
      <c r="V207" s="167">
        <v>0</v>
      </c>
      <c r="W207" s="167">
        <v>0</v>
      </c>
      <c r="X207" s="167">
        <v>0</v>
      </c>
      <c r="Y207" s="167">
        <v>0</v>
      </c>
      <c r="Z207" s="167">
        <v>0</v>
      </c>
      <c r="AA207" s="167">
        <v>0</v>
      </c>
    </row>
    <row r="208" spans="1:27" ht="12" customHeight="1" x14ac:dyDescent="0.25">
      <c r="A208" s="155" t="s">
        <v>1290</v>
      </c>
      <c r="B208" s="155" t="s">
        <v>596</v>
      </c>
      <c r="C208" s="167">
        <v>0</v>
      </c>
      <c r="D208" s="167">
        <v>0</v>
      </c>
      <c r="E208" s="167">
        <v>0</v>
      </c>
      <c r="F208" s="167">
        <v>0</v>
      </c>
      <c r="G208" s="167">
        <v>0</v>
      </c>
      <c r="H208" s="167">
        <v>0</v>
      </c>
      <c r="I208" s="167">
        <v>0</v>
      </c>
      <c r="J208" s="167">
        <v>0</v>
      </c>
      <c r="K208" s="167">
        <v>0</v>
      </c>
      <c r="L208" s="167">
        <v>0</v>
      </c>
      <c r="M208" s="167">
        <v>0</v>
      </c>
      <c r="N208" s="167">
        <v>0</v>
      </c>
      <c r="O208" s="167">
        <v>0</v>
      </c>
      <c r="P208" s="167">
        <v>0</v>
      </c>
      <c r="Q208" s="167">
        <v>0</v>
      </c>
      <c r="R208" s="167">
        <v>0</v>
      </c>
      <c r="S208" s="167">
        <v>0</v>
      </c>
      <c r="T208" s="167">
        <v>0</v>
      </c>
      <c r="U208" s="168" t="e">
        <v>#DIV/0!</v>
      </c>
      <c r="V208" s="167">
        <v>0</v>
      </c>
      <c r="W208" s="167">
        <v>0</v>
      </c>
      <c r="X208" s="167">
        <v>0</v>
      </c>
      <c r="Y208" s="167">
        <v>0</v>
      </c>
      <c r="Z208" s="167">
        <v>0</v>
      </c>
      <c r="AA208" s="167">
        <v>0</v>
      </c>
    </row>
    <row r="209" spans="1:27" ht="12" customHeight="1" x14ac:dyDescent="0.25">
      <c r="A209" s="155" t="s">
        <v>1291</v>
      </c>
      <c r="B209" s="155" t="s">
        <v>597</v>
      </c>
      <c r="C209" s="167">
        <v>0</v>
      </c>
      <c r="D209" s="167">
        <v>0</v>
      </c>
      <c r="E209" s="167">
        <v>0</v>
      </c>
      <c r="F209" s="167">
        <v>0</v>
      </c>
      <c r="G209" s="167">
        <v>0</v>
      </c>
      <c r="H209" s="167">
        <v>0</v>
      </c>
      <c r="I209" s="167">
        <v>0</v>
      </c>
      <c r="J209" s="167">
        <v>0</v>
      </c>
      <c r="K209" s="167">
        <v>0</v>
      </c>
      <c r="L209" s="167">
        <v>0</v>
      </c>
      <c r="M209" s="167">
        <v>0</v>
      </c>
      <c r="N209" s="167">
        <v>0</v>
      </c>
      <c r="O209" s="167">
        <v>0</v>
      </c>
      <c r="P209" s="167">
        <v>0</v>
      </c>
      <c r="Q209" s="167">
        <v>0</v>
      </c>
      <c r="R209" s="167">
        <v>0</v>
      </c>
      <c r="S209" s="167">
        <v>0</v>
      </c>
      <c r="T209" s="167">
        <v>0</v>
      </c>
      <c r="U209" s="168" t="e">
        <v>#DIV/0!</v>
      </c>
      <c r="V209" s="167">
        <v>0</v>
      </c>
      <c r="W209" s="167">
        <v>0</v>
      </c>
      <c r="X209" s="167">
        <v>0</v>
      </c>
      <c r="Y209" s="167">
        <v>0</v>
      </c>
      <c r="Z209" s="167">
        <v>0</v>
      </c>
      <c r="AA209" s="167">
        <v>0</v>
      </c>
    </row>
    <row r="210" spans="1:27" ht="12" customHeight="1" x14ac:dyDescent="0.25">
      <c r="A210" s="155" t="s">
        <v>1292</v>
      </c>
      <c r="B210" s="155" t="s">
        <v>598</v>
      </c>
      <c r="C210" s="167">
        <v>0</v>
      </c>
      <c r="D210" s="167">
        <v>0</v>
      </c>
      <c r="E210" s="167">
        <v>0</v>
      </c>
      <c r="F210" s="167">
        <v>0</v>
      </c>
      <c r="G210" s="167">
        <v>0</v>
      </c>
      <c r="H210" s="167">
        <v>0</v>
      </c>
      <c r="I210" s="167">
        <v>0</v>
      </c>
      <c r="J210" s="167">
        <v>0</v>
      </c>
      <c r="K210" s="167">
        <v>0</v>
      </c>
      <c r="L210" s="167">
        <v>0</v>
      </c>
      <c r="M210" s="167">
        <v>0</v>
      </c>
      <c r="N210" s="167">
        <v>0</v>
      </c>
      <c r="O210" s="167">
        <v>0</v>
      </c>
      <c r="P210" s="167">
        <v>0</v>
      </c>
      <c r="Q210" s="167">
        <v>0</v>
      </c>
      <c r="R210" s="167">
        <v>0</v>
      </c>
      <c r="S210" s="167">
        <v>0</v>
      </c>
      <c r="T210" s="167">
        <v>0</v>
      </c>
      <c r="U210" s="168" t="e">
        <v>#DIV/0!</v>
      </c>
      <c r="V210" s="167">
        <v>0</v>
      </c>
      <c r="W210" s="167">
        <v>0</v>
      </c>
      <c r="X210" s="167">
        <v>0</v>
      </c>
      <c r="Y210" s="167">
        <v>0</v>
      </c>
      <c r="Z210" s="167">
        <v>0</v>
      </c>
      <c r="AA210" s="167">
        <v>0</v>
      </c>
    </row>
    <row r="211" spans="1:27" ht="12" customHeight="1" x14ac:dyDescent="0.25">
      <c r="A211" s="155" t="s">
        <v>1293</v>
      </c>
      <c r="B211" s="155" t="s">
        <v>599</v>
      </c>
      <c r="C211" s="167">
        <v>0</v>
      </c>
      <c r="D211" s="167">
        <v>0</v>
      </c>
      <c r="E211" s="167">
        <v>0</v>
      </c>
      <c r="F211" s="167">
        <v>0</v>
      </c>
      <c r="G211" s="167">
        <v>0</v>
      </c>
      <c r="H211" s="167">
        <v>0</v>
      </c>
      <c r="I211" s="167">
        <v>0</v>
      </c>
      <c r="J211" s="167">
        <v>0</v>
      </c>
      <c r="K211" s="167">
        <v>0</v>
      </c>
      <c r="L211" s="167">
        <v>0</v>
      </c>
      <c r="M211" s="167">
        <v>0</v>
      </c>
      <c r="N211" s="167">
        <v>0</v>
      </c>
      <c r="O211" s="167">
        <v>0</v>
      </c>
      <c r="P211" s="167">
        <v>0</v>
      </c>
      <c r="Q211" s="167">
        <v>0</v>
      </c>
      <c r="R211" s="167">
        <v>0</v>
      </c>
      <c r="S211" s="167">
        <v>0</v>
      </c>
      <c r="T211" s="167">
        <v>0</v>
      </c>
      <c r="U211" s="168" t="e">
        <v>#DIV/0!</v>
      </c>
      <c r="V211" s="167">
        <v>0</v>
      </c>
      <c r="W211" s="167">
        <v>0</v>
      </c>
      <c r="X211" s="167">
        <v>0</v>
      </c>
      <c r="Y211" s="167">
        <v>0</v>
      </c>
      <c r="Z211" s="167">
        <v>0</v>
      </c>
      <c r="AA211" s="167">
        <v>0</v>
      </c>
    </row>
    <row r="212" spans="1:27" ht="12" customHeight="1" x14ac:dyDescent="0.25">
      <c r="A212" s="155" t="s">
        <v>1294</v>
      </c>
      <c r="B212" s="155" t="s">
        <v>600</v>
      </c>
      <c r="C212" s="167">
        <v>0</v>
      </c>
      <c r="D212" s="167">
        <v>0</v>
      </c>
      <c r="E212" s="167">
        <v>0</v>
      </c>
      <c r="F212" s="167">
        <v>0</v>
      </c>
      <c r="G212" s="167">
        <v>0</v>
      </c>
      <c r="H212" s="167">
        <v>0</v>
      </c>
      <c r="I212" s="167">
        <v>0</v>
      </c>
      <c r="J212" s="167">
        <v>0</v>
      </c>
      <c r="K212" s="167">
        <v>0</v>
      </c>
      <c r="L212" s="167">
        <v>0</v>
      </c>
      <c r="M212" s="167">
        <v>0</v>
      </c>
      <c r="N212" s="167">
        <v>0</v>
      </c>
      <c r="O212" s="167">
        <v>0</v>
      </c>
      <c r="P212" s="167">
        <v>0</v>
      </c>
      <c r="Q212" s="167">
        <v>0</v>
      </c>
      <c r="R212" s="167">
        <v>0</v>
      </c>
      <c r="S212" s="167">
        <v>0</v>
      </c>
      <c r="T212" s="167">
        <v>0</v>
      </c>
      <c r="U212" s="168" t="e">
        <v>#DIV/0!</v>
      </c>
      <c r="V212" s="167">
        <v>0</v>
      </c>
      <c r="W212" s="167">
        <v>0</v>
      </c>
      <c r="X212" s="167">
        <v>0</v>
      </c>
      <c r="Y212" s="167">
        <v>0</v>
      </c>
      <c r="Z212" s="167">
        <v>0</v>
      </c>
      <c r="AA212" s="167">
        <v>0</v>
      </c>
    </row>
    <row r="213" spans="1:27" ht="12" customHeight="1" x14ac:dyDescent="0.25">
      <c r="A213" s="155" t="s">
        <v>1295</v>
      </c>
      <c r="B213" s="155" t="s">
        <v>601</v>
      </c>
      <c r="C213" s="167">
        <v>0</v>
      </c>
      <c r="D213" s="167">
        <v>0</v>
      </c>
      <c r="E213" s="167">
        <v>0</v>
      </c>
      <c r="F213" s="167">
        <v>0</v>
      </c>
      <c r="G213" s="167">
        <v>0</v>
      </c>
      <c r="H213" s="167">
        <v>0</v>
      </c>
      <c r="I213" s="167">
        <v>0</v>
      </c>
      <c r="J213" s="167">
        <v>0</v>
      </c>
      <c r="K213" s="167">
        <v>0</v>
      </c>
      <c r="L213" s="167">
        <v>0</v>
      </c>
      <c r="M213" s="167">
        <v>0</v>
      </c>
      <c r="N213" s="167">
        <v>0</v>
      </c>
      <c r="O213" s="167">
        <v>0</v>
      </c>
      <c r="P213" s="167">
        <v>0</v>
      </c>
      <c r="Q213" s="167">
        <v>0</v>
      </c>
      <c r="R213" s="167">
        <v>0</v>
      </c>
      <c r="S213" s="167">
        <v>0</v>
      </c>
      <c r="T213" s="167">
        <v>0</v>
      </c>
      <c r="U213" s="168" t="e">
        <v>#DIV/0!</v>
      </c>
      <c r="V213" s="167">
        <v>0</v>
      </c>
      <c r="W213" s="167">
        <v>0</v>
      </c>
      <c r="X213" s="167">
        <v>0</v>
      </c>
      <c r="Y213" s="167">
        <v>0</v>
      </c>
      <c r="Z213" s="167">
        <v>0</v>
      </c>
      <c r="AA213" s="167">
        <v>0</v>
      </c>
    </row>
    <row r="214" spans="1:27" ht="12" customHeight="1" x14ac:dyDescent="0.25">
      <c r="A214" s="155" t="s">
        <v>1296</v>
      </c>
      <c r="B214" s="155" t="s">
        <v>602</v>
      </c>
      <c r="C214" s="167">
        <v>0</v>
      </c>
      <c r="D214" s="167">
        <v>0</v>
      </c>
      <c r="E214" s="167">
        <v>0</v>
      </c>
      <c r="F214" s="167">
        <v>0</v>
      </c>
      <c r="G214" s="167">
        <v>0</v>
      </c>
      <c r="H214" s="167">
        <v>0</v>
      </c>
      <c r="I214" s="167">
        <v>0</v>
      </c>
      <c r="J214" s="167">
        <v>0</v>
      </c>
      <c r="K214" s="167">
        <v>0</v>
      </c>
      <c r="L214" s="167">
        <v>0</v>
      </c>
      <c r="M214" s="167">
        <v>0</v>
      </c>
      <c r="N214" s="167">
        <v>0</v>
      </c>
      <c r="O214" s="167">
        <v>0</v>
      </c>
      <c r="P214" s="167">
        <v>0</v>
      </c>
      <c r="Q214" s="167">
        <v>0</v>
      </c>
      <c r="R214" s="167">
        <v>0</v>
      </c>
      <c r="S214" s="167">
        <v>0</v>
      </c>
      <c r="T214" s="167">
        <v>0</v>
      </c>
      <c r="U214" s="168" t="e">
        <v>#DIV/0!</v>
      </c>
      <c r="V214" s="167">
        <v>0</v>
      </c>
      <c r="W214" s="167">
        <v>0</v>
      </c>
      <c r="X214" s="167">
        <v>0</v>
      </c>
      <c r="Y214" s="167">
        <v>0</v>
      </c>
      <c r="Z214" s="167">
        <v>0</v>
      </c>
      <c r="AA214" s="167">
        <v>0</v>
      </c>
    </row>
    <row r="215" spans="1:27" ht="12" customHeight="1" x14ac:dyDescent="0.25">
      <c r="A215" s="155" t="s">
        <v>1297</v>
      </c>
      <c r="B215" s="155" t="s">
        <v>603</v>
      </c>
      <c r="C215" s="167">
        <v>0</v>
      </c>
      <c r="D215" s="167">
        <v>0</v>
      </c>
      <c r="E215" s="167">
        <v>0</v>
      </c>
      <c r="F215" s="167">
        <v>0</v>
      </c>
      <c r="G215" s="167">
        <v>0</v>
      </c>
      <c r="H215" s="167">
        <v>0</v>
      </c>
      <c r="I215" s="167">
        <v>0</v>
      </c>
      <c r="J215" s="167">
        <v>0</v>
      </c>
      <c r="K215" s="167">
        <v>0</v>
      </c>
      <c r="L215" s="167">
        <v>0</v>
      </c>
      <c r="M215" s="167">
        <v>0</v>
      </c>
      <c r="N215" s="167">
        <v>0</v>
      </c>
      <c r="O215" s="167">
        <v>0</v>
      </c>
      <c r="P215" s="167">
        <v>0</v>
      </c>
      <c r="Q215" s="167">
        <v>0</v>
      </c>
      <c r="R215" s="167">
        <v>0</v>
      </c>
      <c r="S215" s="167">
        <v>0</v>
      </c>
      <c r="T215" s="167">
        <v>0</v>
      </c>
      <c r="U215" s="168" t="e">
        <v>#DIV/0!</v>
      </c>
      <c r="V215" s="167">
        <v>0</v>
      </c>
      <c r="W215" s="167">
        <v>0</v>
      </c>
      <c r="X215" s="167">
        <v>0</v>
      </c>
      <c r="Y215" s="167">
        <v>0</v>
      </c>
      <c r="Z215" s="167">
        <v>0</v>
      </c>
      <c r="AA215" s="167">
        <v>0</v>
      </c>
    </row>
    <row r="216" spans="1:27" ht="12" customHeight="1" x14ac:dyDescent="0.25">
      <c r="A216" s="155"/>
      <c r="B216" s="162" t="s">
        <v>604</v>
      </c>
      <c r="C216" s="163">
        <v>0</v>
      </c>
      <c r="D216" s="163">
        <v>0</v>
      </c>
      <c r="E216" s="163">
        <v>0</v>
      </c>
      <c r="F216" s="163">
        <v>0</v>
      </c>
      <c r="G216" s="163">
        <v>0</v>
      </c>
      <c r="H216" s="163">
        <v>0</v>
      </c>
      <c r="I216" s="163">
        <v>0</v>
      </c>
      <c r="J216" s="163">
        <v>0</v>
      </c>
      <c r="K216" s="163">
        <v>0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3">
        <v>0</v>
      </c>
      <c r="R216" s="163">
        <v>0</v>
      </c>
      <c r="S216" s="163">
        <v>0</v>
      </c>
      <c r="T216" s="164">
        <v>0</v>
      </c>
      <c r="U216" s="165" t="e">
        <v>#DIV/0!</v>
      </c>
      <c r="V216" s="164">
        <v>0</v>
      </c>
      <c r="W216" s="164">
        <v>0</v>
      </c>
      <c r="X216" s="164">
        <v>0</v>
      </c>
      <c r="Y216" s="164">
        <v>0</v>
      </c>
      <c r="Z216" s="164">
        <v>0</v>
      </c>
      <c r="AA216" s="164">
        <v>0</v>
      </c>
    </row>
    <row r="217" spans="1:27" ht="12" customHeight="1" x14ac:dyDescent="0.25">
      <c r="A217" s="155" t="s">
        <v>1298</v>
      </c>
      <c r="B217" s="155" t="s">
        <v>605</v>
      </c>
      <c r="C217" s="167">
        <v>0</v>
      </c>
      <c r="D217" s="167">
        <v>0</v>
      </c>
      <c r="E217" s="167">
        <v>0</v>
      </c>
      <c r="F217" s="167">
        <v>0</v>
      </c>
      <c r="G217" s="167">
        <v>0</v>
      </c>
      <c r="H217" s="167">
        <v>0</v>
      </c>
      <c r="I217" s="167">
        <v>0</v>
      </c>
      <c r="J217" s="167">
        <v>0</v>
      </c>
      <c r="K217" s="167">
        <v>0</v>
      </c>
      <c r="L217" s="167">
        <v>0</v>
      </c>
      <c r="M217" s="167">
        <v>0</v>
      </c>
      <c r="N217" s="167">
        <v>0</v>
      </c>
      <c r="O217" s="167">
        <v>0</v>
      </c>
      <c r="P217" s="167">
        <v>0</v>
      </c>
      <c r="Q217" s="167">
        <v>0</v>
      </c>
      <c r="R217" s="167">
        <v>0</v>
      </c>
      <c r="S217" s="167">
        <v>0</v>
      </c>
      <c r="T217" s="167">
        <v>0</v>
      </c>
      <c r="U217" s="168" t="e">
        <v>#DIV/0!</v>
      </c>
      <c r="V217" s="167">
        <v>0</v>
      </c>
      <c r="W217" s="167">
        <v>0</v>
      </c>
      <c r="X217" s="167">
        <v>0</v>
      </c>
      <c r="Y217" s="167">
        <v>0</v>
      </c>
      <c r="Z217" s="167">
        <v>0</v>
      </c>
      <c r="AA217" s="167">
        <v>0</v>
      </c>
    </row>
    <row r="218" spans="1:27" ht="12" customHeight="1" x14ac:dyDescent="0.25">
      <c r="A218" s="155" t="s">
        <v>1299</v>
      </c>
      <c r="B218" s="155" t="s">
        <v>606</v>
      </c>
      <c r="C218" s="167">
        <v>0</v>
      </c>
      <c r="D218" s="167">
        <v>0</v>
      </c>
      <c r="E218" s="167">
        <v>0</v>
      </c>
      <c r="F218" s="167">
        <v>0</v>
      </c>
      <c r="G218" s="167">
        <v>0</v>
      </c>
      <c r="H218" s="167">
        <v>0</v>
      </c>
      <c r="I218" s="167">
        <v>0</v>
      </c>
      <c r="J218" s="167">
        <v>0</v>
      </c>
      <c r="K218" s="167">
        <v>0</v>
      </c>
      <c r="L218" s="167">
        <v>0</v>
      </c>
      <c r="M218" s="167">
        <v>0</v>
      </c>
      <c r="N218" s="167">
        <v>0</v>
      </c>
      <c r="O218" s="167">
        <v>0</v>
      </c>
      <c r="P218" s="167">
        <v>0</v>
      </c>
      <c r="Q218" s="167">
        <v>0</v>
      </c>
      <c r="R218" s="167">
        <v>0</v>
      </c>
      <c r="S218" s="167">
        <v>0</v>
      </c>
      <c r="T218" s="167">
        <v>0</v>
      </c>
      <c r="U218" s="168" t="e">
        <v>#DIV/0!</v>
      </c>
      <c r="V218" s="167">
        <v>0</v>
      </c>
      <c r="W218" s="167">
        <v>0</v>
      </c>
      <c r="X218" s="167">
        <v>0</v>
      </c>
      <c r="Y218" s="167">
        <v>0</v>
      </c>
      <c r="Z218" s="167">
        <v>0</v>
      </c>
      <c r="AA218" s="167">
        <v>0</v>
      </c>
    </row>
    <row r="219" spans="1:27" ht="12" customHeight="1" x14ac:dyDescent="0.25">
      <c r="A219" s="155" t="s">
        <v>1300</v>
      </c>
      <c r="B219" s="155" t="s">
        <v>607</v>
      </c>
      <c r="C219" s="167">
        <v>0</v>
      </c>
      <c r="D219" s="167">
        <v>0</v>
      </c>
      <c r="E219" s="167">
        <v>0</v>
      </c>
      <c r="F219" s="167">
        <v>0</v>
      </c>
      <c r="G219" s="167">
        <v>0</v>
      </c>
      <c r="H219" s="167">
        <v>0</v>
      </c>
      <c r="I219" s="167">
        <v>0</v>
      </c>
      <c r="J219" s="167">
        <v>0</v>
      </c>
      <c r="K219" s="167">
        <v>0</v>
      </c>
      <c r="L219" s="167">
        <v>0</v>
      </c>
      <c r="M219" s="167">
        <v>0</v>
      </c>
      <c r="N219" s="167">
        <v>0</v>
      </c>
      <c r="O219" s="167">
        <v>0</v>
      </c>
      <c r="P219" s="167">
        <v>0</v>
      </c>
      <c r="Q219" s="167">
        <v>0</v>
      </c>
      <c r="R219" s="167">
        <v>0</v>
      </c>
      <c r="S219" s="167">
        <v>0</v>
      </c>
      <c r="T219" s="167">
        <v>0</v>
      </c>
      <c r="U219" s="168" t="e">
        <v>#DIV/0!</v>
      </c>
      <c r="V219" s="167">
        <v>0</v>
      </c>
      <c r="W219" s="167">
        <v>0</v>
      </c>
      <c r="X219" s="167">
        <v>0</v>
      </c>
      <c r="Y219" s="167">
        <v>0</v>
      </c>
      <c r="Z219" s="167">
        <v>0</v>
      </c>
      <c r="AA219" s="167">
        <v>0</v>
      </c>
    </row>
    <row r="220" spans="1:27" ht="12" customHeight="1" x14ac:dyDescent="0.25">
      <c r="A220" s="155"/>
      <c r="B220" s="162" t="s">
        <v>608</v>
      </c>
      <c r="C220" s="163">
        <v>0</v>
      </c>
      <c r="D220" s="163">
        <v>0</v>
      </c>
      <c r="E220" s="163">
        <v>0</v>
      </c>
      <c r="F220" s="163">
        <v>0</v>
      </c>
      <c r="G220" s="163">
        <v>0</v>
      </c>
      <c r="H220" s="163">
        <v>0</v>
      </c>
      <c r="I220" s="163">
        <v>0</v>
      </c>
      <c r="J220" s="163">
        <v>0</v>
      </c>
      <c r="K220" s="163">
        <v>0</v>
      </c>
      <c r="L220" s="163">
        <v>0</v>
      </c>
      <c r="M220" s="163">
        <v>0</v>
      </c>
      <c r="N220" s="163">
        <v>0</v>
      </c>
      <c r="O220" s="163">
        <v>0</v>
      </c>
      <c r="P220" s="163">
        <v>0</v>
      </c>
      <c r="Q220" s="163">
        <v>0</v>
      </c>
      <c r="R220" s="163">
        <v>0</v>
      </c>
      <c r="S220" s="163">
        <v>0</v>
      </c>
      <c r="T220" s="164">
        <v>0</v>
      </c>
      <c r="U220" s="165" t="e">
        <v>#DIV/0!</v>
      </c>
      <c r="V220" s="164">
        <v>0</v>
      </c>
      <c r="W220" s="164">
        <v>0</v>
      </c>
      <c r="X220" s="164">
        <v>0</v>
      </c>
      <c r="Y220" s="164">
        <v>0</v>
      </c>
      <c r="Z220" s="164">
        <v>0</v>
      </c>
      <c r="AA220" s="164">
        <v>0</v>
      </c>
    </row>
    <row r="221" spans="1:27" ht="12" customHeight="1" x14ac:dyDescent="0.25">
      <c r="A221" s="155" t="s">
        <v>1301</v>
      </c>
      <c r="B221" s="155" t="s">
        <v>609</v>
      </c>
      <c r="C221" s="167">
        <v>0</v>
      </c>
      <c r="D221" s="167">
        <v>0</v>
      </c>
      <c r="E221" s="167">
        <v>0</v>
      </c>
      <c r="F221" s="167">
        <v>0</v>
      </c>
      <c r="G221" s="167">
        <v>0</v>
      </c>
      <c r="H221" s="167">
        <v>0</v>
      </c>
      <c r="I221" s="167">
        <v>0</v>
      </c>
      <c r="J221" s="167">
        <v>0</v>
      </c>
      <c r="K221" s="167">
        <v>0</v>
      </c>
      <c r="L221" s="167">
        <v>0</v>
      </c>
      <c r="M221" s="167">
        <v>0</v>
      </c>
      <c r="N221" s="167">
        <v>0</v>
      </c>
      <c r="O221" s="167">
        <v>0</v>
      </c>
      <c r="P221" s="167">
        <v>0</v>
      </c>
      <c r="Q221" s="167">
        <v>0</v>
      </c>
      <c r="R221" s="167">
        <v>0</v>
      </c>
      <c r="S221" s="167">
        <v>0</v>
      </c>
      <c r="T221" s="167">
        <v>0</v>
      </c>
      <c r="U221" s="168" t="e">
        <v>#DIV/0!</v>
      </c>
      <c r="V221" s="167">
        <v>0</v>
      </c>
      <c r="W221" s="167">
        <v>0</v>
      </c>
      <c r="X221" s="167">
        <v>0</v>
      </c>
      <c r="Y221" s="167">
        <v>0</v>
      </c>
      <c r="Z221" s="167">
        <v>0</v>
      </c>
      <c r="AA221" s="167">
        <v>0</v>
      </c>
    </row>
    <row r="222" spans="1:27" ht="12" customHeight="1" x14ac:dyDescent="0.25">
      <c r="A222" s="155" t="s">
        <v>1302</v>
      </c>
      <c r="B222" s="155" t="s">
        <v>610</v>
      </c>
      <c r="C222" s="167">
        <v>0</v>
      </c>
      <c r="D222" s="167">
        <v>0</v>
      </c>
      <c r="E222" s="167">
        <v>0</v>
      </c>
      <c r="F222" s="167">
        <v>0</v>
      </c>
      <c r="G222" s="167">
        <v>0</v>
      </c>
      <c r="H222" s="167">
        <v>0</v>
      </c>
      <c r="I222" s="167">
        <v>0</v>
      </c>
      <c r="J222" s="167">
        <v>0</v>
      </c>
      <c r="K222" s="167">
        <v>0</v>
      </c>
      <c r="L222" s="167">
        <v>0</v>
      </c>
      <c r="M222" s="167">
        <v>0</v>
      </c>
      <c r="N222" s="167">
        <v>0</v>
      </c>
      <c r="O222" s="167">
        <v>0</v>
      </c>
      <c r="P222" s="167">
        <v>0</v>
      </c>
      <c r="Q222" s="167">
        <v>0</v>
      </c>
      <c r="R222" s="167">
        <v>0</v>
      </c>
      <c r="S222" s="167">
        <v>0</v>
      </c>
      <c r="T222" s="167">
        <v>0</v>
      </c>
      <c r="U222" s="168" t="e">
        <v>#DIV/0!</v>
      </c>
      <c r="V222" s="167">
        <v>0</v>
      </c>
      <c r="W222" s="167">
        <v>0</v>
      </c>
      <c r="X222" s="167">
        <v>0</v>
      </c>
      <c r="Y222" s="167">
        <v>0</v>
      </c>
      <c r="Z222" s="167">
        <v>0</v>
      </c>
      <c r="AA222" s="167">
        <v>0</v>
      </c>
    </row>
    <row r="223" spans="1:27" ht="12" customHeight="1" x14ac:dyDescent="0.25">
      <c r="A223" s="155" t="s">
        <v>1303</v>
      </c>
      <c r="B223" s="155" t="s">
        <v>611</v>
      </c>
      <c r="C223" s="167">
        <v>0</v>
      </c>
      <c r="D223" s="167">
        <v>0</v>
      </c>
      <c r="E223" s="167">
        <v>0</v>
      </c>
      <c r="F223" s="167">
        <v>0</v>
      </c>
      <c r="G223" s="167">
        <v>0</v>
      </c>
      <c r="H223" s="167">
        <v>0</v>
      </c>
      <c r="I223" s="167">
        <v>0</v>
      </c>
      <c r="J223" s="167">
        <v>0</v>
      </c>
      <c r="K223" s="167">
        <v>0</v>
      </c>
      <c r="L223" s="167">
        <v>0</v>
      </c>
      <c r="M223" s="167">
        <v>0</v>
      </c>
      <c r="N223" s="167">
        <v>0</v>
      </c>
      <c r="O223" s="167">
        <v>0</v>
      </c>
      <c r="P223" s="167">
        <v>0</v>
      </c>
      <c r="Q223" s="167">
        <v>0</v>
      </c>
      <c r="R223" s="167">
        <v>0</v>
      </c>
      <c r="S223" s="167">
        <v>0</v>
      </c>
      <c r="T223" s="167">
        <v>0</v>
      </c>
      <c r="U223" s="168" t="e">
        <v>#DIV/0!</v>
      </c>
      <c r="V223" s="167">
        <v>0</v>
      </c>
      <c r="W223" s="167">
        <v>0</v>
      </c>
      <c r="X223" s="167">
        <v>0</v>
      </c>
      <c r="Y223" s="167">
        <v>0</v>
      </c>
      <c r="Z223" s="167">
        <v>0</v>
      </c>
      <c r="AA223" s="167">
        <v>0</v>
      </c>
    </row>
    <row r="224" spans="1:27" ht="12" customHeight="1" x14ac:dyDescent="0.25">
      <c r="A224" s="155"/>
      <c r="B224" s="162" t="s">
        <v>612</v>
      </c>
      <c r="C224" s="163">
        <v>0</v>
      </c>
      <c r="D224" s="163">
        <v>0</v>
      </c>
      <c r="E224" s="163">
        <v>0</v>
      </c>
      <c r="F224" s="163">
        <v>0</v>
      </c>
      <c r="G224" s="163">
        <v>0</v>
      </c>
      <c r="H224" s="163">
        <v>0</v>
      </c>
      <c r="I224" s="163">
        <v>0</v>
      </c>
      <c r="J224" s="163">
        <v>0</v>
      </c>
      <c r="K224" s="163">
        <v>0</v>
      </c>
      <c r="L224" s="163">
        <v>0</v>
      </c>
      <c r="M224" s="163">
        <v>0</v>
      </c>
      <c r="N224" s="163">
        <v>0</v>
      </c>
      <c r="O224" s="163">
        <v>0</v>
      </c>
      <c r="P224" s="163">
        <v>0</v>
      </c>
      <c r="Q224" s="163">
        <v>0</v>
      </c>
      <c r="R224" s="163">
        <v>0</v>
      </c>
      <c r="S224" s="163">
        <v>0</v>
      </c>
      <c r="T224" s="164">
        <v>0</v>
      </c>
      <c r="U224" s="165" t="e">
        <v>#DIV/0!</v>
      </c>
      <c r="V224" s="164">
        <v>0</v>
      </c>
      <c r="W224" s="164">
        <v>0</v>
      </c>
      <c r="X224" s="164">
        <v>0</v>
      </c>
      <c r="Y224" s="164">
        <v>0</v>
      </c>
      <c r="Z224" s="164">
        <v>0</v>
      </c>
      <c r="AA224" s="164">
        <v>0</v>
      </c>
    </row>
    <row r="225" spans="1:27" ht="12" customHeight="1" x14ac:dyDescent="0.25">
      <c r="A225" s="155" t="s">
        <v>1304</v>
      </c>
      <c r="B225" s="155" t="s">
        <v>613</v>
      </c>
      <c r="C225" s="167">
        <v>0</v>
      </c>
      <c r="D225" s="167">
        <v>0</v>
      </c>
      <c r="E225" s="167">
        <v>0</v>
      </c>
      <c r="F225" s="167">
        <v>0</v>
      </c>
      <c r="G225" s="167">
        <v>0</v>
      </c>
      <c r="H225" s="167">
        <v>0</v>
      </c>
      <c r="I225" s="167">
        <v>0</v>
      </c>
      <c r="J225" s="167">
        <v>0</v>
      </c>
      <c r="K225" s="167">
        <v>0</v>
      </c>
      <c r="L225" s="167">
        <v>0</v>
      </c>
      <c r="M225" s="167">
        <v>0</v>
      </c>
      <c r="N225" s="167">
        <v>0</v>
      </c>
      <c r="O225" s="167">
        <v>0</v>
      </c>
      <c r="P225" s="167">
        <v>0</v>
      </c>
      <c r="Q225" s="167">
        <v>0</v>
      </c>
      <c r="R225" s="167">
        <v>0</v>
      </c>
      <c r="S225" s="167">
        <v>0</v>
      </c>
      <c r="T225" s="167">
        <v>0</v>
      </c>
      <c r="U225" s="168" t="e">
        <v>#DIV/0!</v>
      </c>
      <c r="V225" s="167">
        <v>0</v>
      </c>
      <c r="W225" s="167">
        <v>0</v>
      </c>
      <c r="X225" s="167">
        <v>0</v>
      </c>
      <c r="Y225" s="167">
        <v>0</v>
      </c>
      <c r="Z225" s="167">
        <v>0</v>
      </c>
      <c r="AA225" s="167">
        <v>0</v>
      </c>
    </row>
    <row r="226" spans="1:27" ht="12" customHeight="1" x14ac:dyDescent="0.25">
      <c r="A226" s="155" t="s">
        <v>1305</v>
      </c>
      <c r="B226" s="155" t="s">
        <v>614</v>
      </c>
      <c r="C226" s="167">
        <v>0</v>
      </c>
      <c r="D226" s="167">
        <v>0</v>
      </c>
      <c r="E226" s="167">
        <v>0</v>
      </c>
      <c r="F226" s="167">
        <v>0</v>
      </c>
      <c r="G226" s="167">
        <v>0</v>
      </c>
      <c r="H226" s="167">
        <v>0</v>
      </c>
      <c r="I226" s="167">
        <v>0</v>
      </c>
      <c r="J226" s="167">
        <v>0</v>
      </c>
      <c r="K226" s="167">
        <v>0</v>
      </c>
      <c r="L226" s="167">
        <v>0</v>
      </c>
      <c r="M226" s="167">
        <v>0</v>
      </c>
      <c r="N226" s="167">
        <v>0</v>
      </c>
      <c r="O226" s="167">
        <v>0</v>
      </c>
      <c r="P226" s="167">
        <v>0</v>
      </c>
      <c r="Q226" s="167">
        <v>0</v>
      </c>
      <c r="R226" s="167">
        <v>0</v>
      </c>
      <c r="S226" s="167">
        <v>0</v>
      </c>
      <c r="T226" s="167">
        <v>0</v>
      </c>
      <c r="U226" s="168" t="e">
        <v>#DIV/0!</v>
      </c>
      <c r="V226" s="167">
        <v>0</v>
      </c>
      <c r="W226" s="167">
        <v>0</v>
      </c>
      <c r="X226" s="167">
        <v>0</v>
      </c>
      <c r="Y226" s="167">
        <v>0</v>
      </c>
      <c r="Z226" s="167">
        <v>0</v>
      </c>
      <c r="AA226" s="167">
        <v>0</v>
      </c>
    </row>
    <row r="227" spans="1:27" ht="12" customHeight="1" x14ac:dyDescent="0.25">
      <c r="A227" s="155" t="s">
        <v>1306</v>
      </c>
      <c r="B227" s="155" t="s">
        <v>615</v>
      </c>
      <c r="C227" s="167">
        <v>0</v>
      </c>
      <c r="D227" s="167">
        <v>0</v>
      </c>
      <c r="E227" s="167">
        <v>0</v>
      </c>
      <c r="F227" s="167">
        <v>0</v>
      </c>
      <c r="G227" s="167">
        <v>0</v>
      </c>
      <c r="H227" s="167">
        <v>0</v>
      </c>
      <c r="I227" s="167">
        <v>0</v>
      </c>
      <c r="J227" s="167">
        <v>0</v>
      </c>
      <c r="K227" s="167">
        <v>0</v>
      </c>
      <c r="L227" s="167">
        <v>0</v>
      </c>
      <c r="M227" s="167">
        <v>0</v>
      </c>
      <c r="N227" s="167">
        <v>0</v>
      </c>
      <c r="O227" s="167">
        <v>0</v>
      </c>
      <c r="P227" s="167">
        <v>0</v>
      </c>
      <c r="Q227" s="167">
        <v>0</v>
      </c>
      <c r="R227" s="167">
        <v>0</v>
      </c>
      <c r="S227" s="167">
        <v>0</v>
      </c>
      <c r="T227" s="167">
        <v>0</v>
      </c>
      <c r="U227" s="168" t="e">
        <v>#DIV/0!</v>
      </c>
      <c r="V227" s="167">
        <v>0</v>
      </c>
      <c r="W227" s="167">
        <v>0</v>
      </c>
      <c r="X227" s="167">
        <v>0</v>
      </c>
      <c r="Y227" s="167">
        <v>0</v>
      </c>
      <c r="Z227" s="167">
        <v>0</v>
      </c>
      <c r="AA227" s="167">
        <v>0</v>
      </c>
    </row>
    <row r="228" spans="1:27" ht="12" customHeight="1" x14ac:dyDescent="0.25">
      <c r="A228" s="155" t="s">
        <v>1307</v>
      </c>
      <c r="B228" s="155" t="s">
        <v>616</v>
      </c>
      <c r="C228" s="167">
        <v>0</v>
      </c>
      <c r="D228" s="167">
        <v>0</v>
      </c>
      <c r="E228" s="167">
        <v>0</v>
      </c>
      <c r="F228" s="167">
        <v>0</v>
      </c>
      <c r="G228" s="167">
        <v>0</v>
      </c>
      <c r="H228" s="167">
        <v>0</v>
      </c>
      <c r="I228" s="167">
        <v>0</v>
      </c>
      <c r="J228" s="167">
        <v>0</v>
      </c>
      <c r="K228" s="167">
        <v>0</v>
      </c>
      <c r="L228" s="167">
        <v>0</v>
      </c>
      <c r="M228" s="167">
        <v>0</v>
      </c>
      <c r="N228" s="167">
        <v>0</v>
      </c>
      <c r="O228" s="167">
        <v>0</v>
      </c>
      <c r="P228" s="167">
        <v>0</v>
      </c>
      <c r="Q228" s="167">
        <v>0</v>
      </c>
      <c r="R228" s="167">
        <v>0</v>
      </c>
      <c r="S228" s="167">
        <v>0</v>
      </c>
      <c r="T228" s="167">
        <v>0</v>
      </c>
      <c r="U228" s="168" t="e">
        <v>#DIV/0!</v>
      </c>
      <c r="V228" s="167">
        <v>0</v>
      </c>
      <c r="W228" s="167">
        <v>0</v>
      </c>
      <c r="X228" s="167">
        <v>0</v>
      </c>
      <c r="Y228" s="167">
        <v>0</v>
      </c>
      <c r="Z228" s="167">
        <v>0</v>
      </c>
      <c r="AA228" s="167">
        <v>0</v>
      </c>
    </row>
    <row r="229" spans="1:27" ht="12" customHeight="1" x14ac:dyDescent="0.25">
      <c r="A229" s="155" t="s">
        <v>1308</v>
      </c>
      <c r="B229" s="155" t="s">
        <v>617</v>
      </c>
      <c r="C229" s="167">
        <v>0</v>
      </c>
      <c r="D229" s="167">
        <v>0</v>
      </c>
      <c r="E229" s="167">
        <v>0</v>
      </c>
      <c r="F229" s="167">
        <v>0</v>
      </c>
      <c r="G229" s="167">
        <v>0</v>
      </c>
      <c r="H229" s="167">
        <v>0</v>
      </c>
      <c r="I229" s="167">
        <v>0</v>
      </c>
      <c r="J229" s="167">
        <v>0</v>
      </c>
      <c r="K229" s="167">
        <v>0</v>
      </c>
      <c r="L229" s="167">
        <v>0</v>
      </c>
      <c r="M229" s="167">
        <v>0</v>
      </c>
      <c r="N229" s="167">
        <v>0</v>
      </c>
      <c r="O229" s="167">
        <v>0</v>
      </c>
      <c r="P229" s="167">
        <v>0</v>
      </c>
      <c r="Q229" s="167">
        <v>0</v>
      </c>
      <c r="R229" s="167">
        <v>0</v>
      </c>
      <c r="S229" s="167">
        <v>0</v>
      </c>
      <c r="T229" s="167">
        <v>0</v>
      </c>
      <c r="U229" s="168" t="e">
        <v>#DIV/0!</v>
      </c>
      <c r="V229" s="167">
        <v>0</v>
      </c>
      <c r="W229" s="167">
        <v>0</v>
      </c>
      <c r="X229" s="167">
        <v>0</v>
      </c>
      <c r="Y229" s="167">
        <v>0</v>
      </c>
      <c r="Z229" s="167">
        <v>0</v>
      </c>
      <c r="AA229" s="167">
        <v>0</v>
      </c>
    </row>
    <row r="230" spans="1:27" ht="12" customHeight="1" x14ac:dyDescent="0.25">
      <c r="A230" s="155" t="s">
        <v>1309</v>
      </c>
      <c r="B230" s="155" t="s">
        <v>618</v>
      </c>
      <c r="C230" s="167">
        <v>0</v>
      </c>
      <c r="D230" s="167">
        <v>0</v>
      </c>
      <c r="E230" s="167">
        <v>0</v>
      </c>
      <c r="F230" s="167">
        <v>0</v>
      </c>
      <c r="G230" s="167">
        <v>0</v>
      </c>
      <c r="H230" s="167">
        <v>0</v>
      </c>
      <c r="I230" s="167">
        <v>0</v>
      </c>
      <c r="J230" s="167">
        <v>0</v>
      </c>
      <c r="K230" s="167">
        <v>0</v>
      </c>
      <c r="L230" s="167">
        <v>0</v>
      </c>
      <c r="M230" s="167">
        <v>0</v>
      </c>
      <c r="N230" s="167">
        <v>0</v>
      </c>
      <c r="O230" s="167">
        <v>0</v>
      </c>
      <c r="P230" s="167">
        <v>0</v>
      </c>
      <c r="Q230" s="167">
        <v>0</v>
      </c>
      <c r="R230" s="167">
        <v>0</v>
      </c>
      <c r="S230" s="167">
        <v>0</v>
      </c>
      <c r="T230" s="167">
        <v>0</v>
      </c>
      <c r="U230" s="168" t="e">
        <v>#DIV/0!</v>
      </c>
      <c r="V230" s="167">
        <v>0</v>
      </c>
      <c r="W230" s="167">
        <v>0</v>
      </c>
      <c r="X230" s="167">
        <v>0</v>
      </c>
      <c r="Y230" s="167">
        <v>0</v>
      </c>
      <c r="Z230" s="167">
        <v>0</v>
      </c>
      <c r="AA230" s="167">
        <v>0</v>
      </c>
    </row>
    <row r="231" spans="1:27" ht="12" customHeight="1" x14ac:dyDescent="0.25">
      <c r="A231" s="155" t="s">
        <v>1310</v>
      </c>
      <c r="B231" s="155" t="s">
        <v>619</v>
      </c>
      <c r="C231" s="167">
        <v>0</v>
      </c>
      <c r="D231" s="167">
        <v>0</v>
      </c>
      <c r="E231" s="167">
        <v>0</v>
      </c>
      <c r="F231" s="167">
        <v>0</v>
      </c>
      <c r="G231" s="167">
        <v>0</v>
      </c>
      <c r="H231" s="167">
        <v>0</v>
      </c>
      <c r="I231" s="167">
        <v>0</v>
      </c>
      <c r="J231" s="167">
        <v>0</v>
      </c>
      <c r="K231" s="167">
        <v>0</v>
      </c>
      <c r="L231" s="167">
        <v>0</v>
      </c>
      <c r="M231" s="167">
        <v>0</v>
      </c>
      <c r="N231" s="167">
        <v>0</v>
      </c>
      <c r="O231" s="167">
        <v>0</v>
      </c>
      <c r="P231" s="167">
        <v>0</v>
      </c>
      <c r="Q231" s="167">
        <v>0</v>
      </c>
      <c r="R231" s="167">
        <v>0</v>
      </c>
      <c r="S231" s="167">
        <v>0</v>
      </c>
      <c r="T231" s="167">
        <v>0</v>
      </c>
      <c r="U231" s="168" t="e">
        <v>#DIV/0!</v>
      </c>
      <c r="V231" s="167">
        <v>0</v>
      </c>
      <c r="W231" s="167">
        <v>0</v>
      </c>
      <c r="X231" s="167">
        <v>0</v>
      </c>
      <c r="Y231" s="167">
        <v>0</v>
      </c>
      <c r="Z231" s="167">
        <v>0</v>
      </c>
      <c r="AA231" s="167">
        <v>0</v>
      </c>
    </row>
    <row r="232" spans="1:27" ht="12" customHeight="1" x14ac:dyDescent="0.25">
      <c r="A232" s="155" t="s">
        <v>1311</v>
      </c>
      <c r="B232" s="162" t="s">
        <v>620</v>
      </c>
      <c r="C232" s="164">
        <v>0</v>
      </c>
      <c r="D232" s="164">
        <v>0</v>
      </c>
      <c r="E232" s="164">
        <v>0</v>
      </c>
      <c r="F232" s="164">
        <v>0</v>
      </c>
      <c r="G232" s="164">
        <v>0</v>
      </c>
      <c r="H232" s="164">
        <v>0</v>
      </c>
      <c r="I232" s="164">
        <v>0</v>
      </c>
      <c r="J232" s="164">
        <v>0</v>
      </c>
      <c r="K232" s="164">
        <v>0</v>
      </c>
      <c r="L232" s="164">
        <v>0</v>
      </c>
      <c r="M232" s="164">
        <v>0</v>
      </c>
      <c r="N232" s="164">
        <v>0</v>
      </c>
      <c r="O232" s="164">
        <v>0</v>
      </c>
      <c r="P232" s="164">
        <v>0</v>
      </c>
      <c r="Q232" s="164">
        <v>0</v>
      </c>
      <c r="R232" s="164">
        <v>0</v>
      </c>
      <c r="S232" s="164">
        <v>0</v>
      </c>
      <c r="T232" s="164">
        <v>0</v>
      </c>
      <c r="U232" s="165" t="e">
        <v>#DIV/0!</v>
      </c>
      <c r="V232" s="164">
        <v>0</v>
      </c>
      <c r="W232" s="164">
        <v>0</v>
      </c>
      <c r="X232" s="164">
        <v>0</v>
      </c>
      <c r="Y232" s="164">
        <v>0</v>
      </c>
      <c r="Z232" s="164">
        <v>0</v>
      </c>
      <c r="AA232" s="164">
        <v>0</v>
      </c>
    </row>
    <row r="233" spans="1:27" ht="12" customHeight="1" x14ac:dyDescent="0.25">
      <c r="A233" s="155" t="s">
        <v>1312</v>
      </c>
      <c r="B233" s="162" t="s">
        <v>621</v>
      </c>
      <c r="C233" s="164">
        <v>0</v>
      </c>
      <c r="D233" s="164">
        <v>0</v>
      </c>
      <c r="E233" s="164">
        <v>0</v>
      </c>
      <c r="F233" s="164">
        <v>0</v>
      </c>
      <c r="G233" s="164">
        <v>0</v>
      </c>
      <c r="H233" s="164">
        <v>0</v>
      </c>
      <c r="I233" s="164">
        <v>0</v>
      </c>
      <c r="J233" s="164">
        <v>0</v>
      </c>
      <c r="K233" s="164">
        <v>0</v>
      </c>
      <c r="L233" s="164">
        <v>0</v>
      </c>
      <c r="M233" s="164">
        <v>0</v>
      </c>
      <c r="N233" s="164">
        <v>0</v>
      </c>
      <c r="O233" s="164">
        <v>0</v>
      </c>
      <c r="P233" s="164">
        <v>0</v>
      </c>
      <c r="Q233" s="164">
        <v>0</v>
      </c>
      <c r="R233" s="164">
        <v>0</v>
      </c>
      <c r="S233" s="164">
        <v>0</v>
      </c>
      <c r="T233" s="164">
        <v>0</v>
      </c>
      <c r="U233" s="165" t="e">
        <v>#DIV/0!</v>
      </c>
      <c r="V233" s="164">
        <v>0</v>
      </c>
      <c r="W233" s="164">
        <v>0</v>
      </c>
      <c r="X233" s="164">
        <v>0</v>
      </c>
      <c r="Y233" s="164">
        <v>0</v>
      </c>
      <c r="Z233" s="164">
        <v>0</v>
      </c>
      <c r="AA233" s="164">
        <v>0</v>
      </c>
    </row>
    <row r="234" spans="1:27" ht="12" customHeight="1" x14ac:dyDescent="0.25">
      <c r="A234" s="155" t="s">
        <v>1313</v>
      </c>
      <c r="B234" s="162" t="s">
        <v>622</v>
      </c>
      <c r="C234" s="164">
        <v>0</v>
      </c>
      <c r="D234" s="164">
        <v>0</v>
      </c>
      <c r="E234" s="164">
        <v>0</v>
      </c>
      <c r="F234" s="164">
        <v>0</v>
      </c>
      <c r="G234" s="164">
        <v>0</v>
      </c>
      <c r="H234" s="164">
        <v>0</v>
      </c>
      <c r="I234" s="164">
        <v>0</v>
      </c>
      <c r="J234" s="164">
        <v>0</v>
      </c>
      <c r="K234" s="164">
        <v>0</v>
      </c>
      <c r="L234" s="164">
        <v>0</v>
      </c>
      <c r="M234" s="164">
        <v>0</v>
      </c>
      <c r="N234" s="164">
        <v>0</v>
      </c>
      <c r="O234" s="164">
        <v>0</v>
      </c>
      <c r="P234" s="164">
        <v>0</v>
      </c>
      <c r="Q234" s="164">
        <v>0</v>
      </c>
      <c r="R234" s="164">
        <v>0</v>
      </c>
      <c r="S234" s="164">
        <v>0</v>
      </c>
      <c r="T234" s="164">
        <v>0</v>
      </c>
      <c r="U234" s="165" t="e">
        <v>#DIV/0!</v>
      </c>
      <c r="V234" s="164">
        <v>0</v>
      </c>
      <c r="W234" s="164">
        <v>0</v>
      </c>
      <c r="X234" s="164">
        <v>0</v>
      </c>
      <c r="Y234" s="164">
        <v>0</v>
      </c>
      <c r="Z234" s="164">
        <v>0</v>
      </c>
      <c r="AA234" s="164">
        <v>0</v>
      </c>
    </row>
    <row r="235" spans="1:27" ht="12" customHeight="1" x14ac:dyDescent="0.25">
      <c r="A235" s="155" t="s">
        <v>1314</v>
      </c>
      <c r="B235" s="162" t="s">
        <v>623</v>
      </c>
      <c r="C235" s="164">
        <v>0</v>
      </c>
      <c r="D235" s="164">
        <v>0</v>
      </c>
      <c r="E235" s="164">
        <v>0</v>
      </c>
      <c r="F235" s="164">
        <v>0</v>
      </c>
      <c r="G235" s="164">
        <v>0</v>
      </c>
      <c r="H235" s="164">
        <v>0</v>
      </c>
      <c r="I235" s="164">
        <v>0</v>
      </c>
      <c r="J235" s="164">
        <v>0</v>
      </c>
      <c r="K235" s="164">
        <v>0</v>
      </c>
      <c r="L235" s="164">
        <v>0</v>
      </c>
      <c r="M235" s="164">
        <v>0</v>
      </c>
      <c r="N235" s="164">
        <v>0</v>
      </c>
      <c r="O235" s="164">
        <v>0</v>
      </c>
      <c r="P235" s="164">
        <v>0</v>
      </c>
      <c r="Q235" s="164">
        <v>0</v>
      </c>
      <c r="R235" s="164">
        <v>0</v>
      </c>
      <c r="S235" s="164">
        <v>0</v>
      </c>
      <c r="T235" s="164">
        <v>0</v>
      </c>
      <c r="U235" s="165" t="e">
        <v>#DIV/0!</v>
      </c>
      <c r="V235" s="164">
        <v>0</v>
      </c>
      <c r="W235" s="164">
        <v>0</v>
      </c>
      <c r="X235" s="164">
        <v>0</v>
      </c>
      <c r="Y235" s="164">
        <v>0</v>
      </c>
      <c r="Z235" s="164">
        <v>0</v>
      </c>
      <c r="AA235" s="164">
        <v>0</v>
      </c>
    </row>
    <row r="236" spans="1:27" ht="12" customHeight="1" x14ac:dyDescent="0.25">
      <c r="A236" s="155"/>
      <c r="B236" s="162" t="s">
        <v>624</v>
      </c>
      <c r="C236" s="163">
        <v>0</v>
      </c>
      <c r="D236" s="163">
        <v>0</v>
      </c>
      <c r="E236" s="163">
        <v>0</v>
      </c>
      <c r="F236" s="163">
        <v>0</v>
      </c>
      <c r="G236" s="163">
        <v>0</v>
      </c>
      <c r="H236" s="163">
        <v>0</v>
      </c>
      <c r="I236" s="163">
        <v>0</v>
      </c>
      <c r="J236" s="163">
        <v>0</v>
      </c>
      <c r="K236" s="163">
        <v>0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3">
        <v>0</v>
      </c>
      <c r="R236" s="163">
        <v>0</v>
      </c>
      <c r="S236" s="163">
        <v>0</v>
      </c>
      <c r="T236" s="164">
        <v>0</v>
      </c>
      <c r="U236" s="165" t="e">
        <v>#DIV/0!</v>
      </c>
      <c r="V236" s="164">
        <v>0</v>
      </c>
      <c r="W236" s="164">
        <v>0</v>
      </c>
      <c r="X236" s="164">
        <v>0</v>
      </c>
      <c r="Y236" s="164">
        <v>0</v>
      </c>
      <c r="Z236" s="164">
        <v>0</v>
      </c>
      <c r="AA236" s="164">
        <v>0</v>
      </c>
    </row>
    <row r="237" spans="1:27" ht="12" customHeight="1" x14ac:dyDescent="0.25">
      <c r="A237" s="155"/>
      <c r="B237" s="155" t="s">
        <v>625</v>
      </c>
      <c r="C237" s="169">
        <v>0</v>
      </c>
      <c r="D237" s="169">
        <v>0</v>
      </c>
      <c r="E237" s="169">
        <v>0</v>
      </c>
      <c r="F237" s="169">
        <v>0</v>
      </c>
      <c r="G237" s="169">
        <v>0</v>
      </c>
      <c r="H237" s="169">
        <v>0</v>
      </c>
      <c r="I237" s="169">
        <v>0</v>
      </c>
      <c r="J237" s="169">
        <v>0</v>
      </c>
      <c r="K237" s="169">
        <v>0</v>
      </c>
      <c r="L237" s="169">
        <v>0</v>
      </c>
      <c r="M237" s="169">
        <v>0</v>
      </c>
      <c r="N237" s="169">
        <v>0</v>
      </c>
      <c r="O237" s="169">
        <v>0</v>
      </c>
      <c r="P237" s="169">
        <v>0</v>
      </c>
      <c r="Q237" s="169">
        <v>0</v>
      </c>
      <c r="R237" s="169">
        <v>0</v>
      </c>
      <c r="S237" s="169">
        <v>0</v>
      </c>
      <c r="T237" s="167">
        <v>0</v>
      </c>
      <c r="U237" s="168" t="e">
        <v>#DIV/0!</v>
      </c>
      <c r="V237" s="167">
        <v>0</v>
      </c>
      <c r="W237" s="167">
        <v>0</v>
      </c>
      <c r="X237" s="167">
        <v>0</v>
      </c>
      <c r="Y237" s="167">
        <v>0</v>
      </c>
      <c r="Z237" s="167">
        <v>0</v>
      </c>
      <c r="AA237" s="167">
        <v>0</v>
      </c>
    </row>
    <row r="238" spans="1:27" ht="12" customHeight="1" x14ac:dyDescent="0.25">
      <c r="A238" s="155"/>
      <c r="B238" s="166" t="s">
        <v>626</v>
      </c>
      <c r="C238" s="169">
        <v>0</v>
      </c>
      <c r="D238" s="169">
        <v>0</v>
      </c>
      <c r="E238" s="169">
        <v>0</v>
      </c>
      <c r="F238" s="169">
        <v>0</v>
      </c>
      <c r="G238" s="169">
        <v>0</v>
      </c>
      <c r="H238" s="169">
        <v>0</v>
      </c>
      <c r="I238" s="169">
        <v>0</v>
      </c>
      <c r="J238" s="169">
        <v>0</v>
      </c>
      <c r="K238" s="169">
        <v>0</v>
      </c>
      <c r="L238" s="169">
        <v>0</v>
      </c>
      <c r="M238" s="169">
        <v>0</v>
      </c>
      <c r="N238" s="169">
        <v>0</v>
      </c>
      <c r="O238" s="169">
        <v>0</v>
      </c>
      <c r="P238" s="169">
        <v>0</v>
      </c>
      <c r="Q238" s="169">
        <v>0</v>
      </c>
      <c r="R238" s="169">
        <v>0</v>
      </c>
      <c r="S238" s="169">
        <v>0</v>
      </c>
      <c r="T238" s="167">
        <v>0</v>
      </c>
      <c r="U238" s="168" t="e">
        <v>#DIV/0!</v>
      </c>
      <c r="V238" s="167">
        <v>0</v>
      </c>
      <c r="W238" s="167">
        <v>0</v>
      </c>
      <c r="X238" s="167">
        <v>0</v>
      </c>
      <c r="Y238" s="167">
        <v>0</v>
      </c>
      <c r="Z238" s="167">
        <v>0</v>
      </c>
      <c r="AA238" s="167">
        <v>0</v>
      </c>
    </row>
    <row r="239" spans="1:27" ht="12" customHeight="1" x14ac:dyDescent="0.25">
      <c r="A239" s="155" t="s">
        <v>1315</v>
      </c>
      <c r="B239" s="170" t="s">
        <v>627</v>
      </c>
      <c r="C239" s="167">
        <v>0</v>
      </c>
      <c r="D239" s="167">
        <v>0</v>
      </c>
      <c r="E239" s="167">
        <v>0</v>
      </c>
      <c r="F239" s="167">
        <v>0</v>
      </c>
      <c r="G239" s="167">
        <v>0</v>
      </c>
      <c r="H239" s="167">
        <v>0</v>
      </c>
      <c r="I239" s="167">
        <v>0</v>
      </c>
      <c r="J239" s="167">
        <v>0</v>
      </c>
      <c r="K239" s="167">
        <v>0</v>
      </c>
      <c r="L239" s="167">
        <v>0</v>
      </c>
      <c r="M239" s="167">
        <v>0</v>
      </c>
      <c r="N239" s="167">
        <v>0</v>
      </c>
      <c r="O239" s="167">
        <v>0</v>
      </c>
      <c r="P239" s="167">
        <v>0</v>
      </c>
      <c r="Q239" s="167">
        <v>0</v>
      </c>
      <c r="R239" s="167">
        <v>0</v>
      </c>
      <c r="S239" s="167">
        <v>0</v>
      </c>
      <c r="T239" s="167">
        <v>0</v>
      </c>
      <c r="U239" s="168" t="e">
        <v>#DIV/0!</v>
      </c>
      <c r="V239" s="167">
        <v>0</v>
      </c>
      <c r="W239" s="167">
        <v>0</v>
      </c>
      <c r="X239" s="167">
        <v>0</v>
      </c>
      <c r="Y239" s="167">
        <v>0</v>
      </c>
      <c r="Z239" s="167">
        <v>0</v>
      </c>
      <c r="AA239" s="167">
        <v>0</v>
      </c>
    </row>
    <row r="240" spans="1:27" ht="12" customHeight="1" x14ac:dyDescent="0.25">
      <c r="A240" s="155" t="s">
        <v>1316</v>
      </c>
      <c r="B240" s="170" t="s">
        <v>628</v>
      </c>
      <c r="C240" s="167">
        <v>0</v>
      </c>
      <c r="D240" s="167">
        <v>0</v>
      </c>
      <c r="E240" s="167">
        <v>0</v>
      </c>
      <c r="F240" s="167">
        <v>0</v>
      </c>
      <c r="G240" s="167">
        <v>0</v>
      </c>
      <c r="H240" s="167">
        <v>0</v>
      </c>
      <c r="I240" s="167">
        <v>0</v>
      </c>
      <c r="J240" s="167">
        <v>0</v>
      </c>
      <c r="K240" s="167">
        <v>0</v>
      </c>
      <c r="L240" s="167">
        <v>0</v>
      </c>
      <c r="M240" s="167">
        <v>0</v>
      </c>
      <c r="N240" s="167">
        <v>0</v>
      </c>
      <c r="O240" s="167">
        <v>0</v>
      </c>
      <c r="P240" s="167">
        <v>0</v>
      </c>
      <c r="Q240" s="167">
        <v>0</v>
      </c>
      <c r="R240" s="167">
        <v>0</v>
      </c>
      <c r="S240" s="167">
        <v>0</v>
      </c>
      <c r="T240" s="167">
        <v>0</v>
      </c>
      <c r="U240" s="168" t="e">
        <v>#DIV/0!</v>
      </c>
      <c r="V240" s="167">
        <v>0</v>
      </c>
      <c r="W240" s="167">
        <v>0</v>
      </c>
      <c r="X240" s="167">
        <v>0</v>
      </c>
      <c r="Y240" s="167">
        <v>0</v>
      </c>
      <c r="Z240" s="167">
        <v>0</v>
      </c>
      <c r="AA240" s="167">
        <v>0</v>
      </c>
    </row>
    <row r="241" spans="1:27" ht="12" customHeight="1" x14ac:dyDescent="0.25">
      <c r="A241" s="155"/>
      <c r="B241" s="166" t="s">
        <v>1317</v>
      </c>
      <c r="C241" s="167">
        <v>0</v>
      </c>
      <c r="D241" s="167">
        <v>0</v>
      </c>
      <c r="E241" s="167">
        <v>0</v>
      </c>
      <c r="F241" s="167">
        <v>0</v>
      </c>
      <c r="G241" s="167">
        <v>0</v>
      </c>
      <c r="H241" s="167">
        <v>0</v>
      </c>
      <c r="I241" s="167">
        <v>0</v>
      </c>
      <c r="J241" s="167">
        <v>0</v>
      </c>
      <c r="K241" s="167">
        <v>0</v>
      </c>
      <c r="L241" s="167">
        <v>0</v>
      </c>
      <c r="M241" s="167">
        <v>0</v>
      </c>
      <c r="N241" s="167">
        <v>0</v>
      </c>
      <c r="O241" s="167">
        <v>0</v>
      </c>
      <c r="P241" s="167">
        <v>0</v>
      </c>
      <c r="Q241" s="167">
        <v>0</v>
      </c>
      <c r="R241" s="167">
        <v>0</v>
      </c>
      <c r="S241" s="167">
        <v>0</v>
      </c>
      <c r="T241" s="167">
        <v>0</v>
      </c>
      <c r="U241" s="168" t="e">
        <v>#DIV/0!</v>
      </c>
      <c r="V241" s="167">
        <v>0</v>
      </c>
      <c r="W241" s="167">
        <v>0</v>
      </c>
      <c r="X241" s="167">
        <v>0</v>
      </c>
      <c r="Y241" s="167">
        <v>0</v>
      </c>
      <c r="Z241" s="167">
        <v>0</v>
      </c>
      <c r="AA241" s="167">
        <v>0</v>
      </c>
    </row>
    <row r="242" spans="1:27" ht="12" customHeight="1" x14ac:dyDescent="0.25">
      <c r="A242" s="155" t="s">
        <v>1318</v>
      </c>
      <c r="B242" s="170" t="s">
        <v>1319</v>
      </c>
      <c r="C242" s="167">
        <v>0</v>
      </c>
      <c r="D242" s="167">
        <v>0</v>
      </c>
      <c r="E242" s="167">
        <v>0</v>
      </c>
      <c r="F242" s="167">
        <v>0</v>
      </c>
      <c r="G242" s="167">
        <v>0</v>
      </c>
      <c r="H242" s="167">
        <v>0</v>
      </c>
      <c r="I242" s="167">
        <v>0</v>
      </c>
      <c r="J242" s="167">
        <v>0</v>
      </c>
      <c r="K242" s="167">
        <v>0</v>
      </c>
      <c r="L242" s="167">
        <v>0</v>
      </c>
      <c r="M242" s="167">
        <v>0</v>
      </c>
      <c r="N242" s="167">
        <v>0</v>
      </c>
      <c r="O242" s="167">
        <v>0</v>
      </c>
      <c r="P242" s="167">
        <v>0</v>
      </c>
      <c r="Q242" s="167">
        <v>0</v>
      </c>
      <c r="R242" s="167">
        <v>0</v>
      </c>
      <c r="S242" s="167">
        <v>0</v>
      </c>
      <c r="T242" s="167">
        <v>0</v>
      </c>
      <c r="U242" s="168" t="e">
        <v>#DIV/0!</v>
      </c>
      <c r="V242" s="167">
        <v>0</v>
      </c>
      <c r="W242" s="167">
        <v>0</v>
      </c>
      <c r="X242" s="167">
        <v>0</v>
      </c>
      <c r="Y242" s="167">
        <v>0</v>
      </c>
      <c r="Z242" s="167">
        <v>0</v>
      </c>
      <c r="AA242" s="167">
        <v>0</v>
      </c>
    </row>
    <row r="243" spans="1:27" ht="12" customHeight="1" x14ac:dyDescent="0.25">
      <c r="A243" s="155" t="s">
        <v>1320</v>
      </c>
      <c r="B243" s="170" t="s">
        <v>1321</v>
      </c>
      <c r="C243" s="167">
        <v>0</v>
      </c>
      <c r="D243" s="167">
        <v>0</v>
      </c>
      <c r="E243" s="167">
        <v>0</v>
      </c>
      <c r="F243" s="167">
        <v>0</v>
      </c>
      <c r="G243" s="167">
        <v>0</v>
      </c>
      <c r="H243" s="167">
        <v>0</v>
      </c>
      <c r="I243" s="167">
        <v>0</v>
      </c>
      <c r="J243" s="167">
        <v>0</v>
      </c>
      <c r="K243" s="167">
        <v>0</v>
      </c>
      <c r="L243" s="167">
        <v>0</v>
      </c>
      <c r="M243" s="167">
        <v>0</v>
      </c>
      <c r="N243" s="167">
        <v>0</v>
      </c>
      <c r="O243" s="167">
        <v>0</v>
      </c>
      <c r="P243" s="167">
        <v>0</v>
      </c>
      <c r="Q243" s="167">
        <v>0</v>
      </c>
      <c r="R243" s="167">
        <v>0</v>
      </c>
      <c r="S243" s="167">
        <v>0</v>
      </c>
      <c r="T243" s="167">
        <v>0</v>
      </c>
      <c r="U243" s="168" t="e">
        <v>#DIV/0!</v>
      </c>
      <c r="V243" s="167">
        <v>0</v>
      </c>
      <c r="W243" s="167">
        <v>0</v>
      </c>
      <c r="X243" s="167">
        <v>0</v>
      </c>
      <c r="Y243" s="167">
        <v>0</v>
      </c>
      <c r="Z243" s="167">
        <v>0</v>
      </c>
      <c r="AA243" s="167">
        <v>0</v>
      </c>
    </row>
    <row r="244" spans="1:27" ht="12" customHeight="1" x14ac:dyDescent="0.25">
      <c r="A244" s="155" t="s">
        <v>1322</v>
      </c>
      <c r="B244" s="166" t="s">
        <v>629</v>
      </c>
      <c r="C244" s="167">
        <v>0</v>
      </c>
      <c r="D244" s="167">
        <v>0</v>
      </c>
      <c r="E244" s="167">
        <v>0</v>
      </c>
      <c r="F244" s="167">
        <v>0</v>
      </c>
      <c r="G244" s="167">
        <v>0</v>
      </c>
      <c r="H244" s="167">
        <v>0</v>
      </c>
      <c r="I244" s="167">
        <v>0</v>
      </c>
      <c r="J244" s="167">
        <v>0</v>
      </c>
      <c r="K244" s="167">
        <v>0</v>
      </c>
      <c r="L244" s="167">
        <v>0</v>
      </c>
      <c r="M244" s="167">
        <v>0</v>
      </c>
      <c r="N244" s="167">
        <v>0</v>
      </c>
      <c r="O244" s="167">
        <v>0</v>
      </c>
      <c r="P244" s="167">
        <v>0</v>
      </c>
      <c r="Q244" s="167">
        <v>0</v>
      </c>
      <c r="R244" s="167">
        <v>0</v>
      </c>
      <c r="S244" s="167">
        <v>0</v>
      </c>
      <c r="T244" s="167">
        <v>0</v>
      </c>
      <c r="U244" s="168" t="e">
        <v>#DIV/0!</v>
      </c>
      <c r="V244" s="167">
        <v>0</v>
      </c>
      <c r="W244" s="167">
        <v>0</v>
      </c>
      <c r="X244" s="167">
        <v>0</v>
      </c>
      <c r="Y244" s="167">
        <v>0</v>
      </c>
      <c r="Z244" s="167">
        <v>0</v>
      </c>
      <c r="AA244" s="167">
        <v>0</v>
      </c>
    </row>
    <row r="245" spans="1:27" ht="12" customHeight="1" x14ac:dyDescent="0.25">
      <c r="A245" s="155" t="s">
        <v>1323</v>
      </c>
      <c r="B245" s="166" t="s">
        <v>630</v>
      </c>
      <c r="C245" s="167">
        <v>0</v>
      </c>
      <c r="D245" s="167">
        <v>0</v>
      </c>
      <c r="E245" s="167">
        <v>0</v>
      </c>
      <c r="F245" s="167">
        <v>0</v>
      </c>
      <c r="G245" s="167">
        <v>0</v>
      </c>
      <c r="H245" s="167">
        <v>0</v>
      </c>
      <c r="I245" s="167">
        <v>0</v>
      </c>
      <c r="J245" s="167">
        <v>0</v>
      </c>
      <c r="K245" s="167">
        <v>0</v>
      </c>
      <c r="L245" s="167">
        <v>0</v>
      </c>
      <c r="M245" s="167">
        <v>0</v>
      </c>
      <c r="N245" s="167">
        <v>0</v>
      </c>
      <c r="O245" s="167">
        <v>0</v>
      </c>
      <c r="P245" s="167">
        <v>0</v>
      </c>
      <c r="Q245" s="167">
        <v>0</v>
      </c>
      <c r="R245" s="167">
        <v>0</v>
      </c>
      <c r="S245" s="167">
        <v>0</v>
      </c>
      <c r="T245" s="167">
        <v>0</v>
      </c>
      <c r="U245" s="168" t="e">
        <v>#DIV/0!</v>
      </c>
      <c r="V245" s="167">
        <v>0</v>
      </c>
      <c r="W245" s="167">
        <v>0</v>
      </c>
      <c r="X245" s="167">
        <v>0</v>
      </c>
      <c r="Y245" s="167">
        <v>0</v>
      </c>
      <c r="Z245" s="167">
        <v>0</v>
      </c>
      <c r="AA245" s="167">
        <v>0</v>
      </c>
    </row>
    <row r="246" spans="1:27" ht="12" customHeight="1" x14ac:dyDescent="0.25">
      <c r="A246" s="155" t="s">
        <v>1324</v>
      </c>
      <c r="B246" s="155" t="s">
        <v>631</v>
      </c>
      <c r="C246" s="167">
        <v>0</v>
      </c>
      <c r="D246" s="167">
        <v>0</v>
      </c>
      <c r="E246" s="167">
        <v>0</v>
      </c>
      <c r="F246" s="167">
        <v>0</v>
      </c>
      <c r="G246" s="167">
        <v>0</v>
      </c>
      <c r="H246" s="167">
        <v>0</v>
      </c>
      <c r="I246" s="167">
        <v>0</v>
      </c>
      <c r="J246" s="167">
        <v>0</v>
      </c>
      <c r="K246" s="167">
        <v>0</v>
      </c>
      <c r="L246" s="167">
        <v>0</v>
      </c>
      <c r="M246" s="167">
        <v>0</v>
      </c>
      <c r="N246" s="167">
        <v>0</v>
      </c>
      <c r="O246" s="167">
        <v>0</v>
      </c>
      <c r="P246" s="167">
        <v>0</v>
      </c>
      <c r="Q246" s="167">
        <v>0</v>
      </c>
      <c r="R246" s="167">
        <v>0</v>
      </c>
      <c r="S246" s="167">
        <v>0</v>
      </c>
      <c r="T246" s="167">
        <v>0</v>
      </c>
      <c r="U246" s="168" t="e">
        <v>#DIV/0!</v>
      </c>
      <c r="V246" s="167">
        <v>0</v>
      </c>
      <c r="W246" s="167">
        <v>0</v>
      </c>
      <c r="X246" s="167">
        <v>0</v>
      </c>
      <c r="Y246" s="167">
        <v>0</v>
      </c>
      <c r="Z246" s="167">
        <v>0</v>
      </c>
      <c r="AA246" s="167">
        <v>0</v>
      </c>
    </row>
    <row r="247" spans="1:27" ht="12" customHeight="1" x14ac:dyDescent="0.25">
      <c r="A247" s="155" t="s">
        <v>1325</v>
      </c>
      <c r="B247" s="155" t="s">
        <v>632</v>
      </c>
      <c r="C247" s="167">
        <v>0</v>
      </c>
      <c r="D247" s="167">
        <v>0</v>
      </c>
      <c r="E247" s="167">
        <v>0</v>
      </c>
      <c r="F247" s="167">
        <v>0</v>
      </c>
      <c r="G247" s="167">
        <v>0</v>
      </c>
      <c r="H247" s="167">
        <v>0</v>
      </c>
      <c r="I247" s="167">
        <v>0</v>
      </c>
      <c r="J247" s="167">
        <v>0</v>
      </c>
      <c r="K247" s="167">
        <v>0</v>
      </c>
      <c r="L247" s="167">
        <v>0</v>
      </c>
      <c r="M247" s="167">
        <v>0</v>
      </c>
      <c r="N247" s="167">
        <v>0</v>
      </c>
      <c r="O247" s="167">
        <v>0</v>
      </c>
      <c r="P247" s="167">
        <v>0</v>
      </c>
      <c r="Q247" s="167">
        <v>0</v>
      </c>
      <c r="R247" s="167">
        <v>0</v>
      </c>
      <c r="S247" s="167">
        <v>0</v>
      </c>
      <c r="T247" s="167">
        <v>0</v>
      </c>
      <c r="U247" s="168" t="e">
        <v>#DIV/0!</v>
      </c>
      <c r="V247" s="167">
        <v>0</v>
      </c>
      <c r="W247" s="167">
        <v>0</v>
      </c>
      <c r="X247" s="167">
        <v>0</v>
      </c>
      <c r="Y247" s="167">
        <v>0</v>
      </c>
      <c r="Z247" s="167">
        <v>0</v>
      </c>
      <c r="AA247" s="167">
        <v>0</v>
      </c>
    </row>
    <row r="248" spans="1:27" ht="12" customHeight="1" x14ac:dyDescent="0.25">
      <c r="A248" s="155" t="s">
        <v>1326</v>
      </c>
      <c r="B248" s="155" t="s">
        <v>633</v>
      </c>
      <c r="C248" s="167">
        <v>0</v>
      </c>
      <c r="D248" s="167">
        <v>0</v>
      </c>
      <c r="E248" s="167">
        <v>0</v>
      </c>
      <c r="F248" s="167">
        <v>0</v>
      </c>
      <c r="G248" s="167">
        <v>0</v>
      </c>
      <c r="H248" s="167">
        <v>0</v>
      </c>
      <c r="I248" s="167">
        <v>0</v>
      </c>
      <c r="J248" s="167">
        <v>0</v>
      </c>
      <c r="K248" s="167">
        <v>0</v>
      </c>
      <c r="L248" s="167">
        <v>0</v>
      </c>
      <c r="M248" s="167">
        <v>0</v>
      </c>
      <c r="N248" s="167">
        <v>0</v>
      </c>
      <c r="O248" s="167">
        <v>0</v>
      </c>
      <c r="P248" s="167">
        <v>0</v>
      </c>
      <c r="Q248" s="167">
        <v>0</v>
      </c>
      <c r="R248" s="167">
        <v>0</v>
      </c>
      <c r="S248" s="167">
        <v>0</v>
      </c>
      <c r="T248" s="167">
        <v>0</v>
      </c>
      <c r="U248" s="168" t="e">
        <v>#DIV/0!</v>
      </c>
      <c r="V248" s="167">
        <v>0</v>
      </c>
      <c r="W248" s="167">
        <v>0</v>
      </c>
      <c r="X248" s="167">
        <v>0</v>
      </c>
      <c r="Y248" s="167">
        <v>0</v>
      </c>
      <c r="Z248" s="167">
        <v>0</v>
      </c>
      <c r="AA248" s="167">
        <v>0</v>
      </c>
    </row>
    <row r="249" spans="1:27" ht="12" customHeight="1" x14ac:dyDescent="0.25">
      <c r="A249" s="155" t="s">
        <v>1327</v>
      </c>
      <c r="B249" s="155" t="s">
        <v>634</v>
      </c>
      <c r="C249" s="167">
        <v>0</v>
      </c>
      <c r="D249" s="167">
        <v>0</v>
      </c>
      <c r="E249" s="167">
        <v>0</v>
      </c>
      <c r="F249" s="167">
        <v>0</v>
      </c>
      <c r="G249" s="167">
        <v>0</v>
      </c>
      <c r="H249" s="167">
        <v>0</v>
      </c>
      <c r="I249" s="167">
        <v>0</v>
      </c>
      <c r="J249" s="167">
        <v>0</v>
      </c>
      <c r="K249" s="167">
        <v>0</v>
      </c>
      <c r="L249" s="167">
        <v>0</v>
      </c>
      <c r="M249" s="167">
        <v>0</v>
      </c>
      <c r="N249" s="167">
        <v>0</v>
      </c>
      <c r="O249" s="167">
        <v>0</v>
      </c>
      <c r="P249" s="167">
        <v>0</v>
      </c>
      <c r="Q249" s="167">
        <v>0</v>
      </c>
      <c r="R249" s="167">
        <v>0</v>
      </c>
      <c r="S249" s="167">
        <v>0</v>
      </c>
      <c r="T249" s="167">
        <v>0</v>
      </c>
      <c r="U249" s="168" t="e">
        <v>#DIV/0!</v>
      </c>
      <c r="V249" s="167">
        <v>0</v>
      </c>
      <c r="W249" s="167">
        <v>0</v>
      </c>
      <c r="X249" s="167">
        <v>0</v>
      </c>
      <c r="Y249" s="167">
        <v>0</v>
      </c>
      <c r="Z249" s="167">
        <v>0</v>
      </c>
      <c r="AA249" s="167">
        <v>0</v>
      </c>
    </row>
    <row r="250" spans="1:27" ht="12" customHeight="1" x14ac:dyDescent="0.25">
      <c r="A250" s="155" t="s">
        <v>1328</v>
      </c>
      <c r="B250" s="155" t="s">
        <v>635</v>
      </c>
      <c r="C250" s="167">
        <v>0</v>
      </c>
      <c r="D250" s="167">
        <v>0</v>
      </c>
      <c r="E250" s="167">
        <v>0</v>
      </c>
      <c r="F250" s="167">
        <v>0</v>
      </c>
      <c r="G250" s="167">
        <v>0</v>
      </c>
      <c r="H250" s="167">
        <v>0</v>
      </c>
      <c r="I250" s="167">
        <v>0</v>
      </c>
      <c r="J250" s="167">
        <v>0</v>
      </c>
      <c r="K250" s="167">
        <v>0</v>
      </c>
      <c r="L250" s="167">
        <v>0</v>
      </c>
      <c r="M250" s="167">
        <v>0</v>
      </c>
      <c r="N250" s="167">
        <v>0</v>
      </c>
      <c r="O250" s="167">
        <v>0</v>
      </c>
      <c r="P250" s="167">
        <v>0</v>
      </c>
      <c r="Q250" s="167">
        <v>0</v>
      </c>
      <c r="R250" s="167">
        <v>0</v>
      </c>
      <c r="S250" s="167">
        <v>0</v>
      </c>
      <c r="T250" s="167">
        <v>0</v>
      </c>
      <c r="U250" s="168" t="e">
        <v>#DIV/0!</v>
      </c>
      <c r="V250" s="167">
        <v>0</v>
      </c>
      <c r="W250" s="167">
        <v>0</v>
      </c>
      <c r="X250" s="167">
        <v>0</v>
      </c>
      <c r="Y250" s="167">
        <v>0</v>
      </c>
      <c r="Z250" s="167">
        <v>0</v>
      </c>
      <c r="AA250" s="167">
        <v>0</v>
      </c>
    </row>
    <row r="251" spans="1:27" ht="12" customHeight="1" x14ac:dyDescent="0.25">
      <c r="A251" s="155"/>
      <c r="B251" s="162" t="s">
        <v>636</v>
      </c>
      <c r="C251" s="163">
        <v>0</v>
      </c>
      <c r="D251" s="163">
        <v>0</v>
      </c>
      <c r="E251" s="163">
        <v>0</v>
      </c>
      <c r="F251" s="163">
        <v>0</v>
      </c>
      <c r="G251" s="163">
        <v>0</v>
      </c>
      <c r="H251" s="163">
        <v>0</v>
      </c>
      <c r="I251" s="163">
        <v>0</v>
      </c>
      <c r="J251" s="163">
        <v>0</v>
      </c>
      <c r="K251" s="163">
        <v>0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3">
        <v>0</v>
      </c>
      <c r="R251" s="163">
        <v>0</v>
      </c>
      <c r="S251" s="163">
        <v>0</v>
      </c>
      <c r="T251" s="164">
        <v>0</v>
      </c>
      <c r="U251" s="165" t="e">
        <v>#DIV/0!</v>
      </c>
      <c r="V251" s="164">
        <v>0</v>
      </c>
      <c r="W251" s="164">
        <v>0</v>
      </c>
      <c r="X251" s="164">
        <v>0</v>
      </c>
      <c r="Y251" s="164">
        <v>0</v>
      </c>
      <c r="Z251" s="164">
        <v>0</v>
      </c>
      <c r="AA251" s="164">
        <v>0</v>
      </c>
    </row>
    <row r="252" spans="1:27" ht="12" customHeight="1" x14ac:dyDescent="0.25">
      <c r="A252" s="155" t="s">
        <v>1329</v>
      </c>
      <c r="B252" s="155" t="s">
        <v>637</v>
      </c>
      <c r="C252" s="167">
        <v>0</v>
      </c>
      <c r="D252" s="167">
        <v>0</v>
      </c>
      <c r="E252" s="167">
        <v>0</v>
      </c>
      <c r="F252" s="167">
        <v>0</v>
      </c>
      <c r="G252" s="167">
        <v>0</v>
      </c>
      <c r="H252" s="167">
        <v>0</v>
      </c>
      <c r="I252" s="167">
        <v>0</v>
      </c>
      <c r="J252" s="167">
        <v>0</v>
      </c>
      <c r="K252" s="167">
        <v>0</v>
      </c>
      <c r="L252" s="167">
        <v>0</v>
      </c>
      <c r="M252" s="167">
        <v>0</v>
      </c>
      <c r="N252" s="167">
        <v>0</v>
      </c>
      <c r="O252" s="167">
        <v>0</v>
      </c>
      <c r="P252" s="167">
        <v>0</v>
      </c>
      <c r="Q252" s="167">
        <v>0</v>
      </c>
      <c r="R252" s="167">
        <v>0</v>
      </c>
      <c r="S252" s="167">
        <v>0</v>
      </c>
      <c r="T252" s="167">
        <v>0</v>
      </c>
      <c r="U252" s="168" t="e">
        <v>#DIV/0!</v>
      </c>
      <c r="V252" s="167">
        <v>0</v>
      </c>
      <c r="W252" s="167">
        <v>0</v>
      </c>
      <c r="X252" s="167">
        <v>0</v>
      </c>
      <c r="Y252" s="167">
        <v>0</v>
      </c>
      <c r="Z252" s="167">
        <v>0</v>
      </c>
      <c r="AA252" s="167">
        <v>0</v>
      </c>
    </row>
    <row r="253" spans="1:27" ht="12" customHeight="1" x14ac:dyDescent="0.25">
      <c r="A253" s="155" t="s">
        <v>1330</v>
      </c>
      <c r="B253" s="155" t="s">
        <v>638</v>
      </c>
      <c r="C253" s="167">
        <v>0</v>
      </c>
      <c r="D253" s="167">
        <v>0</v>
      </c>
      <c r="E253" s="167">
        <v>0</v>
      </c>
      <c r="F253" s="167">
        <v>0</v>
      </c>
      <c r="G253" s="167">
        <v>0</v>
      </c>
      <c r="H253" s="167">
        <v>0</v>
      </c>
      <c r="I253" s="167">
        <v>0</v>
      </c>
      <c r="J253" s="167">
        <v>0</v>
      </c>
      <c r="K253" s="167">
        <v>0</v>
      </c>
      <c r="L253" s="167">
        <v>0</v>
      </c>
      <c r="M253" s="167">
        <v>0</v>
      </c>
      <c r="N253" s="167">
        <v>0</v>
      </c>
      <c r="O253" s="167">
        <v>0</v>
      </c>
      <c r="P253" s="167">
        <v>0</v>
      </c>
      <c r="Q253" s="167">
        <v>0</v>
      </c>
      <c r="R253" s="167">
        <v>0</v>
      </c>
      <c r="S253" s="167">
        <v>0</v>
      </c>
      <c r="T253" s="167">
        <v>0</v>
      </c>
      <c r="U253" s="168" t="e">
        <v>#DIV/0!</v>
      </c>
      <c r="V253" s="167">
        <v>0</v>
      </c>
      <c r="W253" s="167">
        <v>0</v>
      </c>
      <c r="X253" s="167">
        <v>0</v>
      </c>
      <c r="Y253" s="167">
        <v>0</v>
      </c>
      <c r="Z253" s="167">
        <v>0</v>
      </c>
      <c r="AA253" s="167">
        <v>0</v>
      </c>
    </row>
    <row r="254" spans="1:27" ht="12" customHeight="1" x14ac:dyDescent="0.25">
      <c r="A254" s="155" t="s">
        <v>1331</v>
      </c>
      <c r="B254" s="155" t="s">
        <v>639</v>
      </c>
      <c r="C254" s="167">
        <v>0</v>
      </c>
      <c r="D254" s="167">
        <v>0</v>
      </c>
      <c r="E254" s="167">
        <v>0</v>
      </c>
      <c r="F254" s="167">
        <v>0</v>
      </c>
      <c r="G254" s="167">
        <v>0</v>
      </c>
      <c r="H254" s="167">
        <v>0</v>
      </c>
      <c r="I254" s="167">
        <v>0</v>
      </c>
      <c r="J254" s="167">
        <v>0</v>
      </c>
      <c r="K254" s="167">
        <v>0</v>
      </c>
      <c r="L254" s="167">
        <v>0</v>
      </c>
      <c r="M254" s="167">
        <v>0</v>
      </c>
      <c r="N254" s="167">
        <v>0</v>
      </c>
      <c r="O254" s="167">
        <v>0</v>
      </c>
      <c r="P254" s="167">
        <v>0</v>
      </c>
      <c r="Q254" s="167">
        <v>0</v>
      </c>
      <c r="R254" s="167">
        <v>0</v>
      </c>
      <c r="S254" s="167">
        <v>0</v>
      </c>
      <c r="T254" s="167">
        <v>0</v>
      </c>
      <c r="U254" s="168" t="e">
        <v>#DIV/0!</v>
      </c>
      <c r="V254" s="167">
        <v>0</v>
      </c>
      <c r="W254" s="167">
        <v>0</v>
      </c>
      <c r="X254" s="167">
        <v>0</v>
      </c>
      <c r="Y254" s="167">
        <v>0</v>
      </c>
      <c r="Z254" s="167">
        <v>0</v>
      </c>
      <c r="AA254" s="167">
        <v>0</v>
      </c>
    </row>
    <row r="255" spans="1:27" ht="12" customHeight="1" x14ac:dyDescent="0.25">
      <c r="A255" s="155"/>
      <c r="B255" s="162" t="s">
        <v>640</v>
      </c>
      <c r="C255" s="163">
        <v>0</v>
      </c>
      <c r="D255" s="163">
        <v>0</v>
      </c>
      <c r="E255" s="163">
        <v>0</v>
      </c>
      <c r="F255" s="163">
        <v>0</v>
      </c>
      <c r="G255" s="163">
        <v>0</v>
      </c>
      <c r="H255" s="163">
        <v>0</v>
      </c>
      <c r="I255" s="163">
        <v>0</v>
      </c>
      <c r="J255" s="163">
        <v>0</v>
      </c>
      <c r="K255" s="163">
        <v>0</v>
      </c>
      <c r="L255" s="163">
        <v>0</v>
      </c>
      <c r="M255" s="163">
        <v>0</v>
      </c>
      <c r="N255" s="163">
        <v>0</v>
      </c>
      <c r="O255" s="163">
        <v>0</v>
      </c>
      <c r="P255" s="163">
        <v>0</v>
      </c>
      <c r="Q255" s="163">
        <v>0</v>
      </c>
      <c r="R255" s="163">
        <v>0</v>
      </c>
      <c r="S255" s="163">
        <v>0</v>
      </c>
      <c r="T255" s="164">
        <v>0</v>
      </c>
      <c r="U255" s="165" t="e">
        <v>#DIV/0!</v>
      </c>
      <c r="V255" s="164">
        <v>0</v>
      </c>
      <c r="W255" s="164">
        <v>0</v>
      </c>
      <c r="X255" s="164">
        <v>0</v>
      </c>
      <c r="Y255" s="164">
        <v>0</v>
      </c>
      <c r="Z255" s="164">
        <v>0</v>
      </c>
      <c r="AA255" s="164">
        <v>0</v>
      </c>
    </row>
    <row r="256" spans="1:27" ht="12" customHeight="1" x14ac:dyDescent="0.25">
      <c r="A256" s="155" t="s">
        <v>1332</v>
      </c>
      <c r="B256" s="155" t="s">
        <v>641</v>
      </c>
      <c r="C256" s="167">
        <v>0</v>
      </c>
      <c r="D256" s="167">
        <v>0</v>
      </c>
      <c r="E256" s="167">
        <v>0</v>
      </c>
      <c r="F256" s="167">
        <v>0</v>
      </c>
      <c r="G256" s="167">
        <v>0</v>
      </c>
      <c r="H256" s="167">
        <v>0</v>
      </c>
      <c r="I256" s="167">
        <v>0</v>
      </c>
      <c r="J256" s="167">
        <v>0</v>
      </c>
      <c r="K256" s="167">
        <v>0</v>
      </c>
      <c r="L256" s="167">
        <v>0</v>
      </c>
      <c r="M256" s="167">
        <v>0</v>
      </c>
      <c r="N256" s="167">
        <v>0</v>
      </c>
      <c r="O256" s="167">
        <v>0</v>
      </c>
      <c r="P256" s="167">
        <v>0</v>
      </c>
      <c r="Q256" s="167">
        <v>0</v>
      </c>
      <c r="R256" s="167">
        <v>0</v>
      </c>
      <c r="S256" s="167">
        <v>0</v>
      </c>
      <c r="T256" s="167">
        <v>0</v>
      </c>
      <c r="U256" s="168" t="e">
        <v>#DIV/0!</v>
      </c>
      <c r="V256" s="167">
        <v>0</v>
      </c>
      <c r="W256" s="167">
        <v>0</v>
      </c>
      <c r="X256" s="167">
        <v>0</v>
      </c>
      <c r="Y256" s="167">
        <v>0</v>
      </c>
      <c r="Z256" s="167">
        <v>0</v>
      </c>
      <c r="AA256" s="167">
        <v>0</v>
      </c>
    </row>
    <row r="257" spans="1:27" ht="12" customHeight="1" x14ac:dyDescent="0.25">
      <c r="A257" s="155" t="s">
        <v>1333</v>
      </c>
      <c r="B257" s="155" t="s">
        <v>642</v>
      </c>
      <c r="C257" s="167">
        <v>0</v>
      </c>
      <c r="D257" s="167">
        <v>0</v>
      </c>
      <c r="E257" s="167">
        <v>0</v>
      </c>
      <c r="F257" s="167">
        <v>0</v>
      </c>
      <c r="G257" s="167">
        <v>0</v>
      </c>
      <c r="H257" s="167">
        <v>0</v>
      </c>
      <c r="I257" s="167">
        <v>0</v>
      </c>
      <c r="J257" s="167">
        <v>0</v>
      </c>
      <c r="K257" s="167">
        <v>0</v>
      </c>
      <c r="L257" s="167">
        <v>0</v>
      </c>
      <c r="M257" s="167">
        <v>0</v>
      </c>
      <c r="N257" s="167">
        <v>0</v>
      </c>
      <c r="O257" s="167">
        <v>0</v>
      </c>
      <c r="P257" s="167">
        <v>0</v>
      </c>
      <c r="Q257" s="167">
        <v>0</v>
      </c>
      <c r="R257" s="167">
        <v>0</v>
      </c>
      <c r="S257" s="167">
        <v>0</v>
      </c>
      <c r="T257" s="167">
        <v>0</v>
      </c>
      <c r="U257" s="168" t="e">
        <v>#DIV/0!</v>
      </c>
      <c r="V257" s="167">
        <v>0</v>
      </c>
      <c r="W257" s="167">
        <v>0</v>
      </c>
      <c r="X257" s="167">
        <v>0</v>
      </c>
      <c r="Y257" s="167">
        <v>0</v>
      </c>
      <c r="Z257" s="167">
        <v>0</v>
      </c>
      <c r="AA257" s="167">
        <v>0</v>
      </c>
    </row>
    <row r="258" spans="1:27" ht="12" customHeight="1" x14ac:dyDescent="0.25">
      <c r="A258" s="155" t="s">
        <v>1334</v>
      </c>
      <c r="B258" s="155" t="s">
        <v>643</v>
      </c>
      <c r="C258" s="167">
        <v>0</v>
      </c>
      <c r="D258" s="167">
        <v>0</v>
      </c>
      <c r="E258" s="167">
        <v>0</v>
      </c>
      <c r="F258" s="167">
        <v>0</v>
      </c>
      <c r="G258" s="167">
        <v>0</v>
      </c>
      <c r="H258" s="167">
        <v>0</v>
      </c>
      <c r="I258" s="167">
        <v>0</v>
      </c>
      <c r="J258" s="167">
        <v>0</v>
      </c>
      <c r="K258" s="167">
        <v>0</v>
      </c>
      <c r="L258" s="167">
        <v>0</v>
      </c>
      <c r="M258" s="167">
        <v>0</v>
      </c>
      <c r="N258" s="167">
        <v>0</v>
      </c>
      <c r="O258" s="167">
        <v>0</v>
      </c>
      <c r="P258" s="167">
        <v>0</v>
      </c>
      <c r="Q258" s="167">
        <v>0</v>
      </c>
      <c r="R258" s="167">
        <v>0</v>
      </c>
      <c r="S258" s="167">
        <v>0</v>
      </c>
      <c r="T258" s="167">
        <v>0</v>
      </c>
      <c r="U258" s="168" t="e">
        <v>#DIV/0!</v>
      </c>
      <c r="V258" s="167">
        <v>0</v>
      </c>
      <c r="W258" s="167">
        <v>0</v>
      </c>
      <c r="X258" s="167">
        <v>0</v>
      </c>
      <c r="Y258" s="167">
        <v>0</v>
      </c>
      <c r="Z258" s="167">
        <v>0</v>
      </c>
      <c r="AA258" s="167">
        <v>0</v>
      </c>
    </row>
    <row r="259" spans="1:27" ht="12" customHeight="1" x14ac:dyDescent="0.25">
      <c r="A259" s="155" t="s">
        <v>1335</v>
      </c>
      <c r="B259" s="155" t="s">
        <v>644</v>
      </c>
      <c r="C259" s="167">
        <v>0</v>
      </c>
      <c r="D259" s="167">
        <v>0</v>
      </c>
      <c r="E259" s="167">
        <v>0</v>
      </c>
      <c r="F259" s="167">
        <v>0</v>
      </c>
      <c r="G259" s="167">
        <v>0</v>
      </c>
      <c r="H259" s="167">
        <v>0</v>
      </c>
      <c r="I259" s="167">
        <v>0</v>
      </c>
      <c r="J259" s="167">
        <v>0</v>
      </c>
      <c r="K259" s="167">
        <v>0</v>
      </c>
      <c r="L259" s="167">
        <v>0</v>
      </c>
      <c r="M259" s="167">
        <v>0</v>
      </c>
      <c r="N259" s="167">
        <v>0</v>
      </c>
      <c r="O259" s="167">
        <v>0</v>
      </c>
      <c r="P259" s="167">
        <v>0</v>
      </c>
      <c r="Q259" s="167">
        <v>0</v>
      </c>
      <c r="R259" s="167">
        <v>0</v>
      </c>
      <c r="S259" s="167">
        <v>0</v>
      </c>
      <c r="T259" s="167">
        <v>0</v>
      </c>
      <c r="U259" s="168" t="e">
        <v>#DIV/0!</v>
      </c>
      <c r="V259" s="167">
        <v>0</v>
      </c>
      <c r="W259" s="167">
        <v>0</v>
      </c>
      <c r="X259" s="167">
        <v>0</v>
      </c>
      <c r="Y259" s="167">
        <v>0</v>
      </c>
      <c r="Z259" s="167">
        <v>0</v>
      </c>
      <c r="AA259" s="167">
        <v>0</v>
      </c>
    </row>
    <row r="260" spans="1:27" ht="12" customHeight="1" x14ac:dyDescent="0.25">
      <c r="A260" s="155" t="s">
        <v>1336</v>
      </c>
      <c r="B260" s="155" t="s">
        <v>645</v>
      </c>
      <c r="C260" s="167">
        <v>0</v>
      </c>
      <c r="D260" s="167">
        <v>0</v>
      </c>
      <c r="E260" s="167">
        <v>0</v>
      </c>
      <c r="F260" s="167">
        <v>0</v>
      </c>
      <c r="G260" s="167">
        <v>0</v>
      </c>
      <c r="H260" s="167">
        <v>0</v>
      </c>
      <c r="I260" s="167">
        <v>0</v>
      </c>
      <c r="J260" s="167">
        <v>0</v>
      </c>
      <c r="K260" s="167">
        <v>0</v>
      </c>
      <c r="L260" s="167">
        <v>0</v>
      </c>
      <c r="M260" s="167">
        <v>0</v>
      </c>
      <c r="N260" s="167">
        <v>0</v>
      </c>
      <c r="O260" s="167">
        <v>0</v>
      </c>
      <c r="P260" s="167">
        <v>0</v>
      </c>
      <c r="Q260" s="167">
        <v>0</v>
      </c>
      <c r="R260" s="167">
        <v>0</v>
      </c>
      <c r="S260" s="167">
        <v>0</v>
      </c>
      <c r="T260" s="167">
        <v>0</v>
      </c>
      <c r="U260" s="168" t="e">
        <v>#DIV/0!</v>
      </c>
      <c r="V260" s="167">
        <v>0</v>
      </c>
      <c r="W260" s="167">
        <v>0</v>
      </c>
      <c r="X260" s="167">
        <v>0</v>
      </c>
      <c r="Y260" s="167">
        <v>0</v>
      </c>
      <c r="Z260" s="167">
        <v>0</v>
      </c>
      <c r="AA260" s="167">
        <v>0</v>
      </c>
    </row>
    <row r="261" spans="1:27" ht="12" customHeight="1" x14ac:dyDescent="0.25">
      <c r="A261" s="155" t="s">
        <v>1337</v>
      </c>
      <c r="B261" s="155" t="s">
        <v>646</v>
      </c>
      <c r="C261" s="167">
        <v>0</v>
      </c>
      <c r="D261" s="167">
        <v>0</v>
      </c>
      <c r="E261" s="167">
        <v>0</v>
      </c>
      <c r="F261" s="167">
        <v>0</v>
      </c>
      <c r="G261" s="167">
        <v>0</v>
      </c>
      <c r="H261" s="167">
        <v>0</v>
      </c>
      <c r="I261" s="167">
        <v>0</v>
      </c>
      <c r="J261" s="167">
        <v>0</v>
      </c>
      <c r="K261" s="167">
        <v>0</v>
      </c>
      <c r="L261" s="167">
        <v>0</v>
      </c>
      <c r="M261" s="167">
        <v>0</v>
      </c>
      <c r="N261" s="167">
        <v>0</v>
      </c>
      <c r="O261" s="167">
        <v>0</v>
      </c>
      <c r="P261" s="167">
        <v>0</v>
      </c>
      <c r="Q261" s="167">
        <v>0</v>
      </c>
      <c r="R261" s="167">
        <v>0</v>
      </c>
      <c r="S261" s="167">
        <v>0</v>
      </c>
      <c r="T261" s="167">
        <v>0</v>
      </c>
      <c r="U261" s="168" t="e">
        <v>#DIV/0!</v>
      </c>
      <c r="V261" s="167">
        <v>0</v>
      </c>
      <c r="W261" s="167">
        <v>0</v>
      </c>
      <c r="X261" s="167">
        <v>0</v>
      </c>
      <c r="Y261" s="167">
        <v>0</v>
      </c>
      <c r="Z261" s="167">
        <v>0</v>
      </c>
      <c r="AA261" s="167">
        <v>0</v>
      </c>
    </row>
    <row r="262" spans="1:27" ht="12" customHeight="1" x14ac:dyDescent="0.25">
      <c r="A262" s="155"/>
      <c r="B262" s="156" t="s">
        <v>647</v>
      </c>
      <c r="C262" s="157">
        <v>0</v>
      </c>
      <c r="D262" s="157">
        <v>0</v>
      </c>
      <c r="E262" s="157">
        <v>0</v>
      </c>
      <c r="F262" s="157">
        <v>0</v>
      </c>
      <c r="G262" s="157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7">
        <v>0</v>
      </c>
      <c r="Q262" s="157">
        <v>0</v>
      </c>
      <c r="R262" s="157">
        <v>0</v>
      </c>
      <c r="S262" s="157">
        <v>0</v>
      </c>
      <c r="T262" s="158">
        <v>0</v>
      </c>
      <c r="U262" s="159" t="e">
        <v>#DIV/0!</v>
      </c>
      <c r="V262" s="158">
        <v>0</v>
      </c>
      <c r="W262" s="158">
        <v>0</v>
      </c>
      <c r="X262" s="158">
        <v>0</v>
      </c>
      <c r="Y262" s="158">
        <v>0</v>
      </c>
      <c r="Z262" s="158">
        <v>0</v>
      </c>
      <c r="AA262" s="158">
        <v>0</v>
      </c>
    </row>
    <row r="263" spans="1:27" ht="12" customHeight="1" x14ac:dyDescent="0.25">
      <c r="A263" s="155"/>
      <c r="B263" s="162" t="s">
        <v>648</v>
      </c>
      <c r="C263" s="163">
        <v>0</v>
      </c>
      <c r="D263" s="163">
        <v>0</v>
      </c>
      <c r="E263" s="163">
        <v>0</v>
      </c>
      <c r="F263" s="163">
        <v>0</v>
      </c>
      <c r="G263" s="163">
        <v>0</v>
      </c>
      <c r="H263" s="163">
        <v>0</v>
      </c>
      <c r="I263" s="163">
        <v>0</v>
      </c>
      <c r="J263" s="163">
        <v>0</v>
      </c>
      <c r="K263" s="163">
        <v>0</v>
      </c>
      <c r="L263" s="163">
        <v>0</v>
      </c>
      <c r="M263" s="163">
        <v>0</v>
      </c>
      <c r="N263" s="163">
        <v>0</v>
      </c>
      <c r="O263" s="163">
        <v>0</v>
      </c>
      <c r="P263" s="163">
        <v>0</v>
      </c>
      <c r="Q263" s="163">
        <v>0</v>
      </c>
      <c r="R263" s="163">
        <v>0</v>
      </c>
      <c r="S263" s="163">
        <v>0</v>
      </c>
      <c r="T263" s="164">
        <v>0</v>
      </c>
      <c r="U263" s="165" t="e">
        <v>#DIV/0!</v>
      </c>
      <c r="V263" s="164">
        <v>0</v>
      </c>
      <c r="W263" s="164">
        <v>0</v>
      </c>
      <c r="X263" s="164">
        <v>0</v>
      </c>
      <c r="Y263" s="164">
        <v>0</v>
      </c>
      <c r="Z263" s="164">
        <v>0</v>
      </c>
      <c r="AA263" s="164">
        <v>0</v>
      </c>
    </row>
    <row r="264" spans="1:27" ht="12" customHeight="1" x14ac:dyDescent="0.25">
      <c r="A264" s="155" t="s">
        <v>1338</v>
      </c>
      <c r="B264" s="155" t="s">
        <v>649</v>
      </c>
      <c r="C264" s="167">
        <v>0</v>
      </c>
      <c r="D264" s="167">
        <v>0</v>
      </c>
      <c r="E264" s="167">
        <v>0</v>
      </c>
      <c r="F264" s="167">
        <v>0</v>
      </c>
      <c r="G264" s="167">
        <v>0</v>
      </c>
      <c r="H264" s="167">
        <v>0</v>
      </c>
      <c r="I264" s="167">
        <v>0</v>
      </c>
      <c r="J264" s="167">
        <v>0</v>
      </c>
      <c r="K264" s="167">
        <v>0</v>
      </c>
      <c r="L264" s="167">
        <v>0</v>
      </c>
      <c r="M264" s="167">
        <v>0</v>
      </c>
      <c r="N264" s="167">
        <v>0</v>
      </c>
      <c r="O264" s="167">
        <v>0</v>
      </c>
      <c r="P264" s="167">
        <v>0</v>
      </c>
      <c r="Q264" s="167">
        <v>0</v>
      </c>
      <c r="R264" s="167">
        <v>0</v>
      </c>
      <c r="S264" s="167">
        <v>0</v>
      </c>
      <c r="T264" s="167">
        <v>0</v>
      </c>
      <c r="U264" s="168" t="e">
        <v>#DIV/0!</v>
      </c>
      <c r="V264" s="167">
        <v>0</v>
      </c>
      <c r="W264" s="167">
        <v>0</v>
      </c>
      <c r="X264" s="167">
        <v>0</v>
      </c>
      <c r="Y264" s="167">
        <v>0</v>
      </c>
      <c r="Z264" s="167">
        <v>0</v>
      </c>
      <c r="AA264" s="167">
        <v>0</v>
      </c>
    </row>
    <row r="265" spans="1:27" ht="12" customHeight="1" x14ac:dyDescent="0.25">
      <c r="A265" s="155" t="s">
        <v>1339</v>
      </c>
      <c r="B265" s="155" t="s">
        <v>650</v>
      </c>
      <c r="C265" s="167">
        <v>0</v>
      </c>
      <c r="D265" s="167">
        <v>0</v>
      </c>
      <c r="E265" s="167">
        <v>0</v>
      </c>
      <c r="F265" s="167">
        <v>0</v>
      </c>
      <c r="G265" s="167">
        <v>0</v>
      </c>
      <c r="H265" s="167">
        <v>0</v>
      </c>
      <c r="I265" s="167">
        <v>0</v>
      </c>
      <c r="J265" s="167">
        <v>0</v>
      </c>
      <c r="K265" s="167">
        <v>0</v>
      </c>
      <c r="L265" s="167">
        <v>0</v>
      </c>
      <c r="M265" s="167">
        <v>0</v>
      </c>
      <c r="N265" s="167">
        <v>0</v>
      </c>
      <c r="O265" s="167">
        <v>0</v>
      </c>
      <c r="P265" s="167">
        <v>0</v>
      </c>
      <c r="Q265" s="167">
        <v>0</v>
      </c>
      <c r="R265" s="167">
        <v>0</v>
      </c>
      <c r="S265" s="167">
        <v>0</v>
      </c>
      <c r="T265" s="167">
        <v>0</v>
      </c>
      <c r="U265" s="168" t="e">
        <v>#DIV/0!</v>
      </c>
      <c r="V265" s="167">
        <v>0</v>
      </c>
      <c r="W265" s="167">
        <v>0</v>
      </c>
      <c r="X265" s="167">
        <v>0</v>
      </c>
      <c r="Y265" s="167">
        <v>0</v>
      </c>
      <c r="Z265" s="167">
        <v>0</v>
      </c>
      <c r="AA265" s="167">
        <v>0</v>
      </c>
    </row>
    <row r="266" spans="1:27" ht="12" customHeight="1" x14ac:dyDescent="0.25">
      <c r="A266" s="155" t="s">
        <v>1340</v>
      </c>
      <c r="B266" s="155" t="s">
        <v>651</v>
      </c>
      <c r="C266" s="167">
        <v>0</v>
      </c>
      <c r="D266" s="167">
        <v>0</v>
      </c>
      <c r="E266" s="167">
        <v>0</v>
      </c>
      <c r="F266" s="167">
        <v>0</v>
      </c>
      <c r="G266" s="167">
        <v>0</v>
      </c>
      <c r="H266" s="167">
        <v>0</v>
      </c>
      <c r="I266" s="167">
        <v>0</v>
      </c>
      <c r="J266" s="167">
        <v>0</v>
      </c>
      <c r="K266" s="167">
        <v>0</v>
      </c>
      <c r="L266" s="167">
        <v>0</v>
      </c>
      <c r="M266" s="167">
        <v>0</v>
      </c>
      <c r="N266" s="167">
        <v>0</v>
      </c>
      <c r="O266" s="167">
        <v>0</v>
      </c>
      <c r="P266" s="167">
        <v>0</v>
      </c>
      <c r="Q266" s="167">
        <v>0</v>
      </c>
      <c r="R266" s="167">
        <v>0</v>
      </c>
      <c r="S266" s="167">
        <v>0</v>
      </c>
      <c r="T266" s="167">
        <v>0</v>
      </c>
      <c r="U266" s="168" t="e">
        <v>#DIV/0!</v>
      </c>
      <c r="V266" s="167">
        <v>0</v>
      </c>
      <c r="W266" s="167">
        <v>0</v>
      </c>
      <c r="X266" s="167">
        <v>0</v>
      </c>
      <c r="Y266" s="167">
        <v>0</v>
      </c>
      <c r="Z266" s="167">
        <v>0</v>
      </c>
      <c r="AA266" s="167">
        <v>0</v>
      </c>
    </row>
    <row r="267" spans="1:27" ht="12" customHeight="1" x14ac:dyDescent="0.25">
      <c r="A267" s="155" t="s">
        <v>1341</v>
      </c>
      <c r="B267" s="155" t="s">
        <v>652</v>
      </c>
      <c r="C267" s="167">
        <v>0</v>
      </c>
      <c r="D267" s="167">
        <v>0</v>
      </c>
      <c r="E267" s="167">
        <v>0</v>
      </c>
      <c r="F267" s="167">
        <v>0</v>
      </c>
      <c r="G267" s="167">
        <v>0</v>
      </c>
      <c r="H267" s="167">
        <v>0</v>
      </c>
      <c r="I267" s="167">
        <v>0</v>
      </c>
      <c r="J267" s="167">
        <v>0</v>
      </c>
      <c r="K267" s="167">
        <v>0</v>
      </c>
      <c r="L267" s="167">
        <v>0</v>
      </c>
      <c r="M267" s="167">
        <v>0</v>
      </c>
      <c r="N267" s="167">
        <v>0</v>
      </c>
      <c r="O267" s="167">
        <v>0</v>
      </c>
      <c r="P267" s="167">
        <v>0</v>
      </c>
      <c r="Q267" s="167">
        <v>0</v>
      </c>
      <c r="R267" s="167">
        <v>0</v>
      </c>
      <c r="S267" s="167">
        <v>0</v>
      </c>
      <c r="T267" s="167">
        <v>0</v>
      </c>
      <c r="U267" s="168" t="e">
        <v>#DIV/0!</v>
      </c>
      <c r="V267" s="167">
        <v>0</v>
      </c>
      <c r="W267" s="167">
        <v>0</v>
      </c>
      <c r="X267" s="167">
        <v>0</v>
      </c>
      <c r="Y267" s="167">
        <v>0</v>
      </c>
      <c r="Z267" s="167">
        <v>0</v>
      </c>
      <c r="AA267" s="167">
        <v>0</v>
      </c>
    </row>
    <row r="268" spans="1:27" ht="12" customHeight="1" x14ac:dyDescent="0.25">
      <c r="A268" s="155" t="s">
        <v>1342</v>
      </c>
      <c r="B268" s="155" t="s">
        <v>653</v>
      </c>
      <c r="C268" s="167">
        <v>0</v>
      </c>
      <c r="D268" s="167">
        <v>0</v>
      </c>
      <c r="E268" s="167">
        <v>0</v>
      </c>
      <c r="F268" s="167">
        <v>0</v>
      </c>
      <c r="G268" s="167">
        <v>0</v>
      </c>
      <c r="H268" s="167">
        <v>0</v>
      </c>
      <c r="I268" s="167">
        <v>0</v>
      </c>
      <c r="J268" s="167">
        <v>0</v>
      </c>
      <c r="K268" s="167">
        <v>0</v>
      </c>
      <c r="L268" s="167">
        <v>0</v>
      </c>
      <c r="M268" s="167">
        <v>0</v>
      </c>
      <c r="N268" s="167">
        <v>0</v>
      </c>
      <c r="O268" s="167">
        <v>0</v>
      </c>
      <c r="P268" s="167">
        <v>0</v>
      </c>
      <c r="Q268" s="167">
        <v>0</v>
      </c>
      <c r="R268" s="167">
        <v>0</v>
      </c>
      <c r="S268" s="167">
        <v>0</v>
      </c>
      <c r="T268" s="167">
        <v>0</v>
      </c>
      <c r="U268" s="168" t="e">
        <v>#DIV/0!</v>
      </c>
      <c r="V268" s="167">
        <v>0</v>
      </c>
      <c r="W268" s="167">
        <v>0</v>
      </c>
      <c r="X268" s="167">
        <v>0</v>
      </c>
      <c r="Y268" s="167">
        <v>0</v>
      </c>
      <c r="Z268" s="167">
        <v>0</v>
      </c>
      <c r="AA268" s="167">
        <v>0</v>
      </c>
    </row>
    <row r="269" spans="1:27" ht="12" customHeight="1" x14ac:dyDescent="0.25">
      <c r="A269" s="155" t="s">
        <v>1343</v>
      </c>
      <c r="B269" s="155" t="s">
        <v>654</v>
      </c>
      <c r="C269" s="167">
        <v>0</v>
      </c>
      <c r="D269" s="167">
        <v>0</v>
      </c>
      <c r="E269" s="167">
        <v>0</v>
      </c>
      <c r="F269" s="167">
        <v>0</v>
      </c>
      <c r="G269" s="167">
        <v>0</v>
      </c>
      <c r="H269" s="167">
        <v>0</v>
      </c>
      <c r="I269" s="167">
        <v>0</v>
      </c>
      <c r="J269" s="167">
        <v>0</v>
      </c>
      <c r="K269" s="167">
        <v>0</v>
      </c>
      <c r="L269" s="167">
        <v>0</v>
      </c>
      <c r="M269" s="167">
        <v>0</v>
      </c>
      <c r="N269" s="167">
        <v>0</v>
      </c>
      <c r="O269" s="167">
        <v>0</v>
      </c>
      <c r="P269" s="167">
        <v>0</v>
      </c>
      <c r="Q269" s="167">
        <v>0</v>
      </c>
      <c r="R269" s="167">
        <v>0</v>
      </c>
      <c r="S269" s="167">
        <v>0</v>
      </c>
      <c r="T269" s="167">
        <v>0</v>
      </c>
      <c r="U269" s="168" t="e">
        <v>#DIV/0!</v>
      </c>
      <c r="V269" s="167">
        <v>0</v>
      </c>
      <c r="W269" s="167">
        <v>0</v>
      </c>
      <c r="X269" s="167">
        <v>0</v>
      </c>
      <c r="Y269" s="167">
        <v>0</v>
      </c>
      <c r="Z269" s="167">
        <v>0</v>
      </c>
      <c r="AA269" s="167">
        <v>0</v>
      </c>
    </row>
    <row r="270" spans="1:27" ht="12" customHeight="1" x14ac:dyDescent="0.25">
      <c r="A270" s="155" t="s">
        <v>1344</v>
      </c>
      <c r="B270" s="155" t="s">
        <v>655</v>
      </c>
      <c r="C270" s="167">
        <v>0</v>
      </c>
      <c r="D270" s="167">
        <v>0</v>
      </c>
      <c r="E270" s="167">
        <v>0</v>
      </c>
      <c r="F270" s="167">
        <v>0</v>
      </c>
      <c r="G270" s="167">
        <v>0</v>
      </c>
      <c r="H270" s="167">
        <v>0</v>
      </c>
      <c r="I270" s="167">
        <v>0</v>
      </c>
      <c r="J270" s="167">
        <v>0</v>
      </c>
      <c r="K270" s="167">
        <v>0</v>
      </c>
      <c r="L270" s="167">
        <v>0</v>
      </c>
      <c r="M270" s="167">
        <v>0</v>
      </c>
      <c r="N270" s="167">
        <v>0</v>
      </c>
      <c r="O270" s="167">
        <v>0</v>
      </c>
      <c r="P270" s="167">
        <v>0</v>
      </c>
      <c r="Q270" s="167">
        <v>0</v>
      </c>
      <c r="R270" s="167">
        <v>0</v>
      </c>
      <c r="S270" s="167">
        <v>0</v>
      </c>
      <c r="T270" s="167">
        <v>0</v>
      </c>
      <c r="U270" s="168" t="e">
        <v>#DIV/0!</v>
      </c>
      <c r="V270" s="167">
        <v>0</v>
      </c>
      <c r="W270" s="167">
        <v>0</v>
      </c>
      <c r="X270" s="167">
        <v>0</v>
      </c>
      <c r="Y270" s="167">
        <v>0</v>
      </c>
      <c r="Z270" s="167">
        <v>0</v>
      </c>
      <c r="AA270" s="167">
        <v>0</v>
      </c>
    </row>
    <row r="271" spans="1:27" ht="12" customHeight="1" x14ac:dyDescent="0.25">
      <c r="A271" s="155" t="s">
        <v>1345</v>
      </c>
      <c r="B271" s="155" t="s">
        <v>656</v>
      </c>
      <c r="C271" s="167">
        <v>0</v>
      </c>
      <c r="D271" s="167">
        <v>0</v>
      </c>
      <c r="E271" s="167">
        <v>0</v>
      </c>
      <c r="F271" s="167">
        <v>0</v>
      </c>
      <c r="G271" s="167">
        <v>0</v>
      </c>
      <c r="H271" s="167">
        <v>0</v>
      </c>
      <c r="I271" s="167">
        <v>0</v>
      </c>
      <c r="J271" s="167">
        <v>0</v>
      </c>
      <c r="K271" s="167">
        <v>0</v>
      </c>
      <c r="L271" s="167">
        <v>0</v>
      </c>
      <c r="M271" s="167">
        <v>0</v>
      </c>
      <c r="N271" s="167">
        <v>0</v>
      </c>
      <c r="O271" s="167">
        <v>0</v>
      </c>
      <c r="P271" s="167">
        <v>0</v>
      </c>
      <c r="Q271" s="167">
        <v>0</v>
      </c>
      <c r="R271" s="167">
        <v>0</v>
      </c>
      <c r="S271" s="167">
        <v>0</v>
      </c>
      <c r="T271" s="167">
        <v>0</v>
      </c>
      <c r="U271" s="168" t="e">
        <v>#DIV/0!</v>
      </c>
      <c r="V271" s="167">
        <v>0</v>
      </c>
      <c r="W271" s="167">
        <v>0</v>
      </c>
      <c r="X271" s="167">
        <v>0</v>
      </c>
      <c r="Y271" s="167">
        <v>0</v>
      </c>
      <c r="Z271" s="167">
        <v>0</v>
      </c>
      <c r="AA271" s="167">
        <v>0</v>
      </c>
    </row>
    <row r="272" spans="1:27" ht="12" customHeight="1" x14ac:dyDescent="0.25">
      <c r="A272" s="155" t="s">
        <v>1346</v>
      </c>
      <c r="B272" s="155" t="s">
        <v>657</v>
      </c>
      <c r="C272" s="167">
        <v>0</v>
      </c>
      <c r="D272" s="167">
        <v>0</v>
      </c>
      <c r="E272" s="167">
        <v>0</v>
      </c>
      <c r="F272" s="167">
        <v>0</v>
      </c>
      <c r="G272" s="167">
        <v>0</v>
      </c>
      <c r="H272" s="167">
        <v>0</v>
      </c>
      <c r="I272" s="167">
        <v>0</v>
      </c>
      <c r="J272" s="167">
        <v>0</v>
      </c>
      <c r="K272" s="167">
        <v>0</v>
      </c>
      <c r="L272" s="167">
        <v>0</v>
      </c>
      <c r="M272" s="167">
        <v>0</v>
      </c>
      <c r="N272" s="167">
        <v>0</v>
      </c>
      <c r="O272" s="167">
        <v>0</v>
      </c>
      <c r="P272" s="167">
        <v>0</v>
      </c>
      <c r="Q272" s="167">
        <v>0</v>
      </c>
      <c r="R272" s="167">
        <v>0</v>
      </c>
      <c r="S272" s="167">
        <v>0</v>
      </c>
      <c r="T272" s="167">
        <v>0</v>
      </c>
      <c r="U272" s="168" t="e">
        <v>#DIV/0!</v>
      </c>
      <c r="V272" s="167">
        <v>0</v>
      </c>
      <c r="W272" s="167">
        <v>0</v>
      </c>
      <c r="X272" s="167">
        <v>0</v>
      </c>
      <c r="Y272" s="167">
        <v>0</v>
      </c>
      <c r="Z272" s="167">
        <v>0</v>
      </c>
      <c r="AA272" s="167">
        <v>0</v>
      </c>
    </row>
    <row r="273" spans="1:27" ht="12" customHeight="1" x14ac:dyDescent="0.25">
      <c r="A273" s="155" t="s">
        <v>1347</v>
      </c>
      <c r="B273" s="155" t="s">
        <v>658</v>
      </c>
      <c r="C273" s="167">
        <v>0</v>
      </c>
      <c r="D273" s="167">
        <v>0</v>
      </c>
      <c r="E273" s="167">
        <v>0</v>
      </c>
      <c r="F273" s="167">
        <v>0</v>
      </c>
      <c r="G273" s="167">
        <v>0</v>
      </c>
      <c r="H273" s="167">
        <v>0</v>
      </c>
      <c r="I273" s="167">
        <v>0</v>
      </c>
      <c r="J273" s="167">
        <v>0</v>
      </c>
      <c r="K273" s="167">
        <v>0</v>
      </c>
      <c r="L273" s="167">
        <v>0</v>
      </c>
      <c r="M273" s="167">
        <v>0</v>
      </c>
      <c r="N273" s="167">
        <v>0</v>
      </c>
      <c r="O273" s="167">
        <v>0</v>
      </c>
      <c r="P273" s="167">
        <v>0</v>
      </c>
      <c r="Q273" s="167">
        <v>0</v>
      </c>
      <c r="R273" s="167">
        <v>0</v>
      </c>
      <c r="S273" s="167">
        <v>0</v>
      </c>
      <c r="T273" s="167">
        <v>0</v>
      </c>
      <c r="U273" s="168" t="e">
        <v>#DIV/0!</v>
      </c>
      <c r="V273" s="167">
        <v>0</v>
      </c>
      <c r="W273" s="167">
        <v>0</v>
      </c>
      <c r="X273" s="167">
        <v>0</v>
      </c>
      <c r="Y273" s="167">
        <v>0</v>
      </c>
      <c r="Z273" s="167">
        <v>0</v>
      </c>
      <c r="AA273" s="167">
        <v>0</v>
      </c>
    </row>
    <row r="274" spans="1:27" ht="12" customHeight="1" x14ac:dyDescent="0.25">
      <c r="A274" s="155" t="s">
        <v>1348</v>
      </c>
      <c r="B274" s="155" t="s">
        <v>659</v>
      </c>
      <c r="C274" s="167">
        <v>0</v>
      </c>
      <c r="D274" s="167">
        <v>0</v>
      </c>
      <c r="E274" s="167">
        <v>0</v>
      </c>
      <c r="F274" s="167">
        <v>0</v>
      </c>
      <c r="G274" s="167">
        <v>0</v>
      </c>
      <c r="H274" s="167">
        <v>0</v>
      </c>
      <c r="I274" s="167">
        <v>0</v>
      </c>
      <c r="J274" s="167">
        <v>0</v>
      </c>
      <c r="K274" s="167">
        <v>0</v>
      </c>
      <c r="L274" s="167">
        <v>0</v>
      </c>
      <c r="M274" s="167">
        <v>0</v>
      </c>
      <c r="N274" s="167">
        <v>0</v>
      </c>
      <c r="O274" s="167">
        <v>0</v>
      </c>
      <c r="P274" s="167">
        <v>0</v>
      </c>
      <c r="Q274" s="167">
        <v>0</v>
      </c>
      <c r="R274" s="167">
        <v>0</v>
      </c>
      <c r="S274" s="167">
        <v>0</v>
      </c>
      <c r="T274" s="167">
        <v>0</v>
      </c>
      <c r="U274" s="168" t="e">
        <v>#DIV/0!</v>
      </c>
      <c r="V274" s="167">
        <v>0</v>
      </c>
      <c r="W274" s="167">
        <v>0</v>
      </c>
      <c r="X274" s="167">
        <v>0</v>
      </c>
      <c r="Y274" s="167">
        <v>0</v>
      </c>
      <c r="Z274" s="167">
        <v>0</v>
      </c>
      <c r="AA274" s="167">
        <v>0</v>
      </c>
    </row>
    <row r="275" spans="1:27" ht="12" customHeight="1" x14ac:dyDescent="0.25">
      <c r="A275" s="155" t="s">
        <v>1349</v>
      </c>
      <c r="B275" s="155" t="s">
        <v>660</v>
      </c>
      <c r="C275" s="167">
        <v>0</v>
      </c>
      <c r="D275" s="167">
        <v>0</v>
      </c>
      <c r="E275" s="167">
        <v>0</v>
      </c>
      <c r="F275" s="167">
        <v>0</v>
      </c>
      <c r="G275" s="167">
        <v>0</v>
      </c>
      <c r="H275" s="167">
        <v>0</v>
      </c>
      <c r="I275" s="167">
        <v>0</v>
      </c>
      <c r="J275" s="167">
        <v>0</v>
      </c>
      <c r="K275" s="167">
        <v>0</v>
      </c>
      <c r="L275" s="167">
        <v>0</v>
      </c>
      <c r="M275" s="167">
        <v>0</v>
      </c>
      <c r="N275" s="167">
        <v>0</v>
      </c>
      <c r="O275" s="167">
        <v>0</v>
      </c>
      <c r="P275" s="167">
        <v>0</v>
      </c>
      <c r="Q275" s="167">
        <v>0</v>
      </c>
      <c r="R275" s="167">
        <v>0</v>
      </c>
      <c r="S275" s="167">
        <v>0</v>
      </c>
      <c r="T275" s="167">
        <v>0</v>
      </c>
      <c r="U275" s="168" t="e">
        <v>#DIV/0!</v>
      </c>
      <c r="V275" s="167">
        <v>0</v>
      </c>
      <c r="W275" s="167">
        <v>0</v>
      </c>
      <c r="X275" s="167">
        <v>0</v>
      </c>
      <c r="Y275" s="167">
        <v>0</v>
      </c>
      <c r="Z275" s="167">
        <v>0</v>
      </c>
      <c r="AA275" s="167">
        <v>0</v>
      </c>
    </row>
    <row r="276" spans="1:27" ht="12" customHeight="1" x14ac:dyDescent="0.25">
      <c r="A276" s="155" t="s">
        <v>1350</v>
      </c>
      <c r="B276" s="155" t="s">
        <v>661</v>
      </c>
      <c r="C276" s="167">
        <v>0</v>
      </c>
      <c r="D276" s="167">
        <v>0</v>
      </c>
      <c r="E276" s="167">
        <v>0</v>
      </c>
      <c r="F276" s="167">
        <v>0</v>
      </c>
      <c r="G276" s="167">
        <v>0</v>
      </c>
      <c r="H276" s="167">
        <v>0</v>
      </c>
      <c r="I276" s="167">
        <v>0</v>
      </c>
      <c r="J276" s="167">
        <v>0</v>
      </c>
      <c r="K276" s="167">
        <v>0</v>
      </c>
      <c r="L276" s="167">
        <v>0</v>
      </c>
      <c r="M276" s="167">
        <v>0</v>
      </c>
      <c r="N276" s="167">
        <v>0</v>
      </c>
      <c r="O276" s="167">
        <v>0</v>
      </c>
      <c r="P276" s="167">
        <v>0</v>
      </c>
      <c r="Q276" s="167">
        <v>0</v>
      </c>
      <c r="R276" s="167">
        <v>0</v>
      </c>
      <c r="S276" s="167">
        <v>0</v>
      </c>
      <c r="T276" s="167">
        <v>0</v>
      </c>
      <c r="U276" s="168" t="e">
        <v>#DIV/0!</v>
      </c>
      <c r="V276" s="167">
        <v>0</v>
      </c>
      <c r="W276" s="167">
        <v>0</v>
      </c>
      <c r="X276" s="167">
        <v>0</v>
      </c>
      <c r="Y276" s="167">
        <v>0</v>
      </c>
      <c r="Z276" s="167">
        <v>0</v>
      </c>
      <c r="AA276" s="167">
        <v>0</v>
      </c>
    </row>
    <row r="277" spans="1:27" ht="12" customHeight="1" x14ac:dyDescent="0.25">
      <c r="A277" s="155" t="s">
        <v>1351</v>
      </c>
      <c r="B277" s="155" t="s">
        <v>662</v>
      </c>
      <c r="C277" s="167">
        <v>0</v>
      </c>
      <c r="D277" s="167">
        <v>0</v>
      </c>
      <c r="E277" s="167">
        <v>0</v>
      </c>
      <c r="F277" s="167">
        <v>0</v>
      </c>
      <c r="G277" s="167">
        <v>0</v>
      </c>
      <c r="H277" s="167">
        <v>0</v>
      </c>
      <c r="I277" s="167">
        <v>0</v>
      </c>
      <c r="J277" s="167">
        <v>0</v>
      </c>
      <c r="K277" s="167">
        <v>0</v>
      </c>
      <c r="L277" s="167">
        <v>0</v>
      </c>
      <c r="M277" s="167">
        <v>0</v>
      </c>
      <c r="N277" s="167">
        <v>0</v>
      </c>
      <c r="O277" s="167">
        <v>0</v>
      </c>
      <c r="P277" s="167">
        <v>0</v>
      </c>
      <c r="Q277" s="167">
        <v>0</v>
      </c>
      <c r="R277" s="167">
        <v>0</v>
      </c>
      <c r="S277" s="167">
        <v>0</v>
      </c>
      <c r="T277" s="167">
        <v>0</v>
      </c>
      <c r="U277" s="168" t="e">
        <v>#DIV/0!</v>
      </c>
      <c r="V277" s="167">
        <v>0</v>
      </c>
      <c r="W277" s="167">
        <v>0</v>
      </c>
      <c r="X277" s="167">
        <v>0</v>
      </c>
      <c r="Y277" s="167">
        <v>0</v>
      </c>
      <c r="Z277" s="167">
        <v>0</v>
      </c>
      <c r="AA277" s="167">
        <v>0</v>
      </c>
    </row>
    <row r="278" spans="1:27" ht="12" customHeight="1" x14ac:dyDescent="0.25">
      <c r="A278" s="155" t="s">
        <v>1352</v>
      </c>
      <c r="B278" s="162" t="s">
        <v>663</v>
      </c>
      <c r="C278" s="164">
        <v>0</v>
      </c>
      <c r="D278" s="164">
        <v>0</v>
      </c>
      <c r="E278" s="164">
        <v>0</v>
      </c>
      <c r="F278" s="164">
        <v>0</v>
      </c>
      <c r="G278" s="164">
        <v>0</v>
      </c>
      <c r="H278" s="164">
        <v>0</v>
      </c>
      <c r="I278" s="164">
        <v>0</v>
      </c>
      <c r="J278" s="164">
        <v>0</v>
      </c>
      <c r="K278" s="164">
        <v>0</v>
      </c>
      <c r="L278" s="164">
        <v>0</v>
      </c>
      <c r="M278" s="164">
        <v>0</v>
      </c>
      <c r="N278" s="164">
        <v>0</v>
      </c>
      <c r="O278" s="164">
        <v>0</v>
      </c>
      <c r="P278" s="164">
        <v>0</v>
      </c>
      <c r="Q278" s="164">
        <v>0</v>
      </c>
      <c r="R278" s="164">
        <v>0</v>
      </c>
      <c r="S278" s="164">
        <v>0</v>
      </c>
      <c r="T278" s="164">
        <v>0</v>
      </c>
      <c r="U278" s="165" t="e">
        <v>#DIV/0!</v>
      </c>
      <c r="V278" s="164">
        <v>0</v>
      </c>
      <c r="W278" s="164">
        <v>0</v>
      </c>
      <c r="X278" s="164">
        <v>0</v>
      </c>
      <c r="Y278" s="164">
        <v>0</v>
      </c>
      <c r="Z278" s="164">
        <v>0</v>
      </c>
      <c r="AA278" s="164">
        <v>0</v>
      </c>
    </row>
    <row r="279" spans="1:27" ht="12" customHeight="1" x14ac:dyDescent="0.25">
      <c r="A279" s="155"/>
      <c r="B279" s="156" t="s">
        <v>664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>
        <v>0</v>
      </c>
      <c r="S279" s="157">
        <v>0</v>
      </c>
      <c r="T279" s="158">
        <v>0</v>
      </c>
      <c r="U279" s="159" t="e">
        <v>#DIV/0!</v>
      </c>
      <c r="V279" s="158">
        <v>0</v>
      </c>
      <c r="W279" s="158">
        <v>0</v>
      </c>
      <c r="X279" s="158">
        <v>0</v>
      </c>
      <c r="Y279" s="158">
        <v>0</v>
      </c>
      <c r="Z279" s="158">
        <v>0</v>
      </c>
      <c r="AA279" s="158">
        <v>0</v>
      </c>
    </row>
    <row r="280" spans="1:27" ht="12" customHeight="1" x14ac:dyDescent="0.25">
      <c r="A280" s="155"/>
      <c r="B280" s="162" t="s">
        <v>665</v>
      </c>
      <c r="C280" s="163">
        <v>0</v>
      </c>
      <c r="D280" s="163">
        <v>0</v>
      </c>
      <c r="E280" s="163">
        <v>0</v>
      </c>
      <c r="F280" s="163">
        <v>0</v>
      </c>
      <c r="G280" s="163">
        <v>0</v>
      </c>
      <c r="H280" s="163">
        <v>0</v>
      </c>
      <c r="I280" s="163">
        <v>0</v>
      </c>
      <c r="J280" s="163">
        <v>0</v>
      </c>
      <c r="K280" s="163">
        <v>0</v>
      </c>
      <c r="L280" s="163">
        <v>0</v>
      </c>
      <c r="M280" s="163">
        <v>0</v>
      </c>
      <c r="N280" s="163">
        <v>0</v>
      </c>
      <c r="O280" s="163">
        <v>0</v>
      </c>
      <c r="P280" s="163">
        <v>0</v>
      </c>
      <c r="Q280" s="163">
        <v>0</v>
      </c>
      <c r="R280" s="163">
        <v>0</v>
      </c>
      <c r="S280" s="163">
        <v>0</v>
      </c>
      <c r="T280" s="164">
        <v>0</v>
      </c>
      <c r="U280" s="165" t="e">
        <v>#DIV/0!</v>
      </c>
      <c r="V280" s="164">
        <v>0</v>
      </c>
      <c r="W280" s="164">
        <v>0</v>
      </c>
      <c r="X280" s="164">
        <v>0</v>
      </c>
      <c r="Y280" s="164">
        <v>0</v>
      </c>
      <c r="Z280" s="164">
        <v>0</v>
      </c>
      <c r="AA280" s="164">
        <v>0</v>
      </c>
    </row>
    <row r="281" spans="1:27" ht="12" customHeight="1" x14ac:dyDescent="0.25">
      <c r="A281" s="155" t="s">
        <v>1353</v>
      </c>
      <c r="B281" s="155" t="s">
        <v>666</v>
      </c>
      <c r="C281" s="167">
        <v>0</v>
      </c>
      <c r="D281" s="167">
        <v>0</v>
      </c>
      <c r="E281" s="167">
        <v>0</v>
      </c>
      <c r="F281" s="167">
        <v>0</v>
      </c>
      <c r="G281" s="167">
        <v>0</v>
      </c>
      <c r="H281" s="167">
        <v>0</v>
      </c>
      <c r="I281" s="167">
        <v>0</v>
      </c>
      <c r="J281" s="167">
        <v>0</v>
      </c>
      <c r="K281" s="167">
        <v>0</v>
      </c>
      <c r="L281" s="167">
        <v>0</v>
      </c>
      <c r="M281" s="167">
        <v>0</v>
      </c>
      <c r="N281" s="167">
        <v>0</v>
      </c>
      <c r="O281" s="167">
        <v>0</v>
      </c>
      <c r="P281" s="167">
        <v>0</v>
      </c>
      <c r="Q281" s="167">
        <v>0</v>
      </c>
      <c r="R281" s="167">
        <v>0</v>
      </c>
      <c r="S281" s="167">
        <v>0</v>
      </c>
      <c r="T281" s="167">
        <v>0</v>
      </c>
      <c r="U281" s="168" t="e">
        <v>#DIV/0!</v>
      </c>
      <c r="V281" s="167">
        <v>0</v>
      </c>
      <c r="W281" s="167">
        <v>0</v>
      </c>
      <c r="X281" s="167">
        <v>0</v>
      </c>
      <c r="Y281" s="167">
        <v>0</v>
      </c>
      <c r="Z281" s="167">
        <v>0</v>
      </c>
      <c r="AA281" s="167">
        <v>0</v>
      </c>
    </row>
    <row r="282" spans="1:27" ht="12" customHeight="1" x14ac:dyDescent="0.25">
      <c r="A282" s="155" t="s">
        <v>1354</v>
      </c>
      <c r="B282" s="155" t="s">
        <v>667</v>
      </c>
      <c r="C282" s="167">
        <v>0</v>
      </c>
      <c r="D282" s="167">
        <v>0</v>
      </c>
      <c r="E282" s="167">
        <v>0</v>
      </c>
      <c r="F282" s="167">
        <v>0</v>
      </c>
      <c r="G282" s="167">
        <v>0</v>
      </c>
      <c r="H282" s="167">
        <v>0</v>
      </c>
      <c r="I282" s="167">
        <v>0</v>
      </c>
      <c r="J282" s="167">
        <v>0</v>
      </c>
      <c r="K282" s="167">
        <v>0</v>
      </c>
      <c r="L282" s="167">
        <v>0</v>
      </c>
      <c r="M282" s="167">
        <v>0</v>
      </c>
      <c r="N282" s="167">
        <v>0</v>
      </c>
      <c r="O282" s="167">
        <v>0</v>
      </c>
      <c r="P282" s="167">
        <v>0</v>
      </c>
      <c r="Q282" s="167">
        <v>0</v>
      </c>
      <c r="R282" s="167">
        <v>0</v>
      </c>
      <c r="S282" s="167">
        <v>0</v>
      </c>
      <c r="T282" s="167">
        <v>0</v>
      </c>
      <c r="U282" s="168" t="e">
        <v>#DIV/0!</v>
      </c>
      <c r="V282" s="167">
        <v>0</v>
      </c>
      <c r="W282" s="167">
        <v>0</v>
      </c>
      <c r="X282" s="167">
        <v>0</v>
      </c>
      <c r="Y282" s="167">
        <v>0</v>
      </c>
      <c r="Z282" s="167">
        <v>0</v>
      </c>
      <c r="AA282" s="167">
        <v>0</v>
      </c>
    </row>
    <row r="283" spans="1:27" ht="12" customHeight="1" x14ac:dyDescent="0.25">
      <c r="A283" s="155" t="s">
        <v>1355</v>
      </c>
      <c r="B283" s="155" t="s">
        <v>668</v>
      </c>
      <c r="C283" s="167">
        <v>0</v>
      </c>
      <c r="D283" s="167">
        <v>0</v>
      </c>
      <c r="E283" s="167">
        <v>0</v>
      </c>
      <c r="F283" s="167">
        <v>0</v>
      </c>
      <c r="G283" s="167">
        <v>0</v>
      </c>
      <c r="H283" s="167">
        <v>0</v>
      </c>
      <c r="I283" s="167">
        <v>0</v>
      </c>
      <c r="J283" s="167">
        <v>0</v>
      </c>
      <c r="K283" s="167">
        <v>0</v>
      </c>
      <c r="L283" s="167">
        <v>0</v>
      </c>
      <c r="M283" s="167">
        <v>0</v>
      </c>
      <c r="N283" s="167">
        <v>0</v>
      </c>
      <c r="O283" s="167">
        <v>0</v>
      </c>
      <c r="P283" s="167">
        <v>0</v>
      </c>
      <c r="Q283" s="167">
        <v>0</v>
      </c>
      <c r="R283" s="167">
        <v>0</v>
      </c>
      <c r="S283" s="167">
        <v>0</v>
      </c>
      <c r="T283" s="167">
        <v>0</v>
      </c>
      <c r="U283" s="168" t="e">
        <v>#DIV/0!</v>
      </c>
      <c r="V283" s="167">
        <v>0</v>
      </c>
      <c r="W283" s="167">
        <v>0</v>
      </c>
      <c r="X283" s="167">
        <v>0</v>
      </c>
      <c r="Y283" s="167">
        <v>0</v>
      </c>
      <c r="Z283" s="167">
        <v>0</v>
      </c>
      <c r="AA283" s="167">
        <v>0</v>
      </c>
    </row>
    <row r="284" spans="1:27" ht="12" customHeight="1" x14ac:dyDescent="0.25">
      <c r="A284" s="155" t="s">
        <v>1356</v>
      </c>
      <c r="B284" s="155" t="s">
        <v>669</v>
      </c>
      <c r="C284" s="167">
        <v>0</v>
      </c>
      <c r="D284" s="167">
        <v>0</v>
      </c>
      <c r="E284" s="167">
        <v>0</v>
      </c>
      <c r="F284" s="167">
        <v>0</v>
      </c>
      <c r="G284" s="167">
        <v>0</v>
      </c>
      <c r="H284" s="167">
        <v>0</v>
      </c>
      <c r="I284" s="167">
        <v>0</v>
      </c>
      <c r="J284" s="167">
        <v>0</v>
      </c>
      <c r="K284" s="167">
        <v>0</v>
      </c>
      <c r="L284" s="167">
        <v>0</v>
      </c>
      <c r="M284" s="167">
        <v>0</v>
      </c>
      <c r="N284" s="167">
        <v>0</v>
      </c>
      <c r="O284" s="167">
        <v>0</v>
      </c>
      <c r="P284" s="167">
        <v>0</v>
      </c>
      <c r="Q284" s="167">
        <v>0</v>
      </c>
      <c r="R284" s="167">
        <v>0</v>
      </c>
      <c r="S284" s="167">
        <v>0</v>
      </c>
      <c r="T284" s="167">
        <v>0</v>
      </c>
      <c r="U284" s="168" t="e">
        <v>#DIV/0!</v>
      </c>
      <c r="V284" s="167">
        <v>0</v>
      </c>
      <c r="W284" s="167">
        <v>0</v>
      </c>
      <c r="X284" s="167">
        <v>0</v>
      </c>
      <c r="Y284" s="167">
        <v>0</v>
      </c>
      <c r="Z284" s="167">
        <v>0</v>
      </c>
      <c r="AA284" s="167">
        <v>0</v>
      </c>
    </row>
    <row r="285" spans="1:27" ht="12" customHeight="1" x14ac:dyDescent="0.25">
      <c r="A285" s="155" t="s">
        <v>1357</v>
      </c>
      <c r="B285" s="155" t="s">
        <v>670</v>
      </c>
      <c r="C285" s="167">
        <v>0</v>
      </c>
      <c r="D285" s="167">
        <v>0</v>
      </c>
      <c r="E285" s="167">
        <v>0</v>
      </c>
      <c r="F285" s="167">
        <v>0</v>
      </c>
      <c r="G285" s="167">
        <v>0</v>
      </c>
      <c r="H285" s="167">
        <v>0</v>
      </c>
      <c r="I285" s="167">
        <v>0</v>
      </c>
      <c r="J285" s="167">
        <v>0</v>
      </c>
      <c r="K285" s="167">
        <v>0</v>
      </c>
      <c r="L285" s="167">
        <v>0</v>
      </c>
      <c r="M285" s="167">
        <v>0</v>
      </c>
      <c r="N285" s="167">
        <v>0</v>
      </c>
      <c r="O285" s="167">
        <v>0</v>
      </c>
      <c r="P285" s="167">
        <v>0</v>
      </c>
      <c r="Q285" s="167">
        <v>0</v>
      </c>
      <c r="R285" s="167">
        <v>0</v>
      </c>
      <c r="S285" s="167">
        <v>0</v>
      </c>
      <c r="T285" s="167">
        <v>0</v>
      </c>
      <c r="U285" s="168" t="e">
        <v>#DIV/0!</v>
      </c>
      <c r="V285" s="167">
        <v>0</v>
      </c>
      <c r="W285" s="167">
        <v>0</v>
      </c>
      <c r="X285" s="167">
        <v>0</v>
      </c>
      <c r="Y285" s="167">
        <v>0</v>
      </c>
      <c r="Z285" s="167">
        <v>0</v>
      </c>
      <c r="AA285" s="167">
        <v>0</v>
      </c>
    </row>
    <row r="286" spans="1:27" ht="12" customHeight="1" x14ac:dyDescent="0.25">
      <c r="A286" s="155" t="s">
        <v>1358</v>
      </c>
      <c r="B286" s="155" t="s">
        <v>671</v>
      </c>
      <c r="C286" s="167">
        <v>0</v>
      </c>
      <c r="D286" s="167">
        <v>0</v>
      </c>
      <c r="E286" s="167">
        <v>0</v>
      </c>
      <c r="F286" s="167">
        <v>0</v>
      </c>
      <c r="G286" s="167">
        <v>0</v>
      </c>
      <c r="H286" s="167">
        <v>0</v>
      </c>
      <c r="I286" s="167">
        <v>0</v>
      </c>
      <c r="J286" s="167">
        <v>0</v>
      </c>
      <c r="K286" s="167">
        <v>0</v>
      </c>
      <c r="L286" s="167">
        <v>0</v>
      </c>
      <c r="M286" s="167">
        <v>0</v>
      </c>
      <c r="N286" s="167">
        <v>0</v>
      </c>
      <c r="O286" s="167">
        <v>0</v>
      </c>
      <c r="P286" s="167">
        <v>0</v>
      </c>
      <c r="Q286" s="167">
        <v>0</v>
      </c>
      <c r="R286" s="167">
        <v>0</v>
      </c>
      <c r="S286" s="167">
        <v>0</v>
      </c>
      <c r="T286" s="167">
        <v>0</v>
      </c>
      <c r="U286" s="168" t="e">
        <v>#DIV/0!</v>
      </c>
      <c r="V286" s="167">
        <v>0</v>
      </c>
      <c r="W286" s="167">
        <v>0</v>
      </c>
      <c r="X286" s="167">
        <v>0</v>
      </c>
      <c r="Y286" s="167">
        <v>0</v>
      </c>
      <c r="Z286" s="167">
        <v>0</v>
      </c>
      <c r="AA286" s="167">
        <v>0</v>
      </c>
    </row>
    <row r="287" spans="1:27" ht="12" customHeight="1" x14ac:dyDescent="0.25">
      <c r="A287" s="155" t="s">
        <v>1359</v>
      </c>
      <c r="B287" s="155" t="s">
        <v>672</v>
      </c>
      <c r="C287" s="167">
        <v>0</v>
      </c>
      <c r="D287" s="167">
        <v>0</v>
      </c>
      <c r="E287" s="167">
        <v>0</v>
      </c>
      <c r="F287" s="167">
        <v>0</v>
      </c>
      <c r="G287" s="167">
        <v>0</v>
      </c>
      <c r="H287" s="167">
        <v>0</v>
      </c>
      <c r="I287" s="167">
        <v>0</v>
      </c>
      <c r="J287" s="167">
        <v>0</v>
      </c>
      <c r="K287" s="167">
        <v>0</v>
      </c>
      <c r="L287" s="167">
        <v>0</v>
      </c>
      <c r="M287" s="167">
        <v>0</v>
      </c>
      <c r="N287" s="167">
        <v>0</v>
      </c>
      <c r="O287" s="167">
        <v>0</v>
      </c>
      <c r="P287" s="167">
        <v>0</v>
      </c>
      <c r="Q287" s="167">
        <v>0</v>
      </c>
      <c r="R287" s="167">
        <v>0</v>
      </c>
      <c r="S287" s="167">
        <v>0</v>
      </c>
      <c r="T287" s="167">
        <v>0</v>
      </c>
      <c r="U287" s="168" t="e">
        <v>#DIV/0!</v>
      </c>
      <c r="V287" s="167">
        <v>0</v>
      </c>
      <c r="W287" s="167">
        <v>0</v>
      </c>
      <c r="X287" s="167">
        <v>0</v>
      </c>
      <c r="Y287" s="167">
        <v>0</v>
      </c>
      <c r="Z287" s="167">
        <v>0</v>
      </c>
      <c r="AA287" s="167">
        <v>0</v>
      </c>
    </row>
    <row r="288" spans="1:27" ht="12" customHeight="1" x14ac:dyDescent="0.25">
      <c r="A288" s="155" t="s">
        <v>1360</v>
      </c>
      <c r="B288" s="155" t="s">
        <v>673</v>
      </c>
      <c r="C288" s="167">
        <v>0</v>
      </c>
      <c r="D288" s="167">
        <v>0</v>
      </c>
      <c r="E288" s="167">
        <v>0</v>
      </c>
      <c r="F288" s="167">
        <v>0</v>
      </c>
      <c r="G288" s="167">
        <v>0</v>
      </c>
      <c r="H288" s="167">
        <v>0</v>
      </c>
      <c r="I288" s="167">
        <v>0</v>
      </c>
      <c r="J288" s="167">
        <v>0</v>
      </c>
      <c r="K288" s="167">
        <v>0</v>
      </c>
      <c r="L288" s="167">
        <v>0</v>
      </c>
      <c r="M288" s="167">
        <v>0</v>
      </c>
      <c r="N288" s="167">
        <v>0</v>
      </c>
      <c r="O288" s="167">
        <v>0</v>
      </c>
      <c r="P288" s="167">
        <v>0</v>
      </c>
      <c r="Q288" s="167">
        <v>0</v>
      </c>
      <c r="R288" s="167">
        <v>0</v>
      </c>
      <c r="S288" s="167">
        <v>0</v>
      </c>
      <c r="T288" s="167">
        <v>0</v>
      </c>
      <c r="U288" s="168" t="e">
        <v>#DIV/0!</v>
      </c>
      <c r="V288" s="167">
        <v>0</v>
      </c>
      <c r="W288" s="167">
        <v>0</v>
      </c>
      <c r="X288" s="167">
        <v>0</v>
      </c>
      <c r="Y288" s="167">
        <v>0</v>
      </c>
      <c r="Z288" s="167">
        <v>0</v>
      </c>
      <c r="AA288" s="167">
        <v>0</v>
      </c>
    </row>
    <row r="289" spans="1:27" ht="12" customHeight="1" x14ac:dyDescent="0.25">
      <c r="A289" s="155" t="s">
        <v>1361</v>
      </c>
      <c r="B289" s="155" t="s">
        <v>674</v>
      </c>
      <c r="C289" s="167">
        <v>0</v>
      </c>
      <c r="D289" s="167">
        <v>0</v>
      </c>
      <c r="E289" s="167">
        <v>0</v>
      </c>
      <c r="F289" s="167">
        <v>0</v>
      </c>
      <c r="G289" s="167">
        <v>0</v>
      </c>
      <c r="H289" s="167">
        <v>0</v>
      </c>
      <c r="I289" s="167">
        <v>0</v>
      </c>
      <c r="J289" s="167">
        <v>0</v>
      </c>
      <c r="K289" s="167">
        <v>0</v>
      </c>
      <c r="L289" s="167">
        <v>0</v>
      </c>
      <c r="M289" s="167">
        <v>0</v>
      </c>
      <c r="N289" s="167">
        <v>0</v>
      </c>
      <c r="O289" s="167">
        <v>0</v>
      </c>
      <c r="P289" s="167">
        <v>0</v>
      </c>
      <c r="Q289" s="167">
        <v>0</v>
      </c>
      <c r="R289" s="167">
        <v>0</v>
      </c>
      <c r="S289" s="167">
        <v>0</v>
      </c>
      <c r="T289" s="167">
        <v>0</v>
      </c>
      <c r="U289" s="168" t="e">
        <v>#DIV/0!</v>
      </c>
      <c r="V289" s="167">
        <v>0</v>
      </c>
      <c r="W289" s="167">
        <v>0</v>
      </c>
      <c r="X289" s="167">
        <v>0</v>
      </c>
      <c r="Y289" s="167">
        <v>0</v>
      </c>
      <c r="Z289" s="167">
        <v>0</v>
      </c>
      <c r="AA289" s="167">
        <v>0</v>
      </c>
    </row>
    <row r="290" spans="1:27" ht="12" customHeight="1" x14ac:dyDescent="0.25">
      <c r="A290" s="155" t="s">
        <v>1362</v>
      </c>
      <c r="B290" s="155" t="s">
        <v>675</v>
      </c>
      <c r="C290" s="167">
        <v>0</v>
      </c>
      <c r="D290" s="167">
        <v>0</v>
      </c>
      <c r="E290" s="167">
        <v>0</v>
      </c>
      <c r="F290" s="167">
        <v>0</v>
      </c>
      <c r="G290" s="167">
        <v>0</v>
      </c>
      <c r="H290" s="167">
        <v>0</v>
      </c>
      <c r="I290" s="167">
        <v>0</v>
      </c>
      <c r="J290" s="167">
        <v>0</v>
      </c>
      <c r="K290" s="167">
        <v>0</v>
      </c>
      <c r="L290" s="167">
        <v>0</v>
      </c>
      <c r="M290" s="167">
        <v>0</v>
      </c>
      <c r="N290" s="167">
        <v>0</v>
      </c>
      <c r="O290" s="167">
        <v>0</v>
      </c>
      <c r="P290" s="167">
        <v>0</v>
      </c>
      <c r="Q290" s="167">
        <v>0</v>
      </c>
      <c r="R290" s="167">
        <v>0</v>
      </c>
      <c r="S290" s="167">
        <v>0</v>
      </c>
      <c r="T290" s="167">
        <v>0</v>
      </c>
      <c r="U290" s="168" t="e">
        <v>#DIV/0!</v>
      </c>
      <c r="V290" s="167">
        <v>0</v>
      </c>
      <c r="W290" s="167">
        <v>0</v>
      </c>
      <c r="X290" s="167">
        <v>0</v>
      </c>
      <c r="Y290" s="167">
        <v>0</v>
      </c>
      <c r="Z290" s="167">
        <v>0</v>
      </c>
      <c r="AA290" s="167">
        <v>0</v>
      </c>
    </row>
    <row r="291" spans="1:27" ht="12" customHeight="1" x14ac:dyDescent="0.25">
      <c r="A291" s="155" t="s">
        <v>1363</v>
      </c>
      <c r="B291" s="155" t="s">
        <v>676</v>
      </c>
      <c r="C291" s="167">
        <v>0</v>
      </c>
      <c r="D291" s="167">
        <v>0</v>
      </c>
      <c r="E291" s="167">
        <v>0</v>
      </c>
      <c r="F291" s="167">
        <v>0</v>
      </c>
      <c r="G291" s="167">
        <v>0</v>
      </c>
      <c r="H291" s="167">
        <v>0</v>
      </c>
      <c r="I291" s="167">
        <v>0</v>
      </c>
      <c r="J291" s="167">
        <v>0</v>
      </c>
      <c r="K291" s="167">
        <v>0</v>
      </c>
      <c r="L291" s="167">
        <v>0</v>
      </c>
      <c r="M291" s="167">
        <v>0</v>
      </c>
      <c r="N291" s="167">
        <v>0</v>
      </c>
      <c r="O291" s="167">
        <v>0</v>
      </c>
      <c r="P291" s="167">
        <v>0</v>
      </c>
      <c r="Q291" s="167">
        <v>0</v>
      </c>
      <c r="R291" s="167">
        <v>0</v>
      </c>
      <c r="S291" s="167">
        <v>0</v>
      </c>
      <c r="T291" s="167">
        <v>0</v>
      </c>
      <c r="U291" s="168" t="e">
        <v>#DIV/0!</v>
      </c>
      <c r="V291" s="167">
        <v>0</v>
      </c>
      <c r="W291" s="167">
        <v>0</v>
      </c>
      <c r="X291" s="167">
        <v>0</v>
      </c>
      <c r="Y291" s="167">
        <v>0</v>
      </c>
      <c r="Z291" s="167">
        <v>0</v>
      </c>
      <c r="AA291" s="167">
        <v>0</v>
      </c>
    </row>
    <row r="292" spans="1:27" ht="12" customHeight="1" x14ac:dyDescent="0.25">
      <c r="A292" s="155" t="s">
        <v>1364</v>
      </c>
      <c r="B292" s="155" t="s">
        <v>677</v>
      </c>
      <c r="C292" s="167">
        <v>0</v>
      </c>
      <c r="D292" s="167">
        <v>0</v>
      </c>
      <c r="E292" s="167">
        <v>0</v>
      </c>
      <c r="F292" s="167">
        <v>0</v>
      </c>
      <c r="G292" s="167">
        <v>0</v>
      </c>
      <c r="H292" s="167">
        <v>0</v>
      </c>
      <c r="I292" s="167">
        <v>0</v>
      </c>
      <c r="J292" s="167">
        <v>0</v>
      </c>
      <c r="K292" s="167">
        <v>0</v>
      </c>
      <c r="L292" s="167">
        <v>0</v>
      </c>
      <c r="M292" s="167">
        <v>0</v>
      </c>
      <c r="N292" s="167">
        <v>0</v>
      </c>
      <c r="O292" s="167">
        <v>0</v>
      </c>
      <c r="P292" s="167">
        <v>0</v>
      </c>
      <c r="Q292" s="167">
        <v>0</v>
      </c>
      <c r="R292" s="167">
        <v>0</v>
      </c>
      <c r="S292" s="167">
        <v>0</v>
      </c>
      <c r="T292" s="167">
        <v>0</v>
      </c>
      <c r="U292" s="168" t="e">
        <v>#DIV/0!</v>
      </c>
      <c r="V292" s="167">
        <v>0</v>
      </c>
      <c r="W292" s="167">
        <v>0</v>
      </c>
      <c r="X292" s="167">
        <v>0</v>
      </c>
      <c r="Y292" s="167">
        <v>0</v>
      </c>
      <c r="Z292" s="167">
        <v>0</v>
      </c>
      <c r="AA292" s="167">
        <v>0</v>
      </c>
    </row>
    <row r="293" spans="1:27" ht="12" customHeight="1" x14ac:dyDescent="0.25">
      <c r="A293" s="155" t="s">
        <v>1365</v>
      </c>
      <c r="B293" s="155" t="s">
        <v>678</v>
      </c>
      <c r="C293" s="167">
        <v>0</v>
      </c>
      <c r="D293" s="167">
        <v>0</v>
      </c>
      <c r="E293" s="167">
        <v>0</v>
      </c>
      <c r="F293" s="167">
        <v>0</v>
      </c>
      <c r="G293" s="167">
        <v>0</v>
      </c>
      <c r="H293" s="167">
        <v>0</v>
      </c>
      <c r="I293" s="167">
        <v>0</v>
      </c>
      <c r="J293" s="167">
        <v>0</v>
      </c>
      <c r="K293" s="167">
        <v>0</v>
      </c>
      <c r="L293" s="167">
        <v>0</v>
      </c>
      <c r="M293" s="167">
        <v>0</v>
      </c>
      <c r="N293" s="167">
        <v>0</v>
      </c>
      <c r="O293" s="167">
        <v>0</v>
      </c>
      <c r="P293" s="167">
        <v>0</v>
      </c>
      <c r="Q293" s="167">
        <v>0</v>
      </c>
      <c r="R293" s="167">
        <v>0</v>
      </c>
      <c r="S293" s="167">
        <v>0</v>
      </c>
      <c r="T293" s="167">
        <v>0</v>
      </c>
      <c r="U293" s="168" t="e">
        <v>#DIV/0!</v>
      </c>
      <c r="V293" s="167">
        <v>0</v>
      </c>
      <c r="W293" s="167">
        <v>0</v>
      </c>
      <c r="X293" s="167">
        <v>0</v>
      </c>
      <c r="Y293" s="167">
        <v>0</v>
      </c>
      <c r="Z293" s="167">
        <v>0</v>
      </c>
      <c r="AA293" s="167">
        <v>0</v>
      </c>
    </row>
    <row r="294" spans="1:27" ht="12" customHeight="1" x14ac:dyDescent="0.25">
      <c r="A294" s="155" t="s">
        <v>1366</v>
      </c>
      <c r="B294" s="155" t="s">
        <v>679</v>
      </c>
      <c r="C294" s="167">
        <v>0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0</v>
      </c>
      <c r="K294" s="167">
        <v>0</v>
      </c>
      <c r="L294" s="167">
        <v>0</v>
      </c>
      <c r="M294" s="167">
        <v>0</v>
      </c>
      <c r="N294" s="167">
        <v>0</v>
      </c>
      <c r="O294" s="167">
        <v>0</v>
      </c>
      <c r="P294" s="167">
        <v>0</v>
      </c>
      <c r="Q294" s="167">
        <v>0</v>
      </c>
      <c r="R294" s="167">
        <v>0</v>
      </c>
      <c r="S294" s="167">
        <v>0</v>
      </c>
      <c r="T294" s="167">
        <v>0</v>
      </c>
      <c r="U294" s="168" t="e">
        <v>#DIV/0!</v>
      </c>
      <c r="V294" s="167">
        <v>0</v>
      </c>
      <c r="W294" s="167">
        <v>0</v>
      </c>
      <c r="X294" s="167">
        <v>0</v>
      </c>
      <c r="Y294" s="167">
        <v>0</v>
      </c>
      <c r="Z294" s="167">
        <v>0</v>
      </c>
      <c r="AA294" s="167">
        <v>0</v>
      </c>
    </row>
    <row r="295" spans="1:27" ht="12" customHeight="1" x14ac:dyDescent="0.25">
      <c r="A295" s="155" t="s">
        <v>1367</v>
      </c>
      <c r="B295" s="155" t="s">
        <v>680</v>
      </c>
      <c r="C295" s="167">
        <v>0</v>
      </c>
      <c r="D295" s="167">
        <v>0</v>
      </c>
      <c r="E295" s="167">
        <v>0</v>
      </c>
      <c r="F295" s="167">
        <v>0</v>
      </c>
      <c r="G295" s="167">
        <v>0</v>
      </c>
      <c r="H295" s="167">
        <v>0</v>
      </c>
      <c r="I295" s="167">
        <v>0</v>
      </c>
      <c r="J295" s="167">
        <v>0</v>
      </c>
      <c r="K295" s="167">
        <v>0</v>
      </c>
      <c r="L295" s="167">
        <v>0</v>
      </c>
      <c r="M295" s="167">
        <v>0</v>
      </c>
      <c r="N295" s="167">
        <v>0</v>
      </c>
      <c r="O295" s="167">
        <v>0</v>
      </c>
      <c r="P295" s="167">
        <v>0</v>
      </c>
      <c r="Q295" s="167">
        <v>0</v>
      </c>
      <c r="R295" s="167">
        <v>0</v>
      </c>
      <c r="S295" s="167">
        <v>0</v>
      </c>
      <c r="T295" s="167">
        <v>0</v>
      </c>
      <c r="U295" s="168" t="e">
        <v>#DIV/0!</v>
      </c>
      <c r="V295" s="167">
        <v>0</v>
      </c>
      <c r="W295" s="167">
        <v>0</v>
      </c>
      <c r="X295" s="167">
        <v>0</v>
      </c>
      <c r="Y295" s="167">
        <v>0</v>
      </c>
      <c r="Z295" s="167">
        <v>0</v>
      </c>
      <c r="AA295" s="167">
        <v>0</v>
      </c>
    </row>
    <row r="296" spans="1:27" ht="12" customHeight="1" x14ac:dyDescent="0.25">
      <c r="A296" s="155" t="s">
        <v>1368</v>
      </c>
      <c r="B296" s="155" t="s">
        <v>681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0</v>
      </c>
      <c r="K296" s="167">
        <v>0</v>
      </c>
      <c r="L296" s="167">
        <v>0</v>
      </c>
      <c r="M296" s="167">
        <v>0</v>
      </c>
      <c r="N296" s="167">
        <v>0</v>
      </c>
      <c r="O296" s="167">
        <v>0</v>
      </c>
      <c r="P296" s="167">
        <v>0</v>
      </c>
      <c r="Q296" s="167">
        <v>0</v>
      </c>
      <c r="R296" s="167">
        <v>0</v>
      </c>
      <c r="S296" s="167">
        <v>0</v>
      </c>
      <c r="T296" s="167">
        <v>0</v>
      </c>
      <c r="U296" s="168" t="e">
        <v>#DIV/0!</v>
      </c>
      <c r="V296" s="167">
        <v>0</v>
      </c>
      <c r="W296" s="167">
        <v>0</v>
      </c>
      <c r="X296" s="167">
        <v>0</v>
      </c>
      <c r="Y296" s="167">
        <v>0</v>
      </c>
      <c r="Z296" s="167">
        <v>0</v>
      </c>
      <c r="AA296" s="167">
        <v>0</v>
      </c>
    </row>
    <row r="297" spans="1:27" ht="12" customHeight="1" x14ac:dyDescent="0.25">
      <c r="A297" s="155" t="s">
        <v>1369</v>
      </c>
      <c r="B297" s="155" t="s">
        <v>682</v>
      </c>
      <c r="C297" s="167">
        <v>0</v>
      </c>
      <c r="D297" s="167">
        <v>0</v>
      </c>
      <c r="E297" s="167">
        <v>0</v>
      </c>
      <c r="F297" s="167">
        <v>0</v>
      </c>
      <c r="G297" s="167">
        <v>0</v>
      </c>
      <c r="H297" s="167">
        <v>0</v>
      </c>
      <c r="I297" s="167">
        <v>0</v>
      </c>
      <c r="J297" s="167">
        <v>0</v>
      </c>
      <c r="K297" s="167">
        <v>0</v>
      </c>
      <c r="L297" s="167">
        <v>0</v>
      </c>
      <c r="M297" s="167">
        <v>0</v>
      </c>
      <c r="N297" s="167">
        <v>0</v>
      </c>
      <c r="O297" s="167">
        <v>0</v>
      </c>
      <c r="P297" s="167">
        <v>0</v>
      </c>
      <c r="Q297" s="167">
        <v>0</v>
      </c>
      <c r="R297" s="167">
        <v>0</v>
      </c>
      <c r="S297" s="167">
        <v>0</v>
      </c>
      <c r="T297" s="167">
        <v>0</v>
      </c>
      <c r="U297" s="168" t="e">
        <v>#DIV/0!</v>
      </c>
      <c r="V297" s="167">
        <v>0</v>
      </c>
      <c r="W297" s="167">
        <v>0</v>
      </c>
      <c r="X297" s="167">
        <v>0</v>
      </c>
      <c r="Y297" s="167">
        <v>0</v>
      </c>
      <c r="Z297" s="167">
        <v>0</v>
      </c>
      <c r="AA297" s="167">
        <v>0</v>
      </c>
    </row>
    <row r="298" spans="1:27" ht="12" customHeight="1" x14ac:dyDescent="0.25">
      <c r="A298" s="155" t="s">
        <v>1370</v>
      </c>
      <c r="B298" s="155" t="s">
        <v>683</v>
      </c>
      <c r="C298" s="167">
        <v>0</v>
      </c>
      <c r="D298" s="167">
        <v>0</v>
      </c>
      <c r="E298" s="167">
        <v>0</v>
      </c>
      <c r="F298" s="167">
        <v>0</v>
      </c>
      <c r="G298" s="167">
        <v>0</v>
      </c>
      <c r="H298" s="167">
        <v>0</v>
      </c>
      <c r="I298" s="167">
        <v>0</v>
      </c>
      <c r="J298" s="167">
        <v>0</v>
      </c>
      <c r="K298" s="167">
        <v>0</v>
      </c>
      <c r="L298" s="167">
        <v>0</v>
      </c>
      <c r="M298" s="167">
        <v>0</v>
      </c>
      <c r="N298" s="167">
        <v>0</v>
      </c>
      <c r="O298" s="167">
        <v>0</v>
      </c>
      <c r="P298" s="167">
        <v>0</v>
      </c>
      <c r="Q298" s="167">
        <v>0</v>
      </c>
      <c r="R298" s="167">
        <v>0</v>
      </c>
      <c r="S298" s="167">
        <v>0</v>
      </c>
      <c r="T298" s="167">
        <v>0</v>
      </c>
      <c r="U298" s="168" t="e">
        <v>#DIV/0!</v>
      </c>
      <c r="V298" s="167">
        <v>0</v>
      </c>
      <c r="W298" s="167">
        <v>0</v>
      </c>
      <c r="X298" s="167">
        <v>0</v>
      </c>
      <c r="Y298" s="167">
        <v>0</v>
      </c>
      <c r="Z298" s="167">
        <v>0</v>
      </c>
      <c r="AA298" s="167">
        <v>0</v>
      </c>
    </row>
    <row r="299" spans="1:27" ht="12" customHeight="1" x14ac:dyDescent="0.25">
      <c r="A299" s="155"/>
      <c r="B299" s="171" t="s">
        <v>684</v>
      </c>
      <c r="C299" s="172">
        <v>0</v>
      </c>
      <c r="D299" s="172">
        <v>0</v>
      </c>
      <c r="E299" s="172">
        <v>0</v>
      </c>
      <c r="F299" s="172">
        <v>0</v>
      </c>
      <c r="G299" s="172">
        <v>0</v>
      </c>
      <c r="H299" s="172">
        <v>0</v>
      </c>
      <c r="I299" s="172">
        <v>0</v>
      </c>
      <c r="J299" s="172">
        <v>0</v>
      </c>
      <c r="K299" s="172">
        <v>0</v>
      </c>
      <c r="L299" s="172">
        <v>0</v>
      </c>
      <c r="M299" s="172">
        <v>0</v>
      </c>
      <c r="N299" s="172">
        <v>0</v>
      </c>
      <c r="O299" s="172">
        <v>0</v>
      </c>
      <c r="P299" s="172">
        <v>0</v>
      </c>
      <c r="Q299" s="172">
        <v>0</v>
      </c>
      <c r="R299" s="172">
        <v>0</v>
      </c>
      <c r="S299" s="172">
        <v>0</v>
      </c>
      <c r="T299" s="173">
        <v>0</v>
      </c>
      <c r="U299" s="174" t="e">
        <v>#DIV/0!</v>
      </c>
      <c r="V299" s="173">
        <v>0</v>
      </c>
      <c r="W299" s="173">
        <v>0</v>
      </c>
      <c r="X299" s="173">
        <v>0</v>
      </c>
      <c r="Y299" s="173">
        <v>0</v>
      </c>
      <c r="Z299" s="173">
        <v>0</v>
      </c>
      <c r="AA299" s="173">
        <v>0</v>
      </c>
    </row>
    <row r="300" spans="1:27" ht="12" customHeight="1" x14ac:dyDescent="0.25">
      <c r="A300" s="155" t="s">
        <v>1371</v>
      </c>
      <c r="B300" s="162" t="s">
        <v>685</v>
      </c>
      <c r="C300" s="164">
        <v>0</v>
      </c>
      <c r="D300" s="164">
        <v>0</v>
      </c>
      <c r="E300" s="164">
        <v>0</v>
      </c>
      <c r="F300" s="164">
        <v>0</v>
      </c>
      <c r="G300" s="164">
        <v>0</v>
      </c>
      <c r="H300" s="164">
        <v>0</v>
      </c>
      <c r="I300" s="164">
        <v>0</v>
      </c>
      <c r="J300" s="164">
        <v>0</v>
      </c>
      <c r="K300" s="164">
        <v>0</v>
      </c>
      <c r="L300" s="164">
        <v>0</v>
      </c>
      <c r="M300" s="164">
        <v>0</v>
      </c>
      <c r="N300" s="164">
        <v>0</v>
      </c>
      <c r="O300" s="164">
        <v>0</v>
      </c>
      <c r="P300" s="164">
        <v>0</v>
      </c>
      <c r="Q300" s="164">
        <v>0</v>
      </c>
      <c r="R300" s="164">
        <v>0</v>
      </c>
      <c r="S300" s="164">
        <v>0</v>
      </c>
      <c r="T300" s="164">
        <v>0</v>
      </c>
      <c r="U300" s="165" t="e">
        <v>#DIV/0!</v>
      </c>
      <c r="V300" s="164">
        <v>0</v>
      </c>
      <c r="W300" s="164">
        <v>0</v>
      </c>
      <c r="X300" s="164">
        <v>0</v>
      </c>
      <c r="Y300" s="164">
        <v>0</v>
      </c>
      <c r="Z300" s="164">
        <v>0</v>
      </c>
      <c r="AA300" s="164">
        <v>0</v>
      </c>
    </row>
    <row r="301" spans="1:27" ht="12" customHeight="1" x14ac:dyDescent="0.25">
      <c r="A301" s="155"/>
      <c r="B301" s="162" t="s">
        <v>686</v>
      </c>
      <c r="C301" s="163">
        <v>0</v>
      </c>
      <c r="D301" s="163">
        <v>0</v>
      </c>
      <c r="E301" s="163">
        <v>0</v>
      </c>
      <c r="F301" s="163">
        <v>0</v>
      </c>
      <c r="G301" s="163">
        <v>0</v>
      </c>
      <c r="H301" s="163">
        <v>0</v>
      </c>
      <c r="I301" s="163">
        <v>0</v>
      </c>
      <c r="J301" s="163">
        <v>0</v>
      </c>
      <c r="K301" s="163">
        <v>0</v>
      </c>
      <c r="L301" s="163">
        <v>0</v>
      </c>
      <c r="M301" s="163">
        <v>0</v>
      </c>
      <c r="N301" s="163">
        <v>0</v>
      </c>
      <c r="O301" s="163">
        <v>0</v>
      </c>
      <c r="P301" s="163">
        <v>0</v>
      </c>
      <c r="Q301" s="163">
        <v>0</v>
      </c>
      <c r="R301" s="163">
        <v>0</v>
      </c>
      <c r="S301" s="163">
        <v>0</v>
      </c>
      <c r="T301" s="164">
        <v>0</v>
      </c>
      <c r="U301" s="165" t="e">
        <v>#DIV/0!</v>
      </c>
      <c r="V301" s="164">
        <v>0</v>
      </c>
      <c r="W301" s="164">
        <v>0</v>
      </c>
      <c r="X301" s="164">
        <v>0</v>
      </c>
      <c r="Y301" s="164">
        <v>0</v>
      </c>
      <c r="Z301" s="164">
        <v>0</v>
      </c>
      <c r="AA301" s="164">
        <v>0</v>
      </c>
    </row>
    <row r="302" spans="1:27" ht="12" customHeight="1" x14ac:dyDescent="0.25">
      <c r="A302" s="155" t="s">
        <v>1372</v>
      </c>
      <c r="B302" s="155" t="s">
        <v>687</v>
      </c>
      <c r="C302" s="167">
        <v>0</v>
      </c>
      <c r="D302" s="167">
        <v>0</v>
      </c>
      <c r="E302" s="167">
        <v>0</v>
      </c>
      <c r="F302" s="167">
        <v>0</v>
      </c>
      <c r="G302" s="167">
        <v>0</v>
      </c>
      <c r="H302" s="167">
        <v>0</v>
      </c>
      <c r="I302" s="167">
        <v>0</v>
      </c>
      <c r="J302" s="167">
        <v>0</v>
      </c>
      <c r="K302" s="167">
        <v>0</v>
      </c>
      <c r="L302" s="167">
        <v>0</v>
      </c>
      <c r="M302" s="167">
        <v>0</v>
      </c>
      <c r="N302" s="167">
        <v>0</v>
      </c>
      <c r="O302" s="167">
        <v>0</v>
      </c>
      <c r="P302" s="167">
        <v>0</v>
      </c>
      <c r="Q302" s="167">
        <v>0</v>
      </c>
      <c r="R302" s="167">
        <v>0</v>
      </c>
      <c r="S302" s="167">
        <v>0</v>
      </c>
      <c r="T302" s="167">
        <v>0</v>
      </c>
      <c r="U302" s="168" t="e">
        <v>#DIV/0!</v>
      </c>
      <c r="V302" s="167">
        <v>0</v>
      </c>
      <c r="W302" s="167">
        <v>0</v>
      </c>
      <c r="X302" s="167">
        <v>0</v>
      </c>
      <c r="Y302" s="167">
        <v>0</v>
      </c>
      <c r="Z302" s="167">
        <v>0</v>
      </c>
      <c r="AA302" s="167">
        <v>0</v>
      </c>
    </row>
    <row r="303" spans="1:27" ht="12" customHeight="1" x14ac:dyDescent="0.25">
      <c r="A303" s="155" t="s">
        <v>1373</v>
      </c>
      <c r="B303" s="155" t="s">
        <v>688</v>
      </c>
      <c r="C303" s="167">
        <v>0</v>
      </c>
      <c r="D303" s="167">
        <v>0</v>
      </c>
      <c r="E303" s="167">
        <v>0</v>
      </c>
      <c r="F303" s="167">
        <v>0</v>
      </c>
      <c r="G303" s="167">
        <v>0</v>
      </c>
      <c r="H303" s="167">
        <v>0</v>
      </c>
      <c r="I303" s="167">
        <v>0</v>
      </c>
      <c r="J303" s="167">
        <v>0</v>
      </c>
      <c r="K303" s="167">
        <v>0</v>
      </c>
      <c r="L303" s="167">
        <v>0</v>
      </c>
      <c r="M303" s="167">
        <v>0</v>
      </c>
      <c r="N303" s="167">
        <v>0</v>
      </c>
      <c r="O303" s="167">
        <v>0</v>
      </c>
      <c r="P303" s="167">
        <v>0</v>
      </c>
      <c r="Q303" s="167">
        <v>0</v>
      </c>
      <c r="R303" s="167">
        <v>0</v>
      </c>
      <c r="S303" s="167">
        <v>0</v>
      </c>
      <c r="T303" s="167">
        <v>0</v>
      </c>
      <c r="U303" s="168" t="e">
        <v>#DIV/0!</v>
      </c>
      <c r="V303" s="167">
        <v>0</v>
      </c>
      <c r="W303" s="167">
        <v>0</v>
      </c>
      <c r="X303" s="167">
        <v>0</v>
      </c>
      <c r="Y303" s="167">
        <v>0</v>
      </c>
      <c r="Z303" s="167">
        <v>0</v>
      </c>
      <c r="AA303" s="167">
        <v>0</v>
      </c>
    </row>
    <row r="304" spans="1:27" ht="12" customHeight="1" x14ac:dyDescent="0.25">
      <c r="A304" s="155" t="s">
        <v>1374</v>
      </c>
      <c r="B304" s="155" t="s">
        <v>689</v>
      </c>
      <c r="C304" s="167">
        <v>0</v>
      </c>
      <c r="D304" s="167">
        <v>0</v>
      </c>
      <c r="E304" s="167">
        <v>0</v>
      </c>
      <c r="F304" s="167">
        <v>0</v>
      </c>
      <c r="G304" s="167">
        <v>0</v>
      </c>
      <c r="H304" s="167">
        <v>0</v>
      </c>
      <c r="I304" s="167">
        <v>0</v>
      </c>
      <c r="J304" s="167">
        <v>0</v>
      </c>
      <c r="K304" s="167">
        <v>0</v>
      </c>
      <c r="L304" s="167">
        <v>0</v>
      </c>
      <c r="M304" s="167">
        <v>0</v>
      </c>
      <c r="N304" s="167">
        <v>0</v>
      </c>
      <c r="O304" s="167">
        <v>0</v>
      </c>
      <c r="P304" s="167">
        <v>0</v>
      </c>
      <c r="Q304" s="167">
        <v>0</v>
      </c>
      <c r="R304" s="167">
        <v>0</v>
      </c>
      <c r="S304" s="167">
        <v>0</v>
      </c>
      <c r="T304" s="167">
        <v>0</v>
      </c>
      <c r="U304" s="168" t="e">
        <v>#DIV/0!</v>
      </c>
      <c r="V304" s="167">
        <v>0</v>
      </c>
      <c r="W304" s="167">
        <v>0</v>
      </c>
      <c r="X304" s="167">
        <v>0</v>
      </c>
      <c r="Y304" s="167">
        <v>0</v>
      </c>
      <c r="Z304" s="167">
        <v>0</v>
      </c>
      <c r="AA304" s="167">
        <v>0</v>
      </c>
    </row>
    <row r="305" spans="1:27" ht="12" customHeight="1" x14ac:dyDescent="0.25">
      <c r="A305" s="155"/>
      <c r="B305" s="162" t="s">
        <v>690</v>
      </c>
      <c r="C305" s="163">
        <v>0</v>
      </c>
      <c r="D305" s="163">
        <v>0</v>
      </c>
      <c r="E305" s="163">
        <v>0</v>
      </c>
      <c r="F305" s="163">
        <v>0</v>
      </c>
      <c r="G305" s="163">
        <v>0</v>
      </c>
      <c r="H305" s="163">
        <v>0</v>
      </c>
      <c r="I305" s="163">
        <v>0</v>
      </c>
      <c r="J305" s="163">
        <v>0</v>
      </c>
      <c r="K305" s="163">
        <v>0</v>
      </c>
      <c r="L305" s="163">
        <v>0</v>
      </c>
      <c r="M305" s="163">
        <v>0</v>
      </c>
      <c r="N305" s="163">
        <v>0</v>
      </c>
      <c r="O305" s="163">
        <v>0</v>
      </c>
      <c r="P305" s="163">
        <v>0</v>
      </c>
      <c r="Q305" s="163">
        <v>0</v>
      </c>
      <c r="R305" s="163">
        <v>0</v>
      </c>
      <c r="S305" s="163">
        <v>0</v>
      </c>
      <c r="T305" s="164">
        <v>0</v>
      </c>
      <c r="U305" s="165" t="e">
        <v>#DIV/0!</v>
      </c>
      <c r="V305" s="164">
        <v>0</v>
      </c>
      <c r="W305" s="164">
        <v>0</v>
      </c>
      <c r="X305" s="164">
        <v>0</v>
      </c>
      <c r="Y305" s="164">
        <v>0</v>
      </c>
      <c r="Z305" s="164">
        <v>0</v>
      </c>
      <c r="AA305" s="164">
        <v>0</v>
      </c>
    </row>
    <row r="306" spans="1:27" ht="12" customHeight="1" x14ac:dyDescent="0.25">
      <c r="A306" s="155" t="s">
        <v>1375</v>
      </c>
      <c r="B306" s="155" t="s">
        <v>691</v>
      </c>
      <c r="C306" s="167">
        <v>0</v>
      </c>
      <c r="D306" s="167">
        <v>0</v>
      </c>
      <c r="E306" s="167">
        <v>0</v>
      </c>
      <c r="F306" s="167">
        <v>0</v>
      </c>
      <c r="G306" s="167">
        <v>0</v>
      </c>
      <c r="H306" s="167">
        <v>0</v>
      </c>
      <c r="I306" s="167">
        <v>0</v>
      </c>
      <c r="J306" s="167">
        <v>0</v>
      </c>
      <c r="K306" s="167">
        <v>0</v>
      </c>
      <c r="L306" s="167">
        <v>0</v>
      </c>
      <c r="M306" s="167">
        <v>0</v>
      </c>
      <c r="N306" s="167">
        <v>0</v>
      </c>
      <c r="O306" s="167">
        <v>0</v>
      </c>
      <c r="P306" s="167">
        <v>0</v>
      </c>
      <c r="Q306" s="167">
        <v>0</v>
      </c>
      <c r="R306" s="167">
        <v>0</v>
      </c>
      <c r="S306" s="167">
        <v>0</v>
      </c>
      <c r="T306" s="167">
        <v>0</v>
      </c>
      <c r="U306" s="168" t="e">
        <v>#DIV/0!</v>
      </c>
      <c r="V306" s="167">
        <v>0</v>
      </c>
      <c r="W306" s="167">
        <v>0</v>
      </c>
      <c r="X306" s="167">
        <v>0</v>
      </c>
      <c r="Y306" s="167">
        <v>0</v>
      </c>
      <c r="Z306" s="167">
        <v>0</v>
      </c>
      <c r="AA306" s="167">
        <v>0</v>
      </c>
    </row>
    <row r="307" spans="1:27" ht="12" customHeight="1" x14ac:dyDescent="0.25">
      <c r="A307" s="155" t="s">
        <v>1376</v>
      </c>
      <c r="B307" s="155" t="s">
        <v>692</v>
      </c>
      <c r="C307" s="167">
        <v>0</v>
      </c>
      <c r="D307" s="167">
        <v>0</v>
      </c>
      <c r="E307" s="167">
        <v>0</v>
      </c>
      <c r="F307" s="167">
        <v>0</v>
      </c>
      <c r="G307" s="167">
        <v>0</v>
      </c>
      <c r="H307" s="167">
        <v>0</v>
      </c>
      <c r="I307" s="167">
        <v>0</v>
      </c>
      <c r="J307" s="167">
        <v>0</v>
      </c>
      <c r="K307" s="167">
        <v>0</v>
      </c>
      <c r="L307" s="167">
        <v>0</v>
      </c>
      <c r="M307" s="167">
        <v>0</v>
      </c>
      <c r="N307" s="167">
        <v>0</v>
      </c>
      <c r="O307" s="167">
        <v>0</v>
      </c>
      <c r="P307" s="167">
        <v>0</v>
      </c>
      <c r="Q307" s="167">
        <v>0</v>
      </c>
      <c r="R307" s="167">
        <v>0</v>
      </c>
      <c r="S307" s="167">
        <v>0</v>
      </c>
      <c r="T307" s="167">
        <v>0</v>
      </c>
      <c r="U307" s="168" t="e">
        <v>#DIV/0!</v>
      </c>
      <c r="V307" s="167">
        <v>0</v>
      </c>
      <c r="W307" s="167">
        <v>0</v>
      </c>
      <c r="X307" s="167">
        <v>0</v>
      </c>
      <c r="Y307" s="167">
        <v>0</v>
      </c>
      <c r="Z307" s="167">
        <v>0</v>
      </c>
      <c r="AA307" s="167">
        <v>0</v>
      </c>
    </row>
    <row r="308" spans="1:27" ht="12" customHeight="1" x14ac:dyDescent="0.25">
      <c r="A308" s="155" t="s">
        <v>1377</v>
      </c>
      <c r="B308" s="155" t="s">
        <v>693</v>
      </c>
      <c r="C308" s="167">
        <v>0</v>
      </c>
      <c r="D308" s="167">
        <v>0</v>
      </c>
      <c r="E308" s="167">
        <v>0</v>
      </c>
      <c r="F308" s="167">
        <v>0</v>
      </c>
      <c r="G308" s="167">
        <v>0</v>
      </c>
      <c r="H308" s="167">
        <v>0</v>
      </c>
      <c r="I308" s="167">
        <v>0</v>
      </c>
      <c r="J308" s="167">
        <v>0</v>
      </c>
      <c r="K308" s="167">
        <v>0</v>
      </c>
      <c r="L308" s="167">
        <v>0</v>
      </c>
      <c r="M308" s="167">
        <v>0</v>
      </c>
      <c r="N308" s="167">
        <v>0</v>
      </c>
      <c r="O308" s="167">
        <v>0</v>
      </c>
      <c r="P308" s="167">
        <v>0</v>
      </c>
      <c r="Q308" s="167">
        <v>0</v>
      </c>
      <c r="R308" s="167">
        <v>0</v>
      </c>
      <c r="S308" s="167">
        <v>0</v>
      </c>
      <c r="T308" s="167">
        <v>0</v>
      </c>
      <c r="U308" s="168" t="e">
        <v>#DIV/0!</v>
      </c>
      <c r="V308" s="167">
        <v>0</v>
      </c>
      <c r="W308" s="167">
        <v>0</v>
      </c>
      <c r="X308" s="167">
        <v>0</v>
      </c>
      <c r="Y308" s="167">
        <v>0</v>
      </c>
      <c r="Z308" s="167">
        <v>0</v>
      </c>
      <c r="AA308" s="167">
        <v>0</v>
      </c>
    </row>
    <row r="309" spans="1:27" ht="12" customHeight="1" x14ac:dyDescent="0.25">
      <c r="A309" s="155" t="s">
        <v>1378</v>
      </c>
      <c r="B309" s="162" t="s">
        <v>694</v>
      </c>
      <c r="C309" s="164">
        <v>0</v>
      </c>
      <c r="D309" s="164">
        <v>0</v>
      </c>
      <c r="E309" s="164">
        <v>0</v>
      </c>
      <c r="F309" s="164">
        <v>0</v>
      </c>
      <c r="G309" s="164">
        <v>0</v>
      </c>
      <c r="H309" s="164">
        <v>0</v>
      </c>
      <c r="I309" s="164">
        <v>0</v>
      </c>
      <c r="J309" s="164">
        <v>0</v>
      </c>
      <c r="K309" s="164">
        <v>0</v>
      </c>
      <c r="L309" s="164">
        <v>0</v>
      </c>
      <c r="M309" s="164">
        <v>0</v>
      </c>
      <c r="N309" s="164">
        <v>0</v>
      </c>
      <c r="O309" s="164">
        <v>0</v>
      </c>
      <c r="P309" s="164">
        <v>0</v>
      </c>
      <c r="Q309" s="164">
        <v>0</v>
      </c>
      <c r="R309" s="164">
        <v>0</v>
      </c>
      <c r="S309" s="164">
        <v>0</v>
      </c>
      <c r="T309" s="164">
        <v>0</v>
      </c>
      <c r="U309" s="165" t="e">
        <v>#DIV/0!</v>
      </c>
      <c r="V309" s="164">
        <v>0</v>
      </c>
      <c r="W309" s="164">
        <v>0</v>
      </c>
      <c r="X309" s="164">
        <v>0</v>
      </c>
      <c r="Y309" s="164">
        <v>0</v>
      </c>
      <c r="Z309" s="164">
        <v>0</v>
      </c>
      <c r="AA309" s="164">
        <v>0</v>
      </c>
    </row>
    <row r="310" spans="1:27" ht="12" customHeight="1" x14ac:dyDescent="0.25">
      <c r="A310" s="155"/>
      <c r="B310" s="175" t="s">
        <v>35</v>
      </c>
      <c r="C310" s="176">
        <v>0</v>
      </c>
      <c r="D310" s="176">
        <v>0</v>
      </c>
      <c r="E310" s="176">
        <v>0</v>
      </c>
      <c r="F310" s="176">
        <v>0</v>
      </c>
      <c r="G310" s="176">
        <v>0</v>
      </c>
      <c r="H310" s="176">
        <v>0</v>
      </c>
      <c r="I310" s="176">
        <v>0</v>
      </c>
      <c r="J310" s="176">
        <v>0</v>
      </c>
      <c r="K310" s="176">
        <v>0</v>
      </c>
      <c r="L310" s="176">
        <v>0</v>
      </c>
      <c r="M310" s="176">
        <v>0</v>
      </c>
      <c r="N310" s="176">
        <v>0</v>
      </c>
      <c r="O310" s="176">
        <v>0</v>
      </c>
      <c r="P310" s="176">
        <v>0</v>
      </c>
      <c r="Q310" s="176">
        <v>0</v>
      </c>
      <c r="R310" s="176">
        <v>0</v>
      </c>
      <c r="S310" s="176">
        <v>0</v>
      </c>
      <c r="T310" s="177">
        <v>0</v>
      </c>
      <c r="U310" s="178" t="e">
        <v>#DIV/0!</v>
      </c>
      <c r="V310" s="177">
        <v>0</v>
      </c>
      <c r="W310" s="177">
        <v>0</v>
      </c>
      <c r="X310" s="177">
        <v>0</v>
      </c>
      <c r="Y310" s="177">
        <v>0</v>
      </c>
      <c r="Z310" s="177">
        <v>0</v>
      </c>
      <c r="AA310" s="177">
        <v>0</v>
      </c>
    </row>
    <row r="311" spans="1:27" ht="12" customHeight="1" x14ac:dyDescent="0.25">
      <c r="A311" s="155"/>
      <c r="B311" s="179" t="s">
        <v>1379</v>
      </c>
      <c r="C311" s="180">
        <v>0</v>
      </c>
      <c r="D311" s="180">
        <v>0</v>
      </c>
      <c r="E311" s="180">
        <v>0</v>
      </c>
      <c r="F311" s="180">
        <v>0</v>
      </c>
      <c r="G311" s="180">
        <v>0</v>
      </c>
      <c r="H311" s="180">
        <v>0</v>
      </c>
      <c r="I311" s="180">
        <v>0</v>
      </c>
      <c r="J311" s="180">
        <v>0</v>
      </c>
      <c r="K311" s="180">
        <v>0</v>
      </c>
      <c r="L311" s="180">
        <v>0</v>
      </c>
      <c r="M311" s="180">
        <v>0</v>
      </c>
      <c r="N311" s="180">
        <v>0</v>
      </c>
      <c r="O311" s="180">
        <v>0</v>
      </c>
      <c r="P311" s="180">
        <v>0</v>
      </c>
      <c r="Q311" s="180">
        <v>0</v>
      </c>
      <c r="R311" s="180">
        <v>0</v>
      </c>
      <c r="S311" s="180">
        <v>0</v>
      </c>
      <c r="T311" s="181">
        <v>0</v>
      </c>
      <c r="U311" s="182" t="e">
        <v>#DIV/0!</v>
      </c>
      <c r="V311" s="181">
        <v>0</v>
      </c>
      <c r="W311" s="181">
        <v>0</v>
      </c>
      <c r="X311" s="181">
        <v>0</v>
      </c>
      <c r="Y311" s="181">
        <v>0</v>
      </c>
      <c r="Z311" s="181">
        <v>0</v>
      </c>
      <c r="AA311" s="181">
        <v>0</v>
      </c>
    </row>
    <row r="312" spans="1:27" ht="12" customHeight="1" x14ac:dyDescent="0.25">
      <c r="A312" s="155"/>
      <c r="B312" s="183" t="s">
        <v>74</v>
      </c>
      <c r="C312" s="184">
        <v>0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5">
        <v>0</v>
      </c>
      <c r="U312" s="186" t="e">
        <v>#DIV/0!</v>
      </c>
      <c r="V312" s="185">
        <v>0</v>
      </c>
      <c r="W312" s="185">
        <v>0</v>
      </c>
      <c r="X312" s="185">
        <v>0</v>
      </c>
      <c r="Y312" s="185">
        <v>0</v>
      </c>
      <c r="Z312" s="185">
        <v>0</v>
      </c>
      <c r="AA312" s="185">
        <v>0</v>
      </c>
    </row>
    <row r="313" spans="1:27" ht="12" customHeight="1" x14ac:dyDescent="0.25">
      <c r="A313" s="161"/>
      <c r="B313" s="161"/>
      <c r="C313" s="161"/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</row>
    <row r="314" spans="1:27" ht="12" customHeight="1" x14ac:dyDescent="0.25">
      <c r="A314" s="161"/>
      <c r="B314" s="161"/>
      <c r="C314" s="161"/>
      <c r="D314" s="161"/>
      <c r="E314" s="161"/>
      <c r="F314" s="161"/>
      <c r="G314" s="161"/>
      <c r="H314" s="161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</row>
    <row r="315" spans="1:27" ht="12" customHeight="1" x14ac:dyDescent="0.25">
      <c r="A315" s="161"/>
      <c r="B315" s="161"/>
      <c r="C315" s="161"/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</row>
    <row r="316" spans="1:27" ht="12" customHeight="1" x14ac:dyDescent="0.25">
      <c r="A316" s="161"/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</row>
    <row r="317" spans="1:27" ht="12" customHeight="1" x14ac:dyDescent="0.25">
      <c r="A317" s="161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</row>
    <row r="318" spans="1:27" ht="12" customHeight="1" x14ac:dyDescent="0.25">
      <c r="A318" s="161"/>
      <c r="B318" s="161"/>
      <c r="C318" s="161"/>
      <c r="D318" s="161"/>
      <c r="E318" s="161"/>
      <c r="F318" s="161"/>
      <c r="G318" s="161"/>
      <c r="H318" s="161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</row>
    <row r="319" spans="1:27" ht="12" customHeight="1" x14ac:dyDescent="0.25">
      <c r="A319" s="161"/>
      <c r="B319" s="161"/>
      <c r="C319" s="161"/>
      <c r="D319" s="161"/>
      <c r="E319" s="161"/>
      <c r="F319" s="161"/>
      <c r="G319" s="161"/>
      <c r="H319" s="161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</row>
    <row r="320" spans="1:27" ht="12" customHeight="1" x14ac:dyDescent="0.25">
      <c r="A320" s="161"/>
      <c r="B320" s="161"/>
      <c r="C320" s="161"/>
      <c r="D320" s="161"/>
      <c r="E320" s="161"/>
      <c r="F320" s="161"/>
      <c r="G320" s="161"/>
      <c r="H320" s="161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</row>
    <row r="321" spans="1:27" ht="12" customHeight="1" x14ac:dyDescent="0.25">
      <c r="A321" s="161"/>
      <c r="B321" s="161"/>
      <c r="C321" s="161"/>
      <c r="D321" s="161"/>
      <c r="E321" s="161"/>
      <c r="F321" s="161"/>
      <c r="G321" s="161"/>
      <c r="H321" s="161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</row>
    <row r="322" spans="1:27" ht="12" customHeight="1" x14ac:dyDescent="0.25">
      <c r="A322" s="161"/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</row>
    <row r="323" spans="1:27" ht="12" customHeight="1" x14ac:dyDescent="0.25">
      <c r="A323" s="161"/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</row>
    <row r="324" spans="1:27" ht="12" customHeight="1" x14ac:dyDescent="0.25">
      <c r="A324" s="161"/>
      <c r="B324" s="161"/>
      <c r="C324" s="161"/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</row>
    <row r="325" spans="1:27" ht="12" customHeight="1" x14ac:dyDescent="0.25">
      <c r="A325" s="161"/>
      <c r="B325" s="161"/>
      <c r="C325" s="161"/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</row>
    <row r="326" spans="1:27" ht="12" customHeight="1" x14ac:dyDescent="0.25">
      <c r="A326" s="161"/>
      <c r="B326" s="161"/>
      <c r="C326" s="161"/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</row>
    <row r="327" spans="1:27" ht="12" customHeight="1" x14ac:dyDescent="0.25">
      <c r="A327" s="161"/>
      <c r="B327" s="161"/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</row>
    <row r="328" spans="1:27" ht="12" customHeight="1" x14ac:dyDescent="0.25">
      <c r="A328" s="161"/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</row>
    <row r="329" spans="1:27" ht="12" customHeight="1" x14ac:dyDescent="0.25">
      <c r="A329" s="161"/>
      <c r="B329" s="161"/>
      <c r="C329" s="161"/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</row>
    <row r="330" spans="1:27" ht="12" customHeight="1" x14ac:dyDescent="0.25">
      <c r="A330" s="161"/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</row>
    <row r="331" spans="1:27" ht="12" customHeight="1" x14ac:dyDescent="0.25">
      <c r="A331" s="161"/>
      <c r="B331" s="161"/>
      <c r="C331" s="161"/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</row>
    <row r="332" spans="1:27" ht="12" customHeight="1" x14ac:dyDescent="0.25">
      <c r="A332" s="161"/>
      <c r="B332" s="161"/>
      <c r="C332" s="161"/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</row>
    <row r="333" spans="1:27" ht="12" customHeight="1" x14ac:dyDescent="0.25">
      <c r="A333" s="161"/>
      <c r="B333" s="161"/>
      <c r="C333" s="161"/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</row>
    <row r="334" spans="1:27" ht="12" customHeight="1" x14ac:dyDescent="0.25">
      <c r="A334" s="161"/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</row>
    <row r="335" spans="1:27" ht="12" customHeight="1" x14ac:dyDescent="0.25">
      <c r="A335" s="161"/>
      <c r="B335" s="161"/>
      <c r="C335" s="161"/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</row>
    <row r="336" spans="1:27" ht="12" customHeight="1" x14ac:dyDescent="0.25">
      <c r="A336" s="161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</row>
    <row r="337" spans="1:27" ht="12" customHeight="1" x14ac:dyDescent="0.25">
      <c r="A337" s="161"/>
      <c r="B337" s="161"/>
      <c r="C337" s="161"/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</row>
    <row r="338" spans="1:27" ht="12" customHeight="1" x14ac:dyDescent="0.25">
      <c r="A338" s="161"/>
      <c r="B338" s="161"/>
      <c r="C338" s="161"/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</row>
    <row r="339" spans="1:27" ht="12" customHeight="1" x14ac:dyDescent="0.25">
      <c r="A339" s="161"/>
      <c r="B339" s="161"/>
      <c r="C339" s="161"/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</row>
    <row r="340" spans="1:27" ht="12" customHeight="1" x14ac:dyDescent="0.25">
      <c r="A340" s="161"/>
      <c r="B340" s="161"/>
      <c r="C340" s="161"/>
      <c r="D340" s="161"/>
      <c r="E340" s="161"/>
      <c r="F340" s="161"/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</row>
    <row r="341" spans="1:27" ht="12" customHeight="1" x14ac:dyDescent="0.25">
      <c r="A341" s="161"/>
      <c r="B341" s="161"/>
      <c r="C341" s="161"/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</row>
    <row r="342" spans="1:27" ht="12" customHeight="1" x14ac:dyDescent="0.25">
      <c r="A342" s="161"/>
      <c r="B342" s="161"/>
      <c r="C342" s="161"/>
      <c r="D342" s="161"/>
      <c r="E342" s="161"/>
      <c r="F342" s="161"/>
      <c r="G342" s="161"/>
      <c r="H342" s="161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</row>
    <row r="343" spans="1:27" ht="12" customHeight="1" x14ac:dyDescent="0.25">
      <c r="A343" s="161"/>
      <c r="B343" s="161"/>
      <c r="C343" s="161"/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</row>
    <row r="344" spans="1:27" ht="12" customHeight="1" x14ac:dyDescent="0.25">
      <c r="A344" s="161"/>
      <c r="B344" s="161"/>
      <c r="C344" s="161"/>
      <c r="D344" s="161"/>
      <c r="E344" s="161"/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</row>
    <row r="345" spans="1:27" ht="12" customHeight="1" x14ac:dyDescent="0.25">
      <c r="A345" s="161"/>
      <c r="B345" s="161"/>
      <c r="C345" s="161"/>
      <c r="D345" s="161"/>
      <c r="E345" s="161"/>
      <c r="F345" s="161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</row>
    <row r="346" spans="1:27" ht="12" customHeight="1" x14ac:dyDescent="0.25">
      <c r="A346" s="161"/>
      <c r="B346" s="161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</row>
    <row r="347" spans="1:27" ht="12" customHeight="1" x14ac:dyDescent="0.25">
      <c r="A347" s="161"/>
      <c r="B347" s="161"/>
      <c r="C347" s="161"/>
      <c r="D347" s="161"/>
      <c r="E347" s="161"/>
      <c r="F347" s="161"/>
      <c r="G347" s="161"/>
      <c r="H347" s="161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</row>
    <row r="348" spans="1:27" ht="12" customHeight="1" x14ac:dyDescent="0.25">
      <c r="A348" s="161"/>
      <c r="B348" s="161"/>
      <c r="C348" s="161"/>
      <c r="D348" s="161"/>
      <c r="E348" s="161"/>
      <c r="F348" s="161"/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</row>
    <row r="349" spans="1:27" ht="12" customHeight="1" x14ac:dyDescent="0.25">
      <c r="A349" s="161"/>
      <c r="B349" s="161"/>
      <c r="C349" s="161"/>
      <c r="D349" s="161"/>
      <c r="E349" s="161"/>
      <c r="F349" s="161"/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</row>
    <row r="350" spans="1:27" ht="12" customHeight="1" x14ac:dyDescent="0.25">
      <c r="A350" s="161"/>
      <c r="B350" s="161"/>
      <c r="C350" s="161"/>
      <c r="D350" s="161"/>
      <c r="E350" s="161"/>
      <c r="F350" s="161"/>
      <c r="G350" s="161"/>
      <c r="H350" s="161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</row>
    <row r="351" spans="1:27" ht="12" customHeight="1" x14ac:dyDescent="0.25">
      <c r="A351" s="161"/>
      <c r="B351" s="161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</row>
    <row r="352" spans="1:27" ht="12" customHeight="1" x14ac:dyDescent="0.25">
      <c r="A352" s="161"/>
      <c r="B352" s="161"/>
      <c r="C352" s="161"/>
      <c r="D352" s="161"/>
      <c r="E352" s="161"/>
      <c r="F352" s="161"/>
      <c r="G352" s="161"/>
      <c r="H352" s="161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</row>
    <row r="353" spans="1:27" ht="12" customHeight="1" x14ac:dyDescent="0.25">
      <c r="A353" s="161"/>
      <c r="B353" s="161"/>
      <c r="C353" s="161"/>
      <c r="D353" s="161"/>
      <c r="E353" s="161"/>
      <c r="F353" s="161"/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</row>
    <row r="354" spans="1:27" ht="12" customHeight="1" x14ac:dyDescent="0.25">
      <c r="A354" s="161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</row>
    <row r="355" spans="1:27" ht="12" customHeight="1" x14ac:dyDescent="0.25">
      <c r="A355" s="161"/>
      <c r="B355" s="161"/>
      <c r="C355" s="161"/>
      <c r="D355" s="161"/>
      <c r="E355" s="161"/>
      <c r="F355" s="161"/>
      <c r="G355" s="161"/>
      <c r="H355" s="161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</row>
    <row r="356" spans="1:27" ht="12" customHeight="1" x14ac:dyDescent="0.25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</row>
    <row r="357" spans="1:27" ht="12" customHeight="1" x14ac:dyDescent="0.25">
      <c r="A357" s="161"/>
      <c r="B357" s="161"/>
      <c r="C357" s="161"/>
      <c r="D357" s="161"/>
      <c r="E357" s="161"/>
      <c r="F357" s="161"/>
      <c r="G357" s="161"/>
      <c r="H357" s="161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</row>
    <row r="358" spans="1:27" ht="12" customHeight="1" x14ac:dyDescent="0.25">
      <c r="A358" s="161"/>
      <c r="B358" s="161"/>
      <c r="C358" s="161"/>
      <c r="D358" s="161"/>
      <c r="E358" s="161"/>
      <c r="F358" s="161"/>
      <c r="G358" s="161"/>
      <c r="H358" s="161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</row>
    <row r="359" spans="1:27" ht="12" customHeight="1" x14ac:dyDescent="0.25">
      <c r="A359" s="161"/>
      <c r="B359" s="161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</row>
    <row r="360" spans="1:27" ht="12" customHeight="1" x14ac:dyDescent="0.25">
      <c r="A360" s="161"/>
      <c r="B360" s="161"/>
      <c r="C360" s="161"/>
      <c r="D360" s="161"/>
      <c r="E360" s="161"/>
      <c r="F360" s="161"/>
      <c r="G360" s="161"/>
      <c r="H360" s="161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</row>
    <row r="361" spans="1:27" ht="12" customHeight="1" x14ac:dyDescent="0.25">
      <c r="A361" s="161"/>
      <c r="B361" s="161"/>
      <c r="C361" s="161"/>
      <c r="D361" s="161"/>
      <c r="E361" s="161"/>
      <c r="F361" s="161"/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</row>
    <row r="362" spans="1:27" ht="12" customHeight="1" x14ac:dyDescent="0.25">
      <c r="A362" s="161"/>
      <c r="B362" s="161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</row>
    <row r="363" spans="1:27" ht="12" customHeight="1" x14ac:dyDescent="0.25">
      <c r="A363" s="161"/>
      <c r="B363" s="161"/>
      <c r="C363" s="161"/>
      <c r="D363" s="161"/>
      <c r="E363" s="161"/>
      <c r="F363" s="161"/>
      <c r="G363" s="161"/>
      <c r="H363" s="161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</row>
    <row r="364" spans="1:27" ht="12" customHeight="1" x14ac:dyDescent="0.25">
      <c r="A364" s="161"/>
      <c r="B364" s="161"/>
      <c r="C364" s="161"/>
      <c r="D364" s="161"/>
      <c r="E364" s="161"/>
      <c r="F364" s="161"/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</row>
    <row r="365" spans="1:27" ht="12" customHeight="1" x14ac:dyDescent="0.25">
      <c r="A365" s="161"/>
      <c r="B365" s="161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</row>
    <row r="366" spans="1:27" ht="12" customHeight="1" x14ac:dyDescent="0.25">
      <c r="A366" s="161"/>
      <c r="B366" s="161"/>
      <c r="C366" s="161"/>
      <c r="D366" s="161"/>
      <c r="E366" s="161"/>
      <c r="F366" s="161"/>
      <c r="G366" s="161"/>
      <c r="H366" s="161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</row>
    <row r="367" spans="1:27" ht="12" customHeight="1" x14ac:dyDescent="0.25">
      <c r="A367" s="161"/>
      <c r="B367" s="161"/>
      <c r="C367" s="161"/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</row>
    <row r="368" spans="1:27" ht="12" customHeight="1" x14ac:dyDescent="0.25">
      <c r="A368" s="161"/>
      <c r="B368" s="161"/>
      <c r="C368" s="161"/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</row>
    <row r="369" spans="1:27" ht="12" customHeight="1" x14ac:dyDescent="0.25">
      <c r="A369" s="161"/>
      <c r="B369" s="161"/>
      <c r="C369" s="161"/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</row>
    <row r="370" spans="1:27" ht="12" customHeight="1" x14ac:dyDescent="0.25">
      <c r="A370" s="161"/>
      <c r="B370" s="161"/>
      <c r="C370" s="161"/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</row>
    <row r="371" spans="1:27" ht="12" customHeight="1" x14ac:dyDescent="0.25">
      <c r="A371" s="161"/>
      <c r="B371" s="161"/>
      <c r="C371" s="161"/>
      <c r="D371" s="161"/>
      <c r="E371" s="161"/>
      <c r="F371" s="161"/>
      <c r="G371" s="161"/>
      <c r="H371" s="161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</row>
    <row r="372" spans="1:27" ht="12" customHeight="1" x14ac:dyDescent="0.25">
      <c r="A372" s="161"/>
      <c r="B372" s="161"/>
      <c r="C372" s="161"/>
      <c r="D372" s="161"/>
      <c r="E372" s="161"/>
      <c r="F372" s="161"/>
      <c r="G372" s="161"/>
      <c r="H372" s="161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</row>
    <row r="373" spans="1:27" ht="12" customHeight="1" x14ac:dyDescent="0.25">
      <c r="A373" s="161"/>
      <c r="B373" s="161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</row>
    <row r="374" spans="1:27" ht="12" customHeight="1" x14ac:dyDescent="0.25">
      <c r="A374" s="161"/>
      <c r="B374" s="161"/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</row>
    <row r="375" spans="1:27" ht="12" customHeight="1" x14ac:dyDescent="0.25">
      <c r="A375" s="161"/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</row>
    <row r="376" spans="1:27" ht="12" customHeight="1" x14ac:dyDescent="0.25">
      <c r="A376" s="161"/>
      <c r="B376" s="161"/>
      <c r="C376" s="161"/>
      <c r="D376" s="161"/>
      <c r="E376" s="161"/>
      <c r="F376" s="161"/>
      <c r="G376" s="161"/>
      <c r="H376" s="161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</row>
    <row r="377" spans="1:27" ht="12" customHeight="1" x14ac:dyDescent="0.25">
      <c r="A377" s="161"/>
      <c r="B377" s="161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</row>
    <row r="378" spans="1:27" ht="12" customHeight="1" x14ac:dyDescent="0.25">
      <c r="A378" s="161"/>
      <c r="B378" s="161"/>
      <c r="C378" s="161"/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</row>
    <row r="379" spans="1:27" ht="12" customHeight="1" x14ac:dyDescent="0.25">
      <c r="A379" s="161"/>
      <c r="B379" s="161"/>
      <c r="C379" s="161"/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</row>
    <row r="380" spans="1:27" ht="12" customHeight="1" x14ac:dyDescent="0.25">
      <c r="A380" s="161"/>
      <c r="B380" s="161"/>
      <c r="C380" s="161"/>
      <c r="D380" s="161"/>
      <c r="E380" s="161"/>
      <c r="F380" s="161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</row>
    <row r="381" spans="1:27" ht="12" customHeight="1" x14ac:dyDescent="0.25">
      <c r="A381" s="161"/>
      <c r="B381" s="161"/>
      <c r="C381" s="161"/>
      <c r="D381" s="161"/>
      <c r="E381" s="161"/>
      <c r="F381" s="161"/>
      <c r="G381" s="161"/>
      <c r="H381" s="161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</row>
    <row r="382" spans="1:27" ht="12" customHeight="1" x14ac:dyDescent="0.25">
      <c r="A382" s="161"/>
      <c r="B382" s="161"/>
      <c r="C382" s="161"/>
      <c r="D382" s="161"/>
      <c r="E382" s="161"/>
      <c r="F382" s="161"/>
      <c r="G382" s="161"/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</row>
    <row r="383" spans="1:27" ht="12" customHeight="1" x14ac:dyDescent="0.25">
      <c r="A383" s="161"/>
      <c r="B383" s="161"/>
      <c r="C383" s="161"/>
      <c r="D383" s="161"/>
      <c r="E383" s="161"/>
      <c r="F383" s="161"/>
      <c r="G383" s="161"/>
      <c r="H383" s="161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</row>
    <row r="384" spans="1:27" ht="12" customHeight="1" x14ac:dyDescent="0.25">
      <c r="A384" s="161"/>
      <c r="B384" s="161"/>
      <c r="C384" s="161"/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</row>
    <row r="385" spans="1:27" ht="12" customHeight="1" x14ac:dyDescent="0.25">
      <c r="A385" s="161"/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</row>
    <row r="386" spans="1:27" ht="12" customHeight="1" x14ac:dyDescent="0.25">
      <c r="A386" s="161"/>
      <c r="B386" s="161"/>
      <c r="C386" s="161"/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</row>
    <row r="387" spans="1:27" ht="12" customHeight="1" x14ac:dyDescent="0.25">
      <c r="A387" s="161"/>
      <c r="B387" s="161"/>
      <c r="C387" s="161"/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</row>
    <row r="388" spans="1:27" ht="12" customHeight="1" x14ac:dyDescent="0.25">
      <c r="A388" s="161"/>
      <c r="B388" s="161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</row>
    <row r="389" spans="1:27" ht="12" customHeight="1" x14ac:dyDescent="0.25">
      <c r="A389" s="161"/>
      <c r="B389" s="161"/>
      <c r="C389" s="161"/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</row>
    <row r="390" spans="1:27" ht="12" customHeight="1" x14ac:dyDescent="0.25">
      <c r="A390" s="161"/>
      <c r="B390" s="161"/>
      <c r="C390" s="161"/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</row>
    <row r="391" spans="1:27" ht="12" customHeight="1" x14ac:dyDescent="0.25">
      <c r="A391" s="161"/>
      <c r="B391" s="161"/>
      <c r="C391" s="161"/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</row>
    <row r="392" spans="1:27" ht="12" customHeight="1" x14ac:dyDescent="0.25">
      <c r="A392" s="161"/>
      <c r="B392" s="161"/>
      <c r="C392" s="161"/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</row>
    <row r="393" spans="1:27" ht="12" customHeight="1" x14ac:dyDescent="0.25">
      <c r="A393" s="161"/>
      <c r="B393" s="161"/>
      <c r="C393" s="161"/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</row>
    <row r="394" spans="1:27" ht="12" customHeight="1" x14ac:dyDescent="0.25">
      <c r="A394" s="161"/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</row>
    <row r="395" spans="1:27" ht="12" customHeight="1" x14ac:dyDescent="0.25">
      <c r="A395" s="161"/>
      <c r="B395" s="161"/>
      <c r="C395" s="161"/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</row>
    <row r="396" spans="1:27" ht="12" customHeight="1" x14ac:dyDescent="0.25">
      <c r="A396" s="161"/>
      <c r="B396" s="161"/>
      <c r="C396" s="161"/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</row>
    <row r="397" spans="1:27" ht="12" customHeight="1" x14ac:dyDescent="0.25">
      <c r="A397" s="161"/>
      <c r="B397" s="161"/>
      <c r="C397" s="161"/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</row>
    <row r="398" spans="1:27" ht="12" customHeight="1" x14ac:dyDescent="0.25">
      <c r="A398" s="161"/>
      <c r="B398" s="161"/>
      <c r="C398" s="161"/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</row>
    <row r="399" spans="1:27" ht="12" customHeight="1" x14ac:dyDescent="0.25">
      <c r="A399" s="161"/>
      <c r="B399" s="161"/>
      <c r="C399" s="161"/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</row>
    <row r="400" spans="1:27" ht="12" customHeight="1" x14ac:dyDescent="0.25">
      <c r="A400" s="161"/>
      <c r="B400" s="161"/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</row>
    <row r="401" spans="1:27" ht="12" customHeight="1" x14ac:dyDescent="0.25">
      <c r="A401" s="161"/>
      <c r="B401" s="161"/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</row>
    <row r="402" spans="1:27" ht="12" customHeight="1" x14ac:dyDescent="0.25">
      <c r="A402" s="161"/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</row>
    <row r="403" spans="1:27" ht="12" customHeight="1" x14ac:dyDescent="0.25">
      <c r="A403" s="161"/>
      <c r="B403" s="161"/>
      <c r="C403" s="161"/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</row>
    <row r="404" spans="1:27" ht="12" customHeight="1" x14ac:dyDescent="0.25">
      <c r="A404" s="161"/>
      <c r="B404" s="161"/>
      <c r="C404" s="161"/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</row>
    <row r="405" spans="1:27" ht="12" customHeight="1" x14ac:dyDescent="0.25">
      <c r="A405" s="161"/>
      <c r="B405" s="161"/>
      <c r="C405" s="161"/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</row>
    <row r="406" spans="1:27" ht="12" customHeight="1" x14ac:dyDescent="0.25">
      <c r="A406" s="161"/>
      <c r="B406" s="161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</row>
    <row r="407" spans="1:27" ht="12" customHeight="1" x14ac:dyDescent="0.25">
      <c r="A407" s="161"/>
      <c r="B407" s="161"/>
      <c r="C407" s="161"/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</row>
    <row r="408" spans="1:27" ht="12" customHeight="1" x14ac:dyDescent="0.25">
      <c r="A408" s="161"/>
      <c r="B408" s="161"/>
      <c r="C408" s="161"/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</row>
    <row r="409" spans="1:27" ht="12" customHeight="1" x14ac:dyDescent="0.25">
      <c r="A409" s="161"/>
      <c r="B409" s="161"/>
      <c r="C409" s="161"/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</row>
    <row r="410" spans="1:27" ht="12" customHeight="1" x14ac:dyDescent="0.25">
      <c r="A410" s="161"/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</row>
    <row r="411" spans="1:27" ht="12" customHeight="1" x14ac:dyDescent="0.25">
      <c r="A411" s="161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</row>
    <row r="412" spans="1:27" ht="12" customHeight="1" x14ac:dyDescent="0.25">
      <c r="A412" s="161"/>
      <c r="B412" s="161"/>
      <c r="C412" s="161"/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</row>
    <row r="413" spans="1:27" ht="12" customHeight="1" x14ac:dyDescent="0.25">
      <c r="A413" s="161"/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</row>
    <row r="414" spans="1:27" ht="12" customHeight="1" x14ac:dyDescent="0.25">
      <c r="A414" s="161"/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</row>
    <row r="415" spans="1:27" ht="12" customHeight="1" x14ac:dyDescent="0.25">
      <c r="A415" s="161"/>
      <c r="B415" s="161"/>
      <c r="C415" s="161"/>
      <c r="D415" s="161"/>
      <c r="E415" s="161"/>
      <c r="F415" s="161"/>
      <c r="G415" s="161"/>
      <c r="H415" s="161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</row>
    <row r="416" spans="1:27" ht="12" customHeight="1" x14ac:dyDescent="0.25">
      <c r="A416" s="161"/>
      <c r="B416" s="161"/>
      <c r="C416" s="161"/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</row>
    <row r="417" spans="1:27" ht="12" customHeight="1" x14ac:dyDescent="0.25">
      <c r="A417" s="161"/>
      <c r="B417" s="161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</row>
    <row r="418" spans="1:27" ht="12" customHeight="1" x14ac:dyDescent="0.25">
      <c r="A418" s="161"/>
      <c r="B418" s="161"/>
      <c r="C418" s="161"/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</row>
    <row r="419" spans="1:27" ht="12" customHeight="1" x14ac:dyDescent="0.25">
      <c r="A419" s="161"/>
      <c r="B419" s="161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</row>
    <row r="420" spans="1:27" ht="12" customHeight="1" x14ac:dyDescent="0.25">
      <c r="A420" s="161"/>
      <c r="B420" s="161"/>
      <c r="C420" s="161"/>
      <c r="D420" s="161"/>
      <c r="E420" s="161"/>
      <c r="F420" s="161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</row>
    <row r="421" spans="1:27" ht="12" customHeight="1" x14ac:dyDescent="0.25">
      <c r="A421" s="161"/>
      <c r="B421" s="161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</row>
    <row r="422" spans="1:27" ht="12" customHeight="1" x14ac:dyDescent="0.25">
      <c r="A422" s="161"/>
      <c r="B422" s="161"/>
      <c r="C422" s="161"/>
      <c r="D422" s="161"/>
      <c r="E422" s="161"/>
      <c r="F422" s="161"/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</row>
    <row r="423" spans="1:27" ht="12" customHeight="1" x14ac:dyDescent="0.25">
      <c r="A423" s="161"/>
      <c r="B423" s="161"/>
      <c r="C423" s="161"/>
      <c r="D423" s="161"/>
      <c r="E423" s="161"/>
      <c r="F423" s="161"/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</row>
    <row r="424" spans="1:27" ht="12" customHeight="1" x14ac:dyDescent="0.25">
      <c r="A424" s="161"/>
      <c r="B424" s="161"/>
      <c r="C424" s="161"/>
      <c r="D424" s="161"/>
      <c r="E424" s="161"/>
      <c r="F424" s="161"/>
      <c r="G424" s="161"/>
      <c r="H424" s="161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</row>
    <row r="425" spans="1:27" ht="12" customHeight="1" x14ac:dyDescent="0.25">
      <c r="A425" s="161"/>
      <c r="B425" s="161"/>
      <c r="C425" s="161"/>
      <c r="D425" s="161"/>
      <c r="E425" s="161"/>
      <c r="F425" s="161"/>
      <c r="G425" s="161"/>
      <c r="H425" s="161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</row>
    <row r="426" spans="1:27" ht="12" customHeight="1" x14ac:dyDescent="0.25">
      <c r="A426" s="161"/>
      <c r="B426" s="161"/>
      <c r="C426" s="161"/>
      <c r="D426" s="161"/>
      <c r="E426" s="161"/>
      <c r="F426" s="161"/>
      <c r="G426" s="161"/>
      <c r="H426" s="161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</row>
    <row r="427" spans="1:27" ht="12" customHeight="1" x14ac:dyDescent="0.25">
      <c r="A427" s="161"/>
      <c r="B427" s="161"/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</row>
    <row r="428" spans="1:27" ht="12" customHeight="1" x14ac:dyDescent="0.25">
      <c r="A428" s="161"/>
      <c r="B428" s="161"/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</row>
    <row r="429" spans="1:27" ht="12" customHeight="1" x14ac:dyDescent="0.25">
      <c r="A429" s="161"/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</row>
    <row r="430" spans="1:27" ht="12" customHeight="1" x14ac:dyDescent="0.25">
      <c r="A430" s="161"/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</row>
    <row r="431" spans="1:27" ht="12" customHeight="1" x14ac:dyDescent="0.25">
      <c r="A431" s="161"/>
      <c r="B431" s="161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</row>
    <row r="432" spans="1:27" ht="12" customHeight="1" x14ac:dyDescent="0.25">
      <c r="A432" s="161"/>
      <c r="B432" s="161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</row>
    <row r="433" spans="1:27" ht="12" customHeight="1" x14ac:dyDescent="0.25">
      <c r="A433" s="161"/>
      <c r="B433" s="161"/>
      <c r="C433" s="161"/>
      <c r="D433" s="161"/>
      <c r="E433" s="161"/>
      <c r="F433" s="161"/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</row>
    <row r="434" spans="1:27" ht="12" customHeight="1" x14ac:dyDescent="0.25">
      <c r="A434" s="161"/>
      <c r="B434" s="161"/>
      <c r="C434" s="161"/>
      <c r="D434" s="161"/>
      <c r="E434" s="161"/>
      <c r="F434" s="161"/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</row>
    <row r="435" spans="1:27" ht="12" customHeight="1" x14ac:dyDescent="0.25">
      <c r="A435" s="161"/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</row>
    <row r="436" spans="1:27" ht="12" customHeight="1" x14ac:dyDescent="0.25">
      <c r="A436" s="161"/>
      <c r="B436" s="161"/>
      <c r="C436" s="161"/>
      <c r="D436" s="161"/>
      <c r="E436" s="161"/>
      <c r="F436" s="161"/>
      <c r="G436" s="161"/>
      <c r="H436" s="161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</row>
    <row r="437" spans="1:27" ht="12" customHeight="1" x14ac:dyDescent="0.25">
      <c r="A437" s="161"/>
      <c r="B437" s="161"/>
      <c r="C437" s="161"/>
      <c r="D437" s="161"/>
      <c r="E437" s="161"/>
      <c r="F437" s="161"/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</row>
    <row r="438" spans="1:27" ht="12" customHeight="1" x14ac:dyDescent="0.25">
      <c r="A438" s="161"/>
      <c r="B438" s="161"/>
      <c r="C438" s="161"/>
      <c r="D438" s="161"/>
      <c r="E438" s="161"/>
      <c r="F438" s="161"/>
      <c r="G438" s="161"/>
      <c r="H438" s="161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</row>
    <row r="439" spans="1:27" ht="12" customHeight="1" x14ac:dyDescent="0.25">
      <c r="A439" s="161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</row>
    <row r="440" spans="1:27" ht="12" customHeight="1" x14ac:dyDescent="0.25">
      <c r="A440" s="161"/>
      <c r="B440" s="161"/>
      <c r="C440" s="161"/>
      <c r="D440" s="161"/>
      <c r="E440" s="161"/>
      <c r="F440" s="161"/>
      <c r="G440" s="161"/>
      <c r="H440" s="161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</row>
    <row r="441" spans="1:27" ht="12" customHeight="1" x14ac:dyDescent="0.25">
      <c r="A441" s="161"/>
      <c r="B441" s="161"/>
      <c r="C441" s="161"/>
      <c r="D441" s="161"/>
      <c r="E441" s="161"/>
      <c r="F441" s="161"/>
      <c r="G441" s="161"/>
      <c r="H441" s="161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</row>
    <row r="442" spans="1:27" ht="12" customHeight="1" x14ac:dyDescent="0.25">
      <c r="A442" s="161"/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</row>
    <row r="443" spans="1:27" ht="12" customHeight="1" x14ac:dyDescent="0.25">
      <c r="A443" s="161"/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</row>
    <row r="444" spans="1:27" ht="12" customHeight="1" x14ac:dyDescent="0.25">
      <c r="A444" s="161"/>
      <c r="B444" s="161"/>
      <c r="C444" s="161"/>
      <c r="D444" s="161"/>
      <c r="E444" s="161"/>
      <c r="F444" s="161"/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</row>
    <row r="445" spans="1:27" ht="12" customHeight="1" x14ac:dyDescent="0.25">
      <c r="A445" s="161"/>
      <c r="B445" s="161"/>
      <c r="C445" s="161"/>
      <c r="D445" s="161"/>
      <c r="E445" s="161"/>
      <c r="F445" s="161"/>
      <c r="G445" s="161"/>
      <c r="H445" s="161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</row>
    <row r="446" spans="1:27" ht="12" customHeight="1" x14ac:dyDescent="0.25">
      <c r="A446" s="161"/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</row>
    <row r="447" spans="1:27" ht="12" customHeight="1" x14ac:dyDescent="0.25">
      <c r="A447" s="161"/>
      <c r="B447" s="161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</row>
    <row r="448" spans="1:27" ht="12" customHeight="1" x14ac:dyDescent="0.25">
      <c r="A448" s="161"/>
      <c r="B448" s="161"/>
      <c r="C448" s="161"/>
      <c r="D448" s="161"/>
      <c r="E448" s="161"/>
      <c r="F448" s="161"/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</row>
    <row r="449" spans="1:27" ht="12" customHeight="1" x14ac:dyDescent="0.25">
      <c r="A449" s="161"/>
      <c r="B449" s="161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</row>
    <row r="450" spans="1:27" ht="12" customHeight="1" x14ac:dyDescent="0.25">
      <c r="A450" s="161"/>
      <c r="B450" s="161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</row>
    <row r="451" spans="1:27" ht="12" customHeight="1" x14ac:dyDescent="0.25">
      <c r="A451" s="161"/>
      <c r="B451" s="161"/>
      <c r="C451" s="161"/>
      <c r="D451" s="161"/>
      <c r="E451" s="161"/>
      <c r="F451" s="161"/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</row>
    <row r="452" spans="1:27" ht="12" customHeight="1" x14ac:dyDescent="0.25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</row>
    <row r="453" spans="1:27" ht="12" customHeight="1" x14ac:dyDescent="0.25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</row>
    <row r="454" spans="1:27" ht="12" customHeight="1" x14ac:dyDescent="0.25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</row>
    <row r="455" spans="1:27" ht="12" customHeight="1" x14ac:dyDescent="0.25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</row>
    <row r="456" spans="1:27" ht="12" customHeight="1" x14ac:dyDescent="0.25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</row>
    <row r="457" spans="1:27" ht="12" customHeight="1" x14ac:dyDescent="0.25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</row>
    <row r="458" spans="1:27" ht="12" customHeight="1" x14ac:dyDescent="0.25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</row>
    <row r="459" spans="1:27" ht="12" customHeight="1" x14ac:dyDescent="0.25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</row>
    <row r="460" spans="1:27" ht="12" customHeight="1" x14ac:dyDescent="0.25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</row>
    <row r="461" spans="1:27" ht="12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</row>
    <row r="462" spans="1:27" ht="12" customHeight="1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</row>
    <row r="463" spans="1:27" ht="12" customHeight="1" x14ac:dyDescent="0.25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</row>
    <row r="464" spans="1:27" ht="12" customHeight="1" x14ac:dyDescent="0.25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</row>
    <row r="465" spans="1:27" ht="12" customHeight="1" x14ac:dyDescent="0.25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</row>
    <row r="466" spans="1:27" ht="12" customHeight="1" x14ac:dyDescent="0.25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</row>
    <row r="467" spans="1:27" ht="12" customHeight="1" x14ac:dyDescent="0.25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</row>
    <row r="468" spans="1:27" ht="12" customHeight="1" x14ac:dyDescent="0.25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</row>
    <row r="469" spans="1:27" ht="12" customHeight="1" x14ac:dyDescent="0.25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</row>
    <row r="470" spans="1:27" ht="12" customHeight="1" x14ac:dyDescent="0.25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</row>
    <row r="471" spans="1:27" ht="12" customHeight="1" x14ac:dyDescent="0.25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</row>
    <row r="472" spans="1:27" ht="12" customHeight="1" x14ac:dyDescent="0.25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</row>
    <row r="473" spans="1:27" ht="12" customHeight="1" x14ac:dyDescent="0.25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</row>
    <row r="474" spans="1:27" ht="12" customHeight="1" x14ac:dyDescent="0.25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</row>
    <row r="475" spans="1:27" ht="12" customHeight="1" x14ac:dyDescent="0.25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</row>
    <row r="476" spans="1:27" ht="12" customHeight="1" x14ac:dyDescent="0.25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</row>
    <row r="477" spans="1:27" ht="12" customHeight="1" x14ac:dyDescent="0.25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</row>
    <row r="478" spans="1:27" ht="12" customHeight="1" x14ac:dyDescent="0.25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</row>
    <row r="479" spans="1:27" ht="12" customHeight="1" x14ac:dyDescent="0.25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</row>
    <row r="480" spans="1:27" ht="12" customHeight="1" x14ac:dyDescent="0.25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</row>
    <row r="481" spans="1:27" ht="12" customHeight="1" x14ac:dyDescent="0.25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</row>
    <row r="482" spans="1:27" ht="12" customHeight="1" x14ac:dyDescent="0.25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</row>
    <row r="483" spans="1:27" ht="12" customHeight="1" x14ac:dyDescent="0.25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</row>
    <row r="484" spans="1:27" ht="12" customHeight="1" x14ac:dyDescent="0.25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</row>
    <row r="485" spans="1:27" ht="12" customHeight="1" x14ac:dyDescent="0.25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</row>
    <row r="486" spans="1:27" ht="12" customHeight="1" x14ac:dyDescent="0.25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</row>
    <row r="487" spans="1:27" ht="12" customHeight="1" x14ac:dyDescent="0.25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</row>
    <row r="488" spans="1:27" ht="12" customHeight="1" x14ac:dyDescent="0.25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</row>
    <row r="489" spans="1:27" ht="12" customHeight="1" x14ac:dyDescent="0.25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</row>
    <row r="490" spans="1:27" ht="12" customHeight="1" x14ac:dyDescent="0.25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</row>
    <row r="491" spans="1:27" ht="12" customHeight="1" x14ac:dyDescent="0.25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</row>
    <row r="492" spans="1:27" ht="12" customHeight="1" x14ac:dyDescent="0.25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</row>
    <row r="493" spans="1:27" ht="12" customHeight="1" x14ac:dyDescent="0.25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</row>
    <row r="494" spans="1:27" ht="12" customHeight="1" x14ac:dyDescent="0.25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</row>
    <row r="495" spans="1:27" ht="12" customHeight="1" x14ac:dyDescent="0.25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</row>
    <row r="496" spans="1:27" ht="12" customHeight="1" x14ac:dyDescent="0.25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</row>
    <row r="497" spans="1:27" ht="12" customHeight="1" x14ac:dyDescent="0.25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</row>
    <row r="498" spans="1:27" ht="12" customHeight="1" x14ac:dyDescent="0.25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</row>
    <row r="499" spans="1:27" ht="12" customHeight="1" x14ac:dyDescent="0.25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</row>
    <row r="500" spans="1:27" ht="12" customHeight="1" x14ac:dyDescent="0.25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</row>
    <row r="501" spans="1:27" ht="12" customHeight="1" x14ac:dyDescent="0.25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</row>
    <row r="502" spans="1:27" ht="12" customHeight="1" x14ac:dyDescent="0.25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</row>
    <row r="503" spans="1:27" ht="12" customHeight="1" x14ac:dyDescent="0.25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</row>
    <row r="504" spans="1:27" ht="12" customHeight="1" x14ac:dyDescent="0.25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</row>
    <row r="505" spans="1:27" ht="12" customHeight="1" x14ac:dyDescent="0.25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</row>
    <row r="506" spans="1:27" ht="12" customHeight="1" x14ac:dyDescent="0.25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</row>
    <row r="507" spans="1:27" ht="12" customHeight="1" x14ac:dyDescent="0.25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</row>
    <row r="508" spans="1:27" ht="12" customHeight="1" x14ac:dyDescent="0.25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</row>
    <row r="509" spans="1:27" ht="12" customHeight="1" x14ac:dyDescent="0.25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</row>
    <row r="510" spans="1:27" ht="12" customHeight="1" x14ac:dyDescent="0.25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</row>
    <row r="511" spans="1:27" ht="12" customHeight="1" x14ac:dyDescent="0.25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</row>
    <row r="512" spans="1:27" ht="12" customHeight="1" x14ac:dyDescent="0.25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</row>
    <row r="513" spans="1:27" ht="12" customHeight="1" x14ac:dyDescent="0.25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</row>
    <row r="514" spans="1:27" ht="12" customHeight="1" x14ac:dyDescent="0.25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</row>
    <row r="515" spans="1:27" ht="12" customHeight="1" x14ac:dyDescent="0.25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</row>
    <row r="516" spans="1:27" ht="12" customHeight="1" x14ac:dyDescent="0.25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</row>
    <row r="517" spans="1:27" ht="12" customHeight="1" x14ac:dyDescent="0.25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</row>
    <row r="518" spans="1:27" ht="12" customHeight="1" x14ac:dyDescent="0.25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</row>
    <row r="519" spans="1:27" ht="12" customHeight="1" x14ac:dyDescent="0.25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</row>
    <row r="520" spans="1:27" ht="12" customHeight="1" x14ac:dyDescent="0.25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</row>
    <row r="521" spans="1:27" ht="12" customHeight="1" x14ac:dyDescent="0.25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</row>
    <row r="522" spans="1:27" ht="12" customHeight="1" x14ac:dyDescent="0.25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</row>
    <row r="523" spans="1:27" ht="12" customHeight="1" x14ac:dyDescent="0.25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</row>
    <row r="524" spans="1:27" ht="12" customHeight="1" x14ac:dyDescent="0.25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</row>
    <row r="525" spans="1:27" ht="12" customHeight="1" x14ac:dyDescent="0.25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</row>
    <row r="526" spans="1:27" ht="12" customHeight="1" x14ac:dyDescent="0.25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</row>
    <row r="527" spans="1:27" ht="12" customHeight="1" x14ac:dyDescent="0.25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</row>
    <row r="528" spans="1:27" ht="12" customHeight="1" x14ac:dyDescent="0.25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</row>
    <row r="529" spans="1:27" ht="12" customHeight="1" x14ac:dyDescent="0.25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</row>
    <row r="530" spans="1:27" ht="12" customHeight="1" x14ac:dyDescent="0.25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</row>
    <row r="531" spans="1:27" ht="12" customHeight="1" x14ac:dyDescent="0.25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</row>
    <row r="532" spans="1:27" ht="12" customHeight="1" x14ac:dyDescent="0.25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</row>
    <row r="533" spans="1:27" ht="12" customHeight="1" x14ac:dyDescent="0.25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</row>
    <row r="534" spans="1:27" ht="12" customHeight="1" x14ac:dyDescent="0.25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</row>
    <row r="535" spans="1:27" ht="12" customHeight="1" x14ac:dyDescent="0.25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</row>
    <row r="536" spans="1:27" ht="12" customHeight="1" x14ac:dyDescent="0.25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</row>
    <row r="537" spans="1:27" ht="12" customHeight="1" x14ac:dyDescent="0.25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</row>
    <row r="538" spans="1:27" ht="12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</row>
    <row r="539" spans="1:27" ht="12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</row>
    <row r="540" spans="1:27" ht="12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</row>
    <row r="541" spans="1:27" ht="12" customHeight="1" x14ac:dyDescent="0.25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</row>
    <row r="542" spans="1:27" ht="12" customHeight="1" x14ac:dyDescent="0.25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</row>
    <row r="543" spans="1:27" ht="12" customHeight="1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</row>
    <row r="544" spans="1:27" ht="12" customHeight="1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</row>
    <row r="545" spans="1:27" ht="12" customHeight="1" x14ac:dyDescent="0.25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</row>
    <row r="546" spans="1:27" ht="12" customHeight="1" x14ac:dyDescent="0.25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</row>
    <row r="547" spans="1:27" ht="12" customHeight="1" x14ac:dyDescent="0.25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</row>
    <row r="548" spans="1:27" ht="12" customHeight="1" x14ac:dyDescent="0.25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</row>
    <row r="549" spans="1:27" ht="12" customHeight="1" x14ac:dyDescent="0.25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</row>
    <row r="550" spans="1:27" ht="12" customHeight="1" x14ac:dyDescent="0.25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</row>
    <row r="551" spans="1:27" ht="12" customHeight="1" x14ac:dyDescent="0.25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</row>
    <row r="552" spans="1:27" ht="12" customHeight="1" x14ac:dyDescent="0.25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</row>
    <row r="553" spans="1:27" ht="12" customHeight="1" x14ac:dyDescent="0.25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</row>
    <row r="554" spans="1:27" ht="12" customHeight="1" x14ac:dyDescent="0.25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</row>
    <row r="555" spans="1:27" ht="12" customHeight="1" x14ac:dyDescent="0.25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</row>
    <row r="556" spans="1:27" ht="12" customHeight="1" x14ac:dyDescent="0.25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</row>
    <row r="557" spans="1:27" ht="12" customHeight="1" x14ac:dyDescent="0.25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</row>
    <row r="558" spans="1:27" ht="12" customHeight="1" x14ac:dyDescent="0.25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</row>
    <row r="559" spans="1:27" ht="12" customHeight="1" x14ac:dyDescent="0.25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</row>
    <row r="560" spans="1:27" ht="12" customHeight="1" x14ac:dyDescent="0.25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</row>
    <row r="561" spans="1:27" ht="12" customHeight="1" x14ac:dyDescent="0.25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</row>
    <row r="562" spans="1:27" ht="12" customHeight="1" x14ac:dyDescent="0.25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</row>
    <row r="563" spans="1:27" ht="12" customHeight="1" x14ac:dyDescent="0.25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</row>
    <row r="564" spans="1:27" ht="12" customHeight="1" x14ac:dyDescent="0.25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</row>
    <row r="565" spans="1:27" ht="12" customHeight="1" x14ac:dyDescent="0.25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</row>
    <row r="566" spans="1:27" ht="12" customHeight="1" x14ac:dyDescent="0.25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</row>
    <row r="567" spans="1:27" ht="12" customHeight="1" x14ac:dyDescent="0.25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</row>
    <row r="568" spans="1:27" ht="12" customHeight="1" x14ac:dyDescent="0.25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</row>
    <row r="569" spans="1:27" ht="12" customHeight="1" x14ac:dyDescent="0.25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</row>
    <row r="570" spans="1:27" ht="12" customHeight="1" x14ac:dyDescent="0.25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</row>
    <row r="571" spans="1:27" ht="12" customHeight="1" x14ac:dyDescent="0.25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</row>
    <row r="572" spans="1:27" ht="12" customHeight="1" x14ac:dyDescent="0.25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</row>
    <row r="573" spans="1:27" ht="12" customHeight="1" x14ac:dyDescent="0.25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</row>
    <row r="574" spans="1:27" ht="12" customHeight="1" x14ac:dyDescent="0.25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</row>
    <row r="575" spans="1:27" ht="12" customHeight="1" x14ac:dyDescent="0.25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</row>
    <row r="576" spans="1:27" ht="12" customHeight="1" x14ac:dyDescent="0.25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</row>
    <row r="577" spans="1:27" ht="12" customHeight="1" x14ac:dyDescent="0.25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</row>
    <row r="578" spans="1:27" ht="12" customHeight="1" x14ac:dyDescent="0.25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</row>
    <row r="579" spans="1:27" ht="12" customHeight="1" x14ac:dyDescent="0.25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</row>
    <row r="580" spans="1:27" ht="12" customHeight="1" x14ac:dyDescent="0.25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</row>
    <row r="581" spans="1:27" ht="12" customHeight="1" x14ac:dyDescent="0.25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</row>
    <row r="582" spans="1:27" ht="12" customHeight="1" x14ac:dyDescent="0.25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</row>
    <row r="583" spans="1:27" ht="12" customHeight="1" x14ac:dyDescent="0.25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</row>
    <row r="584" spans="1:27" ht="12" customHeight="1" x14ac:dyDescent="0.25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</row>
    <row r="585" spans="1:27" ht="12" customHeight="1" x14ac:dyDescent="0.25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</row>
    <row r="586" spans="1:27" ht="12" customHeight="1" x14ac:dyDescent="0.25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</row>
    <row r="587" spans="1:27" ht="12" customHeight="1" x14ac:dyDescent="0.25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</row>
    <row r="588" spans="1:27" ht="12" customHeight="1" x14ac:dyDescent="0.25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</row>
    <row r="589" spans="1:27" ht="12" customHeight="1" x14ac:dyDescent="0.25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</row>
    <row r="590" spans="1:27" ht="12" customHeight="1" x14ac:dyDescent="0.25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</row>
    <row r="591" spans="1:27" ht="12" customHeight="1" x14ac:dyDescent="0.25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</row>
    <row r="592" spans="1:27" ht="12" customHeight="1" x14ac:dyDescent="0.25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</row>
    <row r="593" spans="1:27" ht="12" customHeight="1" x14ac:dyDescent="0.25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</row>
    <row r="594" spans="1:27" ht="12" customHeight="1" x14ac:dyDescent="0.25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</row>
    <row r="595" spans="1:27" ht="12" customHeight="1" x14ac:dyDescent="0.25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</row>
    <row r="596" spans="1:27" ht="12" customHeight="1" x14ac:dyDescent="0.25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</row>
    <row r="597" spans="1:27" ht="12" customHeight="1" x14ac:dyDescent="0.25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</row>
    <row r="598" spans="1:27" ht="12" customHeight="1" x14ac:dyDescent="0.25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</row>
    <row r="599" spans="1:27" ht="12" customHeight="1" x14ac:dyDescent="0.25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</row>
    <row r="600" spans="1:27" ht="12" customHeight="1" x14ac:dyDescent="0.25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</row>
    <row r="601" spans="1:27" ht="12" customHeight="1" x14ac:dyDescent="0.25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</row>
    <row r="602" spans="1:27" ht="12" customHeight="1" x14ac:dyDescent="0.25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</row>
    <row r="603" spans="1:27" ht="12" customHeight="1" x14ac:dyDescent="0.25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</row>
    <row r="604" spans="1:27" ht="12" customHeight="1" x14ac:dyDescent="0.25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</row>
    <row r="605" spans="1:27" ht="12" customHeight="1" x14ac:dyDescent="0.25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</row>
    <row r="606" spans="1:27" ht="12" customHeight="1" x14ac:dyDescent="0.25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</row>
    <row r="607" spans="1:27" ht="12" customHeight="1" x14ac:dyDescent="0.25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</row>
    <row r="608" spans="1:27" ht="12" customHeight="1" x14ac:dyDescent="0.25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</row>
    <row r="609" spans="1:27" ht="12" customHeight="1" x14ac:dyDescent="0.25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</row>
    <row r="610" spans="1:27" ht="12" customHeight="1" x14ac:dyDescent="0.25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</row>
    <row r="611" spans="1:27" ht="12" customHeight="1" x14ac:dyDescent="0.25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</row>
    <row r="612" spans="1:27" ht="12" customHeight="1" x14ac:dyDescent="0.25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</row>
    <row r="613" spans="1:27" ht="12" customHeight="1" x14ac:dyDescent="0.25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</row>
    <row r="614" spans="1:27" ht="12" customHeight="1" x14ac:dyDescent="0.25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</row>
    <row r="615" spans="1:27" ht="12" customHeight="1" x14ac:dyDescent="0.25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</row>
    <row r="616" spans="1:27" ht="12" customHeight="1" x14ac:dyDescent="0.25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</row>
    <row r="617" spans="1:27" ht="12" customHeight="1" x14ac:dyDescent="0.25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</row>
    <row r="618" spans="1:27" ht="12" customHeight="1" x14ac:dyDescent="0.25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</row>
    <row r="619" spans="1:27" ht="12" customHeight="1" x14ac:dyDescent="0.25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</row>
    <row r="620" spans="1:27" ht="12" customHeight="1" x14ac:dyDescent="0.25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</row>
    <row r="621" spans="1:27" ht="12" customHeight="1" x14ac:dyDescent="0.25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</row>
    <row r="622" spans="1:27" ht="12" customHeight="1" x14ac:dyDescent="0.25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</row>
    <row r="623" spans="1:27" ht="12" customHeight="1" x14ac:dyDescent="0.25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</row>
    <row r="624" spans="1:27" ht="12" customHeight="1" x14ac:dyDescent="0.25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</row>
    <row r="625" spans="1:27" ht="12" customHeight="1" x14ac:dyDescent="0.25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</row>
    <row r="626" spans="1:27" ht="12" customHeight="1" x14ac:dyDescent="0.25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</row>
    <row r="627" spans="1:27" ht="12" customHeight="1" x14ac:dyDescent="0.25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</row>
    <row r="628" spans="1:27" ht="12" customHeight="1" x14ac:dyDescent="0.25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</row>
    <row r="629" spans="1:27" ht="12" customHeight="1" x14ac:dyDescent="0.25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</row>
    <row r="630" spans="1:27" ht="12" customHeight="1" x14ac:dyDescent="0.25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</row>
    <row r="631" spans="1:27" ht="12" customHeight="1" x14ac:dyDescent="0.25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</row>
    <row r="632" spans="1:27" ht="12" customHeight="1" x14ac:dyDescent="0.25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</row>
    <row r="633" spans="1:27" ht="12" customHeight="1" x14ac:dyDescent="0.25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</row>
    <row r="634" spans="1:27" ht="12" customHeight="1" x14ac:dyDescent="0.25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</row>
    <row r="635" spans="1:27" ht="12" customHeight="1" x14ac:dyDescent="0.25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</row>
    <row r="636" spans="1:27" ht="12" customHeight="1" x14ac:dyDescent="0.25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</row>
    <row r="637" spans="1:27" ht="12" customHeight="1" x14ac:dyDescent="0.25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</row>
    <row r="638" spans="1:27" ht="12" customHeight="1" x14ac:dyDescent="0.25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</row>
    <row r="639" spans="1:27" ht="12" customHeight="1" x14ac:dyDescent="0.25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</row>
    <row r="640" spans="1:27" ht="12" customHeight="1" x14ac:dyDescent="0.25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</row>
    <row r="641" spans="1:27" ht="12" customHeight="1" x14ac:dyDescent="0.25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</row>
    <row r="642" spans="1:27" ht="12" customHeight="1" x14ac:dyDescent="0.25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</row>
    <row r="643" spans="1:27" ht="12" customHeight="1" x14ac:dyDescent="0.25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</row>
    <row r="644" spans="1:27" ht="12" customHeight="1" x14ac:dyDescent="0.25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</row>
    <row r="645" spans="1:27" ht="12" customHeight="1" x14ac:dyDescent="0.25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</row>
    <row r="646" spans="1:27" ht="12" customHeight="1" x14ac:dyDescent="0.25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</row>
    <row r="647" spans="1:27" ht="12" customHeight="1" x14ac:dyDescent="0.25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</row>
    <row r="648" spans="1:27" ht="12" customHeight="1" x14ac:dyDescent="0.25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</row>
    <row r="649" spans="1:27" ht="12" customHeight="1" x14ac:dyDescent="0.25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</row>
    <row r="650" spans="1:27" ht="12" customHeight="1" x14ac:dyDescent="0.25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</row>
    <row r="651" spans="1:27" ht="12" customHeight="1" x14ac:dyDescent="0.25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</row>
    <row r="652" spans="1:27" ht="12" customHeight="1" x14ac:dyDescent="0.25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</row>
    <row r="653" spans="1:27" ht="12" customHeight="1" x14ac:dyDescent="0.25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</row>
    <row r="654" spans="1:27" ht="12" customHeight="1" x14ac:dyDescent="0.25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</row>
    <row r="655" spans="1:27" ht="12" customHeight="1" x14ac:dyDescent="0.25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</row>
    <row r="656" spans="1:27" ht="12" customHeight="1" x14ac:dyDescent="0.25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</row>
    <row r="657" spans="1:27" ht="12" customHeight="1" x14ac:dyDescent="0.25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</row>
    <row r="658" spans="1:27" ht="12" customHeight="1" x14ac:dyDescent="0.25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</row>
    <row r="659" spans="1:27" ht="12" customHeight="1" x14ac:dyDescent="0.25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</row>
    <row r="660" spans="1:27" ht="12" customHeight="1" x14ac:dyDescent="0.25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</row>
    <row r="661" spans="1:27" ht="12" customHeight="1" x14ac:dyDescent="0.25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</row>
    <row r="662" spans="1:27" ht="12" customHeight="1" x14ac:dyDescent="0.25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</row>
    <row r="663" spans="1:27" ht="12" customHeight="1" x14ac:dyDescent="0.25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</row>
    <row r="664" spans="1:27" ht="12" customHeight="1" x14ac:dyDescent="0.25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</row>
    <row r="665" spans="1:27" ht="12" customHeight="1" x14ac:dyDescent="0.25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</row>
    <row r="666" spans="1:27" ht="12" customHeight="1" x14ac:dyDescent="0.25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</row>
    <row r="667" spans="1:27" ht="12" customHeight="1" x14ac:dyDescent="0.25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</row>
    <row r="668" spans="1:27" ht="12" customHeight="1" x14ac:dyDescent="0.25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</row>
    <row r="669" spans="1:27" ht="12" customHeight="1" x14ac:dyDescent="0.25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</row>
    <row r="670" spans="1:27" ht="12" customHeight="1" x14ac:dyDescent="0.25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</row>
    <row r="671" spans="1:27" ht="12" customHeight="1" x14ac:dyDescent="0.25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</row>
    <row r="672" spans="1:27" ht="12" customHeight="1" x14ac:dyDescent="0.25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</row>
    <row r="673" spans="1:27" ht="12" customHeight="1" x14ac:dyDescent="0.25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</row>
    <row r="674" spans="1:27" ht="12" customHeight="1" x14ac:dyDescent="0.25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</row>
    <row r="675" spans="1:27" ht="12" customHeight="1" x14ac:dyDescent="0.25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</row>
    <row r="676" spans="1:27" ht="12" customHeight="1" x14ac:dyDescent="0.25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</row>
    <row r="677" spans="1:27" ht="12" customHeight="1" x14ac:dyDescent="0.25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</row>
    <row r="678" spans="1:27" ht="12" customHeight="1" x14ac:dyDescent="0.25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</row>
    <row r="679" spans="1:27" ht="12" customHeight="1" x14ac:dyDescent="0.25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</row>
    <row r="680" spans="1:27" ht="12" customHeight="1" x14ac:dyDescent="0.25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</row>
    <row r="681" spans="1:27" ht="12" customHeight="1" x14ac:dyDescent="0.25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</row>
    <row r="682" spans="1:27" ht="12" customHeight="1" x14ac:dyDescent="0.25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</row>
    <row r="683" spans="1:27" ht="12" customHeight="1" x14ac:dyDescent="0.25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</row>
    <row r="684" spans="1:27" ht="12" customHeight="1" x14ac:dyDescent="0.25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</row>
    <row r="685" spans="1:27" ht="12" customHeight="1" x14ac:dyDescent="0.25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</row>
    <row r="686" spans="1:27" ht="12" customHeight="1" x14ac:dyDescent="0.25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</row>
    <row r="687" spans="1:27" ht="12" customHeight="1" x14ac:dyDescent="0.25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</row>
    <row r="688" spans="1:27" ht="12" customHeight="1" x14ac:dyDescent="0.25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</row>
    <row r="689" spans="1:27" ht="12" customHeight="1" x14ac:dyDescent="0.25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</row>
    <row r="690" spans="1:27" ht="12" customHeight="1" x14ac:dyDescent="0.25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</row>
    <row r="691" spans="1:27" ht="12" customHeight="1" x14ac:dyDescent="0.25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</row>
    <row r="692" spans="1:27" ht="12" customHeight="1" x14ac:dyDescent="0.25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</row>
    <row r="693" spans="1:27" ht="12" customHeight="1" x14ac:dyDescent="0.25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</row>
    <row r="694" spans="1:27" ht="12" customHeight="1" x14ac:dyDescent="0.25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</row>
    <row r="695" spans="1:27" ht="12" customHeight="1" x14ac:dyDescent="0.25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</row>
    <row r="696" spans="1:27" ht="12" customHeight="1" x14ac:dyDescent="0.25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</row>
    <row r="697" spans="1:27" ht="12" customHeight="1" x14ac:dyDescent="0.25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</row>
    <row r="698" spans="1:27" ht="12" customHeight="1" x14ac:dyDescent="0.25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</row>
    <row r="699" spans="1:27" ht="12" customHeight="1" x14ac:dyDescent="0.25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</row>
    <row r="700" spans="1:27" ht="12" customHeight="1" x14ac:dyDescent="0.25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</row>
    <row r="701" spans="1:27" ht="12" customHeight="1" x14ac:dyDescent="0.25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</row>
    <row r="702" spans="1:27" ht="12" customHeight="1" x14ac:dyDescent="0.25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</row>
    <row r="703" spans="1:27" ht="12" customHeight="1" x14ac:dyDescent="0.25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</row>
    <row r="704" spans="1:27" ht="12" customHeight="1" x14ac:dyDescent="0.25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</row>
    <row r="705" spans="1:27" ht="12" customHeight="1" x14ac:dyDescent="0.25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</row>
    <row r="706" spans="1:27" ht="12" customHeight="1" x14ac:dyDescent="0.25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</row>
    <row r="707" spans="1:27" ht="12" customHeight="1" x14ac:dyDescent="0.25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</row>
    <row r="708" spans="1:27" ht="12" customHeight="1" x14ac:dyDescent="0.25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</row>
    <row r="709" spans="1:27" ht="12" customHeight="1" x14ac:dyDescent="0.25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</row>
    <row r="710" spans="1:27" ht="12" customHeight="1" x14ac:dyDescent="0.25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</row>
    <row r="711" spans="1:27" ht="12" customHeight="1" x14ac:dyDescent="0.25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</row>
    <row r="712" spans="1:27" ht="12" customHeight="1" x14ac:dyDescent="0.25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</row>
    <row r="713" spans="1:27" ht="12" customHeight="1" x14ac:dyDescent="0.25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</row>
    <row r="714" spans="1:27" ht="12" customHeight="1" x14ac:dyDescent="0.25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</row>
    <row r="715" spans="1:27" ht="12" customHeight="1" x14ac:dyDescent="0.25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</row>
    <row r="716" spans="1:27" ht="12" customHeight="1" x14ac:dyDescent="0.25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</row>
    <row r="717" spans="1:27" ht="12" customHeight="1" x14ac:dyDescent="0.25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</row>
    <row r="718" spans="1:27" ht="12" customHeight="1" x14ac:dyDescent="0.25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</row>
    <row r="719" spans="1:27" ht="12" customHeight="1" x14ac:dyDescent="0.25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</row>
    <row r="720" spans="1:27" ht="12" customHeight="1" x14ac:dyDescent="0.25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</row>
    <row r="721" spans="1:27" ht="12" customHeight="1" x14ac:dyDescent="0.25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</row>
    <row r="722" spans="1:27" ht="12" customHeight="1" x14ac:dyDescent="0.25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</row>
    <row r="723" spans="1:27" ht="12" customHeight="1" x14ac:dyDescent="0.25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</row>
    <row r="724" spans="1:27" ht="12" customHeight="1" x14ac:dyDescent="0.25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</row>
    <row r="725" spans="1:27" ht="12" customHeight="1" x14ac:dyDescent="0.25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</row>
    <row r="726" spans="1:27" ht="12" customHeight="1" x14ac:dyDescent="0.25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</row>
    <row r="727" spans="1:27" ht="12" customHeight="1" x14ac:dyDescent="0.25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</row>
    <row r="728" spans="1:27" ht="12" customHeight="1" x14ac:dyDescent="0.25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</row>
    <row r="729" spans="1:27" ht="12" customHeight="1" x14ac:dyDescent="0.25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</row>
    <row r="730" spans="1:27" ht="12" customHeight="1" x14ac:dyDescent="0.25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</row>
    <row r="731" spans="1:27" ht="12" customHeight="1" x14ac:dyDescent="0.25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</row>
    <row r="732" spans="1:27" ht="12" customHeight="1" x14ac:dyDescent="0.25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</row>
    <row r="733" spans="1:27" ht="12" customHeight="1" x14ac:dyDescent="0.25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</row>
    <row r="734" spans="1:27" ht="12" customHeight="1" x14ac:dyDescent="0.25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</row>
    <row r="735" spans="1:27" ht="12" customHeight="1" x14ac:dyDescent="0.25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</row>
    <row r="736" spans="1:27" ht="12" customHeight="1" x14ac:dyDescent="0.25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</row>
    <row r="737" spans="1:27" ht="12" customHeight="1" x14ac:dyDescent="0.25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</row>
    <row r="738" spans="1:27" ht="12" customHeight="1" x14ac:dyDescent="0.25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</row>
    <row r="739" spans="1:27" ht="12" customHeight="1" x14ac:dyDescent="0.25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</row>
    <row r="740" spans="1:27" ht="12" customHeight="1" x14ac:dyDescent="0.25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</row>
    <row r="741" spans="1:27" ht="12" customHeight="1" x14ac:dyDescent="0.25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</row>
    <row r="742" spans="1:27" ht="12" customHeight="1" x14ac:dyDescent="0.25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</row>
    <row r="743" spans="1:27" ht="12" customHeight="1" x14ac:dyDescent="0.25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</row>
    <row r="744" spans="1:27" ht="12" customHeight="1" x14ac:dyDescent="0.25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</row>
    <row r="745" spans="1:27" ht="12" customHeight="1" x14ac:dyDescent="0.25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</row>
    <row r="746" spans="1:27" ht="12" customHeight="1" x14ac:dyDescent="0.25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</row>
    <row r="747" spans="1:27" ht="12" customHeight="1" x14ac:dyDescent="0.25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</row>
    <row r="748" spans="1:27" ht="12" customHeight="1" x14ac:dyDescent="0.25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</row>
    <row r="749" spans="1:27" ht="12" customHeight="1" x14ac:dyDescent="0.25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</row>
    <row r="750" spans="1:27" ht="12" customHeight="1" x14ac:dyDescent="0.25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</row>
    <row r="751" spans="1:27" ht="12" customHeight="1" x14ac:dyDescent="0.25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</row>
    <row r="752" spans="1:27" ht="12" customHeight="1" x14ac:dyDescent="0.25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</row>
    <row r="753" spans="1:27" ht="12" customHeight="1" x14ac:dyDescent="0.25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</row>
    <row r="754" spans="1:27" ht="12" customHeight="1" x14ac:dyDescent="0.25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</row>
    <row r="755" spans="1:27" ht="12" customHeight="1" x14ac:dyDescent="0.25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</row>
    <row r="756" spans="1:27" ht="12" customHeight="1" x14ac:dyDescent="0.25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</row>
    <row r="757" spans="1:27" ht="12" customHeight="1" x14ac:dyDescent="0.25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</row>
    <row r="758" spans="1:27" ht="12" customHeight="1" x14ac:dyDescent="0.25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</row>
    <row r="759" spans="1:27" ht="12" customHeight="1" x14ac:dyDescent="0.25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</row>
    <row r="760" spans="1:27" ht="12" customHeight="1" x14ac:dyDescent="0.25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</row>
    <row r="761" spans="1:27" ht="12" customHeight="1" x14ac:dyDescent="0.25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</row>
    <row r="762" spans="1:27" ht="12" customHeight="1" x14ac:dyDescent="0.25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</row>
    <row r="763" spans="1:27" ht="12" customHeight="1" x14ac:dyDescent="0.25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</row>
    <row r="764" spans="1:27" ht="12" customHeight="1" x14ac:dyDescent="0.25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</row>
    <row r="765" spans="1:27" ht="12" customHeight="1" x14ac:dyDescent="0.25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</row>
    <row r="766" spans="1:27" ht="12" customHeight="1" x14ac:dyDescent="0.25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</row>
    <row r="767" spans="1:27" ht="12" customHeight="1" x14ac:dyDescent="0.25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</row>
    <row r="768" spans="1:27" ht="12" customHeight="1" x14ac:dyDescent="0.25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</row>
    <row r="769" spans="1:27" ht="12" customHeight="1" x14ac:dyDescent="0.25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</row>
    <row r="770" spans="1:27" ht="12" customHeight="1" x14ac:dyDescent="0.25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</row>
    <row r="771" spans="1:27" ht="12" customHeight="1" x14ac:dyDescent="0.25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</row>
    <row r="772" spans="1:27" ht="12" customHeight="1" x14ac:dyDescent="0.25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</row>
    <row r="773" spans="1:27" ht="12" customHeight="1" x14ac:dyDescent="0.25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</row>
    <row r="774" spans="1:27" ht="12" customHeight="1" x14ac:dyDescent="0.25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</row>
    <row r="775" spans="1:27" ht="12" customHeight="1" x14ac:dyDescent="0.25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</row>
    <row r="776" spans="1:27" ht="12" customHeight="1" x14ac:dyDescent="0.25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</row>
    <row r="777" spans="1:27" ht="12" customHeight="1" x14ac:dyDescent="0.25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</row>
    <row r="778" spans="1:27" ht="12" customHeight="1" x14ac:dyDescent="0.25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</row>
    <row r="779" spans="1:27" ht="12" customHeight="1" x14ac:dyDescent="0.25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</row>
    <row r="780" spans="1:27" ht="12" customHeight="1" x14ac:dyDescent="0.25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</row>
    <row r="781" spans="1:27" ht="12" customHeight="1" x14ac:dyDescent="0.25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</row>
    <row r="782" spans="1:27" ht="12" customHeight="1" x14ac:dyDescent="0.25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</row>
    <row r="783" spans="1:27" ht="12" customHeight="1" x14ac:dyDescent="0.25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</row>
    <row r="784" spans="1:27" ht="12" customHeight="1" x14ac:dyDescent="0.25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</row>
    <row r="785" spans="1:27" ht="12" customHeight="1" x14ac:dyDescent="0.25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</row>
    <row r="786" spans="1:27" ht="12" customHeight="1" x14ac:dyDescent="0.25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</row>
    <row r="787" spans="1:27" ht="12" customHeight="1" x14ac:dyDescent="0.25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</row>
    <row r="788" spans="1:27" ht="12" customHeight="1" x14ac:dyDescent="0.25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</row>
    <row r="789" spans="1:27" ht="12" customHeight="1" x14ac:dyDescent="0.25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</row>
    <row r="790" spans="1:27" ht="12" customHeight="1" x14ac:dyDescent="0.25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</row>
    <row r="791" spans="1:27" ht="12" customHeight="1" x14ac:dyDescent="0.25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</row>
    <row r="792" spans="1:27" ht="12" customHeight="1" x14ac:dyDescent="0.25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</row>
    <row r="793" spans="1:27" ht="12" customHeight="1" x14ac:dyDescent="0.25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</row>
    <row r="794" spans="1:27" ht="12" customHeight="1" x14ac:dyDescent="0.25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</row>
    <row r="795" spans="1:27" ht="12" customHeight="1" x14ac:dyDescent="0.25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</row>
    <row r="796" spans="1:27" ht="12" customHeight="1" x14ac:dyDescent="0.25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</row>
    <row r="797" spans="1:27" ht="12" customHeight="1" x14ac:dyDescent="0.25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</row>
    <row r="798" spans="1:27" ht="12" customHeight="1" x14ac:dyDescent="0.25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</row>
    <row r="799" spans="1:27" ht="12" customHeight="1" x14ac:dyDescent="0.25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</row>
    <row r="800" spans="1:27" ht="12" customHeight="1" x14ac:dyDescent="0.25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</row>
    <row r="801" spans="1:27" ht="12" customHeight="1" x14ac:dyDescent="0.25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</row>
    <row r="802" spans="1:27" ht="12" customHeight="1" x14ac:dyDescent="0.25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</row>
    <row r="803" spans="1:27" ht="12" customHeight="1" x14ac:dyDescent="0.25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</row>
    <row r="804" spans="1:27" ht="12" customHeight="1" x14ac:dyDescent="0.25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</row>
    <row r="805" spans="1:27" ht="12" customHeight="1" x14ac:dyDescent="0.25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</row>
    <row r="806" spans="1:27" ht="12" customHeight="1" x14ac:dyDescent="0.25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</row>
    <row r="807" spans="1:27" ht="12" customHeight="1" x14ac:dyDescent="0.25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</row>
    <row r="808" spans="1:27" ht="12" customHeight="1" x14ac:dyDescent="0.25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</row>
    <row r="809" spans="1:27" ht="12" customHeight="1" x14ac:dyDescent="0.25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</row>
    <row r="810" spans="1:27" ht="12" customHeight="1" x14ac:dyDescent="0.25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</row>
    <row r="811" spans="1:27" ht="12" customHeight="1" x14ac:dyDescent="0.25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</row>
    <row r="812" spans="1:27" ht="12" customHeight="1" x14ac:dyDescent="0.25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</row>
    <row r="813" spans="1:27" ht="12" customHeight="1" x14ac:dyDescent="0.25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</row>
    <row r="814" spans="1:27" ht="12" customHeight="1" x14ac:dyDescent="0.25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</row>
    <row r="815" spans="1:27" ht="12" customHeight="1" x14ac:dyDescent="0.25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</row>
    <row r="816" spans="1:27" ht="12" customHeight="1" x14ac:dyDescent="0.25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</row>
    <row r="817" spans="1:27" ht="12" customHeight="1" x14ac:dyDescent="0.25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</row>
    <row r="818" spans="1:27" ht="12" customHeight="1" x14ac:dyDescent="0.25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</row>
    <row r="819" spans="1:27" ht="12" customHeight="1" x14ac:dyDescent="0.25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</row>
    <row r="820" spans="1:27" ht="12" customHeight="1" x14ac:dyDescent="0.25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</row>
    <row r="821" spans="1:27" ht="12" customHeight="1" x14ac:dyDescent="0.25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</row>
    <row r="822" spans="1:27" ht="12" customHeight="1" x14ac:dyDescent="0.25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</row>
    <row r="823" spans="1:27" ht="12" customHeight="1" x14ac:dyDescent="0.25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</row>
    <row r="824" spans="1:27" ht="12" customHeight="1" x14ac:dyDescent="0.25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</row>
    <row r="825" spans="1:27" ht="12" customHeight="1" x14ac:dyDescent="0.25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</row>
    <row r="826" spans="1:27" ht="12" customHeight="1" x14ac:dyDescent="0.25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</row>
    <row r="827" spans="1:27" ht="12" customHeight="1" x14ac:dyDescent="0.25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</row>
    <row r="828" spans="1:27" ht="12" customHeight="1" x14ac:dyDescent="0.25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</row>
    <row r="829" spans="1:27" ht="12" customHeight="1" x14ac:dyDescent="0.25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</row>
    <row r="830" spans="1:27" ht="12" customHeight="1" x14ac:dyDescent="0.25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</row>
    <row r="831" spans="1:27" ht="12" customHeight="1" x14ac:dyDescent="0.25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</row>
    <row r="832" spans="1:27" ht="12" customHeight="1" x14ac:dyDescent="0.25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</row>
    <row r="833" spans="1:27" ht="12" customHeight="1" x14ac:dyDescent="0.25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</row>
    <row r="834" spans="1:27" ht="12" customHeight="1" x14ac:dyDescent="0.25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</row>
    <row r="835" spans="1:27" ht="12" customHeight="1" x14ac:dyDescent="0.25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</row>
    <row r="836" spans="1:27" ht="12" customHeight="1" x14ac:dyDescent="0.25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</row>
    <row r="837" spans="1:27" ht="12" customHeight="1" x14ac:dyDescent="0.25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</row>
    <row r="838" spans="1:27" ht="12" customHeight="1" x14ac:dyDescent="0.25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</row>
    <row r="839" spans="1:27" ht="12" customHeight="1" x14ac:dyDescent="0.25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</row>
    <row r="840" spans="1:27" ht="12" customHeight="1" x14ac:dyDescent="0.25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</row>
    <row r="841" spans="1:27" ht="12" customHeight="1" x14ac:dyDescent="0.25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</row>
    <row r="842" spans="1:27" ht="12" customHeight="1" x14ac:dyDescent="0.25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</row>
    <row r="843" spans="1:27" ht="12" customHeight="1" x14ac:dyDescent="0.25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</row>
    <row r="844" spans="1:27" ht="12" customHeight="1" x14ac:dyDescent="0.25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</row>
    <row r="845" spans="1:27" ht="12" customHeight="1" x14ac:dyDescent="0.25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</row>
    <row r="846" spans="1:27" ht="12" customHeight="1" x14ac:dyDescent="0.25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</row>
    <row r="847" spans="1:27" ht="12" customHeight="1" x14ac:dyDescent="0.25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</row>
    <row r="848" spans="1:27" ht="12" customHeight="1" x14ac:dyDescent="0.25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</row>
    <row r="849" spans="1:27" ht="12" customHeight="1" x14ac:dyDescent="0.25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</row>
    <row r="850" spans="1:27" ht="12" customHeight="1" x14ac:dyDescent="0.25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</row>
    <row r="851" spans="1:27" ht="12" customHeight="1" x14ac:dyDescent="0.25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</row>
    <row r="852" spans="1:27" ht="12" customHeight="1" x14ac:dyDescent="0.25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</row>
    <row r="853" spans="1:27" ht="12" customHeight="1" x14ac:dyDescent="0.25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</row>
    <row r="854" spans="1:27" ht="12" customHeight="1" x14ac:dyDescent="0.25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</row>
    <row r="855" spans="1:27" ht="12" customHeight="1" x14ac:dyDescent="0.25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</row>
    <row r="856" spans="1:27" ht="12" customHeight="1" x14ac:dyDescent="0.25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</row>
    <row r="857" spans="1:27" ht="12" customHeight="1" x14ac:dyDescent="0.25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</row>
    <row r="858" spans="1:27" ht="12" customHeight="1" x14ac:dyDescent="0.25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</row>
    <row r="859" spans="1:27" ht="12" customHeight="1" x14ac:dyDescent="0.25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</row>
    <row r="860" spans="1:27" ht="12" customHeight="1" x14ac:dyDescent="0.25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</row>
    <row r="861" spans="1:27" ht="12" customHeight="1" x14ac:dyDescent="0.25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</row>
    <row r="862" spans="1:27" ht="12" customHeight="1" x14ac:dyDescent="0.25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</row>
    <row r="863" spans="1:27" ht="12" customHeight="1" x14ac:dyDescent="0.25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</row>
    <row r="864" spans="1:27" ht="12" customHeight="1" x14ac:dyDescent="0.25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</row>
    <row r="865" spans="1:27" ht="12" customHeight="1" x14ac:dyDescent="0.25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</row>
    <row r="866" spans="1:27" ht="12" customHeight="1" x14ac:dyDescent="0.25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</row>
    <row r="867" spans="1:27" ht="12" customHeight="1" x14ac:dyDescent="0.25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</row>
    <row r="868" spans="1:27" ht="12" customHeight="1" x14ac:dyDescent="0.25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</row>
    <row r="869" spans="1:27" ht="12" customHeight="1" x14ac:dyDescent="0.25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</row>
    <row r="870" spans="1:27" ht="12" customHeight="1" x14ac:dyDescent="0.25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</row>
    <row r="871" spans="1:27" ht="12" customHeight="1" x14ac:dyDescent="0.25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</row>
    <row r="872" spans="1:27" ht="12" customHeight="1" x14ac:dyDescent="0.25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</row>
    <row r="873" spans="1:27" ht="12" customHeight="1" x14ac:dyDescent="0.25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</row>
    <row r="874" spans="1:27" ht="12" customHeight="1" x14ac:dyDescent="0.25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</row>
    <row r="875" spans="1:27" ht="12" customHeight="1" x14ac:dyDescent="0.25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</row>
    <row r="876" spans="1:27" ht="12" customHeight="1" x14ac:dyDescent="0.25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</row>
    <row r="877" spans="1:27" ht="12" customHeight="1" x14ac:dyDescent="0.25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</row>
    <row r="878" spans="1:27" ht="12" customHeight="1" x14ac:dyDescent="0.25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</row>
    <row r="879" spans="1:27" ht="12" customHeight="1" x14ac:dyDescent="0.25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</row>
    <row r="880" spans="1:27" ht="12" customHeight="1" x14ac:dyDescent="0.25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</row>
    <row r="881" spans="1:27" ht="12" customHeight="1" x14ac:dyDescent="0.25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</row>
    <row r="882" spans="1:27" ht="12" customHeight="1" x14ac:dyDescent="0.25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</row>
    <row r="883" spans="1:27" ht="12" customHeight="1" x14ac:dyDescent="0.25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</row>
    <row r="884" spans="1:27" ht="12" customHeight="1" x14ac:dyDescent="0.25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</row>
    <row r="885" spans="1:27" ht="12" customHeight="1" x14ac:dyDescent="0.25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</row>
    <row r="886" spans="1:27" ht="12" customHeight="1" x14ac:dyDescent="0.25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</row>
    <row r="887" spans="1:27" ht="12" customHeight="1" x14ac:dyDescent="0.25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</row>
    <row r="888" spans="1:27" ht="12" customHeight="1" x14ac:dyDescent="0.25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</row>
    <row r="889" spans="1:27" ht="12" customHeight="1" x14ac:dyDescent="0.25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</row>
    <row r="890" spans="1:27" ht="12" customHeight="1" x14ac:dyDescent="0.25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</row>
    <row r="891" spans="1:27" ht="12" customHeight="1" x14ac:dyDescent="0.25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</row>
    <row r="892" spans="1:27" ht="12" customHeight="1" x14ac:dyDescent="0.25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</row>
    <row r="893" spans="1:27" ht="12" customHeight="1" x14ac:dyDescent="0.25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</row>
    <row r="894" spans="1:27" ht="12" customHeight="1" x14ac:dyDescent="0.25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</row>
    <row r="895" spans="1:27" ht="12" customHeight="1" x14ac:dyDescent="0.25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</row>
    <row r="896" spans="1:27" ht="12" customHeight="1" x14ac:dyDescent="0.25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</row>
    <row r="897" spans="1:27" ht="12" customHeight="1" x14ac:dyDescent="0.25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</row>
    <row r="898" spans="1:27" ht="12" customHeight="1" x14ac:dyDescent="0.25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</row>
    <row r="899" spans="1:27" ht="12" customHeight="1" x14ac:dyDescent="0.25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</row>
    <row r="900" spans="1:27" ht="12" customHeight="1" x14ac:dyDescent="0.25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</row>
    <row r="901" spans="1:27" ht="12" customHeight="1" x14ac:dyDescent="0.25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</row>
    <row r="902" spans="1:27" ht="12" customHeight="1" x14ac:dyDescent="0.25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</row>
    <row r="903" spans="1:27" ht="12" customHeight="1" x14ac:dyDescent="0.25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</row>
    <row r="904" spans="1:27" ht="12" customHeight="1" x14ac:dyDescent="0.25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</row>
    <row r="905" spans="1:27" ht="12" customHeight="1" x14ac:dyDescent="0.25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</row>
    <row r="906" spans="1:27" ht="12" customHeight="1" x14ac:dyDescent="0.25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</row>
    <row r="907" spans="1:27" ht="12" customHeight="1" x14ac:dyDescent="0.25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</row>
    <row r="908" spans="1:27" ht="12" customHeight="1" x14ac:dyDescent="0.25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</row>
    <row r="909" spans="1:27" ht="12" customHeight="1" x14ac:dyDescent="0.25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</row>
    <row r="910" spans="1:27" ht="12" customHeight="1" x14ac:dyDescent="0.25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</row>
    <row r="911" spans="1:27" ht="12" customHeight="1" x14ac:dyDescent="0.25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</row>
    <row r="912" spans="1:27" ht="12" customHeight="1" x14ac:dyDescent="0.25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</row>
    <row r="913" spans="1:27" ht="12" customHeight="1" x14ac:dyDescent="0.25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</row>
    <row r="914" spans="1:27" ht="12" customHeight="1" x14ac:dyDescent="0.25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</row>
    <row r="915" spans="1:27" ht="12" customHeight="1" x14ac:dyDescent="0.25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</row>
    <row r="916" spans="1:27" ht="12" customHeight="1" x14ac:dyDescent="0.25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</row>
    <row r="917" spans="1:27" ht="12" customHeight="1" x14ac:dyDescent="0.25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</row>
    <row r="918" spans="1:27" ht="12" customHeight="1" x14ac:dyDescent="0.25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</row>
    <row r="919" spans="1:27" ht="12" customHeight="1" x14ac:dyDescent="0.25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</row>
    <row r="920" spans="1:27" ht="12" customHeight="1" x14ac:dyDescent="0.25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</row>
    <row r="921" spans="1:27" ht="12" customHeight="1" x14ac:dyDescent="0.25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</row>
    <row r="922" spans="1:27" ht="12" customHeight="1" x14ac:dyDescent="0.25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</row>
    <row r="923" spans="1:27" ht="12" customHeight="1" x14ac:dyDescent="0.25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</row>
    <row r="924" spans="1:27" ht="12" customHeight="1" x14ac:dyDescent="0.25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</row>
    <row r="925" spans="1:27" ht="12" customHeight="1" x14ac:dyDescent="0.25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</row>
    <row r="926" spans="1:27" ht="12" customHeight="1" x14ac:dyDescent="0.25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</row>
    <row r="927" spans="1:27" ht="12" customHeight="1" x14ac:dyDescent="0.25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</row>
    <row r="928" spans="1:27" ht="12" customHeight="1" x14ac:dyDescent="0.25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</row>
    <row r="929" spans="1:27" ht="12" customHeight="1" x14ac:dyDescent="0.25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</row>
    <row r="930" spans="1:27" ht="12" customHeight="1" x14ac:dyDescent="0.25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</row>
    <row r="931" spans="1:27" ht="12" customHeight="1" x14ac:dyDescent="0.25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</row>
    <row r="932" spans="1:27" ht="12" customHeight="1" x14ac:dyDescent="0.25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</row>
    <row r="933" spans="1:27" ht="12" customHeight="1" x14ac:dyDescent="0.25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</row>
    <row r="934" spans="1:27" ht="12" customHeight="1" x14ac:dyDescent="0.25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</row>
    <row r="935" spans="1:27" ht="12" customHeight="1" x14ac:dyDescent="0.25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</row>
    <row r="936" spans="1:27" ht="12" customHeight="1" x14ac:dyDescent="0.25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</row>
    <row r="937" spans="1:27" ht="12" customHeight="1" x14ac:dyDescent="0.25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</row>
    <row r="938" spans="1:27" ht="12" customHeight="1" x14ac:dyDescent="0.25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</row>
    <row r="939" spans="1:27" ht="12" customHeight="1" x14ac:dyDescent="0.25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</row>
    <row r="940" spans="1:27" ht="12" customHeight="1" x14ac:dyDescent="0.25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</row>
    <row r="941" spans="1:27" ht="12" customHeight="1" x14ac:dyDescent="0.25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</row>
    <row r="942" spans="1:27" ht="12" customHeight="1" x14ac:dyDescent="0.25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</row>
    <row r="943" spans="1:27" ht="12" customHeight="1" x14ac:dyDescent="0.25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</row>
    <row r="944" spans="1:27" ht="12" customHeight="1" x14ac:dyDescent="0.25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</row>
    <row r="945" spans="1:27" ht="12" customHeight="1" x14ac:dyDescent="0.25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</row>
    <row r="946" spans="1:27" ht="12" customHeight="1" x14ac:dyDescent="0.25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</row>
    <row r="947" spans="1:27" ht="12" customHeight="1" x14ac:dyDescent="0.25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</row>
    <row r="948" spans="1:27" ht="12" customHeight="1" x14ac:dyDescent="0.25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</row>
    <row r="949" spans="1:27" ht="12" customHeight="1" x14ac:dyDescent="0.25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</row>
    <row r="950" spans="1:27" ht="12" customHeight="1" x14ac:dyDescent="0.25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</row>
    <row r="951" spans="1:27" ht="12" customHeight="1" x14ac:dyDescent="0.25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</row>
    <row r="952" spans="1:27" ht="12" customHeight="1" x14ac:dyDescent="0.25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</row>
    <row r="953" spans="1:27" ht="12" customHeight="1" x14ac:dyDescent="0.25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</row>
    <row r="954" spans="1:27" ht="12" customHeight="1" x14ac:dyDescent="0.25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</row>
    <row r="955" spans="1:27" ht="12" customHeight="1" x14ac:dyDescent="0.25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</row>
    <row r="956" spans="1:27" ht="12" customHeight="1" x14ac:dyDescent="0.25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</row>
    <row r="957" spans="1:27" ht="12" customHeight="1" x14ac:dyDescent="0.25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</row>
    <row r="958" spans="1:27" ht="12" customHeight="1" x14ac:dyDescent="0.25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</row>
    <row r="959" spans="1:27" ht="12" customHeight="1" x14ac:dyDescent="0.25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</row>
    <row r="960" spans="1:27" ht="12" customHeight="1" x14ac:dyDescent="0.25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</row>
    <row r="961" spans="1:27" ht="12" customHeight="1" x14ac:dyDescent="0.25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</row>
    <row r="962" spans="1:27" ht="12" customHeight="1" x14ac:dyDescent="0.25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</row>
    <row r="963" spans="1:27" ht="12" customHeight="1" x14ac:dyDescent="0.25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</row>
    <row r="964" spans="1:27" ht="12" customHeight="1" x14ac:dyDescent="0.25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</row>
    <row r="965" spans="1:27" ht="12" customHeight="1" x14ac:dyDescent="0.25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</row>
    <row r="966" spans="1:27" ht="12" customHeight="1" x14ac:dyDescent="0.25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</row>
    <row r="967" spans="1:27" ht="12" customHeight="1" x14ac:dyDescent="0.25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</row>
    <row r="968" spans="1:27" ht="12" customHeight="1" x14ac:dyDescent="0.25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</row>
    <row r="969" spans="1:27" ht="12" customHeight="1" x14ac:dyDescent="0.25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</row>
    <row r="970" spans="1:27" ht="12" customHeight="1" x14ac:dyDescent="0.25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</row>
    <row r="971" spans="1:27" ht="12" customHeight="1" x14ac:dyDescent="0.25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</row>
    <row r="972" spans="1:27" ht="12" customHeight="1" x14ac:dyDescent="0.25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</row>
    <row r="973" spans="1:27" ht="12" customHeight="1" x14ac:dyDescent="0.25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</row>
    <row r="974" spans="1:27" ht="12" customHeight="1" x14ac:dyDescent="0.25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</row>
    <row r="975" spans="1:27" ht="12" customHeight="1" x14ac:dyDescent="0.25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</row>
    <row r="976" spans="1:27" ht="12" customHeight="1" x14ac:dyDescent="0.25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</row>
    <row r="977" spans="1:27" ht="12" customHeight="1" x14ac:dyDescent="0.25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</row>
    <row r="978" spans="1:27" ht="12" customHeight="1" x14ac:dyDescent="0.25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</row>
    <row r="979" spans="1:27" ht="12" customHeight="1" x14ac:dyDescent="0.25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</row>
    <row r="980" spans="1:27" ht="12" customHeight="1" x14ac:dyDescent="0.25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</row>
    <row r="981" spans="1:27" ht="12" customHeight="1" x14ac:dyDescent="0.25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</row>
    <row r="982" spans="1:27" ht="12" customHeight="1" x14ac:dyDescent="0.25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</row>
    <row r="983" spans="1:27" ht="12" customHeight="1" x14ac:dyDescent="0.25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</row>
    <row r="984" spans="1:27" ht="12" customHeight="1" x14ac:dyDescent="0.25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</row>
    <row r="985" spans="1:27" ht="12" customHeight="1" x14ac:dyDescent="0.25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</row>
    <row r="986" spans="1:27" ht="12" customHeight="1" x14ac:dyDescent="0.25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</row>
    <row r="987" spans="1:27" ht="12" customHeight="1" x14ac:dyDescent="0.25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</row>
    <row r="988" spans="1:27" ht="12" customHeight="1" x14ac:dyDescent="0.25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</row>
    <row r="989" spans="1:27" ht="12" customHeight="1" x14ac:dyDescent="0.25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</row>
    <row r="990" spans="1:27" ht="12" customHeight="1" x14ac:dyDescent="0.25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</row>
    <row r="991" spans="1:27" ht="12" customHeight="1" x14ac:dyDescent="0.25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</row>
    <row r="992" spans="1:27" ht="12" customHeight="1" x14ac:dyDescent="0.25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</row>
    <row r="993" spans="1:27" ht="12" customHeight="1" x14ac:dyDescent="0.25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</row>
    <row r="994" spans="1:27" ht="12" customHeight="1" x14ac:dyDescent="0.25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</row>
    <row r="995" spans="1:27" ht="12" customHeight="1" x14ac:dyDescent="0.25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</row>
    <row r="996" spans="1:27" ht="12" customHeight="1" x14ac:dyDescent="0.25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</row>
    <row r="997" spans="1:27" ht="12" customHeight="1" x14ac:dyDescent="0.25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</row>
    <row r="998" spans="1:27" ht="12" customHeight="1" x14ac:dyDescent="0.25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</row>
    <row r="999" spans="1:27" ht="12" customHeight="1" x14ac:dyDescent="0.25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</row>
    <row r="1000" spans="1:27" ht="12" customHeight="1" x14ac:dyDescent="0.25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G7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00E3E-6283-4EDA-AA52-C6E17841D222}">
  <dimension ref="A1:AA1000"/>
  <sheetViews>
    <sheetView workbookViewId="0">
      <pane ySplit="12" topLeftCell="A299" activePane="bottomLeft" state="frozen"/>
      <selection pane="bottomLeft" activeCell="E318" sqref="E318"/>
    </sheetView>
  </sheetViews>
  <sheetFormatPr defaultColWidth="14.42578125" defaultRowHeight="15" customHeight="1" x14ac:dyDescent="0.25"/>
  <cols>
    <col min="1" max="1" width="203.7109375" style="344" hidden="1" customWidth="1"/>
    <col min="2" max="2" width="87.140625" style="344" customWidth="1"/>
    <col min="3" max="3" width="15.140625" style="344" customWidth="1"/>
    <col min="4" max="4" width="15.5703125" style="344" customWidth="1"/>
    <col min="5" max="5" width="14.85546875" style="344" customWidth="1"/>
    <col min="6" max="6" width="15.85546875" style="344" customWidth="1"/>
    <col min="7" max="7" width="16.28515625" style="344" customWidth="1"/>
    <col min="8" max="19" width="12.7109375" style="344" customWidth="1"/>
    <col min="20" max="20" width="17" style="344" customWidth="1"/>
    <col min="21" max="21" width="14.5703125" style="344" customWidth="1"/>
    <col min="22" max="22" width="17.7109375" style="344" customWidth="1"/>
    <col min="23" max="23" width="18.140625" style="344" customWidth="1"/>
    <col min="24" max="24" width="14.7109375" style="344" customWidth="1"/>
    <col min="25" max="25" width="15.7109375" style="344" customWidth="1"/>
    <col min="26" max="26" width="18" style="344" customWidth="1"/>
    <col min="27" max="27" width="16.85546875" style="344" customWidth="1"/>
    <col min="28" max="16384" width="14.42578125" style="344"/>
  </cols>
  <sheetData>
    <row r="1" spans="1:27" ht="12" customHeight="1" x14ac:dyDescent="0.25">
      <c r="A1" s="342"/>
      <c r="B1" s="342"/>
      <c r="C1" s="342"/>
      <c r="D1" s="343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  <c r="X1" s="342"/>
      <c r="Y1" s="342"/>
      <c r="Z1" s="342"/>
      <c r="AA1" s="342"/>
    </row>
    <row r="2" spans="1:27" ht="12" customHeight="1" x14ac:dyDescent="0.25">
      <c r="A2" s="515" t="s">
        <v>1119</v>
      </c>
      <c r="B2" s="516"/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342"/>
      <c r="Y2" s="342"/>
      <c r="Z2" s="342"/>
      <c r="AA2" s="342"/>
    </row>
    <row r="3" spans="1:27" ht="15" customHeight="1" x14ac:dyDescent="0.25">
      <c r="A3" s="515" t="s">
        <v>1383</v>
      </c>
      <c r="B3" s="516"/>
      <c r="C3" s="516"/>
      <c r="D3" s="516"/>
      <c r="E3" s="516"/>
      <c r="F3" s="516"/>
      <c r="G3" s="516"/>
      <c r="H3" s="516"/>
      <c r="I3" s="516"/>
      <c r="J3" s="516"/>
      <c r="K3" s="516"/>
      <c r="L3" s="516"/>
      <c r="M3" s="516"/>
      <c r="N3" s="516"/>
      <c r="O3" s="516"/>
      <c r="P3" s="516"/>
      <c r="Q3" s="516"/>
      <c r="R3" s="516"/>
      <c r="S3" s="516"/>
      <c r="T3" s="516"/>
      <c r="U3" s="516"/>
      <c r="V3" s="516"/>
      <c r="W3" s="516"/>
      <c r="X3" s="342"/>
      <c r="Y3" s="342"/>
      <c r="Z3" s="342"/>
      <c r="AA3" s="342"/>
    </row>
    <row r="4" spans="1:27" ht="12" customHeight="1" x14ac:dyDescent="0.25">
      <c r="A4" s="517">
        <v>2026</v>
      </c>
      <c r="B4" s="516"/>
      <c r="C4" s="516"/>
      <c r="D4" s="516"/>
      <c r="E4" s="516"/>
      <c r="F4" s="516"/>
      <c r="G4" s="516"/>
      <c r="H4" s="516"/>
      <c r="I4" s="516"/>
      <c r="J4" s="516"/>
      <c r="K4" s="516"/>
      <c r="L4" s="516"/>
      <c r="M4" s="516"/>
      <c r="N4" s="516"/>
      <c r="O4" s="516"/>
      <c r="P4" s="516"/>
      <c r="Q4" s="516"/>
      <c r="R4" s="516"/>
      <c r="S4" s="516"/>
      <c r="T4" s="516"/>
      <c r="U4" s="516"/>
      <c r="V4" s="516"/>
      <c r="W4" s="516"/>
      <c r="X4" s="342"/>
      <c r="Y4" s="342"/>
      <c r="Z4" s="342"/>
      <c r="AA4" s="342"/>
    </row>
    <row r="5" spans="1:27" ht="12" customHeight="1" x14ac:dyDescent="0.25">
      <c r="A5" s="345"/>
      <c r="B5" s="346" t="s">
        <v>1383</v>
      </c>
      <c r="C5" s="345"/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5"/>
      <c r="V5" s="345"/>
      <c r="W5" s="345"/>
      <c r="X5" s="342"/>
      <c r="Y5" s="342"/>
      <c r="Z5" s="342"/>
      <c r="AA5" s="342"/>
    </row>
    <row r="6" spans="1:27" ht="12" customHeight="1" x14ac:dyDescent="0.25">
      <c r="A6" s="345"/>
      <c r="B6" s="346" t="s">
        <v>1077</v>
      </c>
      <c r="C6" s="345"/>
      <c r="D6" s="345"/>
      <c r="E6" s="345"/>
      <c r="F6" s="345"/>
      <c r="G6" s="345"/>
      <c r="H6" s="345"/>
      <c r="I6" s="345"/>
      <c r="J6" s="345"/>
      <c r="K6" s="345"/>
      <c r="L6" s="345"/>
      <c r="M6" s="345"/>
      <c r="N6" s="345"/>
      <c r="O6" s="345"/>
      <c r="P6" s="345"/>
      <c r="Q6" s="345"/>
      <c r="R6" s="345"/>
      <c r="S6" s="345"/>
      <c r="T6" s="345"/>
      <c r="U6" s="345"/>
      <c r="V6" s="345"/>
      <c r="W6" s="345"/>
      <c r="X6" s="342"/>
      <c r="Y6" s="342"/>
      <c r="Z6" s="342"/>
      <c r="AA6" s="342"/>
    </row>
    <row r="7" spans="1:27" ht="12" customHeight="1" x14ac:dyDescent="0.25">
      <c r="A7" s="345"/>
      <c r="B7" s="391" t="s">
        <v>1084</v>
      </c>
      <c r="C7" s="391"/>
      <c r="D7" s="391"/>
      <c r="E7" s="391"/>
      <c r="F7" s="391"/>
      <c r="G7" s="391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  <c r="S7" s="347"/>
      <c r="T7" s="347"/>
      <c r="U7" s="347"/>
      <c r="V7" s="347"/>
      <c r="W7" s="347"/>
      <c r="X7" s="348"/>
      <c r="Y7" s="348"/>
      <c r="Z7" s="348"/>
      <c r="AA7" s="348"/>
    </row>
    <row r="8" spans="1:27" ht="12" customHeight="1" x14ac:dyDescent="0.25">
      <c r="A8" s="345"/>
      <c r="B8" s="345"/>
      <c r="C8" s="345"/>
      <c r="D8" s="345"/>
      <c r="E8" s="345"/>
      <c r="F8" s="345"/>
      <c r="G8" s="345"/>
      <c r="H8" s="345"/>
      <c r="I8" s="345"/>
      <c r="J8" s="345"/>
      <c r="K8" s="345"/>
      <c r="L8" s="345"/>
      <c r="M8" s="345"/>
      <c r="N8" s="345"/>
      <c r="O8" s="345"/>
      <c r="P8" s="345"/>
      <c r="Q8" s="345"/>
      <c r="R8" s="345"/>
      <c r="S8" s="345"/>
      <c r="T8" s="345"/>
      <c r="U8" s="345"/>
      <c r="V8" s="345"/>
      <c r="W8" s="345"/>
      <c r="X8" s="342"/>
      <c r="Y8" s="342"/>
      <c r="Z8" s="342"/>
      <c r="AA8" s="349" t="s">
        <v>1</v>
      </c>
    </row>
    <row r="9" spans="1:27" ht="12" customHeight="1" x14ac:dyDescent="0.25">
      <c r="A9" s="350"/>
      <c r="B9" s="520" t="s">
        <v>34</v>
      </c>
      <c r="C9" s="521"/>
      <c r="D9" s="521"/>
      <c r="E9" s="521"/>
      <c r="F9" s="521"/>
      <c r="G9" s="521"/>
      <c r="H9" s="521"/>
      <c r="I9" s="521"/>
      <c r="J9" s="521"/>
      <c r="K9" s="521"/>
      <c r="L9" s="521"/>
      <c r="M9" s="521"/>
      <c r="N9" s="521"/>
      <c r="O9" s="521"/>
      <c r="P9" s="521"/>
      <c r="Q9" s="521"/>
      <c r="R9" s="521"/>
      <c r="S9" s="521"/>
      <c r="T9" s="521"/>
      <c r="U9" s="521"/>
      <c r="V9" s="521"/>
      <c r="W9" s="521"/>
      <c r="X9" s="521"/>
      <c r="Y9" s="521"/>
      <c r="Z9" s="521"/>
      <c r="AA9" s="522"/>
    </row>
    <row r="10" spans="1:27" ht="12" customHeight="1" x14ac:dyDescent="0.25">
      <c r="A10" s="511"/>
      <c r="B10" s="514" t="s">
        <v>1085</v>
      </c>
      <c r="C10" s="514" t="s">
        <v>2</v>
      </c>
      <c r="D10" s="514" t="s">
        <v>3</v>
      </c>
      <c r="E10" s="351" t="s">
        <v>57</v>
      </c>
      <c r="F10" s="351" t="s">
        <v>30</v>
      </c>
      <c r="G10" s="351" t="s">
        <v>58</v>
      </c>
      <c r="H10" s="514" t="s">
        <v>5</v>
      </c>
      <c r="I10" s="514" t="s">
        <v>6</v>
      </c>
      <c r="J10" s="514" t="s">
        <v>7</v>
      </c>
      <c r="K10" s="514" t="s">
        <v>8</v>
      </c>
      <c r="L10" s="514" t="s">
        <v>9</v>
      </c>
      <c r="M10" s="514" t="s">
        <v>10</v>
      </c>
      <c r="N10" s="514" t="s">
        <v>11</v>
      </c>
      <c r="O10" s="514" t="s">
        <v>12</v>
      </c>
      <c r="P10" s="514" t="s">
        <v>13</v>
      </c>
      <c r="Q10" s="514" t="s">
        <v>14</v>
      </c>
      <c r="R10" s="514" t="s">
        <v>15</v>
      </c>
      <c r="S10" s="514" t="s">
        <v>16</v>
      </c>
      <c r="T10" s="351" t="s">
        <v>17</v>
      </c>
      <c r="U10" s="351" t="s">
        <v>18</v>
      </c>
      <c r="V10" s="514" t="s">
        <v>59</v>
      </c>
      <c r="W10" s="514" t="s">
        <v>60</v>
      </c>
      <c r="X10" s="514" t="s">
        <v>32</v>
      </c>
      <c r="Y10" s="514" t="s">
        <v>31</v>
      </c>
      <c r="Z10" s="514" t="s">
        <v>61</v>
      </c>
      <c r="AA10" s="514" t="s">
        <v>62</v>
      </c>
    </row>
    <row r="11" spans="1:27" ht="12" customHeight="1" x14ac:dyDescent="0.25">
      <c r="A11" s="512"/>
      <c r="B11" s="512"/>
      <c r="C11" s="513"/>
      <c r="D11" s="513"/>
      <c r="E11" s="352" t="s">
        <v>1426</v>
      </c>
      <c r="F11" s="352" t="s">
        <v>1426</v>
      </c>
      <c r="G11" s="352" t="s">
        <v>1426</v>
      </c>
      <c r="H11" s="513"/>
      <c r="I11" s="513"/>
      <c r="J11" s="513"/>
      <c r="K11" s="513"/>
      <c r="L11" s="513"/>
      <c r="M11" s="513"/>
      <c r="N11" s="513"/>
      <c r="O11" s="513"/>
      <c r="P11" s="513"/>
      <c r="Q11" s="513"/>
      <c r="R11" s="513"/>
      <c r="S11" s="513"/>
      <c r="T11" s="352" t="s">
        <v>1426</v>
      </c>
      <c r="U11" s="352" t="s">
        <v>1426</v>
      </c>
      <c r="V11" s="513"/>
      <c r="W11" s="513"/>
      <c r="X11" s="513"/>
      <c r="Y11" s="513"/>
      <c r="Z11" s="513"/>
      <c r="AA11" s="513"/>
    </row>
    <row r="12" spans="1:27" ht="12" customHeight="1" x14ac:dyDescent="0.25">
      <c r="A12" s="513"/>
      <c r="B12" s="513"/>
      <c r="C12" s="353" t="s">
        <v>20</v>
      </c>
      <c r="D12" s="353" t="s">
        <v>21</v>
      </c>
      <c r="E12" s="353" t="s">
        <v>22</v>
      </c>
      <c r="F12" s="353" t="s">
        <v>23</v>
      </c>
      <c r="G12" s="353" t="s">
        <v>24</v>
      </c>
      <c r="H12" s="353" t="s">
        <v>63</v>
      </c>
      <c r="I12" s="353" t="s">
        <v>63</v>
      </c>
      <c r="J12" s="353" t="s">
        <v>63</v>
      </c>
      <c r="K12" s="353" t="s">
        <v>63</v>
      </c>
      <c r="L12" s="353" t="s">
        <v>63</v>
      </c>
      <c r="M12" s="353" t="s">
        <v>63</v>
      </c>
      <c r="N12" s="353" t="s">
        <v>63</v>
      </c>
      <c r="O12" s="353" t="s">
        <v>63</v>
      </c>
      <c r="P12" s="353" t="s">
        <v>63</v>
      </c>
      <c r="Q12" s="353" t="s">
        <v>63</v>
      </c>
      <c r="R12" s="353" t="s">
        <v>63</v>
      </c>
      <c r="S12" s="353" t="s">
        <v>63</v>
      </c>
      <c r="T12" s="353" t="s">
        <v>64</v>
      </c>
      <c r="U12" s="353" t="s">
        <v>65</v>
      </c>
      <c r="V12" s="353" t="s">
        <v>66</v>
      </c>
      <c r="W12" s="353" t="s">
        <v>67</v>
      </c>
      <c r="X12" s="353" t="s">
        <v>68</v>
      </c>
      <c r="Y12" s="353" t="s">
        <v>69</v>
      </c>
      <c r="Z12" s="353" t="s">
        <v>70</v>
      </c>
      <c r="AA12" s="353" t="s">
        <v>71</v>
      </c>
    </row>
    <row r="13" spans="1:27" ht="12" customHeight="1" x14ac:dyDescent="0.25">
      <c r="A13" s="354"/>
      <c r="B13" s="355" t="s">
        <v>404</v>
      </c>
      <c r="C13" s="356">
        <v>0</v>
      </c>
      <c r="D13" s="356">
        <v>0</v>
      </c>
      <c r="E13" s="356">
        <v>0</v>
      </c>
      <c r="F13" s="356">
        <v>0</v>
      </c>
      <c r="G13" s="356">
        <v>0</v>
      </c>
      <c r="H13" s="356">
        <v>0</v>
      </c>
      <c r="I13" s="356">
        <v>0</v>
      </c>
      <c r="J13" s="356">
        <v>0</v>
      </c>
      <c r="K13" s="356">
        <v>0</v>
      </c>
      <c r="L13" s="356">
        <v>0</v>
      </c>
      <c r="M13" s="356">
        <v>0</v>
      </c>
      <c r="N13" s="356">
        <v>0</v>
      </c>
      <c r="O13" s="356">
        <v>0</v>
      </c>
      <c r="P13" s="356">
        <v>0</v>
      </c>
      <c r="Q13" s="356">
        <v>0</v>
      </c>
      <c r="R13" s="356">
        <v>0</v>
      </c>
      <c r="S13" s="356">
        <v>0</v>
      </c>
      <c r="T13" s="357">
        <v>0</v>
      </c>
      <c r="U13" s="358" t="e">
        <v>#DIV/0!</v>
      </c>
      <c r="V13" s="357">
        <v>0</v>
      </c>
      <c r="W13" s="357">
        <v>0</v>
      </c>
      <c r="X13" s="357">
        <v>0</v>
      </c>
      <c r="Y13" s="357">
        <v>0</v>
      </c>
      <c r="Z13" s="357">
        <v>0</v>
      </c>
      <c r="AA13" s="357">
        <v>0</v>
      </c>
    </row>
    <row r="14" spans="1:27" ht="12" customHeight="1" x14ac:dyDescent="0.25">
      <c r="A14" s="354"/>
      <c r="B14" s="360" t="s">
        <v>405</v>
      </c>
      <c r="C14" s="361">
        <v>0</v>
      </c>
      <c r="D14" s="361">
        <v>0</v>
      </c>
      <c r="E14" s="361">
        <v>0</v>
      </c>
      <c r="F14" s="361">
        <v>0</v>
      </c>
      <c r="G14" s="361">
        <v>0</v>
      </c>
      <c r="H14" s="361">
        <v>0</v>
      </c>
      <c r="I14" s="361">
        <v>0</v>
      </c>
      <c r="J14" s="361">
        <v>0</v>
      </c>
      <c r="K14" s="361">
        <v>0</v>
      </c>
      <c r="L14" s="361">
        <v>0</v>
      </c>
      <c r="M14" s="361">
        <v>0</v>
      </c>
      <c r="N14" s="361">
        <v>0</v>
      </c>
      <c r="O14" s="361">
        <v>0</v>
      </c>
      <c r="P14" s="361">
        <v>0</v>
      </c>
      <c r="Q14" s="361">
        <v>0</v>
      </c>
      <c r="R14" s="361">
        <v>0</v>
      </c>
      <c r="S14" s="361">
        <v>0</v>
      </c>
      <c r="T14" s="362">
        <v>0</v>
      </c>
      <c r="U14" s="363" t="e">
        <v>#DIV/0!</v>
      </c>
      <c r="V14" s="362">
        <v>0</v>
      </c>
      <c r="W14" s="362">
        <v>0</v>
      </c>
      <c r="X14" s="362">
        <v>0</v>
      </c>
      <c r="Y14" s="362">
        <v>0</v>
      </c>
      <c r="Z14" s="362">
        <v>0</v>
      </c>
      <c r="AA14" s="362">
        <v>0</v>
      </c>
    </row>
    <row r="15" spans="1:27" ht="12" customHeight="1" x14ac:dyDescent="0.25">
      <c r="A15" s="354" t="s">
        <v>1120</v>
      </c>
      <c r="B15" s="364" t="s">
        <v>406</v>
      </c>
      <c r="C15" s="365">
        <v>0</v>
      </c>
      <c r="D15" s="365">
        <v>0</v>
      </c>
      <c r="E15" s="365">
        <v>0</v>
      </c>
      <c r="F15" s="365">
        <v>0</v>
      </c>
      <c r="G15" s="365">
        <v>0</v>
      </c>
      <c r="H15" s="365">
        <v>0</v>
      </c>
      <c r="I15" s="365">
        <v>0</v>
      </c>
      <c r="J15" s="365">
        <v>0</v>
      </c>
      <c r="K15" s="365">
        <v>0</v>
      </c>
      <c r="L15" s="365">
        <v>0</v>
      </c>
      <c r="M15" s="365">
        <v>0</v>
      </c>
      <c r="N15" s="365">
        <v>0</v>
      </c>
      <c r="O15" s="365">
        <v>0</v>
      </c>
      <c r="P15" s="365">
        <v>0</v>
      </c>
      <c r="Q15" s="365">
        <v>0</v>
      </c>
      <c r="R15" s="365">
        <v>0</v>
      </c>
      <c r="S15" s="365">
        <v>0</v>
      </c>
      <c r="T15" s="365">
        <v>0</v>
      </c>
      <c r="U15" s="366" t="e">
        <v>#DIV/0!</v>
      </c>
      <c r="V15" s="365">
        <v>0</v>
      </c>
      <c r="W15" s="365">
        <v>0</v>
      </c>
      <c r="X15" s="365">
        <v>0</v>
      </c>
      <c r="Y15" s="365">
        <v>0</v>
      </c>
      <c r="Z15" s="365">
        <v>0</v>
      </c>
      <c r="AA15" s="365">
        <v>0</v>
      </c>
    </row>
    <row r="16" spans="1:27" ht="12" customHeight="1" x14ac:dyDescent="0.25">
      <c r="A16" s="354" t="s">
        <v>1121</v>
      </c>
      <c r="B16" s="364" t="s">
        <v>407</v>
      </c>
      <c r="C16" s="365">
        <v>0</v>
      </c>
      <c r="D16" s="365">
        <v>0</v>
      </c>
      <c r="E16" s="365">
        <v>0</v>
      </c>
      <c r="F16" s="365">
        <v>0</v>
      </c>
      <c r="G16" s="365">
        <v>0</v>
      </c>
      <c r="H16" s="365">
        <v>0</v>
      </c>
      <c r="I16" s="365">
        <v>0</v>
      </c>
      <c r="J16" s="365">
        <v>0</v>
      </c>
      <c r="K16" s="365">
        <v>0</v>
      </c>
      <c r="L16" s="365">
        <v>0</v>
      </c>
      <c r="M16" s="365">
        <v>0</v>
      </c>
      <c r="N16" s="365">
        <v>0</v>
      </c>
      <c r="O16" s="365">
        <v>0</v>
      </c>
      <c r="P16" s="365">
        <v>0</v>
      </c>
      <c r="Q16" s="365">
        <v>0</v>
      </c>
      <c r="R16" s="365">
        <v>0</v>
      </c>
      <c r="S16" s="365">
        <v>0</v>
      </c>
      <c r="T16" s="365">
        <v>0</v>
      </c>
      <c r="U16" s="366" t="e">
        <v>#DIV/0!</v>
      </c>
      <c r="V16" s="365">
        <v>0</v>
      </c>
      <c r="W16" s="365">
        <v>0</v>
      </c>
      <c r="X16" s="365">
        <v>0</v>
      </c>
      <c r="Y16" s="365">
        <v>0</v>
      </c>
      <c r="Z16" s="365">
        <v>0</v>
      </c>
      <c r="AA16" s="365">
        <v>0</v>
      </c>
    </row>
    <row r="17" spans="1:27" ht="12" customHeight="1" x14ac:dyDescent="0.25">
      <c r="A17" s="354" t="s">
        <v>1122</v>
      </c>
      <c r="B17" s="364" t="s">
        <v>408</v>
      </c>
      <c r="C17" s="365">
        <v>0</v>
      </c>
      <c r="D17" s="365">
        <v>0</v>
      </c>
      <c r="E17" s="365">
        <v>0</v>
      </c>
      <c r="F17" s="365">
        <v>0</v>
      </c>
      <c r="G17" s="365">
        <v>0</v>
      </c>
      <c r="H17" s="365">
        <v>0</v>
      </c>
      <c r="I17" s="365">
        <v>0</v>
      </c>
      <c r="J17" s="365">
        <v>0</v>
      </c>
      <c r="K17" s="365">
        <v>0</v>
      </c>
      <c r="L17" s="365">
        <v>0</v>
      </c>
      <c r="M17" s="365">
        <v>0</v>
      </c>
      <c r="N17" s="365">
        <v>0</v>
      </c>
      <c r="O17" s="365">
        <v>0</v>
      </c>
      <c r="P17" s="365">
        <v>0</v>
      </c>
      <c r="Q17" s="365">
        <v>0</v>
      </c>
      <c r="R17" s="365">
        <v>0</v>
      </c>
      <c r="S17" s="365">
        <v>0</v>
      </c>
      <c r="T17" s="365">
        <v>0</v>
      </c>
      <c r="U17" s="366" t="e">
        <v>#DIV/0!</v>
      </c>
      <c r="V17" s="365">
        <v>0</v>
      </c>
      <c r="W17" s="365">
        <v>0</v>
      </c>
      <c r="X17" s="365">
        <v>0</v>
      </c>
      <c r="Y17" s="365">
        <v>0</v>
      </c>
      <c r="Z17" s="365">
        <v>0</v>
      </c>
      <c r="AA17" s="365">
        <v>0</v>
      </c>
    </row>
    <row r="18" spans="1:27" ht="12" customHeight="1" x14ac:dyDescent="0.25">
      <c r="A18" s="354" t="s">
        <v>1123</v>
      </c>
      <c r="B18" s="364" t="s">
        <v>409</v>
      </c>
      <c r="C18" s="365">
        <v>0</v>
      </c>
      <c r="D18" s="365">
        <v>0</v>
      </c>
      <c r="E18" s="365">
        <v>0</v>
      </c>
      <c r="F18" s="365">
        <v>0</v>
      </c>
      <c r="G18" s="365">
        <v>0</v>
      </c>
      <c r="H18" s="365">
        <v>0</v>
      </c>
      <c r="I18" s="365">
        <v>0</v>
      </c>
      <c r="J18" s="365">
        <v>0</v>
      </c>
      <c r="K18" s="365">
        <v>0</v>
      </c>
      <c r="L18" s="365">
        <v>0</v>
      </c>
      <c r="M18" s="365">
        <v>0</v>
      </c>
      <c r="N18" s="365">
        <v>0</v>
      </c>
      <c r="O18" s="365">
        <v>0</v>
      </c>
      <c r="P18" s="365">
        <v>0</v>
      </c>
      <c r="Q18" s="365">
        <v>0</v>
      </c>
      <c r="R18" s="365">
        <v>0</v>
      </c>
      <c r="S18" s="365">
        <v>0</v>
      </c>
      <c r="T18" s="365">
        <v>0</v>
      </c>
      <c r="U18" s="366" t="e">
        <v>#DIV/0!</v>
      </c>
      <c r="V18" s="365">
        <v>0</v>
      </c>
      <c r="W18" s="365">
        <v>0</v>
      </c>
      <c r="X18" s="365">
        <v>0</v>
      </c>
      <c r="Y18" s="365">
        <v>0</v>
      </c>
      <c r="Z18" s="365">
        <v>0</v>
      </c>
      <c r="AA18" s="365">
        <v>0</v>
      </c>
    </row>
    <row r="19" spans="1:27" ht="12" customHeight="1" x14ac:dyDescent="0.25">
      <c r="A19" s="354" t="s">
        <v>1124</v>
      </c>
      <c r="B19" s="364" t="s">
        <v>410</v>
      </c>
      <c r="C19" s="365">
        <v>0</v>
      </c>
      <c r="D19" s="365">
        <v>0</v>
      </c>
      <c r="E19" s="365">
        <v>0</v>
      </c>
      <c r="F19" s="365">
        <v>0</v>
      </c>
      <c r="G19" s="365">
        <v>0</v>
      </c>
      <c r="H19" s="365">
        <v>0</v>
      </c>
      <c r="I19" s="365">
        <v>0</v>
      </c>
      <c r="J19" s="365">
        <v>0</v>
      </c>
      <c r="K19" s="365">
        <v>0</v>
      </c>
      <c r="L19" s="365">
        <v>0</v>
      </c>
      <c r="M19" s="365">
        <v>0</v>
      </c>
      <c r="N19" s="365">
        <v>0</v>
      </c>
      <c r="O19" s="365">
        <v>0</v>
      </c>
      <c r="P19" s="365">
        <v>0</v>
      </c>
      <c r="Q19" s="365">
        <v>0</v>
      </c>
      <c r="R19" s="365">
        <v>0</v>
      </c>
      <c r="S19" s="365">
        <v>0</v>
      </c>
      <c r="T19" s="365">
        <v>0</v>
      </c>
      <c r="U19" s="366" t="e">
        <v>#DIV/0!</v>
      </c>
      <c r="V19" s="365">
        <v>0</v>
      </c>
      <c r="W19" s="365">
        <v>0</v>
      </c>
      <c r="X19" s="365">
        <v>0</v>
      </c>
      <c r="Y19" s="365">
        <v>0</v>
      </c>
      <c r="Z19" s="365">
        <v>0</v>
      </c>
      <c r="AA19" s="365">
        <v>0</v>
      </c>
    </row>
    <row r="20" spans="1:27" ht="12" customHeight="1" x14ac:dyDescent="0.25">
      <c r="A20" s="354" t="s">
        <v>1125</v>
      </c>
      <c r="B20" s="364" t="s">
        <v>411</v>
      </c>
      <c r="C20" s="365">
        <v>0</v>
      </c>
      <c r="D20" s="365">
        <v>0</v>
      </c>
      <c r="E20" s="365">
        <v>0</v>
      </c>
      <c r="F20" s="365">
        <v>0</v>
      </c>
      <c r="G20" s="365">
        <v>0</v>
      </c>
      <c r="H20" s="365">
        <v>0</v>
      </c>
      <c r="I20" s="365">
        <v>0</v>
      </c>
      <c r="J20" s="365">
        <v>0</v>
      </c>
      <c r="K20" s="365">
        <v>0</v>
      </c>
      <c r="L20" s="365">
        <v>0</v>
      </c>
      <c r="M20" s="365">
        <v>0</v>
      </c>
      <c r="N20" s="365">
        <v>0</v>
      </c>
      <c r="O20" s="365">
        <v>0</v>
      </c>
      <c r="P20" s="365">
        <v>0</v>
      </c>
      <c r="Q20" s="365">
        <v>0</v>
      </c>
      <c r="R20" s="365">
        <v>0</v>
      </c>
      <c r="S20" s="365">
        <v>0</v>
      </c>
      <c r="T20" s="365">
        <v>0</v>
      </c>
      <c r="U20" s="366" t="e">
        <v>#DIV/0!</v>
      </c>
      <c r="V20" s="365">
        <v>0</v>
      </c>
      <c r="W20" s="365">
        <v>0</v>
      </c>
      <c r="X20" s="365">
        <v>0</v>
      </c>
      <c r="Y20" s="365">
        <v>0</v>
      </c>
      <c r="Z20" s="365">
        <v>0</v>
      </c>
      <c r="AA20" s="365">
        <v>0</v>
      </c>
    </row>
    <row r="21" spans="1:27" ht="12" customHeight="1" x14ac:dyDescent="0.25">
      <c r="A21" s="354" t="s">
        <v>1126</v>
      </c>
      <c r="B21" s="364" t="s">
        <v>412</v>
      </c>
      <c r="C21" s="365">
        <v>0</v>
      </c>
      <c r="D21" s="365">
        <v>0</v>
      </c>
      <c r="E21" s="365">
        <v>0</v>
      </c>
      <c r="F21" s="365">
        <v>0</v>
      </c>
      <c r="G21" s="365">
        <v>0</v>
      </c>
      <c r="H21" s="365">
        <v>0</v>
      </c>
      <c r="I21" s="365">
        <v>0</v>
      </c>
      <c r="J21" s="365">
        <v>0</v>
      </c>
      <c r="K21" s="365">
        <v>0</v>
      </c>
      <c r="L21" s="365">
        <v>0</v>
      </c>
      <c r="M21" s="365">
        <v>0</v>
      </c>
      <c r="N21" s="365">
        <v>0</v>
      </c>
      <c r="O21" s="365">
        <v>0</v>
      </c>
      <c r="P21" s="365">
        <v>0</v>
      </c>
      <c r="Q21" s="365">
        <v>0</v>
      </c>
      <c r="R21" s="365">
        <v>0</v>
      </c>
      <c r="S21" s="365">
        <v>0</v>
      </c>
      <c r="T21" s="365">
        <v>0</v>
      </c>
      <c r="U21" s="366" t="e">
        <v>#DIV/0!</v>
      </c>
      <c r="V21" s="365">
        <v>0</v>
      </c>
      <c r="W21" s="365">
        <v>0</v>
      </c>
      <c r="X21" s="365">
        <v>0</v>
      </c>
      <c r="Y21" s="365">
        <v>0</v>
      </c>
      <c r="Z21" s="365">
        <v>0</v>
      </c>
      <c r="AA21" s="365">
        <v>0</v>
      </c>
    </row>
    <row r="22" spans="1:27" ht="12" customHeight="1" x14ac:dyDescent="0.25">
      <c r="A22" s="354" t="s">
        <v>1127</v>
      </c>
      <c r="B22" s="364" t="s">
        <v>413</v>
      </c>
      <c r="C22" s="365">
        <v>0</v>
      </c>
      <c r="D22" s="365">
        <v>0</v>
      </c>
      <c r="E22" s="365">
        <v>0</v>
      </c>
      <c r="F22" s="365">
        <v>0</v>
      </c>
      <c r="G22" s="365">
        <v>0</v>
      </c>
      <c r="H22" s="365">
        <v>0</v>
      </c>
      <c r="I22" s="365">
        <v>0</v>
      </c>
      <c r="J22" s="365">
        <v>0</v>
      </c>
      <c r="K22" s="365">
        <v>0</v>
      </c>
      <c r="L22" s="365">
        <v>0</v>
      </c>
      <c r="M22" s="365">
        <v>0</v>
      </c>
      <c r="N22" s="365">
        <v>0</v>
      </c>
      <c r="O22" s="365">
        <v>0</v>
      </c>
      <c r="P22" s="365">
        <v>0</v>
      </c>
      <c r="Q22" s="365">
        <v>0</v>
      </c>
      <c r="R22" s="365">
        <v>0</v>
      </c>
      <c r="S22" s="365">
        <v>0</v>
      </c>
      <c r="T22" s="365">
        <v>0</v>
      </c>
      <c r="U22" s="366" t="e">
        <v>#DIV/0!</v>
      </c>
      <c r="V22" s="365">
        <v>0</v>
      </c>
      <c r="W22" s="365">
        <v>0</v>
      </c>
      <c r="X22" s="365">
        <v>0</v>
      </c>
      <c r="Y22" s="365">
        <v>0</v>
      </c>
      <c r="Z22" s="365">
        <v>0</v>
      </c>
      <c r="AA22" s="365">
        <v>0</v>
      </c>
    </row>
    <row r="23" spans="1:27" ht="12" customHeight="1" x14ac:dyDescent="0.25">
      <c r="A23" s="354" t="s">
        <v>1128</v>
      </c>
      <c r="B23" s="364" t="s">
        <v>414</v>
      </c>
      <c r="C23" s="365">
        <v>0</v>
      </c>
      <c r="D23" s="365">
        <v>0</v>
      </c>
      <c r="E23" s="365">
        <v>0</v>
      </c>
      <c r="F23" s="365">
        <v>0</v>
      </c>
      <c r="G23" s="365">
        <v>0</v>
      </c>
      <c r="H23" s="365">
        <v>0</v>
      </c>
      <c r="I23" s="365">
        <v>0</v>
      </c>
      <c r="J23" s="365">
        <v>0</v>
      </c>
      <c r="K23" s="365">
        <v>0</v>
      </c>
      <c r="L23" s="365">
        <v>0</v>
      </c>
      <c r="M23" s="365">
        <v>0</v>
      </c>
      <c r="N23" s="365">
        <v>0</v>
      </c>
      <c r="O23" s="365">
        <v>0</v>
      </c>
      <c r="P23" s="365">
        <v>0</v>
      </c>
      <c r="Q23" s="365">
        <v>0</v>
      </c>
      <c r="R23" s="365">
        <v>0</v>
      </c>
      <c r="S23" s="365">
        <v>0</v>
      </c>
      <c r="T23" s="365">
        <v>0</v>
      </c>
      <c r="U23" s="366" t="e">
        <v>#DIV/0!</v>
      </c>
      <c r="V23" s="365">
        <v>0</v>
      </c>
      <c r="W23" s="365">
        <v>0</v>
      </c>
      <c r="X23" s="365">
        <v>0</v>
      </c>
      <c r="Y23" s="365">
        <v>0</v>
      </c>
      <c r="Z23" s="365">
        <v>0</v>
      </c>
      <c r="AA23" s="365">
        <v>0</v>
      </c>
    </row>
    <row r="24" spans="1:27" ht="12" customHeight="1" x14ac:dyDescent="0.25">
      <c r="A24" s="354" t="s">
        <v>1129</v>
      </c>
      <c r="B24" s="364" t="s">
        <v>415</v>
      </c>
      <c r="C24" s="365">
        <v>0</v>
      </c>
      <c r="D24" s="365">
        <v>0</v>
      </c>
      <c r="E24" s="365">
        <v>0</v>
      </c>
      <c r="F24" s="365">
        <v>0</v>
      </c>
      <c r="G24" s="365">
        <v>0</v>
      </c>
      <c r="H24" s="365">
        <v>0</v>
      </c>
      <c r="I24" s="365">
        <v>0</v>
      </c>
      <c r="J24" s="365">
        <v>0</v>
      </c>
      <c r="K24" s="365">
        <v>0</v>
      </c>
      <c r="L24" s="365">
        <v>0</v>
      </c>
      <c r="M24" s="365">
        <v>0</v>
      </c>
      <c r="N24" s="365">
        <v>0</v>
      </c>
      <c r="O24" s="365">
        <v>0</v>
      </c>
      <c r="P24" s="365">
        <v>0</v>
      </c>
      <c r="Q24" s="365">
        <v>0</v>
      </c>
      <c r="R24" s="365">
        <v>0</v>
      </c>
      <c r="S24" s="365">
        <v>0</v>
      </c>
      <c r="T24" s="365">
        <v>0</v>
      </c>
      <c r="U24" s="366" t="e">
        <v>#DIV/0!</v>
      </c>
      <c r="V24" s="365">
        <v>0</v>
      </c>
      <c r="W24" s="365">
        <v>0</v>
      </c>
      <c r="X24" s="365">
        <v>0</v>
      </c>
      <c r="Y24" s="365">
        <v>0</v>
      </c>
      <c r="Z24" s="365">
        <v>0</v>
      </c>
      <c r="AA24" s="365">
        <v>0</v>
      </c>
    </row>
    <row r="25" spans="1:27" ht="12" customHeight="1" x14ac:dyDescent="0.25">
      <c r="A25" s="354" t="s">
        <v>1130</v>
      </c>
      <c r="B25" s="364" t="s">
        <v>416</v>
      </c>
      <c r="C25" s="365">
        <v>0</v>
      </c>
      <c r="D25" s="365">
        <v>0</v>
      </c>
      <c r="E25" s="365">
        <v>0</v>
      </c>
      <c r="F25" s="365">
        <v>0</v>
      </c>
      <c r="G25" s="365">
        <v>0</v>
      </c>
      <c r="H25" s="365">
        <v>0</v>
      </c>
      <c r="I25" s="365">
        <v>0</v>
      </c>
      <c r="J25" s="365">
        <v>0</v>
      </c>
      <c r="K25" s="365">
        <v>0</v>
      </c>
      <c r="L25" s="365">
        <v>0</v>
      </c>
      <c r="M25" s="365">
        <v>0</v>
      </c>
      <c r="N25" s="365">
        <v>0</v>
      </c>
      <c r="O25" s="365">
        <v>0</v>
      </c>
      <c r="P25" s="365">
        <v>0</v>
      </c>
      <c r="Q25" s="365">
        <v>0</v>
      </c>
      <c r="R25" s="365">
        <v>0</v>
      </c>
      <c r="S25" s="365">
        <v>0</v>
      </c>
      <c r="T25" s="365">
        <v>0</v>
      </c>
      <c r="U25" s="366" t="e">
        <v>#DIV/0!</v>
      </c>
      <c r="V25" s="365">
        <v>0</v>
      </c>
      <c r="W25" s="365">
        <v>0</v>
      </c>
      <c r="X25" s="365">
        <v>0</v>
      </c>
      <c r="Y25" s="365">
        <v>0</v>
      </c>
      <c r="Z25" s="365">
        <v>0</v>
      </c>
      <c r="AA25" s="365">
        <v>0</v>
      </c>
    </row>
    <row r="26" spans="1:27" ht="12" customHeight="1" x14ac:dyDescent="0.25">
      <c r="A26" s="354" t="s">
        <v>1131</v>
      </c>
      <c r="B26" s="364" t="s">
        <v>417</v>
      </c>
      <c r="C26" s="365">
        <v>0</v>
      </c>
      <c r="D26" s="365">
        <v>0</v>
      </c>
      <c r="E26" s="365">
        <v>0</v>
      </c>
      <c r="F26" s="365">
        <v>0</v>
      </c>
      <c r="G26" s="365">
        <v>0</v>
      </c>
      <c r="H26" s="365">
        <v>0</v>
      </c>
      <c r="I26" s="365">
        <v>0</v>
      </c>
      <c r="J26" s="365">
        <v>0</v>
      </c>
      <c r="K26" s="365">
        <v>0</v>
      </c>
      <c r="L26" s="365">
        <v>0</v>
      </c>
      <c r="M26" s="365">
        <v>0</v>
      </c>
      <c r="N26" s="365">
        <v>0</v>
      </c>
      <c r="O26" s="365">
        <v>0</v>
      </c>
      <c r="P26" s="365">
        <v>0</v>
      </c>
      <c r="Q26" s="365">
        <v>0</v>
      </c>
      <c r="R26" s="365">
        <v>0</v>
      </c>
      <c r="S26" s="365">
        <v>0</v>
      </c>
      <c r="T26" s="365">
        <v>0</v>
      </c>
      <c r="U26" s="366" t="e">
        <v>#DIV/0!</v>
      </c>
      <c r="V26" s="365">
        <v>0</v>
      </c>
      <c r="W26" s="365">
        <v>0</v>
      </c>
      <c r="X26" s="365">
        <v>0</v>
      </c>
      <c r="Y26" s="365">
        <v>0</v>
      </c>
      <c r="Z26" s="365">
        <v>0</v>
      </c>
      <c r="AA26" s="365">
        <v>0</v>
      </c>
    </row>
    <row r="27" spans="1:27" ht="12" customHeight="1" x14ac:dyDescent="0.25">
      <c r="A27" s="354"/>
      <c r="B27" s="360" t="s">
        <v>418</v>
      </c>
      <c r="C27" s="361">
        <v>0</v>
      </c>
      <c r="D27" s="361">
        <v>0</v>
      </c>
      <c r="E27" s="361">
        <v>0</v>
      </c>
      <c r="F27" s="361">
        <v>0</v>
      </c>
      <c r="G27" s="361">
        <v>0</v>
      </c>
      <c r="H27" s="361">
        <v>0</v>
      </c>
      <c r="I27" s="361">
        <v>0</v>
      </c>
      <c r="J27" s="361">
        <v>0</v>
      </c>
      <c r="K27" s="361">
        <v>0</v>
      </c>
      <c r="L27" s="361">
        <v>0</v>
      </c>
      <c r="M27" s="361">
        <v>0</v>
      </c>
      <c r="N27" s="361">
        <v>0</v>
      </c>
      <c r="O27" s="361">
        <v>0</v>
      </c>
      <c r="P27" s="361">
        <v>0</v>
      </c>
      <c r="Q27" s="361">
        <v>0</v>
      </c>
      <c r="R27" s="361">
        <v>0</v>
      </c>
      <c r="S27" s="361">
        <v>0</v>
      </c>
      <c r="T27" s="362">
        <v>0</v>
      </c>
      <c r="U27" s="363" t="e">
        <v>#DIV/0!</v>
      </c>
      <c r="V27" s="362">
        <v>0</v>
      </c>
      <c r="W27" s="362">
        <v>0</v>
      </c>
      <c r="X27" s="362">
        <v>0</v>
      </c>
      <c r="Y27" s="362">
        <v>0</v>
      </c>
      <c r="Z27" s="362">
        <v>0</v>
      </c>
      <c r="AA27" s="362">
        <v>0</v>
      </c>
    </row>
    <row r="28" spans="1:27" ht="12" customHeight="1" x14ac:dyDescent="0.25">
      <c r="A28" s="354" t="s">
        <v>1132</v>
      </c>
      <c r="B28" s="364" t="s">
        <v>419</v>
      </c>
      <c r="C28" s="365">
        <v>0</v>
      </c>
      <c r="D28" s="365">
        <v>0</v>
      </c>
      <c r="E28" s="365">
        <v>0</v>
      </c>
      <c r="F28" s="365">
        <v>0</v>
      </c>
      <c r="G28" s="365">
        <v>0</v>
      </c>
      <c r="H28" s="365">
        <v>0</v>
      </c>
      <c r="I28" s="365">
        <v>0</v>
      </c>
      <c r="J28" s="365">
        <v>0</v>
      </c>
      <c r="K28" s="365">
        <v>0</v>
      </c>
      <c r="L28" s="365">
        <v>0</v>
      </c>
      <c r="M28" s="365">
        <v>0</v>
      </c>
      <c r="N28" s="365">
        <v>0</v>
      </c>
      <c r="O28" s="365">
        <v>0</v>
      </c>
      <c r="P28" s="365">
        <v>0</v>
      </c>
      <c r="Q28" s="365">
        <v>0</v>
      </c>
      <c r="R28" s="365">
        <v>0</v>
      </c>
      <c r="S28" s="365">
        <v>0</v>
      </c>
      <c r="T28" s="365">
        <v>0</v>
      </c>
      <c r="U28" s="366" t="e">
        <v>#DIV/0!</v>
      </c>
      <c r="V28" s="365">
        <v>0</v>
      </c>
      <c r="W28" s="365">
        <v>0</v>
      </c>
      <c r="X28" s="365">
        <v>0</v>
      </c>
      <c r="Y28" s="365">
        <v>0</v>
      </c>
      <c r="Z28" s="365">
        <v>0</v>
      </c>
      <c r="AA28" s="365">
        <v>0</v>
      </c>
    </row>
    <row r="29" spans="1:27" ht="12" customHeight="1" x14ac:dyDescent="0.25">
      <c r="A29" s="354" t="s">
        <v>1133</v>
      </c>
      <c r="B29" s="364" t="s">
        <v>420</v>
      </c>
      <c r="C29" s="365">
        <v>0</v>
      </c>
      <c r="D29" s="365">
        <v>0</v>
      </c>
      <c r="E29" s="365">
        <v>0</v>
      </c>
      <c r="F29" s="365">
        <v>0</v>
      </c>
      <c r="G29" s="365">
        <v>0</v>
      </c>
      <c r="H29" s="365">
        <v>0</v>
      </c>
      <c r="I29" s="365">
        <v>0</v>
      </c>
      <c r="J29" s="365">
        <v>0</v>
      </c>
      <c r="K29" s="365">
        <v>0</v>
      </c>
      <c r="L29" s="365">
        <v>0</v>
      </c>
      <c r="M29" s="365">
        <v>0</v>
      </c>
      <c r="N29" s="365">
        <v>0</v>
      </c>
      <c r="O29" s="365">
        <v>0</v>
      </c>
      <c r="P29" s="365">
        <v>0</v>
      </c>
      <c r="Q29" s="365">
        <v>0</v>
      </c>
      <c r="R29" s="365">
        <v>0</v>
      </c>
      <c r="S29" s="365">
        <v>0</v>
      </c>
      <c r="T29" s="365">
        <v>0</v>
      </c>
      <c r="U29" s="366" t="e">
        <v>#DIV/0!</v>
      </c>
      <c r="V29" s="365">
        <v>0</v>
      </c>
      <c r="W29" s="365">
        <v>0</v>
      </c>
      <c r="X29" s="365">
        <v>0</v>
      </c>
      <c r="Y29" s="365">
        <v>0</v>
      </c>
      <c r="Z29" s="365">
        <v>0</v>
      </c>
      <c r="AA29" s="365">
        <v>0</v>
      </c>
    </row>
    <row r="30" spans="1:27" ht="12" customHeight="1" x14ac:dyDescent="0.25">
      <c r="A30" s="354" t="s">
        <v>1134</v>
      </c>
      <c r="B30" s="364" t="s">
        <v>421</v>
      </c>
      <c r="C30" s="365">
        <v>0</v>
      </c>
      <c r="D30" s="365">
        <v>0</v>
      </c>
      <c r="E30" s="365">
        <v>0</v>
      </c>
      <c r="F30" s="365">
        <v>0</v>
      </c>
      <c r="G30" s="365">
        <v>0</v>
      </c>
      <c r="H30" s="365">
        <v>0</v>
      </c>
      <c r="I30" s="365">
        <v>0</v>
      </c>
      <c r="J30" s="365">
        <v>0</v>
      </c>
      <c r="K30" s="365">
        <v>0</v>
      </c>
      <c r="L30" s="365">
        <v>0</v>
      </c>
      <c r="M30" s="365">
        <v>0</v>
      </c>
      <c r="N30" s="365">
        <v>0</v>
      </c>
      <c r="O30" s="365">
        <v>0</v>
      </c>
      <c r="P30" s="365">
        <v>0</v>
      </c>
      <c r="Q30" s="365">
        <v>0</v>
      </c>
      <c r="R30" s="365">
        <v>0</v>
      </c>
      <c r="S30" s="365">
        <v>0</v>
      </c>
      <c r="T30" s="365">
        <v>0</v>
      </c>
      <c r="U30" s="366" t="e">
        <v>#DIV/0!</v>
      </c>
      <c r="V30" s="365">
        <v>0</v>
      </c>
      <c r="W30" s="365">
        <v>0</v>
      </c>
      <c r="X30" s="365">
        <v>0</v>
      </c>
      <c r="Y30" s="365">
        <v>0</v>
      </c>
      <c r="Z30" s="365">
        <v>0</v>
      </c>
      <c r="AA30" s="365">
        <v>0</v>
      </c>
    </row>
    <row r="31" spans="1:27" ht="12" customHeight="1" x14ac:dyDescent="0.25">
      <c r="A31" s="354" t="s">
        <v>1135</v>
      </c>
      <c r="B31" s="364" t="s">
        <v>422</v>
      </c>
      <c r="C31" s="365">
        <v>0</v>
      </c>
      <c r="D31" s="365">
        <v>0</v>
      </c>
      <c r="E31" s="365">
        <v>0</v>
      </c>
      <c r="F31" s="365">
        <v>0</v>
      </c>
      <c r="G31" s="365">
        <v>0</v>
      </c>
      <c r="H31" s="365">
        <v>0</v>
      </c>
      <c r="I31" s="365">
        <v>0</v>
      </c>
      <c r="J31" s="365">
        <v>0</v>
      </c>
      <c r="K31" s="365">
        <v>0</v>
      </c>
      <c r="L31" s="365">
        <v>0</v>
      </c>
      <c r="M31" s="365">
        <v>0</v>
      </c>
      <c r="N31" s="365">
        <v>0</v>
      </c>
      <c r="O31" s="365">
        <v>0</v>
      </c>
      <c r="P31" s="365">
        <v>0</v>
      </c>
      <c r="Q31" s="365">
        <v>0</v>
      </c>
      <c r="R31" s="365">
        <v>0</v>
      </c>
      <c r="S31" s="365">
        <v>0</v>
      </c>
      <c r="T31" s="365">
        <v>0</v>
      </c>
      <c r="U31" s="366" t="e">
        <v>#DIV/0!</v>
      </c>
      <c r="V31" s="365">
        <v>0</v>
      </c>
      <c r="W31" s="365">
        <v>0</v>
      </c>
      <c r="X31" s="365">
        <v>0</v>
      </c>
      <c r="Y31" s="365">
        <v>0</v>
      </c>
      <c r="Z31" s="365">
        <v>0</v>
      </c>
      <c r="AA31" s="365">
        <v>0</v>
      </c>
    </row>
    <row r="32" spans="1:27" ht="12" customHeight="1" x14ac:dyDescent="0.25">
      <c r="A32" s="354" t="s">
        <v>1136</v>
      </c>
      <c r="B32" s="364" t="s">
        <v>423</v>
      </c>
      <c r="C32" s="365">
        <v>0</v>
      </c>
      <c r="D32" s="365">
        <v>0</v>
      </c>
      <c r="E32" s="365">
        <v>0</v>
      </c>
      <c r="F32" s="365">
        <v>0</v>
      </c>
      <c r="G32" s="365">
        <v>0</v>
      </c>
      <c r="H32" s="365">
        <v>0</v>
      </c>
      <c r="I32" s="365">
        <v>0</v>
      </c>
      <c r="J32" s="365">
        <v>0</v>
      </c>
      <c r="K32" s="365">
        <v>0</v>
      </c>
      <c r="L32" s="365">
        <v>0</v>
      </c>
      <c r="M32" s="365">
        <v>0</v>
      </c>
      <c r="N32" s="365">
        <v>0</v>
      </c>
      <c r="O32" s="365">
        <v>0</v>
      </c>
      <c r="P32" s="365">
        <v>0</v>
      </c>
      <c r="Q32" s="365">
        <v>0</v>
      </c>
      <c r="R32" s="365">
        <v>0</v>
      </c>
      <c r="S32" s="365">
        <v>0</v>
      </c>
      <c r="T32" s="365">
        <v>0</v>
      </c>
      <c r="U32" s="366" t="e">
        <v>#DIV/0!</v>
      </c>
      <c r="V32" s="365">
        <v>0</v>
      </c>
      <c r="W32" s="365">
        <v>0</v>
      </c>
      <c r="X32" s="365">
        <v>0</v>
      </c>
      <c r="Y32" s="365">
        <v>0</v>
      </c>
      <c r="Z32" s="365">
        <v>0</v>
      </c>
      <c r="AA32" s="365">
        <v>0</v>
      </c>
    </row>
    <row r="33" spans="1:27" ht="12" customHeight="1" x14ac:dyDescent="0.25">
      <c r="A33" s="354" t="s">
        <v>1137</v>
      </c>
      <c r="B33" s="364" t="s">
        <v>424</v>
      </c>
      <c r="C33" s="365">
        <v>0</v>
      </c>
      <c r="D33" s="365">
        <v>0</v>
      </c>
      <c r="E33" s="365">
        <v>0</v>
      </c>
      <c r="F33" s="365">
        <v>0</v>
      </c>
      <c r="G33" s="365">
        <v>0</v>
      </c>
      <c r="H33" s="365">
        <v>0</v>
      </c>
      <c r="I33" s="365">
        <v>0</v>
      </c>
      <c r="J33" s="365">
        <v>0</v>
      </c>
      <c r="K33" s="365">
        <v>0</v>
      </c>
      <c r="L33" s="365">
        <v>0</v>
      </c>
      <c r="M33" s="365">
        <v>0</v>
      </c>
      <c r="N33" s="365">
        <v>0</v>
      </c>
      <c r="O33" s="365">
        <v>0</v>
      </c>
      <c r="P33" s="365">
        <v>0</v>
      </c>
      <c r="Q33" s="365">
        <v>0</v>
      </c>
      <c r="R33" s="365">
        <v>0</v>
      </c>
      <c r="S33" s="365">
        <v>0</v>
      </c>
      <c r="T33" s="365">
        <v>0</v>
      </c>
      <c r="U33" s="366" t="e">
        <v>#DIV/0!</v>
      </c>
      <c r="V33" s="365">
        <v>0</v>
      </c>
      <c r="W33" s="365">
        <v>0</v>
      </c>
      <c r="X33" s="365">
        <v>0</v>
      </c>
      <c r="Y33" s="365">
        <v>0</v>
      </c>
      <c r="Z33" s="365">
        <v>0</v>
      </c>
      <c r="AA33" s="365">
        <v>0</v>
      </c>
    </row>
    <row r="34" spans="1:27" ht="12" customHeight="1" x14ac:dyDescent="0.25">
      <c r="A34" s="354" t="s">
        <v>1138</v>
      </c>
      <c r="B34" s="364" t="s">
        <v>425</v>
      </c>
      <c r="C34" s="365">
        <v>0</v>
      </c>
      <c r="D34" s="365">
        <v>0</v>
      </c>
      <c r="E34" s="365">
        <v>0</v>
      </c>
      <c r="F34" s="365">
        <v>0</v>
      </c>
      <c r="G34" s="365">
        <v>0</v>
      </c>
      <c r="H34" s="365">
        <v>0</v>
      </c>
      <c r="I34" s="365">
        <v>0</v>
      </c>
      <c r="J34" s="365">
        <v>0</v>
      </c>
      <c r="K34" s="365">
        <v>0</v>
      </c>
      <c r="L34" s="365">
        <v>0</v>
      </c>
      <c r="M34" s="365">
        <v>0</v>
      </c>
      <c r="N34" s="365">
        <v>0</v>
      </c>
      <c r="O34" s="365">
        <v>0</v>
      </c>
      <c r="P34" s="365">
        <v>0</v>
      </c>
      <c r="Q34" s="365">
        <v>0</v>
      </c>
      <c r="R34" s="365">
        <v>0</v>
      </c>
      <c r="S34" s="365">
        <v>0</v>
      </c>
      <c r="T34" s="365">
        <v>0</v>
      </c>
      <c r="U34" s="366" t="e">
        <v>#DIV/0!</v>
      </c>
      <c r="V34" s="365">
        <v>0</v>
      </c>
      <c r="W34" s="365">
        <v>0</v>
      </c>
      <c r="X34" s="365">
        <v>0</v>
      </c>
      <c r="Y34" s="365">
        <v>0</v>
      </c>
      <c r="Z34" s="365">
        <v>0</v>
      </c>
      <c r="AA34" s="365">
        <v>0</v>
      </c>
    </row>
    <row r="35" spans="1:27" ht="12" customHeight="1" x14ac:dyDescent="0.25">
      <c r="A35" s="354" t="s">
        <v>1139</v>
      </c>
      <c r="B35" s="364" t="s">
        <v>426</v>
      </c>
      <c r="C35" s="365">
        <v>0</v>
      </c>
      <c r="D35" s="365">
        <v>0</v>
      </c>
      <c r="E35" s="365">
        <v>0</v>
      </c>
      <c r="F35" s="365">
        <v>0</v>
      </c>
      <c r="G35" s="365">
        <v>0</v>
      </c>
      <c r="H35" s="365">
        <v>0</v>
      </c>
      <c r="I35" s="365">
        <v>0</v>
      </c>
      <c r="J35" s="365">
        <v>0</v>
      </c>
      <c r="K35" s="365">
        <v>0</v>
      </c>
      <c r="L35" s="365">
        <v>0</v>
      </c>
      <c r="M35" s="365">
        <v>0</v>
      </c>
      <c r="N35" s="365">
        <v>0</v>
      </c>
      <c r="O35" s="365">
        <v>0</v>
      </c>
      <c r="P35" s="365">
        <v>0</v>
      </c>
      <c r="Q35" s="365">
        <v>0</v>
      </c>
      <c r="R35" s="365">
        <v>0</v>
      </c>
      <c r="S35" s="365">
        <v>0</v>
      </c>
      <c r="T35" s="365">
        <v>0</v>
      </c>
      <c r="U35" s="366" t="e">
        <v>#DIV/0!</v>
      </c>
      <c r="V35" s="365">
        <v>0</v>
      </c>
      <c r="W35" s="365">
        <v>0</v>
      </c>
      <c r="X35" s="365">
        <v>0</v>
      </c>
      <c r="Y35" s="365">
        <v>0</v>
      </c>
      <c r="Z35" s="365">
        <v>0</v>
      </c>
      <c r="AA35" s="365">
        <v>0</v>
      </c>
    </row>
    <row r="36" spans="1:27" ht="12" customHeight="1" x14ac:dyDescent="0.25">
      <c r="A36" s="354" t="s">
        <v>1140</v>
      </c>
      <c r="B36" s="364" t="s">
        <v>427</v>
      </c>
      <c r="C36" s="365">
        <v>0</v>
      </c>
      <c r="D36" s="365">
        <v>0</v>
      </c>
      <c r="E36" s="365">
        <v>0</v>
      </c>
      <c r="F36" s="365">
        <v>0</v>
      </c>
      <c r="G36" s="365">
        <v>0</v>
      </c>
      <c r="H36" s="365">
        <v>0</v>
      </c>
      <c r="I36" s="365">
        <v>0</v>
      </c>
      <c r="J36" s="365">
        <v>0</v>
      </c>
      <c r="K36" s="365">
        <v>0</v>
      </c>
      <c r="L36" s="365">
        <v>0</v>
      </c>
      <c r="M36" s="365">
        <v>0</v>
      </c>
      <c r="N36" s="365">
        <v>0</v>
      </c>
      <c r="O36" s="365">
        <v>0</v>
      </c>
      <c r="P36" s="365">
        <v>0</v>
      </c>
      <c r="Q36" s="365">
        <v>0</v>
      </c>
      <c r="R36" s="365">
        <v>0</v>
      </c>
      <c r="S36" s="365">
        <v>0</v>
      </c>
      <c r="T36" s="365">
        <v>0</v>
      </c>
      <c r="U36" s="366" t="e">
        <v>#DIV/0!</v>
      </c>
      <c r="V36" s="365">
        <v>0</v>
      </c>
      <c r="W36" s="365">
        <v>0</v>
      </c>
      <c r="X36" s="365">
        <v>0</v>
      </c>
      <c r="Y36" s="365">
        <v>0</v>
      </c>
      <c r="Z36" s="365">
        <v>0</v>
      </c>
      <c r="AA36" s="365">
        <v>0</v>
      </c>
    </row>
    <row r="37" spans="1:27" ht="12" customHeight="1" x14ac:dyDescent="0.25">
      <c r="A37" s="354" t="s">
        <v>1141</v>
      </c>
      <c r="B37" s="360" t="s">
        <v>428</v>
      </c>
      <c r="C37" s="362">
        <v>0</v>
      </c>
      <c r="D37" s="362">
        <v>0</v>
      </c>
      <c r="E37" s="362">
        <v>0</v>
      </c>
      <c r="F37" s="362">
        <v>0</v>
      </c>
      <c r="G37" s="362">
        <v>0</v>
      </c>
      <c r="H37" s="362">
        <v>0</v>
      </c>
      <c r="I37" s="362">
        <v>0</v>
      </c>
      <c r="J37" s="362">
        <v>0</v>
      </c>
      <c r="K37" s="362">
        <v>0</v>
      </c>
      <c r="L37" s="362">
        <v>0</v>
      </c>
      <c r="M37" s="362">
        <v>0</v>
      </c>
      <c r="N37" s="362">
        <v>0</v>
      </c>
      <c r="O37" s="362">
        <v>0</v>
      </c>
      <c r="P37" s="362">
        <v>0</v>
      </c>
      <c r="Q37" s="362">
        <v>0</v>
      </c>
      <c r="R37" s="362">
        <v>0</v>
      </c>
      <c r="S37" s="362">
        <v>0</v>
      </c>
      <c r="T37" s="362">
        <v>0</v>
      </c>
      <c r="U37" s="363" t="e">
        <v>#DIV/0!</v>
      </c>
      <c r="V37" s="362">
        <v>0</v>
      </c>
      <c r="W37" s="362">
        <v>0</v>
      </c>
      <c r="X37" s="362">
        <v>0</v>
      </c>
      <c r="Y37" s="362">
        <v>0</v>
      </c>
      <c r="Z37" s="362">
        <v>0</v>
      </c>
      <c r="AA37" s="362">
        <v>0</v>
      </c>
    </row>
    <row r="38" spans="1:27" ht="12" customHeight="1" x14ac:dyDescent="0.25">
      <c r="A38" s="354" t="s">
        <v>1142</v>
      </c>
      <c r="B38" s="360" t="s">
        <v>429</v>
      </c>
      <c r="C38" s="362">
        <v>0</v>
      </c>
      <c r="D38" s="362">
        <v>0</v>
      </c>
      <c r="E38" s="362">
        <v>0</v>
      </c>
      <c r="F38" s="362">
        <v>0</v>
      </c>
      <c r="G38" s="362">
        <v>0</v>
      </c>
      <c r="H38" s="362">
        <v>0</v>
      </c>
      <c r="I38" s="362">
        <v>0</v>
      </c>
      <c r="J38" s="362">
        <v>0</v>
      </c>
      <c r="K38" s="362">
        <v>0</v>
      </c>
      <c r="L38" s="362">
        <v>0</v>
      </c>
      <c r="M38" s="362">
        <v>0</v>
      </c>
      <c r="N38" s="362">
        <v>0</v>
      </c>
      <c r="O38" s="362">
        <v>0</v>
      </c>
      <c r="P38" s="362">
        <v>0</v>
      </c>
      <c r="Q38" s="362">
        <v>0</v>
      </c>
      <c r="R38" s="362">
        <v>0</v>
      </c>
      <c r="S38" s="362">
        <v>0</v>
      </c>
      <c r="T38" s="362">
        <v>0</v>
      </c>
      <c r="U38" s="363" t="e">
        <v>#DIV/0!</v>
      </c>
      <c r="V38" s="362">
        <v>0</v>
      </c>
      <c r="W38" s="362">
        <v>0</v>
      </c>
      <c r="X38" s="362">
        <v>0</v>
      </c>
      <c r="Y38" s="362">
        <v>0</v>
      </c>
      <c r="Z38" s="362">
        <v>0</v>
      </c>
      <c r="AA38" s="362">
        <v>0</v>
      </c>
    </row>
    <row r="39" spans="1:27" ht="12" customHeight="1" x14ac:dyDescent="0.25">
      <c r="A39" s="354"/>
      <c r="B39" s="355" t="s">
        <v>430</v>
      </c>
      <c r="C39" s="356">
        <v>80127</v>
      </c>
      <c r="D39" s="356">
        <v>103127</v>
      </c>
      <c r="E39" s="356">
        <v>103127</v>
      </c>
      <c r="F39" s="356">
        <v>82119</v>
      </c>
      <c r="G39" s="356">
        <v>77856</v>
      </c>
      <c r="H39" s="356">
        <v>0</v>
      </c>
      <c r="I39" s="356">
        <v>1668</v>
      </c>
      <c r="J39" s="356">
        <v>5896</v>
      </c>
      <c r="K39" s="356">
        <v>15148</v>
      </c>
      <c r="L39" s="356">
        <v>14904</v>
      </c>
      <c r="M39" s="356">
        <v>12560</v>
      </c>
      <c r="N39" s="356">
        <v>15492</v>
      </c>
      <c r="O39" s="356">
        <v>3848</v>
      </c>
      <c r="P39" s="356">
        <v>8180</v>
      </c>
      <c r="Q39" s="356">
        <v>0</v>
      </c>
      <c r="R39" s="356">
        <v>0</v>
      </c>
      <c r="S39" s="356">
        <v>0</v>
      </c>
      <c r="T39" s="357">
        <v>77696</v>
      </c>
      <c r="U39" s="358">
        <v>0.75340114615958964</v>
      </c>
      <c r="V39" s="357">
        <v>25431</v>
      </c>
      <c r="W39" s="357">
        <v>0</v>
      </c>
      <c r="X39" s="357">
        <v>21008</v>
      </c>
      <c r="Y39" s="357">
        <v>21008</v>
      </c>
      <c r="Z39" s="357">
        <v>4263</v>
      </c>
      <c r="AA39" s="357">
        <v>160</v>
      </c>
    </row>
    <row r="40" spans="1:27" ht="12" customHeight="1" x14ac:dyDescent="0.25">
      <c r="A40" s="354" t="s">
        <v>1143</v>
      </c>
      <c r="B40" s="360" t="s">
        <v>431</v>
      </c>
      <c r="C40" s="362">
        <v>0</v>
      </c>
      <c r="D40" s="362">
        <v>0</v>
      </c>
      <c r="E40" s="362">
        <v>0</v>
      </c>
      <c r="F40" s="362">
        <v>0</v>
      </c>
      <c r="G40" s="362">
        <v>0</v>
      </c>
      <c r="H40" s="362">
        <v>0</v>
      </c>
      <c r="I40" s="362">
        <v>0</v>
      </c>
      <c r="J40" s="362">
        <v>0</v>
      </c>
      <c r="K40" s="362">
        <v>0</v>
      </c>
      <c r="L40" s="362">
        <v>0</v>
      </c>
      <c r="M40" s="362">
        <v>0</v>
      </c>
      <c r="N40" s="362">
        <v>0</v>
      </c>
      <c r="O40" s="362">
        <v>0</v>
      </c>
      <c r="P40" s="362">
        <v>0</v>
      </c>
      <c r="Q40" s="362">
        <v>0</v>
      </c>
      <c r="R40" s="362">
        <v>0</v>
      </c>
      <c r="S40" s="362">
        <v>0</v>
      </c>
      <c r="T40" s="362">
        <v>0</v>
      </c>
      <c r="U40" s="363" t="e">
        <v>#DIV/0!</v>
      </c>
      <c r="V40" s="362">
        <v>0</v>
      </c>
      <c r="W40" s="362">
        <v>0</v>
      </c>
      <c r="X40" s="362">
        <v>0</v>
      </c>
      <c r="Y40" s="362">
        <v>0</v>
      </c>
      <c r="Z40" s="362">
        <v>0</v>
      </c>
      <c r="AA40" s="362">
        <v>0</v>
      </c>
    </row>
    <row r="41" spans="1:27" ht="12" customHeight="1" x14ac:dyDescent="0.25">
      <c r="A41" s="354" t="s">
        <v>1144</v>
      </c>
      <c r="B41" s="360" t="s">
        <v>432</v>
      </c>
      <c r="C41" s="362">
        <v>0</v>
      </c>
      <c r="D41" s="362">
        <v>0</v>
      </c>
      <c r="E41" s="362">
        <v>0</v>
      </c>
      <c r="F41" s="362">
        <v>0</v>
      </c>
      <c r="G41" s="362">
        <v>0</v>
      </c>
      <c r="H41" s="362">
        <v>0</v>
      </c>
      <c r="I41" s="362">
        <v>0</v>
      </c>
      <c r="J41" s="362">
        <v>0</v>
      </c>
      <c r="K41" s="362">
        <v>0</v>
      </c>
      <c r="L41" s="362">
        <v>0</v>
      </c>
      <c r="M41" s="362">
        <v>0</v>
      </c>
      <c r="N41" s="362">
        <v>0</v>
      </c>
      <c r="O41" s="362">
        <v>0</v>
      </c>
      <c r="P41" s="362">
        <v>0</v>
      </c>
      <c r="Q41" s="362">
        <v>0</v>
      </c>
      <c r="R41" s="362">
        <v>0</v>
      </c>
      <c r="S41" s="362">
        <v>0</v>
      </c>
      <c r="T41" s="362">
        <v>0</v>
      </c>
      <c r="U41" s="363" t="e">
        <v>#DIV/0!</v>
      </c>
      <c r="V41" s="362">
        <v>0</v>
      </c>
      <c r="W41" s="362">
        <v>0</v>
      </c>
      <c r="X41" s="362">
        <v>0</v>
      </c>
      <c r="Y41" s="362">
        <v>0</v>
      </c>
      <c r="Z41" s="362">
        <v>0</v>
      </c>
      <c r="AA41" s="362">
        <v>0</v>
      </c>
    </row>
    <row r="42" spans="1:27" ht="12" customHeight="1" x14ac:dyDescent="0.25">
      <c r="A42" s="354"/>
      <c r="B42" s="360" t="s">
        <v>433</v>
      </c>
      <c r="C42" s="361">
        <v>0</v>
      </c>
      <c r="D42" s="361">
        <v>0</v>
      </c>
      <c r="E42" s="361">
        <v>0</v>
      </c>
      <c r="F42" s="361">
        <v>0</v>
      </c>
      <c r="G42" s="361">
        <v>0</v>
      </c>
      <c r="H42" s="361">
        <v>0</v>
      </c>
      <c r="I42" s="361">
        <v>0</v>
      </c>
      <c r="J42" s="361">
        <v>0</v>
      </c>
      <c r="K42" s="361">
        <v>0</v>
      </c>
      <c r="L42" s="361">
        <v>0</v>
      </c>
      <c r="M42" s="361">
        <v>0</v>
      </c>
      <c r="N42" s="361">
        <v>0</v>
      </c>
      <c r="O42" s="361">
        <v>0</v>
      </c>
      <c r="P42" s="361">
        <v>0</v>
      </c>
      <c r="Q42" s="361">
        <v>0</v>
      </c>
      <c r="R42" s="361">
        <v>0</v>
      </c>
      <c r="S42" s="361">
        <v>0</v>
      </c>
      <c r="T42" s="362">
        <v>0</v>
      </c>
      <c r="U42" s="363" t="e">
        <v>#DIV/0!</v>
      </c>
      <c r="V42" s="362">
        <v>0</v>
      </c>
      <c r="W42" s="362">
        <v>0</v>
      </c>
      <c r="X42" s="362">
        <v>0</v>
      </c>
      <c r="Y42" s="362">
        <v>0</v>
      </c>
      <c r="Z42" s="362">
        <v>0</v>
      </c>
      <c r="AA42" s="362">
        <v>0</v>
      </c>
    </row>
    <row r="43" spans="1:27" ht="12" customHeight="1" x14ac:dyDescent="0.25">
      <c r="A43" s="354" t="s">
        <v>1145</v>
      </c>
      <c r="B43" s="364" t="s">
        <v>434</v>
      </c>
      <c r="C43" s="365">
        <v>0</v>
      </c>
      <c r="D43" s="365">
        <v>0</v>
      </c>
      <c r="E43" s="365">
        <v>0</v>
      </c>
      <c r="F43" s="365">
        <v>0</v>
      </c>
      <c r="G43" s="365">
        <v>0</v>
      </c>
      <c r="H43" s="365">
        <v>0</v>
      </c>
      <c r="I43" s="365">
        <v>0</v>
      </c>
      <c r="J43" s="365">
        <v>0</v>
      </c>
      <c r="K43" s="365">
        <v>0</v>
      </c>
      <c r="L43" s="365">
        <v>0</v>
      </c>
      <c r="M43" s="365">
        <v>0</v>
      </c>
      <c r="N43" s="365">
        <v>0</v>
      </c>
      <c r="O43" s="365">
        <v>0</v>
      </c>
      <c r="P43" s="365">
        <v>0</v>
      </c>
      <c r="Q43" s="365">
        <v>0</v>
      </c>
      <c r="R43" s="365">
        <v>0</v>
      </c>
      <c r="S43" s="365">
        <v>0</v>
      </c>
      <c r="T43" s="365">
        <v>0</v>
      </c>
      <c r="U43" s="366" t="e">
        <v>#DIV/0!</v>
      </c>
      <c r="V43" s="365">
        <v>0</v>
      </c>
      <c r="W43" s="365">
        <v>0</v>
      </c>
      <c r="X43" s="365">
        <v>0</v>
      </c>
      <c r="Y43" s="365">
        <v>0</v>
      </c>
      <c r="Z43" s="365">
        <v>0</v>
      </c>
      <c r="AA43" s="365">
        <v>0</v>
      </c>
    </row>
    <row r="44" spans="1:27" ht="12" customHeight="1" x14ac:dyDescent="0.25">
      <c r="A44" s="354" t="s">
        <v>1146</v>
      </c>
      <c r="B44" s="364" t="s">
        <v>435</v>
      </c>
      <c r="C44" s="365">
        <v>0</v>
      </c>
      <c r="D44" s="365">
        <v>0</v>
      </c>
      <c r="E44" s="365">
        <v>0</v>
      </c>
      <c r="F44" s="365">
        <v>0</v>
      </c>
      <c r="G44" s="365">
        <v>0</v>
      </c>
      <c r="H44" s="365">
        <v>0</v>
      </c>
      <c r="I44" s="365">
        <v>0</v>
      </c>
      <c r="J44" s="365">
        <v>0</v>
      </c>
      <c r="K44" s="365">
        <v>0</v>
      </c>
      <c r="L44" s="365">
        <v>0</v>
      </c>
      <c r="M44" s="365">
        <v>0</v>
      </c>
      <c r="N44" s="365">
        <v>0</v>
      </c>
      <c r="O44" s="365">
        <v>0</v>
      </c>
      <c r="P44" s="365">
        <v>0</v>
      </c>
      <c r="Q44" s="365">
        <v>0</v>
      </c>
      <c r="R44" s="365">
        <v>0</v>
      </c>
      <c r="S44" s="365">
        <v>0</v>
      </c>
      <c r="T44" s="365">
        <v>0</v>
      </c>
      <c r="U44" s="366" t="e">
        <v>#DIV/0!</v>
      </c>
      <c r="V44" s="365">
        <v>0</v>
      </c>
      <c r="W44" s="365">
        <v>0</v>
      </c>
      <c r="X44" s="365">
        <v>0</v>
      </c>
      <c r="Y44" s="365">
        <v>0</v>
      </c>
      <c r="Z44" s="365">
        <v>0</v>
      </c>
      <c r="AA44" s="365">
        <v>0</v>
      </c>
    </row>
    <row r="45" spans="1:27" ht="12" customHeight="1" x14ac:dyDescent="0.25">
      <c r="A45" s="354"/>
      <c r="B45" s="360" t="s">
        <v>436</v>
      </c>
      <c r="C45" s="361">
        <v>0</v>
      </c>
      <c r="D45" s="361">
        <v>0</v>
      </c>
      <c r="E45" s="361">
        <v>0</v>
      </c>
      <c r="F45" s="361">
        <v>0</v>
      </c>
      <c r="G45" s="361">
        <v>0</v>
      </c>
      <c r="H45" s="361">
        <v>0</v>
      </c>
      <c r="I45" s="361">
        <v>0</v>
      </c>
      <c r="J45" s="361">
        <v>0</v>
      </c>
      <c r="K45" s="361">
        <v>0</v>
      </c>
      <c r="L45" s="361">
        <v>0</v>
      </c>
      <c r="M45" s="361">
        <v>0</v>
      </c>
      <c r="N45" s="361">
        <v>0</v>
      </c>
      <c r="O45" s="361">
        <v>0</v>
      </c>
      <c r="P45" s="361">
        <v>0</v>
      </c>
      <c r="Q45" s="361">
        <v>0</v>
      </c>
      <c r="R45" s="361">
        <v>0</v>
      </c>
      <c r="S45" s="361">
        <v>0</v>
      </c>
      <c r="T45" s="362">
        <v>0</v>
      </c>
      <c r="U45" s="363" t="e">
        <v>#DIV/0!</v>
      </c>
      <c r="V45" s="362">
        <v>0</v>
      </c>
      <c r="W45" s="362">
        <v>0</v>
      </c>
      <c r="X45" s="362">
        <v>0</v>
      </c>
      <c r="Y45" s="362">
        <v>0</v>
      </c>
      <c r="Z45" s="362">
        <v>0</v>
      </c>
      <c r="AA45" s="362">
        <v>0</v>
      </c>
    </row>
    <row r="46" spans="1:27" ht="12" customHeight="1" x14ac:dyDescent="0.25">
      <c r="A46" s="354" t="s">
        <v>1147</v>
      </c>
      <c r="B46" s="364" t="s">
        <v>437</v>
      </c>
      <c r="C46" s="365">
        <v>0</v>
      </c>
      <c r="D46" s="365">
        <v>0</v>
      </c>
      <c r="E46" s="365">
        <v>0</v>
      </c>
      <c r="F46" s="365">
        <v>0</v>
      </c>
      <c r="G46" s="365">
        <v>0</v>
      </c>
      <c r="H46" s="365">
        <v>0</v>
      </c>
      <c r="I46" s="365">
        <v>0</v>
      </c>
      <c r="J46" s="365">
        <v>0</v>
      </c>
      <c r="K46" s="365">
        <v>0</v>
      </c>
      <c r="L46" s="365">
        <v>0</v>
      </c>
      <c r="M46" s="365">
        <v>0</v>
      </c>
      <c r="N46" s="365">
        <v>0</v>
      </c>
      <c r="O46" s="365">
        <v>0</v>
      </c>
      <c r="P46" s="365">
        <v>0</v>
      </c>
      <c r="Q46" s="365">
        <v>0</v>
      </c>
      <c r="R46" s="365">
        <v>0</v>
      </c>
      <c r="S46" s="365">
        <v>0</v>
      </c>
      <c r="T46" s="365">
        <v>0</v>
      </c>
      <c r="U46" s="366" t="e">
        <v>#DIV/0!</v>
      </c>
      <c r="V46" s="365">
        <v>0</v>
      </c>
      <c r="W46" s="365">
        <v>0</v>
      </c>
      <c r="X46" s="365">
        <v>0</v>
      </c>
      <c r="Y46" s="365">
        <v>0</v>
      </c>
      <c r="Z46" s="365">
        <v>0</v>
      </c>
      <c r="AA46" s="365">
        <v>0</v>
      </c>
    </row>
    <row r="47" spans="1:27" ht="12" customHeight="1" x14ac:dyDescent="0.25">
      <c r="A47" s="354" t="s">
        <v>1148</v>
      </c>
      <c r="B47" s="364" t="s">
        <v>438</v>
      </c>
      <c r="C47" s="365">
        <v>0</v>
      </c>
      <c r="D47" s="365">
        <v>0</v>
      </c>
      <c r="E47" s="365">
        <v>0</v>
      </c>
      <c r="F47" s="365">
        <v>0</v>
      </c>
      <c r="G47" s="365">
        <v>0</v>
      </c>
      <c r="H47" s="365">
        <v>0</v>
      </c>
      <c r="I47" s="365">
        <v>0</v>
      </c>
      <c r="J47" s="365">
        <v>0</v>
      </c>
      <c r="K47" s="365">
        <v>0</v>
      </c>
      <c r="L47" s="365">
        <v>0</v>
      </c>
      <c r="M47" s="365">
        <v>0</v>
      </c>
      <c r="N47" s="365">
        <v>0</v>
      </c>
      <c r="O47" s="365">
        <v>0</v>
      </c>
      <c r="P47" s="365">
        <v>0</v>
      </c>
      <c r="Q47" s="365">
        <v>0</v>
      </c>
      <c r="R47" s="365">
        <v>0</v>
      </c>
      <c r="S47" s="365">
        <v>0</v>
      </c>
      <c r="T47" s="365">
        <v>0</v>
      </c>
      <c r="U47" s="366" t="e">
        <v>#DIV/0!</v>
      </c>
      <c r="V47" s="365">
        <v>0</v>
      </c>
      <c r="W47" s="365">
        <v>0</v>
      </c>
      <c r="X47" s="365">
        <v>0</v>
      </c>
      <c r="Y47" s="365">
        <v>0</v>
      </c>
      <c r="Z47" s="365">
        <v>0</v>
      </c>
      <c r="AA47" s="365">
        <v>0</v>
      </c>
    </row>
    <row r="48" spans="1:27" ht="12" customHeight="1" x14ac:dyDescent="0.25">
      <c r="A48" s="354" t="s">
        <v>1149</v>
      </c>
      <c r="B48" s="364" t="s">
        <v>439</v>
      </c>
      <c r="C48" s="365">
        <v>0</v>
      </c>
      <c r="D48" s="365">
        <v>0</v>
      </c>
      <c r="E48" s="365">
        <v>0</v>
      </c>
      <c r="F48" s="365">
        <v>0</v>
      </c>
      <c r="G48" s="365">
        <v>0</v>
      </c>
      <c r="H48" s="365">
        <v>0</v>
      </c>
      <c r="I48" s="365">
        <v>0</v>
      </c>
      <c r="J48" s="365">
        <v>0</v>
      </c>
      <c r="K48" s="365">
        <v>0</v>
      </c>
      <c r="L48" s="365">
        <v>0</v>
      </c>
      <c r="M48" s="365">
        <v>0</v>
      </c>
      <c r="N48" s="365">
        <v>0</v>
      </c>
      <c r="O48" s="365">
        <v>0</v>
      </c>
      <c r="P48" s="365">
        <v>0</v>
      </c>
      <c r="Q48" s="365">
        <v>0</v>
      </c>
      <c r="R48" s="365">
        <v>0</v>
      </c>
      <c r="S48" s="365">
        <v>0</v>
      </c>
      <c r="T48" s="365">
        <v>0</v>
      </c>
      <c r="U48" s="366" t="e">
        <v>#DIV/0!</v>
      </c>
      <c r="V48" s="365">
        <v>0</v>
      </c>
      <c r="W48" s="365">
        <v>0</v>
      </c>
      <c r="X48" s="365">
        <v>0</v>
      </c>
      <c r="Y48" s="365">
        <v>0</v>
      </c>
      <c r="Z48" s="365">
        <v>0</v>
      </c>
      <c r="AA48" s="365">
        <v>0</v>
      </c>
    </row>
    <row r="49" spans="1:27" ht="12" customHeight="1" x14ac:dyDescent="0.25">
      <c r="A49" s="354" t="s">
        <v>1150</v>
      </c>
      <c r="B49" s="364" t="s">
        <v>440</v>
      </c>
      <c r="C49" s="365">
        <v>0</v>
      </c>
      <c r="D49" s="365">
        <v>0</v>
      </c>
      <c r="E49" s="365">
        <v>0</v>
      </c>
      <c r="F49" s="365">
        <v>0</v>
      </c>
      <c r="G49" s="365">
        <v>0</v>
      </c>
      <c r="H49" s="365">
        <v>0</v>
      </c>
      <c r="I49" s="365">
        <v>0</v>
      </c>
      <c r="J49" s="365">
        <v>0</v>
      </c>
      <c r="K49" s="365">
        <v>0</v>
      </c>
      <c r="L49" s="365">
        <v>0</v>
      </c>
      <c r="M49" s="365">
        <v>0</v>
      </c>
      <c r="N49" s="365">
        <v>0</v>
      </c>
      <c r="O49" s="365">
        <v>0</v>
      </c>
      <c r="P49" s="365">
        <v>0</v>
      </c>
      <c r="Q49" s="365">
        <v>0</v>
      </c>
      <c r="R49" s="365">
        <v>0</v>
      </c>
      <c r="S49" s="365">
        <v>0</v>
      </c>
      <c r="T49" s="365">
        <v>0</v>
      </c>
      <c r="U49" s="366" t="e">
        <v>#DIV/0!</v>
      </c>
      <c r="V49" s="365">
        <v>0</v>
      </c>
      <c r="W49" s="365">
        <v>0</v>
      </c>
      <c r="X49" s="365">
        <v>0</v>
      </c>
      <c r="Y49" s="365">
        <v>0</v>
      </c>
      <c r="Z49" s="365">
        <v>0</v>
      </c>
      <c r="AA49" s="365">
        <v>0</v>
      </c>
    </row>
    <row r="50" spans="1:27" ht="12" customHeight="1" x14ac:dyDescent="0.25">
      <c r="A50" s="354"/>
      <c r="B50" s="360" t="s">
        <v>441</v>
      </c>
      <c r="C50" s="361">
        <v>0</v>
      </c>
      <c r="D50" s="361">
        <v>0</v>
      </c>
      <c r="E50" s="361">
        <v>0</v>
      </c>
      <c r="F50" s="361">
        <v>0</v>
      </c>
      <c r="G50" s="361">
        <v>0</v>
      </c>
      <c r="H50" s="361">
        <v>0</v>
      </c>
      <c r="I50" s="361">
        <v>0</v>
      </c>
      <c r="J50" s="361">
        <v>0</v>
      </c>
      <c r="K50" s="361">
        <v>0</v>
      </c>
      <c r="L50" s="361">
        <v>0</v>
      </c>
      <c r="M50" s="361">
        <v>0</v>
      </c>
      <c r="N50" s="361">
        <v>0</v>
      </c>
      <c r="O50" s="361">
        <v>0</v>
      </c>
      <c r="P50" s="361">
        <v>0</v>
      </c>
      <c r="Q50" s="361">
        <v>0</v>
      </c>
      <c r="R50" s="361">
        <v>0</v>
      </c>
      <c r="S50" s="361">
        <v>0</v>
      </c>
      <c r="T50" s="362">
        <v>0</v>
      </c>
      <c r="U50" s="363" t="e">
        <v>#DIV/0!</v>
      </c>
      <c r="V50" s="362">
        <v>0</v>
      </c>
      <c r="W50" s="362">
        <v>0</v>
      </c>
      <c r="X50" s="362">
        <v>0</v>
      </c>
      <c r="Y50" s="362">
        <v>0</v>
      </c>
      <c r="Z50" s="362">
        <v>0</v>
      </c>
      <c r="AA50" s="362">
        <v>0</v>
      </c>
    </row>
    <row r="51" spans="1:27" ht="12" customHeight="1" x14ac:dyDescent="0.25">
      <c r="A51" s="354" t="s">
        <v>1151</v>
      </c>
      <c r="B51" s="364" t="s">
        <v>442</v>
      </c>
      <c r="C51" s="365">
        <v>0</v>
      </c>
      <c r="D51" s="365">
        <v>0</v>
      </c>
      <c r="E51" s="365">
        <v>0</v>
      </c>
      <c r="F51" s="365">
        <v>0</v>
      </c>
      <c r="G51" s="365">
        <v>0</v>
      </c>
      <c r="H51" s="365">
        <v>0</v>
      </c>
      <c r="I51" s="365">
        <v>0</v>
      </c>
      <c r="J51" s="365">
        <v>0</v>
      </c>
      <c r="K51" s="365">
        <v>0</v>
      </c>
      <c r="L51" s="365">
        <v>0</v>
      </c>
      <c r="M51" s="365">
        <v>0</v>
      </c>
      <c r="N51" s="365">
        <v>0</v>
      </c>
      <c r="O51" s="365">
        <v>0</v>
      </c>
      <c r="P51" s="365">
        <v>0</v>
      </c>
      <c r="Q51" s="365">
        <v>0</v>
      </c>
      <c r="R51" s="365">
        <v>0</v>
      </c>
      <c r="S51" s="365">
        <v>0</v>
      </c>
      <c r="T51" s="365">
        <v>0</v>
      </c>
      <c r="U51" s="366" t="e">
        <v>#DIV/0!</v>
      </c>
      <c r="V51" s="365">
        <v>0</v>
      </c>
      <c r="W51" s="365">
        <v>0</v>
      </c>
      <c r="X51" s="365">
        <v>0</v>
      </c>
      <c r="Y51" s="365">
        <v>0</v>
      </c>
      <c r="Z51" s="365">
        <v>0</v>
      </c>
      <c r="AA51" s="365">
        <v>0</v>
      </c>
    </row>
    <row r="52" spans="1:27" ht="12" customHeight="1" x14ac:dyDescent="0.25">
      <c r="A52" s="354" t="s">
        <v>1152</v>
      </c>
      <c r="B52" s="364" t="s">
        <v>443</v>
      </c>
      <c r="C52" s="365">
        <v>0</v>
      </c>
      <c r="D52" s="365">
        <v>0</v>
      </c>
      <c r="E52" s="365">
        <v>0</v>
      </c>
      <c r="F52" s="365">
        <v>0</v>
      </c>
      <c r="G52" s="365">
        <v>0</v>
      </c>
      <c r="H52" s="365">
        <v>0</v>
      </c>
      <c r="I52" s="365">
        <v>0</v>
      </c>
      <c r="J52" s="365">
        <v>0</v>
      </c>
      <c r="K52" s="365">
        <v>0</v>
      </c>
      <c r="L52" s="365">
        <v>0</v>
      </c>
      <c r="M52" s="365">
        <v>0</v>
      </c>
      <c r="N52" s="365">
        <v>0</v>
      </c>
      <c r="O52" s="365">
        <v>0</v>
      </c>
      <c r="P52" s="365">
        <v>0</v>
      </c>
      <c r="Q52" s="365">
        <v>0</v>
      </c>
      <c r="R52" s="365">
        <v>0</v>
      </c>
      <c r="S52" s="365">
        <v>0</v>
      </c>
      <c r="T52" s="365">
        <v>0</v>
      </c>
      <c r="U52" s="366" t="e">
        <v>#DIV/0!</v>
      </c>
      <c r="V52" s="365">
        <v>0</v>
      </c>
      <c r="W52" s="365">
        <v>0</v>
      </c>
      <c r="X52" s="365">
        <v>0</v>
      </c>
      <c r="Y52" s="365">
        <v>0</v>
      </c>
      <c r="Z52" s="365">
        <v>0</v>
      </c>
      <c r="AA52" s="365">
        <v>0</v>
      </c>
    </row>
    <row r="53" spans="1:27" ht="12" customHeight="1" x14ac:dyDescent="0.25">
      <c r="A53" s="354" t="s">
        <v>1153</v>
      </c>
      <c r="B53" s="364" t="s">
        <v>444</v>
      </c>
      <c r="C53" s="365">
        <v>0</v>
      </c>
      <c r="D53" s="365">
        <v>0</v>
      </c>
      <c r="E53" s="365">
        <v>0</v>
      </c>
      <c r="F53" s="365">
        <v>0</v>
      </c>
      <c r="G53" s="365">
        <v>0</v>
      </c>
      <c r="H53" s="365">
        <v>0</v>
      </c>
      <c r="I53" s="365">
        <v>0</v>
      </c>
      <c r="J53" s="365">
        <v>0</v>
      </c>
      <c r="K53" s="365">
        <v>0</v>
      </c>
      <c r="L53" s="365">
        <v>0</v>
      </c>
      <c r="M53" s="365">
        <v>0</v>
      </c>
      <c r="N53" s="365">
        <v>0</v>
      </c>
      <c r="O53" s="365">
        <v>0</v>
      </c>
      <c r="P53" s="365">
        <v>0</v>
      </c>
      <c r="Q53" s="365">
        <v>0</v>
      </c>
      <c r="R53" s="365">
        <v>0</v>
      </c>
      <c r="S53" s="365">
        <v>0</v>
      </c>
      <c r="T53" s="365">
        <v>0</v>
      </c>
      <c r="U53" s="366" t="e">
        <v>#DIV/0!</v>
      </c>
      <c r="V53" s="365">
        <v>0</v>
      </c>
      <c r="W53" s="365">
        <v>0</v>
      </c>
      <c r="X53" s="365">
        <v>0</v>
      </c>
      <c r="Y53" s="365">
        <v>0</v>
      </c>
      <c r="Z53" s="365">
        <v>0</v>
      </c>
      <c r="AA53" s="365">
        <v>0</v>
      </c>
    </row>
    <row r="54" spans="1:27" ht="12" customHeight="1" x14ac:dyDescent="0.25">
      <c r="A54" s="354" t="s">
        <v>1154</v>
      </c>
      <c r="B54" s="364" t="s">
        <v>445</v>
      </c>
      <c r="C54" s="365">
        <v>0</v>
      </c>
      <c r="D54" s="365">
        <v>0</v>
      </c>
      <c r="E54" s="365">
        <v>0</v>
      </c>
      <c r="F54" s="365">
        <v>0</v>
      </c>
      <c r="G54" s="365">
        <v>0</v>
      </c>
      <c r="H54" s="365">
        <v>0</v>
      </c>
      <c r="I54" s="365">
        <v>0</v>
      </c>
      <c r="J54" s="365">
        <v>0</v>
      </c>
      <c r="K54" s="365">
        <v>0</v>
      </c>
      <c r="L54" s="365">
        <v>0</v>
      </c>
      <c r="M54" s="365">
        <v>0</v>
      </c>
      <c r="N54" s="365">
        <v>0</v>
      </c>
      <c r="O54" s="365">
        <v>0</v>
      </c>
      <c r="P54" s="365">
        <v>0</v>
      </c>
      <c r="Q54" s="365">
        <v>0</v>
      </c>
      <c r="R54" s="365">
        <v>0</v>
      </c>
      <c r="S54" s="365">
        <v>0</v>
      </c>
      <c r="T54" s="365">
        <v>0</v>
      </c>
      <c r="U54" s="366" t="e">
        <v>#DIV/0!</v>
      </c>
      <c r="V54" s="365">
        <v>0</v>
      </c>
      <c r="W54" s="365">
        <v>0</v>
      </c>
      <c r="X54" s="365">
        <v>0</v>
      </c>
      <c r="Y54" s="365">
        <v>0</v>
      </c>
      <c r="Z54" s="365">
        <v>0</v>
      </c>
      <c r="AA54" s="365">
        <v>0</v>
      </c>
    </row>
    <row r="55" spans="1:27" ht="12" customHeight="1" x14ac:dyDescent="0.25">
      <c r="A55" s="354" t="s">
        <v>1155</v>
      </c>
      <c r="B55" s="360" t="s">
        <v>446</v>
      </c>
      <c r="C55" s="362">
        <v>0</v>
      </c>
      <c r="D55" s="362">
        <v>0</v>
      </c>
      <c r="E55" s="362">
        <v>0</v>
      </c>
      <c r="F55" s="362">
        <v>0</v>
      </c>
      <c r="G55" s="362">
        <v>0</v>
      </c>
      <c r="H55" s="362">
        <v>0</v>
      </c>
      <c r="I55" s="362">
        <v>0</v>
      </c>
      <c r="J55" s="362">
        <v>0</v>
      </c>
      <c r="K55" s="362">
        <v>0</v>
      </c>
      <c r="L55" s="362">
        <v>0</v>
      </c>
      <c r="M55" s="362">
        <v>0</v>
      </c>
      <c r="N55" s="362">
        <v>0</v>
      </c>
      <c r="O55" s="362">
        <v>0</v>
      </c>
      <c r="P55" s="362">
        <v>0</v>
      </c>
      <c r="Q55" s="362">
        <v>0</v>
      </c>
      <c r="R55" s="362">
        <v>0</v>
      </c>
      <c r="S55" s="362">
        <v>0</v>
      </c>
      <c r="T55" s="362">
        <v>0</v>
      </c>
      <c r="U55" s="363" t="e">
        <v>#DIV/0!</v>
      </c>
      <c r="V55" s="362">
        <v>0</v>
      </c>
      <c r="W55" s="362">
        <v>0</v>
      </c>
      <c r="X55" s="362">
        <v>0</v>
      </c>
      <c r="Y55" s="362">
        <v>0</v>
      </c>
      <c r="Z55" s="362">
        <v>0</v>
      </c>
      <c r="AA55" s="362">
        <v>0</v>
      </c>
    </row>
    <row r="56" spans="1:27" ht="12" customHeight="1" x14ac:dyDescent="0.25">
      <c r="A56" s="354" t="s">
        <v>1156</v>
      </c>
      <c r="B56" s="360" t="s">
        <v>447</v>
      </c>
      <c r="C56" s="362">
        <v>0</v>
      </c>
      <c r="D56" s="362">
        <v>0</v>
      </c>
      <c r="E56" s="362">
        <v>0</v>
      </c>
      <c r="F56" s="362">
        <v>0</v>
      </c>
      <c r="G56" s="362">
        <v>0</v>
      </c>
      <c r="H56" s="362">
        <v>0</v>
      </c>
      <c r="I56" s="362">
        <v>0</v>
      </c>
      <c r="J56" s="362">
        <v>0</v>
      </c>
      <c r="K56" s="362">
        <v>0</v>
      </c>
      <c r="L56" s="362">
        <v>0</v>
      </c>
      <c r="M56" s="362">
        <v>0</v>
      </c>
      <c r="N56" s="362">
        <v>0</v>
      </c>
      <c r="O56" s="362">
        <v>0</v>
      </c>
      <c r="P56" s="362">
        <v>0</v>
      </c>
      <c r="Q56" s="362">
        <v>0</v>
      </c>
      <c r="R56" s="362">
        <v>0</v>
      </c>
      <c r="S56" s="362">
        <v>0</v>
      </c>
      <c r="T56" s="362">
        <v>0</v>
      </c>
      <c r="U56" s="363" t="e">
        <v>#DIV/0!</v>
      </c>
      <c r="V56" s="362">
        <v>0</v>
      </c>
      <c r="W56" s="362">
        <v>0</v>
      </c>
      <c r="X56" s="362">
        <v>0</v>
      </c>
      <c r="Y56" s="362">
        <v>0</v>
      </c>
      <c r="Z56" s="362">
        <v>0</v>
      </c>
      <c r="AA56" s="362">
        <v>0</v>
      </c>
    </row>
    <row r="57" spans="1:27" ht="12" customHeight="1" x14ac:dyDescent="0.25">
      <c r="A57" s="354" t="s">
        <v>1157</v>
      </c>
      <c r="B57" s="360" t="s">
        <v>448</v>
      </c>
      <c r="C57" s="362">
        <v>0</v>
      </c>
      <c r="D57" s="362">
        <v>0</v>
      </c>
      <c r="E57" s="362">
        <v>0</v>
      </c>
      <c r="F57" s="362">
        <v>0</v>
      </c>
      <c r="G57" s="362">
        <v>0</v>
      </c>
      <c r="H57" s="362">
        <v>0</v>
      </c>
      <c r="I57" s="362">
        <v>0</v>
      </c>
      <c r="J57" s="362">
        <v>0</v>
      </c>
      <c r="K57" s="362">
        <v>0</v>
      </c>
      <c r="L57" s="362">
        <v>0</v>
      </c>
      <c r="M57" s="362">
        <v>0</v>
      </c>
      <c r="N57" s="362">
        <v>0</v>
      </c>
      <c r="O57" s="362">
        <v>0</v>
      </c>
      <c r="P57" s="362">
        <v>0</v>
      </c>
      <c r="Q57" s="362">
        <v>0</v>
      </c>
      <c r="R57" s="362">
        <v>0</v>
      </c>
      <c r="S57" s="362">
        <v>0</v>
      </c>
      <c r="T57" s="362">
        <v>0</v>
      </c>
      <c r="U57" s="363" t="e">
        <v>#DIV/0!</v>
      </c>
      <c r="V57" s="362">
        <v>0</v>
      </c>
      <c r="W57" s="362">
        <v>0</v>
      </c>
      <c r="X57" s="362">
        <v>0</v>
      </c>
      <c r="Y57" s="362">
        <v>0</v>
      </c>
      <c r="Z57" s="362">
        <v>0</v>
      </c>
      <c r="AA57" s="362">
        <v>0</v>
      </c>
    </row>
    <row r="58" spans="1:27" ht="12" customHeight="1" x14ac:dyDescent="0.25">
      <c r="A58" s="354" t="s">
        <v>1158</v>
      </c>
      <c r="B58" s="360" t="s">
        <v>449</v>
      </c>
      <c r="C58" s="362">
        <v>0</v>
      </c>
      <c r="D58" s="362">
        <v>0</v>
      </c>
      <c r="E58" s="362">
        <v>0</v>
      </c>
      <c r="F58" s="362">
        <v>0</v>
      </c>
      <c r="G58" s="362">
        <v>0</v>
      </c>
      <c r="H58" s="362">
        <v>0</v>
      </c>
      <c r="I58" s="362">
        <v>0</v>
      </c>
      <c r="J58" s="362">
        <v>0</v>
      </c>
      <c r="K58" s="362">
        <v>0</v>
      </c>
      <c r="L58" s="362">
        <v>0</v>
      </c>
      <c r="M58" s="362">
        <v>0</v>
      </c>
      <c r="N58" s="362">
        <v>0</v>
      </c>
      <c r="O58" s="362">
        <v>0</v>
      </c>
      <c r="P58" s="362">
        <v>0</v>
      </c>
      <c r="Q58" s="362">
        <v>0</v>
      </c>
      <c r="R58" s="362">
        <v>0</v>
      </c>
      <c r="S58" s="362">
        <v>0</v>
      </c>
      <c r="T58" s="362">
        <v>0</v>
      </c>
      <c r="U58" s="363" t="e">
        <v>#DIV/0!</v>
      </c>
      <c r="V58" s="362">
        <v>0</v>
      </c>
      <c r="W58" s="362">
        <v>0</v>
      </c>
      <c r="X58" s="362">
        <v>0</v>
      </c>
      <c r="Y58" s="362">
        <v>0</v>
      </c>
      <c r="Z58" s="362">
        <v>0</v>
      </c>
      <c r="AA58" s="362">
        <v>0</v>
      </c>
    </row>
    <row r="59" spans="1:27" ht="12" customHeight="1" x14ac:dyDescent="0.25">
      <c r="A59" s="354"/>
      <c r="B59" s="360" t="s">
        <v>450</v>
      </c>
      <c r="C59" s="361">
        <v>0</v>
      </c>
      <c r="D59" s="361">
        <v>0</v>
      </c>
      <c r="E59" s="361">
        <v>0</v>
      </c>
      <c r="F59" s="361">
        <v>0</v>
      </c>
      <c r="G59" s="361">
        <v>0</v>
      </c>
      <c r="H59" s="361">
        <v>0</v>
      </c>
      <c r="I59" s="361">
        <v>0</v>
      </c>
      <c r="J59" s="361">
        <v>0</v>
      </c>
      <c r="K59" s="361">
        <v>0</v>
      </c>
      <c r="L59" s="361">
        <v>0</v>
      </c>
      <c r="M59" s="361">
        <v>0</v>
      </c>
      <c r="N59" s="361">
        <v>0</v>
      </c>
      <c r="O59" s="361">
        <v>0</v>
      </c>
      <c r="P59" s="361">
        <v>0</v>
      </c>
      <c r="Q59" s="361">
        <v>0</v>
      </c>
      <c r="R59" s="361">
        <v>0</v>
      </c>
      <c r="S59" s="361">
        <v>0</v>
      </c>
      <c r="T59" s="362">
        <v>0</v>
      </c>
      <c r="U59" s="363" t="e">
        <v>#DIV/0!</v>
      </c>
      <c r="V59" s="362">
        <v>0</v>
      </c>
      <c r="W59" s="362">
        <v>0</v>
      </c>
      <c r="X59" s="362">
        <v>0</v>
      </c>
      <c r="Y59" s="362">
        <v>0</v>
      </c>
      <c r="Z59" s="362">
        <v>0</v>
      </c>
      <c r="AA59" s="362">
        <v>0</v>
      </c>
    </row>
    <row r="60" spans="1:27" ht="12" customHeight="1" x14ac:dyDescent="0.25">
      <c r="A60" s="354" t="s">
        <v>1159</v>
      </c>
      <c r="B60" s="364" t="s">
        <v>451</v>
      </c>
      <c r="C60" s="365">
        <v>0</v>
      </c>
      <c r="D60" s="365">
        <v>0</v>
      </c>
      <c r="E60" s="365">
        <v>0</v>
      </c>
      <c r="F60" s="365">
        <v>0</v>
      </c>
      <c r="G60" s="365">
        <v>0</v>
      </c>
      <c r="H60" s="365">
        <v>0</v>
      </c>
      <c r="I60" s="365">
        <v>0</v>
      </c>
      <c r="J60" s="365">
        <v>0</v>
      </c>
      <c r="K60" s="365">
        <v>0</v>
      </c>
      <c r="L60" s="365">
        <v>0</v>
      </c>
      <c r="M60" s="365">
        <v>0</v>
      </c>
      <c r="N60" s="365">
        <v>0</v>
      </c>
      <c r="O60" s="365">
        <v>0</v>
      </c>
      <c r="P60" s="365">
        <v>0</v>
      </c>
      <c r="Q60" s="365">
        <v>0</v>
      </c>
      <c r="R60" s="365">
        <v>0</v>
      </c>
      <c r="S60" s="365">
        <v>0</v>
      </c>
      <c r="T60" s="365">
        <v>0</v>
      </c>
      <c r="U60" s="366" t="e">
        <v>#DIV/0!</v>
      </c>
      <c r="V60" s="365">
        <v>0</v>
      </c>
      <c r="W60" s="365">
        <v>0</v>
      </c>
      <c r="X60" s="365">
        <v>0</v>
      </c>
      <c r="Y60" s="365">
        <v>0</v>
      </c>
      <c r="Z60" s="365">
        <v>0</v>
      </c>
      <c r="AA60" s="365">
        <v>0</v>
      </c>
    </row>
    <row r="61" spans="1:27" ht="12" customHeight="1" x14ac:dyDescent="0.25">
      <c r="A61" s="354" t="s">
        <v>1160</v>
      </c>
      <c r="B61" s="364" t="s">
        <v>452</v>
      </c>
      <c r="C61" s="365">
        <v>0</v>
      </c>
      <c r="D61" s="365">
        <v>0</v>
      </c>
      <c r="E61" s="365">
        <v>0</v>
      </c>
      <c r="F61" s="365">
        <v>0</v>
      </c>
      <c r="G61" s="365">
        <v>0</v>
      </c>
      <c r="H61" s="365">
        <v>0</v>
      </c>
      <c r="I61" s="365">
        <v>0</v>
      </c>
      <c r="J61" s="365">
        <v>0</v>
      </c>
      <c r="K61" s="365">
        <v>0</v>
      </c>
      <c r="L61" s="365">
        <v>0</v>
      </c>
      <c r="M61" s="365">
        <v>0</v>
      </c>
      <c r="N61" s="365">
        <v>0</v>
      </c>
      <c r="O61" s="365">
        <v>0</v>
      </c>
      <c r="P61" s="365">
        <v>0</v>
      </c>
      <c r="Q61" s="365">
        <v>0</v>
      </c>
      <c r="R61" s="365">
        <v>0</v>
      </c>
      <c r="S61" s="365">
        <v>0</v>
      </c>
      <c r="T61" s="365">
        <v>0</v>
      </c>
      <c r="U61" s="366" t="e">
        <v>#DIV/0!</v>
      </c>
      <c r="V61" s="365">
        <v>0</v>
      </c>
      <c r="W61" s="365">
        <v>0</v>
      </c>
      <c r="X61" s="365">
        <v>0</v>
      </c>
      <c r="Y61" s="365">
        <v>0</v>
      </c>
      <c r="Z61" s="365">
        <v>0</v>
      </c>
      <c r="AA61" s="365">
        <v>0</v>
      </c>
    </row>
    <row r="62" spans="1:27" ht="12" customHeight="1" x14ac:dyDescent="0.25">
      <c r="A62" s="354" t="s">
        <v>1161</v>
      </c>
      <c r="B62" s="364" t="s">
        <v>453</v>
      </c>
      <c r="C62" s="365">
        <v>0</v>
      </c>
      <c r="D62" s="365">
        <v>0</v>
      </c>
      <c r="E62" s="365">
        <v>0</v>
      </c>
      <c r="F62" s="365">
        <v>0</v>
      </c>
      <c r="G62" s="365">
        <v>0</v>
      </c>
      <c r="H62" s="365">
        <v>0</v>
      </c>
      <c r="I62" s="365">
        <v>0</v>
      </c>
      <c r="J62" s="365">
        <v>0</v>
      </c>
      <c r="K62" s="365">
        <v>0</v>
      </c>
      <c r="L62" s="365">
        <v>0</v>
      </c>
      <c r="M62" s="365">
        <v>0</v>
      </c>
      <c r="N62" s="365">
        <v>0</v>
      </c>
      <c r="O62" s="365">
        <v>0</v>
      </c>
      <c r="P62" s="365">
        <v>0</v>
      </c>
      <c r="Q62" s="365">
        <v>0</v>
      </c>
      <c r="R62" s="365">
        <v>0</v>
      </c>
      <c r="S62" s="365">
        <v>0</v>
      </c>
      <c r="T62" s="365">
        <v>0</v>
      </c>
      <c r="U62" s="366" t="e">
        <v>#DIV/0!</v>
      </c>
      <c r="V62" s="365">
        <v>0</v>
      </c>
      <c r="W62" s="365">
        <v>0</v>
      </c>
      <c r="X62" s="365">
        <v>0</v>
      </c>
      <c r="Y62" s="365">
        <v>0</v>
      </c>
      <c r="Z62" s="365">
        <v>0</v>
      </c>
      <c r="AA62" s="365">
        <v>0</v>
      </c>
    </row>
    <row r="63" spans="1:27" ht="12" customHeight="1" x14ac:dyDescent="0.25">
      <c r="A63" s="354" t="s">
        <v>1162</v>
      </c>
      <c r="B63" s="364" t="s">
        <v>454</v>
      </c>
      <c r="C63" s="365">
        <v>0</v>
      </c>
      <c r="D63" s="365">
        <v>0</v>
      </c>
      <c r="E63" s="365">
        <v>0</v>
      </c>
      <c r="F63" s="365">
        <v>0</v>
      </c>
      <c r="G63" s="365">
        <v>0</v>
      </c>
      <c r="H63" s="365">
        <v>0</v>
      </c>
      <c r="I63" s="365">
        <v>0</v>
      </c>
      <c r="J63" s="365">
        <v>0</v>
      </c>
      <c r="K63" s="365">
        <v>0</v>
      </c>
      <c r="L63" s="365">
        <v>0</v>
      </c>
      <c r="M63" s="365">
        <v>0</v>
      </c>
      <c r="N63" s="365">
        <v>0</v>
      </c>
      <c r="O63" s="365">
        <v>0</v>
      </c>
      <c r="P63" s="365">
        <v>0</v>
      </c>
      <c r="Q63" s="365">
        <v>0</v>
      </c>
      <c r="R63" s="365">
        <v>0</v>
      </c>
      <c r="S63" s="365">
        <v>0</v>
      </c>
      <c r="T63" s="365">
        <v>0</v>
      </c>
      <c r="U63" s="366" t="e">
        <v>#DIV/0!</v>
      </c>
      <c r="V63" s="365">
        <v>0</v>
      </c>
      <c r="W63" s="365">
        <v>0</v>
      </c>
      <c r="X63" s="365">
        <v>0</v>
      </c>
      <c r="Y63" s="365">
        <v>0</v>
      </c>
      <c r="Z63" s="365">
        <v>0</v>
      </c>
      <c r="AA63" s="365">
        <v>0</v>
      </c>
    </row>
    <row r="64" spans="1:27" ht="12" customHeight="1" x14ac:dyDescent="0.25">
      <c r="A64" s="354" t="s">
        <v>1163</v>
      </c>
      <c r="B64" s="364" t="s">
        <v>455</v>
      </c>
      <c r="C64" s="365">
        <v>0</v>
      </c>
      <c r="D64" s="365">
        <v>0</v>
      </c>
      <c r="E64" s="365">
        <v>0</v>
      </c>
      <c r="F64" s="365">
        <v>0</v>
      </c>
      <c r="G64" s="365">
        <v>0</v>
      </c>
      <c r="H64" s="365">
        <v>0</v>
      </c>
      <c r="I64" s="365">
        <v>0</v>
      </c>
      <c r="J64" s="365">
        <v>0</v>
      </c>
      <c r="K64" s="365">
        <v>0</v>
      </c>
      <c r="L64" s="365">
        <v>0</v>
      </c>
      <c r="M64" s="365">
        <v>0</v>
      </c>
      <c r="N64" s="365">
        <v>0</v>
      </c>
      <c r="O64" s="365">
        <v>0</v>
      </c>
      <c r="P64" s="365">
        <v>0</v>
      </c>
      <c r="Q64" s="365">
        <v>0</v>
      </c>
      <c r="R64" s="365">
        <v>0</v>
      </c>
      <c r="S64" s="365">
        <v>0</v>
      </c>
      <c r="T64" s="365">
        <v>0</v>
      </c>
      <c r="U64" s="366" t="e">
        <v>#DIV/0!</v>
      </c>
      <c r="V64" s="365">
        <v>0</v>
      </c>
      <c r="W64" s="365">
        <v>0</v>
      </c>
      <c r="X64" s="365">
        <v>0</v>
      </c>
      <c r="Y64" s="365">
        <v>0</v>
      </c>
      <c r="Z64" s="365">
        <v>0</v>
      </c>
      <c r="AA64" s="365">
        <v>0</v>
      </c>
    </row>
    <row r="65" spans="1:27" ht="12" customHeight="1" x14ac:dyDescent="0.25">
      <c r="A65" s="354"/>
      <c r="B65" s="360" t="s">
        <v>456</v>
      </c>
      <c r="C65" s="361">
        <v>0</v>
      </c>
      <c r="D65" s="361">
        <v>0</v>
      </c>
      <c r="E65" s="361">
        <v>0</v>
      </c>
      <c r="F65" s="361">
        <v>0</v>
      </c>
      <c r="G65" s="361">
        <v>0</v>
      </c>
      <c r="H65" s="361">
        <v>0</v>
      </c>
      <c r="I65" s="361">
        <v>0</v>
      </c>
      <c r="J65" s="361">
        <v>0</v>
      </c>
      <c r="K65" s="361">
        <v>0</v>
      </c>
      <c r="L65" s="361">
        <v>0</v>
      </c>
      <c r="M65" s="361">
        <v>0</v>
      </c>
      <c r="N65" s="361">
        <v>0</v>
      </c>
      <c r="O65" s="361">
        <v>0</v>
      </c>
      <c r="P65" s="361">
        <v>0</v>
      </c>
      <c r="Q65" s="361">
        <v>0</v>
      </c>
      <c r="R65" s="361">
        <v>0</v>
      </c>
      <c r="S65" s="361">
        <v>0</v>
      </c>
      <c r="T65" s="362">
        <v>0</v>
      </c>
      <c r="U65" s="363" t="e">
        <v>#DIV/0!</v>
      </c>
      <c r="V65" s="362">
        <v>0</v>
      </c>
      <c r="W65" s="362">
        <v>0</v>
      </c>
      <c r="X65" s="362">
        <v>0</v>
      </c>
      <c r="Y65" s="362">
        <v>0</v>
      </c>
      <c r="Z65" s="362">
        <v>0</v>
      </c>
      <c r="AA65" s="362">
        <v>0</v>
      </c>
    </row>
    <row r="66" spans="1:27" ht="12" customHeight="1" x14ac:dyDescent="0.25">
      <c r="A66" s="354" t="s">
        <v>1164</v>
      </c>
      <c r="B66" s="364" t="s">
        <v>457</v>
      </c>
      <c r="C66" s="365">
        <v>0</v>
      </c>
      <c r="D66" s="365">
        <v>0</v>
      </c>
      <c r="E66" s="365">
        <v>0</v>
      </c>
      <c r="F66" s="365">
        <v>0</v>
      </c>
      <c r="G66" s="365">
        <v>0</v>
      </c>
      <c r="H66" s="365">
        <v>0</v>
      </c>
      <c r="I66" s="365">
        <v>0</v>
      </c>
      <c r="J66" s="365">
        <v>0</v>
      </c>
      <c r="K66" s="365">
        <v>0</v>
      </c>
      <c r="L66" s="365">
        <v>0</v>
      </c>
      <c r="M66" s="365">
        <v>0</v>
      </c>
      <c r="N66" s="365">
        <v>0</v>
      </c>
      <c r="O66" s="365">
        <v>0</v>
      </c>
      <c r="P66" s="365">
        <v>0</v>
      </c>
      <c r="Q66" s="365">
        <v>0</v>
      </c>
      <c r="R66" s="365">
        <v>0</v>
      </c>
      <c r="S66" s="365">
        <v>0</v>
      </c>
      <c r="T66" s="365">
        <v>0</v>
      </c>
      <c r="U66" s="366" t="e">
        <v>#DIV/0!</v>
      </c>
      <c r="V66" s="365">
        <v>0</v>
      </c>
      <c r="W66" s="365">
        <v>0</v>
      </c>
      <c r="X66" s="365">
        <v>0</v>
      </c>
      <c r="Y66" s="365">
        <v>0</v>
      </c>
      <c r="Z66" s="365">
        <v>0</v>
      </c>
      <c r="AA66" s="365">
        <v>0</v>
      </c>
    </row>
    <row r="67" spans="1:27" ht="12" customHeight="1" x14ac:dyDescent="0.25">
      <c r="A67" s="354" t="s">
        <v>1165</v>
      </c>
      <c r="B67" s="364" t="s">
        <v>458</v>
      </c>
      <c r="C67" s="365">
        <v>0</v>
      </c>
      <c r="D67" s="365">
        <v>0</v>
      </c>
      <c r="E67" s="365">
        <v>0</v>
      </c>
      <c r="F67" s="365">
        <v>0</v>
      </c>
      <c r="G67" s="365">
        <v>0</v>
      </c>
      <c r="H67" s="365">
        <v>0</v>
      </c>
      <c r="I67" s="365">
        <v>0</v>
      </c>
      <c r="J67" s="365">
        <v>0</v>
      </c>
      <c r="K67" s="365">
        <v>0</v>
      </c>
      <c r="L67" s="365">
        <v>0</v>
      </c>
      <c r="M67" s="365">
        <v>0</v>
      </c>
      <c r="N67" s="365">
        <v>0</v>
      </c>
      <c r="O67" s="365">
        <v>0</v>
      </c>
      <c r="P67" s="365">
        <v>0</v>
      </c>
      <c r="Q67" s="365">
        <v>0</v>
      </c>
      <c r="R67" s="365">
        <v>0</v>
      </c>
      <c r="S67" s="365">
        <v>0</v>
      </c>
      <c r="T67" s="365">
        <v>0</v>
      </c>
      <c r="U67" s="366" t="e">
        <v>#DIV/0!</v>
      </c>
      <c r="V67" s="365">
        <v>0</v>
      </c>
      <c r="W67" s="365">
        <v>0</v>
      </c>
      <c r="X67" s="365">
        <v>0</v>
      </c>
      <c r="Y67" s="365">
        <v>0</v>
      </c>
      <c r="Z67" s="365">
        <v>0</v>
      </c>
      <c r="AA67" s="365">
        <v>0</v>
      </c>
    </row>
    <row r="68" spans="1:27" ht="12" customHeight="1" x14ac:dyDescent="0.25">
      <c r="A68" s="354" t="s">
        <v>1166</v>
      </c>
      <c r="B68" s="364" t="s">
        <v>459</v>
      </c>
      <c r="C68" s="365">
        <v>0</v>
      </c>
      <c r="D68" s="365">
        <v>0</v>
      </c>
      <c r="E68" s="365">
        <v>0</v>
      </c>
      <c r="F68" s="365">
        <v>0</v>
      </c>
      <c r="G68" s="365">
        <v>0</v>
      </c>
      <c r="H68" s="365">
        <v>0</v>
      </c>
      <c r="I68" s="365">
        <v>0</v>
      </c>
      <c r="J68" s="365">
        <v>0</v>
      </c>
      <c r="K68" s="365">
        <v>0</v>
      </c>
      <c r="L68" s="365">
        <v>0</v>
      </c>
      <c r="M68" s="365">
        <v>0</v>
      </c>
      <c r="N68" s="365">
        <v>0</v>
      </c>
      <c r="O68" s="365">
        <v>0</v>
      </c>
      <c r="P68" s="365">
        <v>0</v>
      </c>
      <c r="Q68" s="365">
        <v>0</v>
      </c>
      <c r="R68" s="365">
        <v>0</v>
      </c>
      <c r="S68" s="365">
        <v>0</v>
      </c>
      <c r="T68" s="365">
        <v>0</v>
      </c>
      <c r="U68" s="366" t="e">
        <v>#DIV/0!</v>
      </c>
      <c r="V68" s="365">
        <v>0</v>
      </c>
      <c r="W68" s="365">
        <v>0</v>
      </c>
      <c r="X68" s="365">
        <v>0</v>
      </c>
      <c r="Y68" s="365">
        <v>0</v>
      </c>
      <c r="Z68" s="365">
        <v>0</v>
      </c>
      <c r="AA68" s="365">
        <v>0</v>
      </c>
    </row>
    <row r="69" spans="1:27" ht="12" customHeight="1" x14ac:dyDescent="0.25">
      <c r="A69" s="354" t="s">
        <v>1167</v>
      </c>
      <c r="B69" s="364" t="s">
        <v>460</v>
      </c>
      <c r="C69" s="365">
        <v>0</v>
      </c>
      <c r="D69" s="365">
        <v>0</v>
      </c>
      <c r="E69" s="365">
        <v>0</v>
      </c>
      <c r="F69" s="365">
        <v>0</v>
      </c>
      <c r="G69" s="365">
        <v>0</v>
      </c>
      <c r="H69" s="365">
        <v>0</v>
      </c>
      <c r="I69" s="365">
        <v>0</v>
      </c>
      <c r="J69" s="365">
        <v>0</v>
      </c>
      <c r="K69" s="365">
        <v>0</v>
      </c>
      <c r="L69" s="365">
        <v>0</v>
      </c>
      <c r="M69" s="365">
        <v>0</v>
      </c>
      <c r="N69" s="365">
        <v>0</v>
      </c>
      <c r="O69" s="365">
        <v>0</v>
      </c>
      <c r="P69" s="365">
        <v>0</v>
      </c>
      <c r="Q69" s="365">
        <v>0</v>
      </c>
      <c r="R69" s="365">
        <v>0</v>
      </c>
      <c r="S69" s="365">
        <v>0</v>
      </c>
      <c r="T69" s="365">
        <v>0</v>
      </c>
      <c r="U69" s="366" t="e">
        <v>#DIV/0!</v>
      </c>
      <c r="V69" s="365">
        <v>0</v>
      </c>
      <c r="W69" s="365">
        <v>0</v>
      </c>
      <c r="X69" s="365">
        <v>0</v>
      </c>
      <c r="Y69" s="365">
        <v>0</v>
      </c>
      <c r="Z69" s="365">
        <v>0</v>
      </c>
      <c r="AA69" s="365">
        <v>0</v>
      </c>
    </row>
    <row r="70" spans="1:27" ht="12" customHeight="1" x14ac:dyDescent="0.25">
      <c r="A70" s="354" t="s">
        <v>1168</v>
      </c>
      <c r="B70" s="364" t="s">
        <v>461</v>
      </c>
      <c r="C70" s="365">
        <v>0</v>
      </c>
      <c r="D70" s="365">
        <v>0</v>
      </c>
      <c r="E70" s="365">
        <v>0</v>
      </c>
      <c r="F70" s="365">
        <v>0</v>
      </c>
      <c r="G70" s="365">
        <v>0</v>
      </c>
      <c r="H70" s="365">
        <v>0</v>
      </c>
      <c r="I70" s="365">
        <v>0</v>
      </c>
      <c r="J70" s="365">
        <v>0</v>
      </c>
      <c r="K70" s="365">
        <v>0</v>
      </c>
      <c r="L70" s="365">
        <v>0</v>
      </c>
      <c r="M70" s="365">
        <v>0</v>
      </c>
      <c r="N70" s="365">
        <v>0</v>
      </c>
      <c r="O70" s="365">
        <v>0</v>
      </c>
      <c r="P70" s="365">
        <v>0</v>
      </c>
      <c r="Q70" s="365">
        <v>0</v>
      </c>
      <c r="R70" s="365">
        <v>0</v>
      </c>
      <c r="S70" s="365">
        <v>0</v>
      </c>
      <c r="T70" s="365">
        <v>0</v>
      </c>
      <c r="U70" s="366" t="e">
        <v>#DIV/0!</v>
      </c>
      <c r="V70" s="365">
        <v>0</v>
      </c>
      <c r="W70" s="365">
        <v>0</v>
      </c>
      <c r="X70" s="365">
        <v>0</v>
      </c>
      <c r="Y70" s="365">
        <v>0</v>
      </c>
      <c r="Z70" s="365">
        <v>0</v>
      </c>
      <c r="AA70" s="365">
        <v>0</v>
      </c>
    </row>
    <row r="71" spans="1:27" ht="12" customHeight="1" x14ac:dyDescent="0.25">
      <c r="A71" s="354" t="s">
        <v>1169</v>
      </c>
      <c r="B71" s="364" t="s">
        <v>462</v>
      </c>
      <c r="C71" s="365">
        <v>0</v>
      </c>
      <c r="D71" s="365">
        <v>0</v>
      </c>
      <c r="E71" s="365">
        <v>0</v>
      </c>
      <c r="F71" s="365">
        <v>0</v>
      </c>
      <c r="G71" s="365">
        <v>0</v>
      </c>
      <c r="H71" s="365">
        <v>0</v>
      </c>
      <c r="I71" s="365">
        <v>0</v>
      </c>
      <c r="J71" s="365">
        <v>0</v>
      </c>
      <c r="K71" s="365">
        <v>0</v>
      </c>
      <c r="L71" s="365">
        <v>0</v>
      </c>
      <c r="M71" s="365">
        <v>0</v>
      </c>
      <c r="N71" s="365">
        <v>0</v>
      </c>
      <c r="O71" s="365">
        <v>0</v>
      </c>
      <c r="P71" s="365">
        <v>0</v>
      </c>
      <c r="Q71" s="365">
        <v>0</v>
      </c>
      <c r="R71" s="365">
        <v>0</v>
      </c>
      <c r="S71" s="365">
        <v>0</v>
      </c>
      <c r="T71" s="365">
        <v>0</v>
      </c>
      <c r="U71" s="366" t="e">
        <v>#DIV/0!</v>
      </c>
      <c r="V71" s="365">
        <v>0</v>
      </c>
      <c r="W71" s="365">
        <v>0</v>
      </c>
      <c r="X71" s="365">
        <v>0</v>
      </c>
      <c r="Y71" s="365">
        <v>0</v>
      </c>
      <c r="Z71" s="365">
        <v>0</v>
      </c>
      <c r="AA71" s="365">
        <v>0</v>
      </c>
    </row>
    <row r="72" spans="1:27" ht="12" customHeight="1" x14ac:dyDescent="0.25">
      <c r="A72" s="354"/>
      <c r="B72" s="360" t="s">
        <v>463</v>
      </c>
      <c r="C72" s="361">
        <v>0</v>
      </c>
      <c r="D72" s="361">
        <v>0</v>
      </c>
      <c r="E72" s="361">
        <v>0</v>
      </c>
      <c r="F72" s="361">
        <v>0</v>
      </c>
      <c r="G72" s="361">
        <v>0</v>
      </c>
      <c r="H72" s="361">
        <v>0</v>
      </c>
      <c r="I72" s="361">
        <v>0</v>
      </c>
      <c r="J72" s="361">
        <v>0</v>
      </c>
      <c r="K72" s="361">
        <v>0</v>
      </c>
      <c r="L72" s="361">
        <v>0</v>
      </c>
      <c r="M72" s="361">
        <v>0</v>
      </c>
      <c r="N72" s="361">
        <v>0</v>
      </c>
      <c r="O72" s="361">
        <v>0</v>
      </c>
      <c r="P72" s="361">
        <v>0</v>
      </c>
      <c r="Q72" s="361">
        <v>0</v>
      </c>
      <c r="R72" s="361">
        <v>0</v>
      </c>
      <c r="S72" s="361">
        <v>0</v>
      </c>
      <c r="T72" s="362">
        <v>0</v>
      </c>
      <c r="U72" s="363" t="e">
        <v>#DIV/0!</v>
      </c>
      <c r="V72" s="362">
        <v>0</v>
      </c>
      <c r="W72" s="362">
        <v>0</v>
      </c>
      <c r="X72" s="362">
        <v>0</v>
      </c>
      <c r="Y72" s="362">
        <v>0</v>
      </c>
      <c r="Z72" s="362">
        <v>0</v>
      </c>
      <c r="AA72" s="362">
        <v>0</v>
      </c>
    </row>
    <row r="73" spans="1:27" ht="12" customHeight="1" x14ac:dyDescent="0.25">
      <c r="A73" s="354" t="s">
        <v>1170</v>
      </c>
      <c r="B73" s="364" t="s">
        <v>464</v>
      </c>
      <c r="C73" s="365">
        <v>0</v>
      </c>
      <c r="D73" s="365">
        <v>0</v>
      </c>
      <c r="E73" s="365">
        <v>0</v>
      </c>
      <c r="F73" s="365">
        <v>0</v>
      </c>
      <c r="G73" s="365">
        <v>0</v>
      </c>
      <c r="H73" s="365">
        <v>0</v>
      </c>
      <c r="I73" s="365">
        <v>0</v>
      </c>
      <c r="J73" s="365">
        <v>0</v>
      </c>
      <c r="K73" s="365">
        <v>0</v>
      </c>
      <c r="L73" s="365">
        <v>0</v>
      </c>
      <c r="M73" s="365">
        <v>0</v>
      </c>
      <c r="N73" s="365">
        <v>0</v>
      </c>
      <c r="O73" s="365">
        <v>0</v>
      </c>
      <c r="P73" s="365">
        <v>0</v>
      </c>
      <c r="Q73" s="365">
        <v>0</v>
      </c>
      <c r="R73" s="365">
        <v>0</v>
      </c>
      <c r="S73" s="365">
        <v>0</v>
      </c>
      <c r="T73" s="365">
        <v>0</v>
      </c>
      <c r="U73" s="366" t="e">
        <v>#DIV/0!</v>
      </c>
      <c r="V73" s="365">
        <v>0</v>
      </c>
      <c r="W73" s="365">
        <v>0</v>
      </c>
      <c r="X73" s="365">
        <v>0</v>
      </c>
      <c r="Y73" s="365">
        <v>0</v>
      </c>
      <c r="Z73" s="365">
        <v>0</v>
      </c>
      <c r="AA73" s="365">
        <v>0</v>
      </c>
    </row>
    <row r="74" spans="1:27" ht="12" customHeight="1" x14ac:dyDescent="0.25">
      <c r="A74" s="354" t="s">
        <v>1171</v>
      </c>
      <c r="B74" s="364" t="s">
        <v>465</v>
      </c>
      <c r="C74" s="365">
        <v>0</v>
      </c>
      <c r="D74" s="365">
        <v>0</v>
      </c>
      <c r="E74" s="365">
        <v>0</v>
      </c>
      <c r="F74" s="365">
        <v>0</v>
      </c>
      <c r="G74" s="365">
        <v>0</v>
      </c>
      <c r="H74" s="365">
        <v>0</v>
      </c>
      <c r="I74" s="365">
        <v>0</v>
      </c>
      <c r="J74" s="365">
        <v>0</v>
      </c>
      <c r="K74" s="365">
        <v>0</v>
      </c>
      <c r="L74" s="365">
        <v>0</v>
      </c>
      <c r="M74" s="365">
        <v>0</v>
      </c>
      <c r="N74" s="365">
        <v>0</v>
      </c>
      <c r="O74" s="365">
        <v>0</v>
      </c>
      <c r="P74" s="365">
        <v>0</v>
      </c>
      <c r="Q74" s="365">
        <v>0</v>
      </c>
      <c r="R74" s="365">
        <v>0</v>
      </c>
      <c r="S74" s="365">
        <v>0</v>
      </c>
      <c r="T74" s="365">
        <v>0</v>
      </c>
      <c r="U74" s="366" t="e">
        <v>#DIV/0!</v>
      </c>
      <c r="V74" s="365">
        <v>0</v>
      </c>
      <c r="W74" s="365">
        <v>0</v>
      </c>
      <c r="X74" s="365">
        <v>0</v>
      </c>
      <c r="Y74" s="365">
        <v>0</v>
      </c>
      <c r="Z74" s="365">
        <v>0</v>
      </c>
      <c r="AA74" s="365">
        <v>0</v>
      </c>
    </row>
    <row r="75" spans="1:27" ht="12" customHeight="1" x14ac:dyDescent="0.25">
      <c r="A75" s="354" t="s">
        <v>1172</v>
      </c>
      <c r="B75" s="360" t="s">
        <v>466</v>
      </c>
      <c r="C75" s="362">
        <v>0</v>
      </c>
      <c r="D75" s="362">
        <v>0</v>
      </c>
      <c r="E75" s="362">
        <v>0</v>
      </c>
      <c r="F75" s="362">
        <v>0</v>
      </c>
      <c r="G75" s="362">
        <v>0</v>
      </c>
      <c r="H75" s="362">
        <v>0</v>
      </c>
      <c r="I75" s="362">
        <v>0</v>
      </c>
      <c r="J75" s="362">
        <v>0</v>
      </c>
      <c r="K75" s="362">
        <v>0</v>
      </c>
      <c r="L75" s="362">
        <v>0</v>
      </c>
      <c r="M75" s="362">
        <v>0</v>
      </c>
      <c r="N75" s="362">
        <v>0</v>
      </c>
      <c r="O75" s="362">
        <v>0</v>
      </c>
      <c r="P75" s="362">
        <v>0</v>
      </c>
      <c r="Q75" s="362">
        <v>0</v>
      </c>
      <c r="R75" s="362">
        <v>0</v>
      </c>
      <c r="S75" s="362">
        <v>0</v>
      </c>
      <c r="T75" s="362">
        <v>0</v>
      </c>
      <c r="U75" s="363" t="e">
        <v>#DIV/0!</v>
      </c>
      <c r="V75" s="362">
        <v>0</v>
      </c>
      <c r="W75" s="362">
        <v>0</v>
      </c>
      <c r="X75" s="362">
        <v>0</v>
      </c>
      <c r="Y75" s="362">
        <v>0</v>
      </c>
      <c r="Z75" s="362">
        <v>0</v>
      </c>
      <c r="AA75" s="362">
        <v>0</v>
      </c>
    </row>
    <row r="76" spans="1:27" ht="12" customHeight="1" x14ac:dyDescent="0.25">
      <c r="A76" s="354" t="s">
        <v>1173</v>
      </c>
      <c r="B76" s="360" t="s">
        <v>467</v>
      </c>
      <c r="C76" s="362">
        <v>0</v>
      </c>
      <c r="D76" s="362">
        <v>0</v>
      </c>
      <c r="E76" s="362">
        <v>0</v>
      </c>
      <c r="F76" s="362">
        <v>0</v>
      </c>
      <c r="G76" s="362">
        <v>0</v>
      </c>
      <c r="H76" s="362">
        <v>0</v>
      </c>
      <c r="I76" s="362">
        <v>0</v>
      </c>
      <c r="J76" s="362">
        <v>0</v>
      </c>
      <c r="K76" s="362">
        <v>0</v>
      </c>
      <c r="L76" s="362">
        <v>0</v>
      </c>
      <c r="M76" s="362">
        <v>0</v>
      </c>
      <c r="N76" s="362">
        <v>0</v>
      </c>
      <c r="O76" s="362">
        <v>0</v>
      </c>
      <c r="P76" s="362">
        <v>0</v>
      </c>
      <c r="Q76" s="362">
        <v>0</v>
      </c>
      <c r="R76" s="362">
        <v>0</v>
      </c>
      <c r="S76" s="362">
        <v>0</v>
      </c>
      <c r="T76" s="362">
        <v>0</v>
      </c>
      <c r="U76" s="363" t="e">
        <v>#DIV/0!</v>
      </c>
      <c r="V76" s="362">
        <v>0</v>
      </c>
      <c r="W76" s="362">
        <v>0</v>
      </c>
      <c r="X76" s="362">
        <v>0</v>
      </c>
      <c r="Y76" s="362">
        <v>0</v>
      </c>
      <c r="Z76" s="362">
        <v>0</v>
      </c>
      <c r="AA76" s="362">
        <v>0</v>
      </c>
    </row>
    <row r="77" spans="1:27" ht="12" customHeight="1" x14ac:dyDescent="0.25">
      <c r="A77" s="354" t="s">
        <v>1174</v>
      </c>
      <c r="B77" s="360" t="s">
        <v>468</v>
      </c>
      <c r="C77" s="362">
        <v>0</v>
      </c>
      <c r="D77" s="362">
        <v>0</v>
      </c>
      <c r="E77" s="362">
        <v>0</v>
      </c>
      <c r="F77" s="362">
        <v>0</v>
      </c>
      <c r="G77" s="362">
        <v>0</v>
      </c>
      <c r="H77" s="362">
        <v>0</v>
      </c>
      <c r="I77" s="362">
        <v>0</v>
      </c>
      <c r="J77" s="362">
        <v>0</v>
      </c>
      <c r="K77" s="362">
        <v>0</v>
      </c>
      <c r="L77" s="362">
        <v>0</v>
      </c>
      <c r="M77" s="362">
        <v>0</v>
      </c>
      <c r="N77" s="362">
        <v>0</v>
      </c>
      <c r="O77" s="362">
        <v>0</v>
      </c>
      <c r="P77" s="362">
        <v>0</v>
      </c>
      <c r="Q77" s="362">
        <v>0</v>
      </c>
      <c r="R77" s="362">
        <v>0</v>
      </c>
      <c r="S77" s="362">
        <v>0</v>
      </c>
      <c r="T77" s="362">
        <v>0</v>
      </c>
      <c r="U77" s="363" t="e">
        <v>#DIV/0!</v>
      </c>
      <c r="V77" s="362">
        <v>0</v>
      </c>
      <c r="W77" s="362">
        <v>0</v>
      </c>
      <c r="X77" s="362">
        <v>0</v>
      </c>
      <c r="Y77" s="362">
        <v>0</v>
      </c>
      <c r="Z77" s="362">
        <v>0</v>
      </c>
      <c r="AA77" s="362">
        <v>0</v>
      </c>
    </row>
    <row r="78" spans="1:27" ht="12" customHeight="1" x14ac:dyDescent="0.25">
      <c r="A78" s="354"/>
      <c r="B78" s="360" t="s">
        <v>469</v>
      </c>
      <c r="C78" s="361">
        <v>0</v>
      </c>
      <c r="D78" s="361">
        <v>0</v>
      </c>
      <c r="E78" s="361">
        <v>0</v>
      </c>
      <c r="F78" s="361">
        <v>0</v>
      </c>
      <c r="G78" s="361">
        <v>0</v>
      </c>
      <c r="H78" s="361">
        <v>0</v>
      </c>
      <c r="I78" s="361">
        <v>0</v>
      </c>
      <c r="J78" s="361">
        <v>0</v>
      </c>
      <c r="K78" s="361">
        <v>0</v>
      </c>
      <c r="L78" s="361">
        <v>0</v>
      </c>
      <c r="M78" s="361">
        <v>0</v>
      </c>
      <c r="N78" s="361">
        <v>0</v>
      </c>
      <c r="O78" s="361">
        <v>0</v>
      </c>
      <c r="P78" s="361">
        <v>0</v>
      </c>
      <c r="Q78" s="361">
        <v>0</v>
      </c>
      <c r="R78" s="361">
        <v>0</v>
      </c>
      <c r="S78" s="361">
        <v>0</v>
      </c>
      <c r="T78" s="362">
        <v>0</v>
      </c>
      <c r="U78" s="363" t="e">
        <v>#DIV/0!</v>
      </c>
      <c r="V78" s="362">
        <v>0</v>
      </c>
      <c r="W78" s="362">
        <v>0</v>
      </c>
      <c r="X78" s="362">
        <v>0</v>
      </c>
      <c r="Y78" s="362">
        <v>0</v>
      </c>
      <c r="Z78" s="362">
        <v>0</v>
      </c>
      <c r="AA78" s="362">
        <v>0</v>
      </c>
    </row>
    <row r="79" spans="1:27" ht="12" customHeight="1" x14ac:dyDescent="0.25">
      <c r="A79" s="354" t="s">
        <v>1175</v>
      </c>
      <c r="B79" s="364" t="s">
        <v>470</v>
      </c>
      <c r="C79" s="365">
        <v>0</v>
      </c>
      <c r="D79" s="365">
        <v>0</v>
      </c>
      <c r="E79" s="365">
        <v>0</v>
      </c>
      <c r="F79" s="365">
        <v>0</v>
      </c>
      <c r="G79" s="365">
        <v>0</v>
      </c>
      <c r="H79" s="365">
        <v>0</v>
      </c>
      <c r="I79" s="365">
        <v>0</v>
      </c>
      <c r="J79" s="365">
        <v>0</v>
      </c>
      <c r="K79" s="365">
        <v>0</v>
      </c>
      <c r="L79" s="365">
        <v>0</v>
      </c>
      <c r="M79" s="365">
        <v>0</v>
      </c>
      <c r="N79" s="365">
        <v>0</v>
      </c>
      <c r="O79" s="365">
        <v>0</v>
      </c>
      <c r="P79" s="365">
        <v>0</v>
      </c>
      <c r="Q79" s="365">
        <v>0</v>
      </c>
      <c r="R79" s="365">
        <v>0</v>
      </c>
      <c r="S79" s="365">
        <v>0</v>
      </c>
      <c r="T79" s="365">
        <v>0</v>
      </c>
      <c r="U79" s="366" t="e">
        <v>#DIV/0!</v>
      </c>
      <c r="V79" s="365">
        <v>0</v>
      </c>
      <c r="W79" s="365">
        <v>0</v>
      </c>
      <c r="X79" s="365">
        <v>0</v>
      </c>
      <c r="Y79" s="365">
        <v>0</v>
      </c>
      <c r="Z79" s="365">
        <v>0</v>
      </c>
      <c r="AA79" s="365">
        <v>0</v>
      </c>
    </row>
    <row r="80" spans="1:27" ht="12" customHeight="1" x14ac:dyDescent="0.25">
      <c r="A80" s="354" t="s">
        <v>1176</v>
      </c>
      <c r="B80" s="364" t="s">
        <v>471</v>
      </c>
      <c r="C80" s="365">
        <v>0</v>
      </c>
      <c r="D80" s="365">
        <v>0</v>
      </c>
      <c r="E80" s="365">
        <v>0</v>
      </c>
      <c r="F80" s="365">
        <v>0</v>
      </c>
      <c r="G80" s="365">
        <v>0</v>
      </c>
      <c r="H80" s="365">
        <v>0</v>
      </c>
      <c r="I80" s="365">
        <v>0</v>
      </c>
      <c r="J80" s="365">
        <v>0</v>
      </c>
      <c r="K80" s="365">
        <v>0</v>
      </c>
      <c r="L80" s="365">
        <v>0</v>
      </c>
      <c r="M80" s="365">
        <v>0</v>
      </c>
      <c r="N80" s="365">
        <v>0</v>
      </c>
      <c r="O80" s="365">
        <v>0</v>
      </c>
      <c r="P80" s="365">
        <v>0</v>
      </c>
      <c r="Q80" s="365">
        <v>0</v>
      </c>
      <c r="R80" s="365">
        <v>0</v>
      </c>
      <c r="S80" s="365">
        <v>0</v>
      </c>
      <c r="T80" s="365">
        <v>0</v>
      </c>
      <c r="U80" s="366" t="e">
        <v>#DIV/0!</v>
      </c>
      <c r="V80" s="365">
        <v>0</v>
      </c>
      <c r="W80" s="365">
        <v>0</v>
      </c>
      <c r="X80" s="365">
        <v>0</v>
      </c>
      <c r="Y80" s="365">
        <v>0</v>
      </c>
      <c r="Z80" s="365">
        <v>0</v>
      </c>
      <c r="AA80" s="365">
        <v>0</v>
      </c>
    </row>
    <row r="81" spans="1:27" ht="12" customHeight="1" x14ac:dyDescent="0.25">
      <c r="A81" s="354"/>
      <c r="B81" s="360" t="s">
        <v>472</v>
      </c>
      <c r="C81" s="361">
        <v>0</v>
      </c>
      <c r="D81" s="361">
        <v>0</v>
      </c>
      <c r="E81" s="361">
        <v>0</v>
      </c>
      <c r="F81" s="361">
        <v>0</v>
      </c>
      <c r="G81" s="361">
        <v>0</v>
      </c>
      <c r="H81" s="361">
        <v>0</v>
      </c>
      <c r="I81" s="361">
        <v>0</v>
      </c>
      <c r="J81" s="361">
        <v>0</v>
      </c>
      <c r="K81" s="361">
        <v>0</v>
      </c>
      <c r="L81" s="361">
        <v>0</v>
      </c>
      <c r="M81" s="361">
        <v>0</v>
      </c>
      <c r="N81" s="361">
        <v>0</v>
      </c>
      <c r="O81" s="361">
        <v>0</v>
      </c>
      <c r="P81" s="361">
        <v>0</v>
      </c>
      <c r="Q81" s="361">
        <v>0</v>
      </c>
      <c r="R81" s="361">
        <v>0</v>
      </c>
      <c r="S81" s="361">
        <v>0</v>
      </c>
      <c r="T81" s="362">
        <v>0</v>
      </c>
      <c r="U81" s="363" t="e">
        <v>#DIV/0!</v>
      </c>
      <c r="V81" s="362">
        <v>0</v>
      </c>
      <c r="W81" s="362">
        <v>0</v>
      </c>
      <c r="X81" s="362">
        <v>0</v>
      </c>
      <c r="Y81" s="362">
        <v>0</v>
      </c>
      <c r="Z81" s="362">
        <v>0</v>
      </c>
      <c r="AA81" s="362">
        <v>0</v>
      </c>
    </row>
    <row r="82" spans="1:27" ht="12" customHeight="1" x14ac:dyDescent="0.25">
      <c r="A82" s="354" t="s">
        <v>1177</v>
      </c>
      <c r="B82" s="354" t="s">
        <v>473</v>
      </c>
      <c r="C82" s="365">
        <v>0</v>
      </c>
      <c r="D82" s="365">
        <v>0</v>
      </c>
      <c r="E82" s="365">
        <v>0</v>
      </c>
      <c r="F82" s="365">
        <v>0</v>
      </c>
      <c r="G82" s="365">
        <v>0</v>
      </c>
      <c r="H82" s="365">
        <v>0</v>
      </c>
      <c r="I82" s="365">
        <v>0</v>
      </c>
      <c r="J82" s="365">
        <v>0</v>
      </c>
      <c r="K82" s="365">
        <v>0</v>
      </c>
      <c r="L82" s="365">
        <v>0</v>
      </c>
      <c r="M82" s="365">
        <v>0</v>
      </c>
      <c r="N82" s="365">
        <v>0</v>
      </c>
      <c r="O82" s="365">
        <v>0</v>
      </c>
      <c r="P82" s="365">
        <v>0</v>
      </c>
      <c r="Q82" s="365">
        <v>0</v>
      </c>
      <c r="R82" s="365">
        <v>0</v>
      </c>
      <c r="S82" s="365">
        <v>0</v>
      </c>
      <c r="T82" s="365">
        <v>0</v>
      </c>
      <c r="U82" s="366" t="e">
        <v>#DIV/0!</v>
      </c>
      <c r="V82" s="365">
        <v>0</v>
      </c>
      <c r="W82" s="365">
        <v>0</v>
      </c>
      <c r="X82" s="365">
        <v>0</v>
      </c>
      <c r="Y82" s="365">
        <v>0</v>
      </c>
      <c r="Z82" s="365">
        <v>0</v>
      </c>
      <c r="AA82" s="365">
        <v>0</v>
      </c>
    </row>
    <row r="83" spans="1:27" ht="12" customHeight="1" x14ac:dyDescent="0.25">
      <c r="A83" s="354" t="s">
        <v>1178</v>
      </c>
      <c r="B83" s="354" t="s">
        <v>474</v>
      </c>
      <c r="C83" s="365">
        <v>0</v>
      </c>
      <c r="D83" s="365">
        <v>0</v>
      </c>
      <c r="E83" s="365">
        <v>0</v>
      </c>
      <c r="F83" s="365">
        <v>0</v>
      </c>
      <c r="G83" s="365">
        <v>0</v>
      </c>
      <c r="H83" s="365">
        <v>0</v>
      </c>
      <c r="I83" s="365">
        <v>0</v>
      </c>
      <c r="J83" s="365">
        <v>0</v>
      </c>
      <c r="K83" s="365">
        <v>0</v>
      </c>
      <c r="L83" s="365">
        <v>0</v>
      </c>
      <c r="M83" s="365">
        <v>0</v>
      </c>
      <c r="N83" s="365">
        <v>0</v>
      </c>
      <c r="O83" s="365">
        <v>0</v>
      </c>
      <c r="P83" s="365">
        <v>0</v>
      </c>
      <c r="Q83" s="365">
        <v>0</v>
      </c>
      <c r="R83" s="365">
        <v>0</v>
      </c>
      <c r="S83" s="365">
        <v>0</v>
      </c>
      <c r="T83" s="365">
        <v>0</v>
      </c>
      <c r="U83" s="366" t="e">
        <v>#DIV/0!</v>
      </c>
      <c r="V83" s="365">
        <v>0</v>
      </c>
      <c r="W83" s="365">
        <v>0</v>
      </c>
      <c r="X83" s="365">
        <v>0</v>
      </c>
      <c r="Y83" s="365">
        <v>0</v>
      </c>
      <c r="Z83" s="365">
        <v>0</v>
      </c>
      <c r="AA83" s="365">
        <v>0</v>
      </c>
    </row>
    <row r="84" spans="1:27" ht="12" customHeight="1" x14ac:dyDescent="0.25">
      <c r="A84" s="354" t="s">
        <v>1179</v>
      </c>
      <c r="B84" s="354" t="s">
        <v>475</v>
      </c>
      <c r="C84" s="365">
        <v>0</v>
      </c>
      <c r="D84" s="365">
        <v>0</v>
      </c>
      <c r="E84" s="365">
        <v>0</v>
      </c>
      <c r="F84" s="365">
        <v>0</v>
      </c>
      <c r="G84" s="365">
        <v>0</v>
      </c>
      <c r="H84" s="365">
        <v>0</v>
      </c>
      <c r="I84" s="365">
        <v>0</v>
      </c>
      <c r="J84" s="365">
        <v>0</v>
      </c>
      <c r="K84" s="365">
        <v>0</v>
      </c>
      <c r="L84" s="365">
        <v>0</v>
      </c>
      <c r="M84" s="365">
        <v>0</v>
      </c>
      <c r="N84" s="365">
        <v>0</v>
      </c>
      <c r="O84" s="365">
        <v>0</v>
      </c>
      <c r="P84" s="365">
        <v>0</v>
      </c>
      <c r="Q84" s="365">
        <v>0</v>
      </c>
      <c r="R84" s="365">
        <v>0</v>
      </c>
      <c r="S84" s="365">
        <v>0</v>
      </c>
      <c r="T84" s="365">
        <v>0</v>
      </c>
      <c r="U84" s="366" t="e">
        <v>#DIV/0!</v>
      </c>
      <c r="V84" s="365">
        <v>0</v>
      </c>
      <c r="W84" s="365">
        <v>0</v>
      </c>
      <c r="X84" s="365">
        <v>0</v>
      </c>
      <c r="Y84" s="365">
        <v>0</v>
      </c>
      <c r="Z84" s="365">
        <v>0</v>
      </c>
      <c r="AA84" s="365">
        <v>0</v>
      </c>
    </row>
    <row r="85" spans="1:27" ht="12" customHeight="1" x14ac:dyDescent="0.25">
      <c r="A85" s="354" t="s">
        <v>1180</v>
      </c>
      <c r="B85" s="354" t="s">
        <v>476</v>
      </c>
      <c r="C85" s="365">
        <v>0</v>
      </c>
      <c r="D85" s="365">
        <v>0</v>
      </c>
      <c r="E85" s="365">
        <v>0</v>
      </c>
      <c r="F85" s="365">
        <v>0</v>
      </c>
      <c r="G85" s="365">
        <v>0</v>
      </c>
      <c r="H85" s="365">
        <v>0</v>
      </c>
      <c r="I85" s="365">
        <v>0</v>
      </c>
      <c r="J85" s="365">
        <v>0</v>
      </c>
      <c r="K85" s="365">
        <v>0</v>
      </c>
      <c r="L85" s="365">
        <v>0</v>
      </c>
      <c r="M85" s="365">
        <v>0</v>
      </c>
      <c r="N85" s="365">
        <v>0</v>
      </c>
      <c r="O85" s="365">
        <v>0</v>
      </c>
      <c r="P85" s="365">
        <v>0</v>
      </c>
      <c r="Q85" s="365">
        <v>0</v>
      </c>
      <c r="R85" s="365">
        <v>0</v>
      </c>
      <c r="S85" s="365">
        <v>0</v>
      </c>
      <c r="T85" s="365">
        <v>0</v>
      </c>
      <c r="U85" s="366" t="e">
        <v>#DIV/0!</v>
      </c>
      <c r="V85" s="365">
        <v>0</v>
      </c>
      <c r="W85" s="365">
        <v>0</v>
      </c>
      <c r="X85" s="365">
        <v>0</v>
      </c>
      <c r="Y85" s="365">
        <v>0</v>
      </c>
      <c r="Z85" s="365">
        <v>0</v>
      </c>
      <c r="AA85" s="365">
        <v>0</v>
      </c>
    </row>
    <row r="86" spans="1:27" ht="12" customHeight="1" x14ac:dyDescent="0.25">
      <c r="A86" s="354" t="s">
        <v>1181</v>
      </c>
      <c r="B86" s="354" t="s">
        <v>477</v>
      </c>
      <c r="C86" s="365">
        <v>0</v>
      </c>
      <c r="D86" s="365">
        <v>0</v>
      </c>
      <c r="E86" s="365">
        <v>0</v>
      </c>
      <c r="F86" s="365">
        <v>0</v>
      </c>
      <c r="G86" s="365">
        <v>0</v>
      </c>
      <c r="H86" s="365">
        <v>0</v>
      </c>
      <c r="I86" s="365">
        <v>0</v>
      </c>
      <c r="J86" s="365">
        <v>0</v>
      </c>
      <c r="K86" s="365">
        <v>0</v>
      </c>
      <c r="L86" s="365">
        <v>0</v>
      </c>
      <c r="M86" s="365">
        <v>0</v>
      </c>
      <c r="N86" s="365">
        <v>0</v>
      </c>
      <c r="O86" s="365">
        <v>0</v>
      </c>
      <c r="P86" s="365">
        <v>0</v>
      </c>
      <c r="Q86" s="365">
        <v>0</v>
      </c>
      <c r="R86" s="365">
        <v>0</v>
      </c>
      <c r="S86" s="365">
        <v>0</v>
      </c>
      <c r="T86" s="365">
        <v>0</v>
      </c>
      <c r="U86" s="366" t="e">
        <v>#DIV/0!</v>
      </c>
      <c r="V86" s="365">
        <v>0</v>
      </c>
      <c r="W86" s="365">
        <v>0</v>
      </c>
      <c r="X86" s="365">
        <v>0</v>
      </c>
      <c r="Y86" s="365">
        <v>0</v>
      </c>
      <c r="Z86" s="365">
        <v>0</v>
      </c>
      <c r="AA86" s="365">
        <v>0</v>
      </c>
    </row>
    <row r="87" spans="1:27" ht="12" customHeight="1" x14ac:dyDescent="0.25">
      <c r="A87" s="354" t="s">
        <v>1182</v>
      </c>
      <c r="B87" s="354" t="s">
        <v>478</v>
      </c>
      <c r="C87" s="365">
        <v>0</v>
      </c>
      <c r="D87" s="365">
        <v>0</v>
      </c>
      <c r="E87" s="365">
        <v>0</v>
      </c>
      <c r="F87" s="365">
        <v>0</v>
      </c>
      <c r="G87" s="365">
        <v>0</v>
      </c>
      <c r="H87" s="365">
        <v>0</v>
      </c>
      <c r="I87" s="365">
        <v>0</v>
      </c>
      <c r="J87" s="365">
        <v>0</v>
      </c>
      <c r="K87" s="365">
        <v>0</v>
      </c>
      <c r="L87" s="365">
        <v>0</v>
      </c>
      <c r="M87" s="365">
        <v>0</v>
      </c>
      <c r="N87" s="365">
        <v>0</v>
      </c>
      <c r="O87" s="365">
        <v>0</v>
      </c>
      <c r="P87" s="365">
        <v>0</v>
      </c>
      <c r="Q87" s="365">
        <v>0</v>
      </c>
      <c r="R87" s="365">
        <v>0</v>
      </c>
      <c r="S87" s="365">
        <v>0</v>
      </c>
      <c r="T87" s="365">
        <v>0</v>
      </c>
      <c r="U87" s="366" t="e">
        <v>#DIV/0!</v>
      </c>
      <c r="V87" s="365">
        <v>0</v>
      </c>
      <c r="W87" s="365">
        <v>0</v>
      </c>
      <c r="X87" s="365">
        <v>0</v>
      </c>
      <c r="Y87" s="365">
        <v>0</v>
      </c>
      <c r="Z87" s="365">
        <v>0</v>
      </c>
      <c r="AA87" s="365">
        <v>0</v>
      </c>
    </row>
    <row r="88" spans="1:27" ht="12" customHeight="1" x14ac:dyDescent="0.25">
      <c r="A88" s="354" t="s">
        <v>1183</v>
      </c>
      <c r="B88" s="354" t="s">
        <v>479</v>
      </c>
      <c r="C88" s="365">
        <v>0</v>
      </c>
      <c r="D88" s="365">
        <v>0</v>
      </c>
      <c r="E88" s="365">
        <v>0</v>
      </c>
      <c r="F88" s="365">
        <v>0</v>
      </c>
      <c r="G88" s="365">
        <v>0</v>
      </c>
      <c r="H88" s="365">
        <v>0</v>
      </c>
      <c r="I88" s="365">
        <v>0</v>
      </c>
      <c r="J88" s="365">
        <v>0</v>
      </c>
      <c r="K88" s="365">
        <v>0</v>
      </c>
      <c r="L88" s="365">
        <v>0</v>
      </c>
      <c r="M88" s="365">
        <v>0</v>
      </c>
      <c r="N88" s="365">
        <v>0</v>
      </c>
      <c r="O88" s="365">
        <v>0</v>
      </c>
      <c r="P88" s="365">
        <v>0</v>
      </c>
      <c r="Q88" s="365">
        <v>0</v>
      </c>
      <c r="R88" s="365">
        <v>0</v>
      </c>
      <c r="S88" s="365">
        <v>0</v>
      </c>
      <c r="T88" s="365">
        <v>0</v>
      </c>
      <c r="U88" s="366" t="e">
        <v>#DIV/0!</v>
      </c>
      <c r="V88" s="365">
        <v>0</v>
      </c>
      <c r="W88" s="365">
        <v>0</v>
      </c>
      <c r="X88" s="365">
        <v>0</v>
      </c>
      <c r="Y88" s="365">
        <v>0</v>
      </c>
      <c r="Z88" s="365">
        <v>0</v>
      </c>
      <c r="AA88" s="365">
        <v>0</v>
      </c>
    </row>
    <row r="89" spans="1:27" ht="12" customHeight="1" x14ac:dyDescent="0.25">
      <c r="A89" s="354" t="s">
        <v>1184</v>
      </c>
      <c r="B89" s="354" t="s">
        <v>480</v>
      </c>
      <c r="C89" s="365">
        <v>0</v>
      </c>
      <c r="D89" s="365">
        <v>0</v>
      </c>
      <c r="E89" s="365">
        <v>0</v>
      </c>
      <c r="F89" s="365">
        <v>0</v>
      </c>
      <c r="G89" s="365">
        <v>0</v>
      </c>
      <c r="H89" s="365">
        <v>0</v>
      </c>
      <c r="I89" s="365">
        <v>0</v>
      </c>
      <c r="J89" s="365">
        <v>0</v>
      </c>
      <c r="K89" s="365">
        <v>0</v>
      </c>
      <c r="L89" s="365">
        <v>0</v>
      </c>
      <c r="M89" s="365">
        <v>0</v>
      </c>
      <c r="N89" s="365">
        <v>0</v>
      </c>
      <c r="O89" s="365">
        <v>0</v>
      </c>
      <c r="P89" s="365">
        <v>0</v>
      </c>
      <c r="Q89" s="365">
        <v>0</v>
      </c>
      <c r="R89" s="365">
        <v>0</v>
      </c>
      <c r="S89" s="365">
        <v>0</v>
      </c>
      <c r="T89" s="365">
        <v>0</v>
      </c>
      <c r="U89" s="366" t="e">
        <v>#DIV/0!</v>
      </c>
      <c r="V89" s="365">
        <v>0</v>
      </c>
      <c r="W89" s="365">
        <v>0</v>
      </c>
      <c r="X89" s="365">
        <v>0</v>
      </c>
      <c r="Y89" s="365">
        <v>0</v>
      </c>
      <c r="Z89" s="365">
        <v>0</v>
      </c>
      <c r="AA89" s="365">
        <v>0</v>
      </c>
    </row>
    <row r="90" spans="1:27" ht="12" customHeight="1" x14ac:dyDescent="0.25">
      <c r="A90" s="354" t="s">
        <v>1185</v>
      </c>
      <c r="B90" s="354" t="s">
        <v>481</v>
      </c>
      <c r="C90" s="365">
        <v>0</v>
      </c>
      <c r="D90" s="365">
        <v>0</v>
      </c>
      <c r="E90" s="365">
        <v>0</v>
      </c>
      <c r="F90" s="365">
        <v>0</v>
      </c>
      <c r="G90" s="365">
        <v>0</v>
      </c>
      <c r="H90" s="365">
        <v>0</v>
      </c>
      <c r="I90" s="365">
        <v>0</v>
      </c>
      <c r="J90" s="365">
        <v>0</v>
      </c>
      <c r="K90" s="365">
        <v>0</v>
      </c>
      <c r="L90" s="365">
        <v>0</v>
      </c>
      <c r="M90" s="365">
        <v>0</v>
      </c>
      <c r="N90" s="365">
        <v>0</v>
      </c>
      <c r="O90" s="365">
        <v>0</v>
      </c>
      <c r="P90" s="365">
        <v>0</v>
      </c>
      <c r="Q90" s="365">
        <v>0</v>
      </c>
      <c r="R90" s="365">
        <v>0</v>
      </c>
      <c r="S90" s="365">
        <v>0</v>
      </c>
      <c r="T90" s="365">
        <v>0</v>
      </c>
      <c r="U90" s="366" t="e">
        <v>#DIV/0!</v>
      </c>
      <c r="V90" s="365">
        <v>0</v>
      </c>
      <c r="W90" s="365">
        <v>0</v>
      </c>
      <c r="X90" s="365">
        <v>0</v>
      </c>
      <c r="Y90" s="365">
        <v>0</v>
      </c>
      <c r="Z90" s="365">
        <v>0</v>
      </c>
      <c r="AA90" s="365">
        <v>0</v>
      </c>
    </row>
    <row r="91" spans="1:27" ht="12" customHeight="1" x14ac:dyDescent="0.25">
      <c r="A91" s="354" t="s">
        <v>1186</v>
      </c>
      <c r="B91" s="354" t="s">
        <v>482</v>
      </c>
      <c r="C91" s="365">
        <v>0</v>
      </c>
      <c r="D91" s="365">
        <v>0</v>
      </c>
      <c r="E91" s="365">
        <v>0</v>
      </c>
      <c r="F91" s="365">
        <v>0</v>
      </c>
      <c r="G91" s="365">
        <v>0</v>
      </c>
      <c r="H91" s="365">
        <v>0</v>
      </c>
      <c r="I91" s="365">
        <v>0</v>
      </c>
      <c r="J91" s="365">
        <v>0</v>
      </c>
      <c r="K91" s="365">
        <v>0</v>
      </c>
      <c r="L91" s="365">
        <v>0</v>
      </c>
      <c r="M91" s="365">
        <v>0</v>
      </c>
      <c r="N91" s="365">
        <v>0</v>
      </c>
      <c r="O91" s="365">
        <v>0</v>
      </c>
      <c r="P91" s="365">
        <v>0</v>
      </c>
      <c r="Q91" s="365">
        <v>0</v>
      </c>
      <c r="R91" s="365">
        <v>0</v>
      </c>
      <c r="S91" s="365">
        <v>0</v>
      </c>
      <c r="T91" s="365">
        <v>0</v>
      </c>
      <c r="U91" s="366" t="e">
        <v>#DIV/0!</v>
      </c>
      <c r="V91" s="365">
        <v>0</v>
      </c>
      <c r="W91" s="365">
        <v>0</v>
      </c>
      <c r="X91" s="365">
        <v>0</v>
      </c>
      <c r="Y91" s="365">
        <v>0</v>
      </c>
      <c r="Z91" s="365">
        <v>0</v>
      </c>
      <c r="AA91" s="365">
        <v>0</v>
      </c>
    </row>
    <row r="92" spans="1:27" ht="12" customHeight="1" x14ac:dyDescent="0.25">
      <c r="A92" s="354" t="s">
        <v>1187</v>
      </c>
      <c r="B92" s="354" t="s">
        <v>483</v>
      </c>
      <c r="C92" s="365">
        <v>0</v>
      </c>
      <c r="D92" s="365">
        <v>0</v>
      </c>
      <c r="E92" s="365">
        <v>0</v>
      </c>
      <c r="F92" s="365">
        <v>0</v>
      </c>
      <c r="G92" s="365">
        <v>0</v>
      </c>
      <c r="H92" s="365">
        <v>0</v>
      </c>
      <c r="I92" s="365">
        <v>0</v>
      </c>
      <c r="J92" s="365">
        <v>0</v>
      </c>
      <c r="K92" s="365">
        <v>0</v>
      </c>
      <c r="L92" s="365">
        <v>0</v>
      </c>
      <c r="M92" s="365">
        <v>0</v>
      </c>
      <c r="N92" s="365">
        <v>0</v>
      </c>
      <c r="O92" s="365">
        <v>0</v>
      </c>
      <c r="P92" s="365">
        <v>0</v>
      </c>
      <c r="Q92" s="365">
        <v>0</v>
      </c>
      <c r="R92" s="365">
        <v>0</v>
      </c>
      <c r="S92" s="365">
        <v>0</v>
      </c>
      <c r="T92" s="365">
        <v>0</v>
      </c>
      <c r="U92" s="366" t="e">
        <v>#DIV/0!</v>
      </c>
      <c r="V92" s="365">
        <v>0</v>
      </c>
      <c r="W92" s="365">
        <v>0</v>
      </c>
      <c r="X92" s="365">
        <v>0</v>
      </c>
      <c r="Y92" s="365">
        <v>0</v>
      </c>
      <c r="Z92" s="365">
        <v>0</v>
      </c>
      <c r="AA92" s="365">
        <v>0</v>
      </c>
    </row>
    <row r="93" spans="1:27" ht="12" customHeight="1" x14ac:dyDescent="0.25">
      <c r="A93" s="354" t="s">
        <v>1188</v>
      </c>
      <c r="B93" s="354" t="s">
        <v>484</v>
      </c>
      <c r="C93" s="365">
        <v>0</v>
      </c>
      <c r="D93" s="365">
        <v>0</v>
      </c>
      <c r="E93" s="365">
        <v>0</v>
      </c>
      <c r="F93" s="365">
        <v>0</v>
      </c>
      <c r="G93" s="365">
        <v>0</v>
      </c>
      <c r="H93" s="365">
        <v>0</v>
      </c>
      <c r="I93" s="365">
        <v>0</v>
      </c>
      <c r="J93" s="365">
        <v>0</v>
      </c>
      <c r="K93" s="365">
        <v>0</v>
      </c>
      <c r="L93" s="365">
        <v>0</v>
      </c>
      <c r="M93" s="365">
        <v>0</v>
      </c>
      <c r="N93" s="365">
        <v>0</v>
      </c>
      <c r="O93" s="365">
        <v>0</v>
      </c>
      <c r="P93" s="365">
        <v>0</v>
      </c>
      <c r="Q93" s="365">
        <v>0</v>
      </c>
      <c r="R93" s="365">
        <v>0</v>
      </c>
      <c r="S93" s="365">
        <v>0</v>
      </c>
      <c r="T93" s="365">
        <v>0</v>
      </c>
      <c r="U93" s="366" t="e">
        <v>#DIV/0!</v>
      </c>
      <c r="V93" s="365">
        <v>0</v>
      </c>
      <c r="W93" s="365">
        <v>0</v>
      </c>
      <c r="X93" s="365">
        <v>0</v>
      </c>
      <c r="Y93" s="365">
        <v>0</v>
      </c>
      <c r="Z93" s="365">
        <v>0</v>
      </c>
      <c r="AA93" s="365">
        <v>0</v>
      </c>
    </row>
    <row r="94" spans="1:27" ht="12" customHeight="1" x14ac:dyDescent="0.25">
      <c r="A94" s="354" t="s">
        <v>1189</v>
      </c>
      <c r="B94" s="354" t="s">
        <v>485</v>
      </c>
      <c r="C94" s="365">
        <v>0</v>
      </c>
      <c r="D94" s="365">
        <v>0</v>
      </c>
      <c r="E94" s="365">
        <v>0</v>
      </c>
      <c r="F94" s="365">
        <v>0</v>
      </c>
      <c r="G94" s="365">
        <v>0</v>
      </c>
      <c r="H94" s="365">
        <v>0</v>
      </c>
      <c r="I94" s="365">
        <v>0</v>
      </c>
      <c r="J94" s="365">
        <v>0</v>
      </c>
      <c r="K94" s="365">
        <v>0</v>
      </c>
      <c r="L94" s="365">
        <v>0</v>
      </c>
      <c r="M94" s="365">
        <v>0</v>
      </c>
      <c r="N94" s="365">
        <v>0</v>
      </c>
      <c r="O94" s="365">
        <v>0</v>
      </c>
      <c r="P94" s="365">
        <v>0</v>
      </c>
      <c r="Q94" s="365">
        <v>0</v>
      </c>
      <c r="R94" s="365">
        <v>0</v>
      </c>
      <c r="S94" s="365">
        <v>0</v>
      </c>
      <c r="T94" s="365">
        <v>0</v>
      </c>
      <c r="U94" s="366" t="e">
        <v>#DIV/0!</v>
      </c>
      <c r="V94" s="365">
        <v>0</v>
      </c>
      <c r="W94" s="365">
        <v>0</v>
      </c>
      <c r="X94" s="365">
        <v>0</v>
      </c>
      <c r="Y94" s="365">
        <v>0</v>
      </c>
      <c r="Z94" s="365">
        <v>0</v>
      </c>
      <c r="AA94" s="365">
        <v>0</v>
      </c>
    </row>
    <row r="95" spans="1:27" ht="12" customHeight="1" x14ac:dyDescent="0.25">
      <c r="A95" s="354" t="s">
        <v>1190</v>
      </c>
      <c r="B95" s="354" t="s">
        <v>486</v>
      </c>
      <c r="C95" s="365">
        <v>0</v>
      </c>
      <c r="D95" s="365">
        <v>0</v>
      </c>
      <c r="E95" s="365">
        <v>0</v>
      </c>
      <c r="F95" s="365">
        <v>0</v>
      </c>
      <c r="G95" s="365">
        <v>0</v>
      </c>
      <c r="H95" s="365">
        <v>0</v>
      </c>
      <c r="I95" s="365">
        <v>0</v>
      </c>
      <c r="J95" s="365">
        <v>0</v>
      </c>
      <c r="K95" s="365">
        <v>0</v>
      </c>
      <c r="L95" s="365">
        <v>0</v>
      </c>
      <c r="M95" s="365">
        <v>0</v>
      </c>
      <c r="N95" s="365">
        <v>0</v>
      </c>
      <c r="O95" s="365">
        <v>0</v>
      </c>
      <c r="P95" s="365">
        <v>0</v>
      </c>
      <c r="Q95" s="365">
        <v>0</v>
      </c>
      <c r="R95" s="365">
        <v>0</v>
      </c>
      <c r="S95" s="365">
        <v>0</v>
      </c>
      <c r="T95" s="365">
        <v>0</v>
      </c>
      <c r="U95" s="366" t="e">
        <v>#DIV/0!</v>
      </c>
      <c r="V95" s="365">
        <v>0</v>
      </c>
      <c r="W95" s="365">
        <v>0</v>
      </c>
      <c r="X95" s="365">
        <v>0</v>
      </c>
      <c r="Y95" s="365">
        <v>0</v>
      </c>
      <c r="Z95" s="365">
        <v>0</v>
      </c>
      <c r="AA95" s="365">
        <v>0</v>
      </c>
    </row>
    <row r="96" spans="1:27" ht="12" customHeight="1" x14ac:dyDescent="0.25">
      <c r="A96" s="354" t="s">
        <v>1191</v>
      </c>
      <c r="B96" s="354" t="s">
        <v>487</v>
      </c>
      <c r="C96" s="365">
        <v>0</v>
      </c>
      <c r="D96" s="365">
        <v>0</v>
      </c>
      <c r="E96" s="365">
        <v>0</v>
      </c>
      <c r="F96" s="365">
        <v>0</v>
      </c>
      <c r="G96" s="365">
        <v>0</v>
      </c>
      <c r="H96" s="365">
        <v>0</v>
      </c>
      <c r="I96" s="365">
        <v>0</v>
      </c>
      <c r="J96" s="365">
        <v>0</v>
      </c>
      <c r="K96" s="365">
        <v>0</v>
      </c>
      <c r="L96" s="365">
        <v>0</v>
      </c>
      <c r="M96" s="365">
        <v>0</v>
      </c>
      <c r="N96" s="365">
        <v>0</v>
      </c>
      <c r="O96" s="365">
        <v>0</v>
      </c>
      <c r="P96" s="365">
        <v>0</v>
      </c>
      <c r="Q96" s="365">
        <v>0</v>
      </c>
      <c r="R96" s="365">
        <v>0</v>
      </c>
      <c r="S96" s="365">
        <v>0</v>
      </c>
      <c r="T96" s="365">
        <v>0</v>
      </c>
      <c r="U96" s="366" t="e">
        <v>#DIV/0!</v>
      </c>
      <c r="V96" s="365">
        <v>0</v>
      </c>
      <c r="W96" s="365">
        <v>0</v>
      </c>
      <c r="X96" s="365">
        <v>0</v>
      </c>
      <c r="Y96" s="365">
        <v>0</v>
      </c>
      <c r="Z96" s="365">
        <v>0</v>
      </c>
      <c r="AA96" s="365">
        <v>0</v>
      </c>
    </row>
    <row r="97" spans="1:27" ht="12" customHeight="1" x14ac:dyDescent="0.25">
      <c r="A97" s="354" t="s">
        <v>1192</v>
      </c>
      <c r="B97" s="354" t="s">
        <v>488</v>
      </c>
      <c r="C97" s="365">
        <v>0</v>
      </c>
      <c r="D97" s="365">
        <v>0</v>
      </c>
      <c r="E97" s="365">
        <v>0</v>
      </c>
      <c r="F97" s="365">
        <v>0</v>
      </c>
      <c r="G97" s="365">
        <v>0</v>
      </c>
      <c r="H97" s="365">
        <v>0</v>
      </c>
      <c r="I97" s="365">
        <v>0</v>
      </c>
      <c r="J97" s="365">
        <v>0</v>
      </c>
      <c r="K97" s="365">
        <v>0</v>
      </c>
      <c r="L97" s="365">
        <v>0</v>
      </c>
      <c r="M97" s="365">
        <v>0</v>
      </c>
      <c r="N97" s="365">
        <v>0</v>
      </c>
      <c r="O97" s="365">
        <v>0</v>
      </c>
      <c r="P97" s="365">
        <v>0</v>
      </c>
      <c r="Q97" s="365">
        <v>0</v>
      </c>
      <c r="R97" s="365">
        <v>0</v>
      </c>
      <c r="S97" s="365">
        <v>0</v>
      </c>
      <c r="T97" s="365">
        <v>0</v>
      </c>
      <c r="U97" s="366" t="e">
        <v>#DIV/0!</v>
      </c>
      <c r="V97" s="365">
        <v>0</v>
      </c>
      <c r="W97" s="365">
        <v>0</v>
      </c>
      <c r="X97" s="365">
        <v>0</v>
      </c>
      <c r="Y97" s="365">
        <v>0</v>
      </c>
      <c r="Z97" s="365">
        <v>0</v>
      </c>
      <c r="AA97" s="365">
        <v>0</v>
      </c>
    </row>
    <row r="98" spans="1:27" ht="12" customHeight="1" x14ac:dyDescent="0.25">
      <c r="A98" s="354" t="s">
        <v>1193</v>
      </c>
      <c r="B98" s="354" t="s">
        <v>489</v>
      </c>
      <c r="C98" s="365">
        <v>0</v>
      </c>
      <c r="D98" s="365">
        <v>0</v>
      </c>
      <c r="E98" s="365">
        <v>0</v>
      </c>
      <c r="F98" s="365">
        <v>0</v>
      </c>
      <c r="G98" s="365">
        <v>0</v>
      </c>
      <c r="H98" s="365">
        <v>0</v>
      </c>
      <c r="I98" s="365">
        <v>0</v>
      </c>
      <c r="J98" s="365">
        <v>0</v>
      </c>
      <c r="K98" s="365">
        <v>0</v>
      </c>
      <c r="L98" s="365">
        <v>0</v>
      </c>
      <c r="M98" s="365">
        <v>0</v>
      </c>
      <c r="N98" s="365">
        <v>0</v>
      </c>
      <c r="O98" s="365">
        <v>0</v>
      </c>
      <c r="P98" s="365">
        <v>0</v>
      </c>
      <c r="Q98" s="365">
        <v>0</v>
      </c>
      <c r="R98" s="365">
        <v>0</v>
      </c>
      <c r="S98" s="365">
        <v>0</v>
      </c>
      <c r="T98" s="365">
        <v>0</v>
      </c>
      <c r="U98" s="366" t="e">
        <v>#DIV/0!</v>
      </c>
      <c r="V98" s="365">
        <v>0</v>
      </c>
      <c r="W98" s="365">
        <v>0</v>
      </c>
      <c r="X98" s="365">
        <v>0</v>
      </c>
      <c r="Y98" s="365">
        <v>0</v>
      </c>
      <c r="Z98" s="365">
        <v>0</v>
      </c>
      <c r="AA98" s="365">
        <v>0</v>
      </c>
    </row>
    <row r="99" spans="1:27" ht="12" customHeight="1" x14ac:dyDescent="0.25">
      <c r="A99" s="354" t="s">
        <v>1194</v>
      </c>
      <c r="B99" s="354" t="s">
        <v>490</v>
      </c>
      <c r="C99" s="365">
        <v>0</v>
      </c>
      <c r="D99" s="365">
        <v>0</v>
      </c>
      <c r="E99" s="365">
        <v>0</v>
      </c>
      <c r="F99" s="365">
        <v>0</v>
      </c>
      <c r="G99" s="365">
        <v>0</v>
      </c>
      <c r="H99" s="365">
        <v>0</v>
      </c>
      <c r="I99" s="365">
        <v>0</v>
      </c>
      <c r="J99" s="365">
        <v>0</v>
      </c>
      <c r="K99" s="365">
        <v>0</v>
      </c>
      <c r="L99" s="365">
        <v>0</v>
      </c>
      <c r="M99" s="365">
        <v>0</v>
      </c>
      <c r="N99" s="365">
        <v>0</v>
      </c>
      <c r="O99" s="365">
        <v>0</v>
      </c>
      <c r="P99" s="365">
        <v>0</v>
      </c>
      <c r="Q99" s="365">
        <v>0</v>
      </c>
      <c r="R99" s="365">
        <v>0</v>
      </c>
      <c r="S99" s="365">
        <v>0</v>
      </c>
      <c r="T99" s="365">
        <v>0</v>
      </c>
      <c r="U99" s="366" t="e">
        <v>#DIV/0!</v>
      </c>
      <c r="V99" s="365">
        <v>0</v>
      </c>
      <c r="W99" s="365">
        <v>0</v>
      </c>
      <c r="X99" s="365">
        <v>0</v>
      </c>
      <c r="Y99" s="365">
        <v>0</v>
      </c>
      <c r="Z99" s="365">
        <v>0</v>
      </c>
      <c r="AA99" s="365">
        <v>0</v>
      </c>
    </row>
    <row r="100" spans="1:27" ht="12" customHeight="1" x14ac:dyDescent="0.25">
      <c r="A100" s="354" t="s">
        <v>1195</v>
      </c>
      <c r="B100" s="354" t="s">
        <v>491</v>
      </c>
      <c r="C100" s="365">
        <v>0</v>
      </c>
      <c r="D100" s="365">
        <v>0</v>
      </c>
      <c r="E100" s="365">
        <v>0</v>
      </c>
      <c r="F100" s="365">
        <v>0</v>
      </c>
      <c r="G100" s="365">
        <v>0</v>
      </c>
      <c r="H100" s="365">
        <v>0</v>
      </c>
      <c r="I100" s="365">
        <v>0</v>
      </c>
      <c r="J100" s="365">
        <v>0</v>
      </c>
      <c r="K100" s="365">
        <v>0</v>
      </c>
      <c r="L100" s="365">
        <v>0</v>
      </c>
      <c r="M100" s="365">
        <v>0</v>
      </c>
      <c r="N100" s="365">
        <v>0</v>
      </c>
      <c r="O100" s="365">
        <v>0</v>
      </c>
      <c r="P100" s="365">
        <v>0</v>
      </c>
      <c r="Q100" s="365">
        <v>0</v>
      </c>
      <c r="R100" s="365">
        <v>0</v>
      </c>
      <c r="S100" s="365">
        <v>0</v>
      </c>
      <c r="T100" s="365">
        <v>0</v>
      </c>
      <c r="U100" s="366" t="e">
        <v>#DIV/0!</v>
      </c>
      <c r="V100" s="365">
        <v>0</v>
      </c>
      <c r="W100" s="365">
        <v>0</v>
      </c>
      <c r="X100" s="365">
        <v>0</v>
      </c>
      <c r="Y100" s="365">
        <v>0</v>
      </c>
      <c r="Z100" s="365">
        <v>0</v>
      </c>
      <c r="AA100" s="365">
        <v>0</v>
      </c>
    </row>
    <row r="101" spans="1:27" ht="12" customHeight="1" x14ac:dyDescent="0.25">
      <c r="A101" s="354" t="s">
        <v>1196</v>
      </c>
      <c r="B101" s="354" t="s">
        <v>492</v>
      </c>
      <c r="C101" s="365">
        <v>0</v>
      </c>
      <c r="D101" s="365">
        <v>0</v>
      </c>
      <c r="E101" s="365">
        <v>0</v>
      </c>
      <c r="F101" s="365">
        <v>0</v>
      </c>
      <c r="G101" s="365">
        <v>0</v>
      </c>
      <c r="H101" s="365">
        <v>0</v>
      </c>
      <c r="I101" s="365">
        <v>0</v>
      </c>
      <c r="J101" s="365">
        <v>0</v>
      </c>
      <c r="K101" s="365">
        <v>0</v>
      </c>
      <c r="L101" s="365">
        <v>0</v>
      </c>
      <c r="M101" s="365">
        <v>0</v>
      </c>
      <c r="N101" s="365">
        <v>0</v>
      </c>
      <c r="O101" s="365">
        <v>0</v>
      </c>
      <c r="P101" s="365">
        <v>0</v>
      </c>
      <c r="Q101" s="365">
        <v>0</v>
      </c>
      <c r="R101" s="365">
        <v>0</v>
      </c>
      <c r="S101" s="365">
        <v>0</v>
      </c>
      <c r="T101" s="365">
        <v>0</v>
      </c>
      <c r="U101" s="366" t="e">
        <v>#DIV/0!</v>
      </c>
      <c r="V101" s="365">
        <v>0</v>
      </c>
      <c r="W101" s="365">
        <v>0</v>
      </c>
      <c r="X101" s="365">
        <v>0</v>
      </c>
      <c r="Y101" s="365">
        <v>0</v>
      </c>
      <c r="Z101" s="365">
        <v>0</v>
      </c>
      <c r="AA101" s="365">
        <v>0</v>
      </c>
    </row>
    <row r="102" spans="1:27" ht="12" customHeight="1" x14ac:dyDescent="0.25">
      <c r="A102" s="354" t="s">
        <v>1197</v>
      </c>
      <c r="B102" s="354" t="s">
        <v>493</v>
      </c>
      <c r="C102" s="365">
        <v>0</v>
      </c>
      <c r="D102" s="365">
        <v>0</v>
      </c>
      <c r="E102" s="365">
        <v>0</v>
      </c>
      <c r="F102" s="365">
        <v>0</v>
      </c>
      <c r="G102" s="365">
        <v>0</v>
      </c>
      <c r="H102" s="365">
        <v>0</v>
      </c>
      <c r="I102" s="365">
        <v>0</v>
      </c>
      <c r="J102" s="365">
        <v>0</v>
      </c>
      <c r="K102" s="365">
        <v>0</v>
      </c>
      <c r="L102" s="365">
        <v>0</v>
      </c>
      <c r="M102" s="365">
        <v>0</v>
      </c>
      <c r="N102" s="365">
        <v>0</v>
      </c>
      <c r="O102" s="365">
        <v>0</v>
      </c>
      <c r="P102" s="365">
        <v>0</v>
      </c>
      <c r="Q102" s="365">
        <v>0</v>
      </c>
      <c r="R102" s="365">
        <v>0</v>
      </c>
      <c r="S102" s="365">
        <v>0</v>
      </c>
      <c r="T102" s="365">
        <v>0</v>
      </c>
      <c r="U102" s="366" t="e">
        <v>#DIV/0!</v>
      </c>
      <c r="V102" s="365">
        <v>0</v>
      </c>
      <c r="W102" s="365">
        <v>0</v>
      </c>
      <c r="X102" s="365">
        <v>0</v>
      </c>
      <c r="Y102" s="365">
        <v>0</v>
      </c>
      <c r="Z102" s="365">
        <v>0</v>
      </c>
      <c r="AA102" s="365">
        <v>0</v>
      </c>
    </row>
    <row r="103" spans="1:27" ht="12" customHeight="1" x14ac:dyDescent="0.25">
      <c r="A103" s="354" t="s">
        <v>1198</v>
      </c>
      <c r="B103" s="354" t="s">
        <v>494</v>
      </c>
      <c r="C103" s="365">
        <v>0</v>
      </c>
      <c r="D103" s="365">
        <v>0</v>
      </c>
      <c r="E103" s="365">
        <v>0</v>
      </c>
      <c r="F103" s="365">
        <v>0</v>
      </c>
      <c r="G103" s="365">
        <v>0</v>
      </c>
      <c r="H103" s="365">
        <v>0</v>
      </c>
      <c r="I103" s="365">
        <v>0</v>
      </c>
      <c r="J103" s="365">
        <v>0</v>
      </c>
      <c r="K103" s="365">
        <v>0</v>
      </c>
      <c r="L103" s="365">
        <v>0</v>
      </c>
      <c r="M103" s="365">
        <v>0</v>
      </c>
      <c r="N103" s="365">
        <v>0</v>
      </c>
      <c r="O103" s="365">
        <v>0</v>
      </c>
      <c r="P103" s="365">
        <v>0</v>
      </c>
      <c r="Q103" s="365">
        <v>0</v>
      </c>
      <c r="R103" s="365">
        <v>0</v>
      </c>
      <c r="S103" s="365">
        <v>0</v>
      </c>
      <c r="T103" s="365">
        <v>0</v>
      </c>
      <c r="U103" s="366" t="e">
        <v>#DIV/0!</v>
      </c>
      <c r="V103" s="365">
        <v>0</v>
      </c>
      <c r="W103" s="365">
        <v>0</v>
      </c>
      <c r="X103" s="365">
        <v>0</v>
      </c>
      <c r="Y103" s="365">
        <v>0</v>
      </c>
      <c r="Z103" s="365">
        <v>0</v>
      </c>
      <c r="AA103" s="365">
        <v>0</v>
      </c>
    </row>
    <row r="104" spans="1:27" ht="12" customHeight="1" x14ac:dyDescent="0.25">
      <c r="A104" s="354" t="s">
        <v>1199</v>
      </c>
      <c r="B104" s="354" t="s">
        <v>495</v>
      </c>
      <c r="C104" s="365">
        <v>0</v>
      </c>
      <c r="D104" s="365">
        <v>0</v>
      </c>
      <c r="E104" s="365">
        <v>0</v>
      </c>
      <c r="F104" s="365">
        <v>0</v>
      </c>
      <c r="G104" s="365">
        <v>0</v>
      </c>
      <c r="H104" s="365">
        <v>0</v>
      </c>
      <c r="I104" s="365">
        <v>0</v>
      </c>
      <c r="J104" s="365">
        <v>0</v>
      </c>
      <c r="K104" s="365">
        <v>0</v>
      </c>
      <c r="L104" s="365">
        <v>0</v>
      </c>
      <c r="M104" s="365">
        <v>0</v>
      </c>
      <c r="N104" s="365">
        <v>0</v>
      </c>
      <c r="O104" s="365">
        <v>0</v>
      </c>
      <c r="P104" s="365">
        <v>0</v>
      </c>
      <c r="Q104" s="365">
        <v>0</v>
      </c>
      <c r="R104" s="365">
        <v>0</v>
      </c>
      <c r="S104" s="365">
        <v>0</v>
      </c>
      <c r="T104" s="365">
        <v>0</v>
      </c>
      <c r="U104" s="366" t="e">
        <v>#DIV/0!</v>
      </c>
      <c r="V104" s="365">
        <v>0</v>
      </c>
      <c r="W104" s="365">
        <v>0</v>
      </c>
      <c r="X104" s="365">
        <v>0</v>
      </c>
      <c r="Y104" s="365">
        <v>0</v>
      </c>
      <c r="Z104" s="365">
        <v>0</v>
      </c>
      <c r="AA104" s="365">
        <v>0</v>
      </c>
    </row>
    <row r="105" spans="1:27" ht="12" customHeight="1" x14ac:dyDescent="0.25">
      <c r="A105" s="354" t="s">
        <v>1200</v>
      </c>
      <c r="B105" s="354" t="s">
        <v>496</v>
      </c>
      <c r="C105" s="365">
        <v>0</v>
      </c>
      <c r="D105" s="365">
        <v>0</v>
      </c>
      <c r="E105" s="365">
        <v>0</v>
      </c>
      <c r="F105" s="365">
        <v>0</v>
      </c>
      <c r="G105" s="365">
        <v>0</v>
      </c>
      <c r="H105" s="365">
        <v>0</v>
      </c>
      <c r="I105" s="365">
        <v>0</v>
      </c>
      <c r="J105" s="365">
        <v>0</v>
      </c>
      <c r="K105" s="365">
        <v>0</v>
      </c>
      <c r="L105" s="365">
        <v>0</v>
      </c>
      <c r="M105" s="365">
        <v>0</v>
      </c>
      <c r="N105" s="365">
        <v>0</v>
      </c>
      <c r="O105" s="365">
        <v>0</v>
      </c>
      <c r="P105" s="365">
        <v>0</v>
      </c>
      <c r="Q105" s="365">
        <v>0</v>
      </c>
      <c r="R105" s="365">
        <v>0</v>
      </c>
      <c r="S105" s="365">
        <v>0</v>
      </c>
      <c r="T105" s="365">
        <v>0</v>
      </c>
      <c r="U105" s="366" t="e">
        <v>#DIV/0!</v>
      </c>
      <c r="V105" s="365">
        <v>0</v>
      </c>
      <c r="W105" s="365">
        <v>0</v>
      </c>
      <c r="X105" s="365">
        <v>0</v>
      </c>
      <c r="Y105" s="365">
        <v>0</v>
      </c>
      <c r="Z105" s="365">
        <v>0</v>
      </c>
      <c r="AA105" s="365">
        <v>0</v>
      </c>
    </row>
    <row r="106" spans="1:27" ht="12" customHeight="1" x14ac:dyDescent="0.25">
      <c r="A106" s="354" t="s">
        <v>1201</v>
      </c>
      <c r="B106" s="354" t="s">
        <v>497</v>
      </c>
      <c r="C106" s="365">
        <v>0</v>
      </c>
      <c r="D106" s="365">
        <v>0</v>
      </c>
      <c r="E106" s="365">
        <v>0</v>
      </c>
      <c r="F106" s="365">
        <v>0</v>
      </c>
      <c r="G106" s="365">
        <v>0</v>
      </c>
      <c r="H106" s="365">
        <v>0</v>
      </c>
      <c r="I106" s="365">
        <v>0</v>
      </c>
      <c r="J106" s="365">
        <v>0</v>
      </c>
      <c r="K106" s="365">
        <v>0</v>
      </c>
      <c r="L106" s="365">
        <v>0</v>
      </c>
      <c r="M106" s="365">
        <v>0</v>
      </c>
      <c r="N106" s="365">
        <v>0</v>
      </c>
      <c r="O106" s="365">
        <v>0</v>
      </c>
      <c r="P106" s="365">
        <v>0</v>
      </c>
      <c r="Q106" s="365">
        <v>0</v>
      </c>
      <c r="R106" s="365">
        <v>0</v>
      </c>
      <c r="S106" s="365">
        <v>0</v>
      </c>
      <c r="T106" s="365">
        <v>0</v>
      </c>
      <c r="U106" s="366" t="e">
        <v>#DIV/0!</v>
      </c>
      <c r="V106" s="365">
        <v>0</v>
      </c>
      <c r="W106" s="365">
        <v>0</v>
      </c>
      <c r="X106" s="365">
        <v>0</v>
      </c>
      <c r="Y106" s="365">
        <v>0</v>
      </c>
      <c r="Z106" s="365">
        <v>0</v>
      </c>
      <c r="AA106" s="365">
        <v>0</v>
      </c>
    </row>
    <row r="107" spans="1:27" ht="12" customHeight="1" x14ac:dyDescent="0.25">
      <c r="A107" s="354" t="s">
        <v>1202</v>
      </c>
      <c r="B107" s="354" t="s">
        <v>498</v>
      </c>
      <c r="C107" s="365">
        <v>0</v>
      </c>
      <c r="D107" s="365">
        <v>0</v>
      </c>
      <c r="E107" s="365">
        <v>0</v>
      </c>
      <c r="F107" s="365">
        <v>0</v>
      </c>
      <c r="G107" s="365">
        <v>0</v>
      </c>
      <c r="H107" s="365">
        <v>0</v>
      </c>
      <c r="I107" s="365">
        <v>0</v>
      </c>
      <c r="J107" s="365">
        <v>0</v>
      </c>
      <c r="K107" s="365">
        <v>0</v>
      </c>
      <c r="L107" s="365">
        <v>0</v>
      </c>
      <c r="M107" s="365">
        <v>0</v>
      </c>
      <c r="N107" s="365">
        <v>0</v>
      </c>
      <c r="O107" s="365">
        <v>0</v>
      </c>
      <c r="P107" s="365">
        <v>0</v>
      </c>
      <c r="Q107" s="365">
        <v>0</v>
      </c>
      <c r="R107" s="365">
        <v>0</v>
      </c>
      <c r="S107" s="365">
        <v>0</v>
      </c>
      <c r="T107" s="365">
        <v>0</v>
      </c>
      <c r="U107" s="366" t="e">
        <v>#DIV/0!</v>
      </c>
      <c r="V107" s="365">
        <v>0</v>
      </c>
      <c r="W107" s="365">
        <v>0</v>
      </c>
      <c r="X107" s="365">
        <v>0</v>
      </c>
      <c r="Y107" s="365">
        <v>0</v>
      </c>
      <c r="Z107" s="365">
        <v>0</v>
      </c>
      <c r="AA107" s="365">
        <v>0</v>
      </c>
    </row>
    <row r="108" spans="1:27" ht="12" customHeight="1" x14ac:dyDescent="0.25">
      <c r="A108" s="354"/>
      <c r="B108" s="360" t="s">
        <v>499</v>
      </c>
      <c r="C108" s="361">
        <v>0</v>
      </c>
      <c r="D108" s="361">
        <v>0</v>
      </c>
      <c r="E108" s="361">
        <v>0</v>
      </c>
      <c r="F108" s="361">
        <v>0</v>
      </c>
      <c r="G108" s="361">
        <v>0</v>
      </c>
      <c r="H108" s="361">
        <v>0</v>
      </c>
      <c r="I108" s="361">
        <v>0</v>
      </c>
      <c r="J108" s="361">
        <v>0</v>
      </c>
      <c r="K108" s="361">
        <v>0</v>
      </c>
      <c r="L108" s="361">
        <v>0</v>
      </c>
      <c r="M108" s="361">
        <v>0</v>
      </c>
      <c r="N108" s="361">
        <v>0</v>
      </c>
      <c r="O108" s="361">
        <v>0</v>
      </c>
      <c r="P108" s="361">
        <v>0</v>
      </c>
      <c r="Q108" s="361">
        <v>0</v>
      </c>
      <c r="R108" s="361">
        <v>0</v>
      </c>
      <c r="S108" s="361">
        <v>0</v>
      </c>
      <c r="T108" s="362">
        <v>0</v>
      </c>
      <c r="U108" s="363" t="e">
        <v>#DIV/0!</v>
      </c>
      <c r="V108" s="362">
        <v>0</v>
      </c>
      <c r="W108" s="362">
        <v>0</v>
      </c>
      <c r="X108" s="362">
        <v>0</v>
      </c>
      <c r="Y108" s="362">
        <v>0</v>
      </c>
      <c r="Z108" s="362">
        <v>0</v>
      </c>
      <c r="AA108" s="362">
        <v>0</v>
      </c>
    </row>
    <row r="109" spans="1:27" ht="12" customHeight="1" x14ac:dyDescent="0.25">
      <c r="A109" s="354" t="s">
        <v>1203</v>
      </c>
      <c r="B109" s="354" t="s">
        <v>500</v>
      </c>
      <c r="C109" s="365">
        <v>0</v>
      </c>
      <c r="D109" s="365">
        <v>0</v>
      </c>
      <c r="E109" s="365">
        <v>0</v>
      </c>
      <c r="F109" s="365">
        <v>0</v>
      </c>
      <c r="G109" s="365">
        <v>0</v>
      </c>
      <c r="H109" s="365">
        <v>0</v>
      </c>
      <c r="I109" s="365">
        <v>0</v>
      </c>
      <c r="J109" s="365">
        <v>0</v>
      </c>
      <c r="K109" s="365">
        <v>0</v>
      </c>
      <c r="L109" s="365">
        <v>0</v>
      </c>
      <c r="M109" s="365">
        <v>0</v>
      </c>
      <c r="N109" s="365">
        <v>0</v>
      </c>
      <c r="O109" s="365">
        <v>0</v>
      </c>
      <c r="P109" s="365">
        <v>0</v>
      </c>
      <c r="Q109" s="365">
        <v>0</v>
      </c>
      <c r="R109" s="365">
        <v>0</v>
      </c>
      <c r="S109" s="365">
        <v>0</v>
      </c>
      <c r="T109" s="365">
        <v>0</v>
      </c>
      <c r="U109" s="366" t="e">
        <v>#DIV/0!</v>
      </c>
      <c r="V109" s="365">
        <v>0</v>
      </c>
      <c r="W109" s="365">
        <v>0</v>
      </c>
      <c r="X109" s="365">
        <v>0</v>
      </c>
      <c r="Y109" s="365">
        <v>0</v>
      </c>
      <c r="Z109" s="365">
        <v>0</v>
      </c>
      <c r="AA109" s="365">
        <v>0</v>
      </c>
    </row>
    <row r="110" spans="1:27" ht="12" customHeight="1" x14ac:dyDescent="0.25">
      <c r="A110" s="354" t="s">
        <v>1204</v>
      </c>
      <c r="B110" s="354" t="s">
        <v>501</v>
      </c>
      <c r="C110" s="365">
        <v>0</v>
      </c>
      <c r="D110" s="365">
        <v>0</v>
      </c>
      <c r="E110" s="365">
        <v>0</v>
      </c>
      <c r="F110" s="365">
        <v>0</v>
      </c>
      <c r="G110" s="365">
        <v>0</v>
      </c>
      <c r="H110" s="365">
        <v>0</v>
      </c>
      <c r="I110" s="365">
        <v>0</v>
      </c>
      <c r="J110" s="365">
        <v>0</v>
      </c>
      <c r="K110" s="365">
        <v>0</v>
      </c>
      <c r="L110" s="365">
        <v>0</v>
      </c>
      <c r="M110" s="365">
        <v>0</v>
      </c>
      <c r="N110" s="365">
        <v>0</v>
      </c>
      <c r="O110" s="365">
        <v>0</v>
      </c>
      <c r="P110" s="365">
        <v>0</v>
      </c>
      <c r="Q110" s="365">
        <v>0</v>
      </c>
      <c r="R110" s="365">
        <v>0</v>
      </c>
      <c r="S110" s="365">
        <v>0</v>
      </c>
      <c r="T110" s="365">
        <v>0</v>
      </c>
      <c r="U110" s="366" t="e">
        <v>#DIV/0!</v>
      </c>
      <c r="V110" s="365">
        <v>0</v>
      </c>
      <c r="W110" s="365">
        <v>0</v>
      </c>
      <c r="X110" s="365">
        <v>0</v>
      </c>
      <c r="Y110" s="365">
        <v>0</v>
      </c>
      <c r="Z110" s="365">
        <v>0</v>
      </c>
      <c r="AA110" s="365">
        <v>0</v>
      </c>
    </row>
    <row r="111" spans="1:27" ht="12" customHeight="1" x14ac:dyDescent="0.25">
      <c r="A111" s="354" t="s">
        <v>1205</v>
      </c>
      <c r="B111" s="354" t="s">
        <v>502</v>
      </c>
      <c r="C111" s="365">
        <v>0</v>
      </c>
      <c r="D111" s="365">
        <v>0</v>
      </c>
      <c r="E111" s="365">
        <v>0</v>
      </c>
      <c r="F111" s="365">
        <v>0</v>
      </c>
      <c r="G111" s="365">
        <v>0</v>
      </c>
      <c r="H111" s="365">
        <v>0</v>
      </c>
      <c r="I111" s="365">
        <v>0</v>
      </c>
      <c r="J111" s="365">
        <v>0</v>
      </c>
      <c r="K111" s="365">
        <v>0</v>
      </c>
      <c r="L111" s="365">
        <v>0</v>
      </c>
      <c r="M111" s="365">
        <v>0</v>
      </c>
      <c r="N111" s="365">
        <v>0</v>
      </c>
      <c r="O111" s="365">
        <v>0</v>
      </c>
      <c r="P111" s="365">
        <v>0</v>
      </c>
      <c r="Q111" s="365">
        <v>0</v>
      </c>
      <c r="R111" s="365">
        <v>0</v>
      </c>
      <c r="S111" s="365">
        <v>0</v>
      </c>
      <c r="T111" s="365">
        <v>0</v>
      </c>
      <c r="U111" s="366" t="e">
        <v>#DIV/0!</v>
      </c>
      <c r="V111" s="365">
        <v>0</v>
      </c>
      <c r="W111" s="365">
        <v>0</v>
      </c>
      <c r="X111" s="365">
        <v>0</v>
      </c>
      <c r="Y111" s="365">
        <v>0</v>
      </c>
      <c r="Z111" s="365">
        <v>0</v>
      </c>
      <c r="AA111" s="365">
        <v>0</v>
      </c>
    </row>
    <row r="112" spans="1:27" ht="12" customHeight="1" x14ac:dyDescent="0.25">
      <c r="A112" s="354" t="s">
        <v>1206</v>
      </c>
      <c r="B112" s="354" t="s">
        <v>503</v>
      </c>
      <c r="C112" s="365">
        <v>0</v>
      </c>
      <c r="D112" s="365">
        <v>0</v>
      </c>
      <c r="E112" s="365">
        <v>0</v>
      </c>
      <c r="F112" s="365">
        <v>0</v>
      </c>
      <c r="G112" s="365">
        <v>0</v>
      </c>
      <c r="H112" s="365">
        <v>0</v>
      </c>
      <c r="I112" s="365">
        <v>0</v>
      </c>
      <c r="J112" s="365">
        <v>0</v>
      </c>
      <c r="K112" s="365">
        <v>0</v>
      </c>
      <c r="L112" s="365">
        <v>0</v>
      </c>
      <c r="M112" s="365">
        <v>0</v>
      </c>
      <c r="N112" s="365">
        <v>0</v>
      </c>
      <c r="O112" s="365">
        <v>0</v>
      </c>
      <c r="P112" s="365">
        <v>0</v>
      </c>
      <c r="Q112" s="365">
        <v>0</v>
      </c>
      <c r="R112" s="365">
        <v>0</v>
      </c>
      <c r="S112" s="365">
        <v>0</v>
      </c>
      <c r="T112" s="365">
        <v>0</v>
      </c>
      <c r="U112" s="366" t="e">
        <v>#DIV/0!</v>
      </c>
      <c r="V112" s="365">
        <v>0</v>
      </c>
      <c r="W112" s="365">
        <v>0</v>
      </c>
      <c r="X112" s="365">
        <v>0</v>
      </c>
      <c r="Y112" s="365">
        <v>0</v>
      </c>
      <c r="Z112" s="365">
        <v>0</v>
      </c>
      <c r="AA112" s="365">
        <v>0</v>
      </c>
    </row>
    <row r="113" spans="1:27" ht="12" customHeight="1" x14ac:dyDescent="0.25">
      <c r="A113" s="354"/>
      <c r="B113" s="360" t="s">
        <v>504</v>
      </c>
      <c r="C113" s="361">
        <v>0</v>
      </c>
      <c r="D113" s="361">
        <v>0</v>
      </c>
      <c r="E113" s="361">
        <v>0</v>
      </c>
      <c r="F113" s="361">
        <v>0</v>
      </c>
      <c r="G113" s="361">
        <v>0</v>
      </c>
      <c r="H113" s="361">
        <v>0</v>
      </c>
      <c r="I113" s="361">
        <v>0</v>
      </c>
      <c r="J113" s="361">
        <v>0</v>
      </c>
      <c r="K113" s="361">
        <v>0</v>
      </c>
      <c r="L113" s="361">
        <v>0</v>
      </c>
      <c r="M113" s="361">
        <v>0</v>
      </c>
      <c r="N113" s="361">
        <v>0</v>
      </c>
      <c r="O113" s="361">
        <v>0</v>
      </c>
      <c r="P113" s="361">
        <v>0</v>
      </c>
      <c r="Q113" s="361">
        <v>0</v>
      </c>
      <c r="R113" s="361">
        <v>0</v>
      </c>
      <c r="S113" s="361">
        <v>0</v>
      </c>
      <c r="T113" s="362">
        <v>0</v>
      </c>
      <c r="U113" s="363" t="e">
        <v>#DIV/0!</v>
      </c>
      <c r="V113" s="362">
        <v>0</v>
      </c>
      <c r="W113" s="362">
        <v>0</v>
      </c>
      <c r="X113" s="362">
        <v>0</v>
      </c>
      <c r="Y113" s="362">
        <v>0</v>
      </c>
      <c r="Z113" s="362">
        <v>0</v>
      </c>
      <c r="AA113" s="362">
        <v>0</v>
      </c>
    </row>
    <row r="114" spans="1:27" ht="12" customHeight="1" x14ac:dyDescent="0.25">
      <c r="A114" s="354" t="s">
        <v>1207</v>
      </c>
      <c r="B114" s="354" t="s">
        <v>505</v>
      </c>
      <c r="C114" s="365">
        <v>0</v>
      </c>
      <c r="D114" s="365">
        <v>0</v>
      </c>
      <c r="E114" s="365">
        <v>0</v>
      </c>
      <c r="F114" s="365">
        <v>0</v>
      </c>
      <c r="G114" s="365">
        <v>0</v>
      </c>
      <c r="H114" s="365">
        <v>0</v>
      </c>
      <c r="I114" s="365">
        <v>0</v>
      </c>
      <c r="J114" s="365">
        <v>0</v>
      </c>
      <c r="K114" s="365">
        <v>0</v>
      </c>
      <c r="L114" s="365">
        <v>0</v>
      </c>
      <c r="M114" s="365">
        <v>0</v>
      </c>
      <c r="N114" s="365">
        <v>0</v>
      </c>
      <c r="O114" s="365">
        <v>0</v>
      </c>
      <c r="P114" s="365">
        <v>0</v>
      </c>
      <c r="Q114" s="365">
        <v>0</v>
      </c>
      <c r="R114" s="365">
        <v>0</v>
      </c>
      <c r="S114" s="365">
        <v>0</v>
      </c>
      <c r="T114" s="365">
        <v>0</v>
      </c>
      <c r="U114" s="366" t="e">
        <v>#DIV/0!</v>
      </c>
      <c r="V114" s="365">
        <v>0</v>
      </c>
      <c r="W114" s="365">
        <v>0</v>
      </c>
      <c r="X114" s="365">
        <v>0</v>
      </c>
      <c r="Y114" s="365">
        <v>0</v>
      </c>
      <c r="Z114" s="365">
        <v>0</v>
      </c>
      <c r="AA114" s="365">
        <v>0</v>
      </c>
    </row>
    <row r="115" spans="1:27" ht="12" customHeight="1" x14ac:dyDescent="0.25">
      <c r="A115" s="354" t="s">
        <v>1208</v>
      </c>
      <c r="B115" s="354" t="s">
        <v>506</v>
      </c>
      <c r="C115" s="365">
        <v>0</v>
      </c>
      <c r="D115" s="365">
        <v>0</v>
      </c>
      <c r="E115" s="365">
        <v>0</v>
      </c>
      <c r="F115" s="365">
        <v>0</v>
      </c>
      <c r="G115" s="365">
        <v>0</v>
      </c>
      <c r="H115" s="365">
        <v>0</v>
      </c>
      <c r="I115" s="365">
        <v>0</v>
      </c>
      <c r="J115" s="365">
        <v>0</v>
      </c>
      <c r="K115" s="365">
        <v>0</v>
      </c>
      <c r="L115" s="365">
        <v>0</v>
      </c>
      <c r="M115" s="365">
        <v>0</v>
      </c>
      <c r="N115" s="365">
        <v>0</v>
      </c>
      <c r="O115" s="365">
        <v>0</v>
      </c>
      <c r="P115" s="365">
        <v>0</v>
      </c>
      <c r="Q115" s="365">
        <v>0</v>
      </c>
      <c r="R115" s="365">
        <v>0</v>
      </c>
      <c r="S115" s="365">
        <v>0</v>
      </c>
      <c r="T115" s="365">
        <v>0</v>
      </c>
      <c r="U115" s="366" t="e">
        <v>#DIV/0!</v>
      </c>
      <c r="V115" s="365">
        <v>0</v>
      </c>
      <c r="W115" s="365">
        <v>0</v>
      </c>
      <c r="X115" s="365">
        <v>0</v>
      </c>
      <c r="Y115" s="365">
        <v>0</v>
      </c>
      <c r="Z115" s="365">
        <v>0</v>
      </c>
      <c r="AA115" s="365">
        <v>0</v>
      </c>
    </row>
    <row r="116" spans="1:27" ht="12" customHeight="1" x14ac:dyDescent="0.25">
      <c r="A116" s="354" t="s">
        <v>1209</v>
      </c>
      <c r="B116" s="354" t="s">
        <v>507</v>
      </c>
      <c r="C116" s="365">
        <v>0</v>
      </c>
      <c r="D116" s="365">
        <v>0</v>
      </c>
      <c r="E116" s="365">
        <v>0</v>
      </c>
      <c r="F116" s="365">
        <v>0</v>
      </c>
      <c r="G116" s="365">
        <v>0</v>
      </c>
      <c r="H116" s="365">
        <v>0</v>
      </c>
      <c r="I116" s="365">
        <v>0</v>
      </c>
      <c r="J116" s="365">
        <v>0</v>
      </c>
      <c r="K116" s="365">
        <v>0</v>
      </c>
      <c r="L116" s="365">
        <v>0</v>
      </c>
      <c r="M116" s="365">
        <v>0</v>
      </c>
      <c r="N116" s="365">
        <v>0</v>
      </c>
      <c r="O116" s="365">
        <v>0</v>
      </c>
      <c r="P116" s="365">
        <v>0</v>
      </c>
      <c r="Q116" s="365">
        <v>0</v>
      </c>
      <c r="R116" s="365">
        <v>0</v>
      </c>
      <c r="S116" s="365">
        <v>0</v>
      </c>
      <c r="T116" s="365">
        <v>0</v>
      </c>
      <c r="U116" s="366" t="e">
        <v>#DIV/0!</v>
      </c>
      <c r="V116" s="365">
        <v>0</v>
      </c>
      <c r="W116" s="365">
        <v>0</v>
      </c>
      <c r="X116" s="365">
        <v>0</v>
      </c>
      <c r="Y116" s="365">
        <v>0</v>
      </c>
      <c r="Z116" s="365">
        <v>0</v>
      </c>
      <c r="AA116" s="365">
        <v>0</v>
      </c>
    </row>
    <row r="117" spans="1:27" ht="12" customHeight="1" x14ac:dyDescent="0.25">
      <c r="A117" s="354" t="s">
        <v>1210</v>
      </c>
      <c r="B117" s="354" t="s">
        <v>508</v>
      </c>
      <c r="C117" s="365">
        <v>0</v>
      </c>
      <c r="D117" s="365">
        <v>0</v>
      </c>
      <c r="E117" s="365">
        <v>0</v>
      </c>
      <c r="F117" s="365">
        <v>0</v>
      </c>
      <c r="G117" s="365">
        <v>0</v>
      </c>
      <c r="H117" s="365">
        <v>0</v>
      </c>
      <c r="I117" s="365">
        <v>0</v>
      </c>
      <c r="J117" s="365">
        <v>0</v>
      </c>
      <c r="K117" s="365">
        <v>0</v>
      </c>
      <c r="L117" s="365">
        <v>0</v>
      </c>
      <c r="M117" s="365">
        <v>0</v>
      </c>
      <c r="N117" s="365">
        <v>0</v>
      </c>
      <c r="O117" s="365">
        <v>0</v>
      </c>
      <c r="P117" s="365">
        <v>0</v>
      </c>
      <c r="Q117" s="365">
        <v>0</v>
      </c>
      <c r="R117" s="365">
        <v>0</v>
      </c>
      <c r="S117" s="365">
        <v>0</v>
      </c>
      <c r="T117" s="365">
        <v>0</v>
      </c>
      <c r="U117" s="366" t="e">
        <v>#DIV/0!</v>
      </c>
      <c r="V117" s="365">
        <v>0</v>
      </c>
      <c r="W117" s="365">
        <v>0</v>
      </c>
      <c r="X117" s="365">
        <v>0</v>
      </c>
      <c r="Y117" s="365">
        <v>0</v>
      </c>
      <c r="Z117" s="365">
        <v>0</v>
      </c>
      <c r="AA117" s="365">
        <v>0</v>
      </c>
    </row>
    <row r="118" spans="1:27" ht="12" customHeight="1" x14ac:dyDescent="0.25">
      <c r="A118" s="354" t="s">
        <v>1211</v>
      </c>
      <c r="B118" s="354" t="s">
        <v>509</v>
      </c>
      <c r="C118" s="365">
        <v>0</v>
      </c>
      <c r="D118" s="365">
        <v>0</v>
      </c>
      <c r="E118" s="365">
        <v>0</v>
      </c>
      <c r="F118" s="365">
        <v>0</v>
      </c>
      <c r="G118" s="365">
        <v>0</v>
      </c>
      <c r="H118" s="365">
        <v>0</v>
      </c>
      <c r="I118" s="365">
        <v>0</v>
      </c>
      <c r="J118" s="365">
        <v>0</v>
      </c>
      <c r="K118" s="365">
        <v>0</v>
      </c>
      <c r="L118" s="365">
        <v>0</v>
      </c>
      <c r="M118" s="365">
        <v>0</v>
      </c>
      <c r="N118" s="365">
        <v>0</v>
      </c>
      <c r="O118" s="365">
        <v>0</v>
      </c>
      <c r="P118" s="365">
        <v>0</v>
      </c>
      <c r="Q118" s="365">
        <v>0</v>
      </c>
      <c r="R118" s="365">
        <v>0</v>
      </c>
      <c r="S118" s="365">
        <v>0</v>
      </c>
      <c r="T118" s="365">
        <v>0</v>
      </c>
      <c r="U118" s="366" t="e">
        <v>#DIV/0!</v>
      </c>
      <c r="V118" s="365">
        <v>0</v>
      </c>
      <c r="W118" s="365">
        <v>0</v>
      </c>
      <c r="X118" s="365">
        <v>0</v>
      </c>
      <c r="Y118" s="365">
        <v>0</v>
      </c>
      <c r="Z118" s="365">
        <v>0</v>
      </c>
      <c r="AA118" s="365">
        <v>0</v>
      </c>
    </row>
    <row r="119" spans="1:27" ht="12" customHeight="1" x14ac:dyDescent="0.25">
      <c r="A119" s="354" t="s">
        <v>1212</v>
      </c>
      <c r="B119" s="354" t="s">
        <v>510</v>
      </c>
      <c r="C119" s="365">
        <v>0</v>
      </c>
      <c r="D119" s="365">
        <v>0</v>
      </c>
      <c r="E119" s="365">
        <v>0</v>
      </c>
      <c r="F119" s="365">
        <v>0</v>
      </c>
      <c r="G119" s="365">
        <v>0</v>
      </c>
      <c r="H119" s="365">
        <v>0</v>
      </c>
      <c r="I119" s="365">
        <v>0</v>
      </c>
      <c r="J119" s="365">
        <v>0</v>
      </c>
      <c r="K119" s="365">
        <v>0</v>
      </c>
      <c r="L119" s="365">
        <v>0</v>
      </c>
      <c r="M119" s="365">
        <v>0</v>
      </c>
      <c r="N119" s="365">
        <v>0</v>
      </c>
      <c r="O119" s="365">
        <v>0</v>
      </c>
      <c r="P119" s="365">
        <v>0</v>
      </c>
      <c r="Q119" s="365">
        <v>0</v>
      </c>
      <c r="R119" s="365">
        <v>0</v>
      </c>
      <c r="S119" s="365">
        <v>0</v>
      </c>
      <c r="T119" s="365">
        <v>0</v>
      </c>
      <c r="U119" s="366" t="e">
        <v>#DIV/0!</v>
      </c>
      <c r="V119" s="365">
        <v>0</v>
      </c>
      <c r="W119" s="365">
        <v>0</v>
      </c>
      <c r="X119" s="365">
        <v>0</v>
      </c>
      <c r="Y119" s="365">
        <v>0</v>
      </c>
      <c r="Z119" s="365">
        <v>0</v>
      </c>
      <c r="AA119" s="365">
        <v>0</v>
      </c>
    </row>
    <row r="120" spans="1:27" ht="12" customHeight="1" x14ac:dyDescent="0.25">
      <c r="A120" s="354"/>
      <c r="B120" s="360" t="s">
        <v>511</v>
      </c>
      <c r="C120" s="361">
        <v>0</v>
      </c>
      <c r="D120" s="361">
        <v>0</v>
      </c>
      <c r="E120" s="361">
        <v>0</v>
      </c>
      <c r="F120" s="361">
        <v>0</v>
      </c>
      <c r="G120" s="361">
        <v>0</v>
      </c>
      <c r="H120" s="361">
        <v>0</v>
      </c>
      <c r="I120" s="361">
        <v>0</v>
      </c>
      <c r="J120" s="361">
        <v>0</v>
      </c>
      <c r="K120" s="361">
        <v>0</v>
      </c>
      <c r="L120" s="361">
        <v>0</v>
      </c>
      <c r="M120" s="361">
        <v>0</v>
      </c>
      <c r="N120" s="361">
        <v>0</v>
      </c>
      <c r="O120" s="361">
        <v>0</v>
      </c>
      <c r="P120" s="361">
        <v>0</v>
      </c>
      <c r="Q120" s="361">
        <v>0</v>
      </c>
      <c r="R120" s="361">
        <v>0</v>
      </c>
      <c r="S120" s="361">
        <v>0</v>
      </c>
      <c r="T120" s="362">
        <v>0</v>
      </c>
      <c r="U120" s="363" t="e">
        <v>#DIV/0!</v>
      </c>
      <c r="V120" s="362">
        <v>0</v>
      </c>
      <c r="W120" s="362">
        <v>0</v>
      </c>
      <c r="X120" s="362">
        <v>0</v>
      </c>
      <c r="Y120" s="362">
        <v>0</v>
      </c>
      <c r="Z120" s="362">
        <v>0</v>
      </c>
      <c r="AA120" s="362">
        <v>0</v>
      </c>
    </row>
    <row r="121" spans="1:27" ht="12" customHeight="1" x14ac:dyDescent="0.25">
      <c r="A121" s="354" t="s">
        <v>1213</v>
      </c>
      <c r="B121" s="354" t="s">
        <v>512</v>
      </c>
      <c r="C121" s="365">
        <v>0</v>
      </c>
      <c r="D121" s="365">
        <v>0</v>
      </c>
      <c r="E121" s="365">
        <v>0</v>
      </c>
      <c r="F121" s="365">
        <v>0</v>
      </c>
      <c r="G121" s="365">
        <v>0</v>
      </c>
      <c r="H121" s="365">
        <v>0</v>
      </c>
      <c r="I121" s="365">
        <v>0</v>
      </c>
      <c r="J121" s="365">
        <v>0</v>
      </c>
      <c r="K121" s="365">
        <v>0</v>
      </c>
      <c r="L121" s="365">
        <v>0</v>
      </c>
      <c r="M121" s="365">
        <v>0</v>
      </c>
      <c r="N121" s="365">
        <v>0</v>
      </c>
      <c r="O121" s="365">
        <v>0</v>
      </c>
      <c r="P121" s="365">
        <v>0</v>
      </c>
      <c r="Q121" s="365">
        <v>0</v>
      </c>
      <c r="R121" s="365">
        <v>0</v>
      </c>
      <c r="S121" s="365">
        <v>0</v>
      </c>
      <c r="T121" s="365">
        <v>0</v>
      </c>
      <c r="U121" s="366" t="e">
        <v>#DIV/0!</v>
      </c>
      <c r="V121" s="365">
        <v>0</v>
      </c>
      <c r="W121" s="365">
        <v>0</v>
      </c>
      <c r="X121" s="365">
        <v>0</v>
      </c>
      <c r="Y121" s="365">
        <v>0</v>
      </c>
      <c r="Z121" s="365">
        <v>0</v>
      </c>
      <c r="AA121" s="365">
        <v>0</v>
      </c>
    </row>
    <row r="122" spans="1:27" ht="12" customHeight="1" x14ac:dyDescent="0.25">
      <c r="A122" s="354" t="s">
        <v>1214</v>
      </c>
      <c r="B122" s="354" t="s">
        <v>513</v>
      </c>
      <c r="C122" s="365">
        <v>0</v>
      </c>
      <c r="D122" s="365">
        <v>0</v>
      </c>
      <c r="E122" s="365">
        <v>0</v>
      </c>
      <c r="F122" s="365">
        <v>0</v>
      </c>
      <c r="G122" s="365">
        <v>0</v>
      </c>
      <c r="H122" s="365">
        <v>0</v>
      </c>
      <c r="I122" s="365">
        <v>0</v>
      </c>
      <c r="J122" s="365">
        <v>0</v>
      </c>
      <c r="K122" s="365">
        <v>0</v>
      </c>
      <c r="L122" s="365">
        <v>0</v>
      </c>
      <c r="M122" s="365">
        <v>0</v>
      </c>
      <c r="N122" s="365">
        <v>0</v>
      </c>
      <c r="O122" s="365">
        <v>0</v>
      </c>
      <c r="P122" s="365">
        <v>0</v>
      </c>
      <c r="Q122" s="365">
        <v>0</v>
      </c>
      <c r="R122" s="365">
        <v>0</v>
      </c>
      <c r="S122" s="365">
        <v>0</v>
      </c>
      <c r="T122" s="365">
        <v>0</v>
      </c>
      <c r="U122" s="366" t="e">
        <v>#DIV/0!</v>
      </c>
      <c r="V122" s="365">
        <v>0</v>
      </c>
      <c r="W122" s="365">
        <v>0</v>
      </c>
      <c r="X122" s="365">
        <v>0</v>
      </c>
      <c r="Y122" s="365">
        <v>0</v>
      </c>
      <c r="Z122" s="365">
        <v>0</v>
      </c>
      <c r="AA122" s="365">
        <v>0</v>
      </c>
    </row>
    <row r="123" spans="1:27" ht="12" customHeight="1" x14ac:dyDescent="0.25">
      <c r="A123" s="354" t="s">
        <v>1215</v>
      </c>
      <c r="B123" s="360" t="s">
        <v>514</v>
      </c>
      <c r="C123" s="362">
        <v>0</v>
      </c>
      <c r="D123" s="362">
        <v>0</v>
      </c>
      <c r="E123" s="362">
        <v>0</v>
      </c>
      <c r="F123" s="362">
        <v>0</v>
      </c>
      <c r="G123" s="362">
        <v>0</v>
      </c>
      <c r="H123" s="362">
        <v>0</v>
      </c>
      <c r="I123" s="362">
        <v>0</v>
      </c>
      <c r="J123" s="362">
        <v>0</v>
      </c>
      <c r="K123" s="362">
        <v>0</v>
      </c>
      <c r="L123" s="362">
        <v>0</v>
      </c>
      <c r="M123" s="362">
        <v>0</v>
      </c>
      <c r="N123" s="362">
        <v>0</v>
      </c>
      <c r="O123" s="362">
        <v>0</v>
      </c>
      <c r="P123" s="362">
        <v>0</v>
      </c>
      <c r="Q123" s="362">
        <v>0</v>
      </c>
      <c r="R123" s="362">
        <v>0</v>
      </c>
      <c r="S123" s="362">
        <v>0</v>
      </c>
      <c r="T123" s="362">
        <v>0</v>
      </c>
      <c r="U123" s="363" t="e">
        <v>#DIV/0!</v>
      </c>
      <c r="V123" s="362">
        <v>0</v>
      </c>
      <c r="W123" s="362">
        <v>0</v>
      </c>
      <c r="X123" s="362">
        <v>0</v>
      </c>
      <c r="Y123" s="362">
        <v>0</v>
      </c>
      <c r="Z123" s="362">
        <v>0</v>
      </c>
      <c r="AA123" s="362">
        <v>0</v>
      </c>
    </row>
    <row r="124" spans="1:27" ht="12" customHeight="1" x14ac:dyDescent="0.25">
      <c r="A124" s="354"/>
      <c r="B124" s="360" t="s">
        <v>515</v>
      </c>
      <c r="C124" s="361">
        <v>0</v>
      </c>
      <c r="D124" s="361">
        <v>0</v>
      </c>
      <c r="E124" s="361">
        <v>0</v>
      </c>
      <c r="F124" s="361">
        <v>0</v>
      </c>
      <c r="G124" s="361">
        <v>0</v>
      </c>
      <c r="H124" s="361">
        <v>0</v>
      </c>
      <c r="I124" s="361">
        <v>0</v>
      </c>
      <c r="J124" s="361">
        <v>0</v>
      </c>
      <c r="K124" s="361">
        <v>0</v>
      </c>
      <c r="L124" s="361">
        <v>0</v>
      </c>
      <c r="M124" s="361">
        <v>0</v>
      </c>
      <c r="N124" s="361">
        <v>0</v>
      </c>
      <c r="O124" s="361">
        <v>0</v>
      </c>
      <c r="P124" s="361">
        <v>0</v>
      </c>
      <c r="Q124" s="361">
        <v>0</v>
      </c>
      <c r="R124" s="361">
        <v>0</v>
      </c>
      <c r="S124" s="361">
        <v>0</v>
      </c>
      <c r="T124" s="362">
        <v>0</v>
      </c>
      <c r="U124" s="363" t="e">
        <v>#DIV/0!</v>
      </c>
      <c r="V124" s="362">
        <v>0</v>
      </c>
      <c r="W124" s="362">
        <v>0</v>
      </c>
      <c r="X124" s="362">
        <v>0</v>
      </c>
      <c r="Y124" s="362">
        <v>0</v>
      </c>
      <c r="Z124" s="362">
        <v>0</v>
      </c>
      <c r="AA124" s="362">
        <v>0</v>
      </c>
    </row>
    <row r="125" spans="1:27" ht="12" customHeight="1" x14ac:dyDescent="0.25">
      <c r="A125" s="354" t="s">
        <v>1216</v>
      </c>
      <c r="B125" s="354" t="s">
        <v>516</v>
      </c>
      <c r="C125" s="365">
        <v>0</v>
      </c>
      <c r="D125" s="365">
        <v>0</v>
      </c>
      <c r="E125" s="365">
        <v>0</v>
      </c>
      <c r="F125" s="365">
        <v>0</v>
      </c>
      <c r="G125" s="365">
        <v>0</v>
      </c>
      <c r="H125" s="365">
        <v>0</v>
      </c>
      <c r="I125" s="365">
        <v>0</v>
      </c>
      <c r="J125" s="365">
        <v>0</v>
      </c>
      <c r="K125" s="365">
        <v>0</v>
      </c>
      <c r="L125" s="365">
        <v>0</v>
      </c>
      <c r="M125" s="365">
        <v>0</v>
      </c>
      <c r="N125" s="365">
        <v>0</v>
      </c>
      <c r="O125" s="365">
        <v>0</v>
      </c>
      <c r="P125" s="365">
        <v>0</v>
      </c>
      <c r="Q125" s="365">
        <v>0</v>
      </c>
      <c r="R125" s="365">
        <v>0</v>
      </c>
      <c r="S125" s="365">
        <v>0</v>
      </c>
      <c r="T125" s="365">
        <v>0</v>
      </c>
      <c r="U125" s="366" t="e">
        <v>#DIV/0!</v>
      </c>
      <c r="V125" s="365">
        <v>0</v>
      </c>
      <c r="W125" s="365">
        <v>0</v>
      </c>
      <c r="X125" s="365">
        <v>0</v>
      </c>
      <c r="Y125" s="365">
        <v>0</v>
      </c>
      <c r="Z125" s="365">
        <v>0</v>
      </c>
      <c r="AA125" s="365">
        <v>0</v>
      </c>
    </row>
    <row r="126" spans="1:27" ht="12" customHeight="1" x14ac:dyDescent="0.25">
      <c r="A126" s="354" t="s">
        <v>1217</v>
      </c>
      <c r="B126" s="354" t="s">
        <v>517</v>
      </c>
      <c r="C126" s="365">
        <v>0</v>
      </c>
      <c r="D126" s="365">
        <v>0</v>
      </c>
      <c r="E126" s="365">
        <v>0</v>
      </c>
      <c r="F126" s="365">
        <v>0</v>
      </c>
      <c r="G126" s="365">
        <v>0</v>
      </c>
      <c r="H126" s="365">
        <v>0</v>
      </c>
      <c r="I126" s="365">
        <v>0</v>
      </c>
      <c r="J126" s="365">
        <v>0</v>
      </c>
      <c r="K126" s="365">
        <v>0</v>
      </c>
      <c r="L126" s="365">
        <v>0</v>
      </c>
      <c r="M126" s="365">
        <v>0</v>
      </c>
      <c r="N126" s="365">
        <v>0</v>
      </c>
      <c r="O126" s="365">
        <v>0</v>
      </c>
      <c r="P126" s="365">
        <v>0</v>
      </c>
      <c r="Q126" s="365">
        <v>0</v>
      </c>
      <c r="R126" s="365">
        <v>0</v>
      </c>
      <c r="S126" s="365">
        <v>0</v>
      </c>
      <c r="T126" s="365">
        <v>0</v>
      </c>
      <c r="U126" s="366" t="e">
        <v>#DIV/0!</v>
      </c>
      <c r="V126" s="365">
        <v>0</v>
      </c>
      <c r="W126" s="365">
        <v>0</v>
      </c>
      <c r="X126" s="365">
        <v>0</v>
      </c>
      <c r="Y126" s="365">
        <v>0</v>
      </c>
      <c r="Z126" s="365">
        <v>0</v>
      </c>
      <c r="AA126" s="365">
        <v>0</v>
      </c>
    </row>
    <row r="127" spans="1:27" ht="12" customHeight="1" x14ac:dyDescent="0.25">
      <c r="A127" s="354"/>
      <c r="B127" s="360" t="s">
        <v>518</v>
      </c>
      <c r="C127" s="361">
        <v>0</v>
      </c>
      <c r="D127" s="361">
        <v>0</v>
      </c>
      <c r="E127" s="361">
        <v>0</v>
      </c>
      <c r="F127" s="361">
        <v>0</v>
      </c>
      <c r="G127" s="361">
        <v>0</v>
      </c>
      <c r="H127" s="361">
        <v>0</v>
      </c>
      <c r="I127" s="361">
        <v>0</v>
      </c>
      <c r="J127" s="361">
        <v>0</v>
      </c>
      <c r="K127" s="361">
        <v>0</v>
      </c>
      <c r="L127" s="361">
        <v>0</v>
      </c>
      <c r="M127" s="361">
        <v>0</v>
      </c>
      <c r="N127" s="361">
        <v>0</v>
      </c>
      <c r="O127" s="361">
        <v>0</v>
      </c>
      <c r="P127" s="361">
        <v>0</v>
      </c>
      <c r="Q127" s="361">
        <v>0</v>
      </c>
      <c r="R127" s="361">
        <v>0</v>
      </c>
      <c r="S127" s="361">
        <v>0</v>
      </c>
      <c r="T127" s="362">
        <v>0</v>
      </c>
      <c r="U127" s="363" t="e">
        <v>#DIV/0!</v>
      </c>
      <c r="V127" s="362">
        <v>0</v>
      </c>
      <c r="W127" s="362">
        <v>0</v>
      </c>
      <c r="X127" s="362">
        <v>0</v>
      </c>
      <c r="Y127" s="362">
        <v>0</v>
      </c>
      <c r="Z127" s="362">
        <v>0</v>
      </c>
      <c r="AA127" s="362">
        <v>0</v>
      </c>
    </row>
    <row r="128" spans="1:27" ht="12" customHeight="1" x14ac:dyDescent="0.25">
      <c r="A128" s="354" t="s">
        <v>1218</v>
      </c>
      <c r="B128" s="354" t="s">
        <v>519</v>
      </c>
      <c r="C128" s="365">
        <v>0</v>
      </c>
      <c r="D128" s="365">
        <v>0</v>
      </c>
      <c r="E128" s="365">
        <v>0</v>
      </c>
      <c r="F128" s="365">
        <v>0</v>
      </c>
      <c r="G128" s="365">
        <v>0</v>
      </c>
      <c r="H128" s="365">
        <v>0</v>
      </c>
      <c r="I128" s="365">
        <v>0</v>
      </c>
      <c r="J128" s="365">
        <v>0</v>
      </c>
      <c r="K128" s="365">
        <v>0</v>
      </c>
      <c r="L128" s="365">
        <v>0</v>
      </c>
      <c r="M128" s="365">
        <v>0</v>
      </c>
      <c r="N128" s="365">
        <v>0</v>
      </c>
      <c r="O128" s="365">
        <v>0</v>
      </c>
      <c r="P128" s="365">
        <v>0</v>
      </c>
      <c r="Q128" s="365">
        <v>0</v>
      </c>
      <c r="R128" s="365">
        <v>0</v>
      </c>
      <c r="S128" s="365">
        <v>0</v>
      </c>
      <c r="T128" s="365">
        <v>0</v>
      </c>
      <c r="U128" s="366" t="e">
        <v>#DIV/0!</v>
      </c>
      <c r="V128" s="365">
        <v>0</v>
      </c>
      <c r="W128" s="365">
        <v>0</v>
      </c>
      <c r="X128" s="365">
        <v>0</v>
      </c>
      <c r="Y128" s="365">
        <v>0</v>
      </c>
      <c r="Z128" s="365">
        <v>0</v>
      </c>
      <c r="AA128" s="365">
        <v>0</v>
      </c>
    </row>
    <row r="129" spans="1:27" ht="12" customHeight="1" x14ac:dyDescent="0.25">
      <c r="A129" s="354" t="s">
        <v>1219</v>
      </c>
      <c r="B129" s="354" t="s">
        <v>520</v>
      </c>
      <c r="C129" s="365">
        <v>0</v>
      </c>
      <c r="D129" s="365">
        <v>0</v>
      </c>
      <c r="E129" s="365">
        <v>0</v>
      </c>
      <c r="F129" s="365">
        <v>0</v>
      </c>
      <c r="G129" s="365">
        <v>0</v>
      </c>
      <c r="H129" s="365">
        <v>0</v>
      </c>
      <c r="I129" s="365">
        <v>0</v>
      </c>
      <c r="J129" s="365">
        <v>0</v>
      </c>
      <c r="K129" s="365">
        <v>0</v>
      </c>
      <c r="L129" s="365">
        <v>0</v>
      </c>
      <c r="M129" s="365">
        <v>0</v>
      </c>
      <c r="N129" s="365">
        <v>0</v>
      </c>
      <c r="O129" s="365">
        <v>0</v>
      </c>
      <c r="P129" s="365">
        <v>0</v>
      </c>
      <c r="Q129" s="365">
        <v>0</v>
      </c>
      <c r="R129" s="365">
        <v>0</v>
      </c>
      <c r="S129" s="365">
        <v>0</v>
      </c>
      <c r="T129" s="365">
        <v>0</v>
      </c>
      <c r="U129" s="366" t="e">
        <v>#DIV/0!</v>
      </c>
      <c r="V129" s="365">
        <v>0</v>
      </c>
      <c r="W129" s="365">
        <v>0</v>
      </c>
      <c r="X129" s="365">
        <v>0</v>
      </c>
      <c r="Y129" s="365">
        <v>0</v>
      </c>
      <c r="Z129" s="365">
        <v>0</v>
      </c>
      <c r="AA129" s="365">
        <v>0</v>
      </c>
    </row>
    <row r="130" spans="1:27" ht="12" customHeight="1" x14ac:dyDescent="0.25">
      <c r="A130" s="354"/>
      <c r="B130" s="360" t="s">
        <v>521</v>
      </c>
      <c r="C130" s="361">
        <v>72000</v>
      </c>
      <c r="D130" s="361">
        <v>95000</v>
      </c>
      <c r="E130" s="361">
        <v>95000</v>
      </c>
      <c r="F130" s="361">
        <v>73992</v>
      </c>
      <c r="G130" s="361">
        <v>73896</v>
      </c>
      <c r="H130" s="361">
        <v>0</v>
      </c>
      <c r="I130" s="361">
        <v>1668</v>
      </c>
      <c r="J130" s="361">
        <v>5896</v>
      </c>
      <c r="K130" s="361">
        <v>15148</v>
      </c>
      <c r="L130" s="361">
        <v>10944</v>
      </c>
      <c r="M130" s="361">
        <v>12560</v>
      </c>
      <c r="N130" s="361">
        <v>15492</v>
      </c>
      <c r="O130" s="361">
        <v>3848</v>
      </c>
      <c r="P130" s="361">
        <v>8180</v>
      </c>
      <c r="Q130" s="361">
        <v>0</v>
      </c>
      <c r="R130" s="361">
        <v>0</v>
      </c>
      <c r="S130" s="361">
        <v>0</v>
      </c>
      <c r="T130" s="362">
        <v>73736</v>
      </c>
      <c r="U130" s="363">
        <v>0.77616842105263162</v>
      </c>
      <c r="V130" s="362">
        <v>21264</v>
      </c>
      <c r="W130" s="362">
        <v>0</v>
      </c>
      <c r="X130" s="362">
        <v>21008</v>
      </c>
      <c r="Y130" s="362">
        <v>21008</v>
      </c>
      <c r="Z130" s="362">
        <v>96</v>
      </c>
      <c r="AA130" s="362">
        <v>160</v>
      </c>
    </row>
    <row r="131" spans="1:27" ht="12" customHeight="1" x14ac:dyDescent="0.25">
      <c r="A131" s="354" t="s">
        <v>1220</v>
      </c>
      <c r="B131" s="364" t="s">
        <v>522</v>
      </c>
      <c r="C131" s="365">
        <v>72000</v>
      </c>
      <c r="D131" s="365">
        <v>95000</v>
      </c>
      <c r="E131" s="365">
        <v>95000</v>
      </c>
      <c r="F131" s="365">
        <v>73992</v>
      </c>
      <c r="G131" s="365">
        <v>73896</v>
      </c>
      <c r="H131" s="365">
        <v>0</v>
      </c>
      <c r="I131" s="365">
        <v>1668</v>
      </c>
      <c r="J131" s="365">
        <v>5896</v>
      </c>
      <c r="K131" s="365">
        <v>15148</v>
      </c>
      <c r="L131" s="365">
        <v>10944</v>
      </c>
      <c r="M131" s="365">
        <v>12560</v>
      </c>
      <c r="N131" s="365">
        <v>15492</v>
      </c>
      <c r="O131" s="365">
        <v>3848</v>
      </c>
      <c r="P131" s="365">
        <v>8180</v>
      </c>
      <c r="Q131" s="365">
        <v>0</v>
      </c>
      <c r="R131" s="365">
        <v>0</v>
      </c>
      <c r="S131" s="365">
        <v>0</v>
      </c>
      <c r="T131" s="365">
        <v>73736</v>
      </c>
      <c r="U131" s="366">
        <v>0.77616842105263162</v>
      </c>
      <c r="V131" s="365">
        <v>21264</v>
      </c>
      <c r="W131" s="365">
        <v>0</v>
      </c>
      <c r="X131" s="365">
        <v>21008</v>
      </c>
      <c r="Y131" s="365">
        <v>21008</v>
      </c>
      <c r="Z131" s="365">
        <v>96</v>
      </c>
      <c r="AA131" s="365">
        <v>160</v>
      </c>
    </row>
    <row r="132" spans="1:27" ht="12" customHeight="1" x14ac:dyDescent="0.25">
      <c r="A132" s="354" t="s">
        <v>1221</v>
      </c>
      <c r="B132" s="364" t="s">
        <v>523</v>
      </c>
      <c r="C132" s="365">
        <v>0</v>
      </c>
      <c r="D132" s="365">
        <v>0</v>
      </c>
      <c r="E132" s="365">
        <v>0</v>
      </c>
      <c r="F132" s="365">
        <v>0</v>
      </c>
      <c r="G132" s="365">
        <v>0</v>
      </c>
      <c r="H132" s="365">
        <v>0</v>
      </c>
      <c r="I132" s="365">
        <v>0</v>
      </c>
      <c r="J132" s="365">
        <v>0</v>
      </c>
      <c r="K132" s="365">
        <v>0</v>
      </c>
      <c r="L132" s="365">
        <v>0</v>
      </c>
      <c r="M132" s="365">
        <v>0</v>
      </c>
      <c r="N132" s="365">
        <v>0</v>
      </c>
      <c r="O132" s="365">
        <v>0</v>
      </c>
      <c r="P132" s="365">
        <v>0</v>
      </c>
      <c r="Q132" s="365">
        <v>0</v>
      </c>
      <c r="R132" s="365">
        <v>0</v>
      </c>
      <c r="S132" s="365">
        <v>0</v>
      </c>
      <c r="T132" s="365">
        <v>0</v>
      </c>
      <c r="U132" s="366" t="e">
        <v>#DIV/0!</v>
      </c>
      <c r="V132" s="365">
        <v>0</v>
      </c>
      <c r="W132" s="365">
        <v>0</v>
      </c>
      <c r="X132" s="365">
        <v>0</v>
      </c>
      <c r="Y132" s="365">
        <v>0</v>
      </c>
      <c r="Z132" s="365">
        <v>0</v>
      </c>
      <c r="AA132" s="365">
        <v>0</v>
      </c>
    </row>
    <row r="133" spans="1:27" ht="12" customHeight="1" x14ac:dyDescent="0.25">
      <c r="A133" s="354" t="s">
        <v>1222</v>
      </c>
      <c r="B133" s="364" t="s">
        <v>524</v>
      </c>
      <c r="C133" s="365">
        <v>0</v>
      </c>
      <c r="D133" s="365">
        <v>0</v>
      </c>
      <c r="E133" s="365">
        <v>0</v>
      </c>
      <c r="F133" s="365">
        <v>0</v>
      </c>
      <c r="G133" s="365">
        <v>0</v>
      </c>
      <c r="H133" s="365">
        <v>0</v>
      </c>
      <c r="I133" s="365">
        <v>0</v>
      </c>
      <c r="J133" s="365">
        <v>0</v>
      </c>
      <c r="K133" s="365">
        <v>0</v>
      </c>
      <c r="L133" s="365">
        <v>0</v>
      </c>
      <c r="M133" s="365">
        <v>0</v>
      </c>
      <c r="N133" s="365">
        <v>0</v>
      </c>
      <c r="O133" s="365">
        <v>0</v>
      </c>
      <c r="P133" s="365">
        <v>0</v>
      </c>
      <c r="Q133" s="365">
        <v>0</v>
      </c>
      <c r="R133" s="365">
        <v>0</v>
      </c>
      <c r="S133" s="365">
        <v>0</v>
      </c>
      <c r="T133" s="365">
        <v>0</v>
      </c>
      <c r="U133" s="366" t="e">
        <v>#DIV/0!</v>
      </c>
      <c r="V133" s="365">
        <v>0</v>
      </c>
      <c r="W133" s="365">
        <v>0</v>
      </c>
      <c r="X133" s="365">
        <v>0</v>
      </c>
      <c r="Y133" s="365">
        <v>0</v>
      </c>
      <c r="Z133" s="365">
        <v>0</v>
      </c>
      <c r="AA133" s="365">
        <v>0</v>
      </c>
    </row>
    <row r="134" spans="1:27" ht="12" customHeight="1" x14ac:dyDescent="0.25">
      <c r="A134" s="354"/>
      <c r="B134" s="360" t="s">
        <v>525</v>
      </c>
      <c r="C134" s="361">
        <v>0</v>
      </c>
      <c r="D134" s="361">
        <v>0</v>
      </c>
      <c r="E134" s="361">
        <v>0</v>
      </c>
      <c r="F134" s="361">
        <v>0</v>
      </c>
      <c r="G134" s="361">
        <v>0</v>
      </c>
      <c r="H134" s="361">
        <v>0</v>
      </c>
      <c r="I134" s="361">
        <v>0</v>
      </c>
      <c r="J134" s="361">
        <v>0</v>
      </c>
      <c r="K134" s="361">
        <v>0</v>
      </c>
      <c r="L134" s="361">
        <v>0</v>
      </c>
      <c r="M134" s="361">
        <v>0</v>
      </c>
      <c r="N134" s="361">
        <v>0</v>
      </c>
      <c r="O134" s="361">
        <v>0</v>
      </c>
      <c r="P134" s="361">
        <v>0</v>
      </c>
      <c r="Q134" s="361">
        <v>0</v>
      </c>
      <c r="R134" s="361">
        <v>0</v>
      </c>
      <c r="S134" s="361">
        <v>0</v>
      </c>
      <c r="T134" s="362">
        <v>0</v>
      </c>
      <c r="U134" s="363" t="e">
        <v>#DIV/0!</v>
      </c>
      <c r="V134" s="362">
        <v>0</v>
      </c>
      <c r="W134" s="362">
        <v>0</v>
      </c>
      <c r="X134" s="362">
        <v>0</v>
      </c>
      <c r="Y134" s="362">
        <v>0</v>
      </c>
      <c r="Z134" s="362">
        <v>0</v>
      </c>
      <c r="AA134" s="362">
        <v>0</v>
      </c>
    </row>
    <row r="135" spans="1:27" ht="12" customHeight="1" x14ac:dyDescent="0.25">
      <c r="A135" s="354" t="s">
        <v>1223</v>
      </c>
      <c r="B135" s="354" t="s">
        <v>526</v>
      </c>
      <c r="C135" s="365">
        <v>0</v>
      </c>
      <c r="D135" s="365">
        <v>0</v>
      </c>
      <c r="E135" s="365">
        <v>0</v>
      </c>
      <c r="F135" s="365">
        <v>0</v>
      </c>
      <c r="G135" s="365">
        <v>0</v>
      </c>
      <c r="H135" s="365">
        <v>0</v>
      </c>
      <c r="I135" s="365">
        <v>0</v>
      </c>
      <c r="J135" s="365">
        <v>0</v>
      </c>
      <c r="K135" s="365">
        <v>0</v>
      </c>
      <c r="L135" s="365">
        <v>0</v>
      </c>
      <c r="M135" s="365">
        <v>0</v>
      </c>
      <c r="N135" s="365">
        <v>0</v>
      </c>
      <c r="O135" s="365">
        <v>0</v>
      </c>
      <c r="P135" s="365">
        <v>0</v>
      </c>
      <c r="Q135" s="365">
        <v>0</v>
      </c>
      <c r="R135" s="365">
        <v>0</v>
      </c>
      <c r="S135" s="365">
        <v>0</v>
      </c>
      <c r="T135" s="365">
        <v>0</v>
      </c>
      <c r="U135" s="366" t="e">
        <v>#DIV/0!</v>
      </c>
      <c r="V135" s="365">
        <v>0</v>
      </c>
      <c r="W135" s="365">
        <v>0</v>
      </c>
      <c r="X135" s="365">
        <v>0</v>
      </c>
      <c r="Y135" s="365">
        <v>0</v>
      </c>
      <c r="Z135" s="365">
        <v>0</v>
      </c>
      <c r="AA135" s="365">
        <v>0</v>
      </c>
    </row>
    <row r="136" spans="1:27" ht="12" customHeight="1" x14ac:dyDescent="0.25">
      <c r="A136" s="354" t="s">
        <v>1224</v>
      </c>
      <c r="B136" s="354" t="s">
        <v>527</v>
      </c>
      <c r="C136" s="365">
        <v>0</v>
      </c>
      <c r="D136" s="365">
        <v>0</v>
      </c>
      <c r="E136" s="365">
        <v>0</v>
      </c>
      <c r="F136" s="365">
        <v>0</v>
      </c>
      <c r="G136" s="365">
        <v>0</v>
      </c>
      <c r="H136" s="365">
        <v>0</v>
      </c>
      <c r="I136" s="365">
        <v>0</v>
      </c>
      <c r="J136" s="365">
        <v>0</v>
      </c>
      <c r="K136" s="365">
        <v>0</v>
      </c>
      <c r="L136" s="365">
        <v>0</v>
      </c>
      <c r="M136" s="365">
        <v>0</v>
      </c>
      <c r="N136" s="365">
        <v>0</v>
      </c>
      <c r="O136" s="365">
        <v>0</v>
      </c>
      <c r="P136" s="365">
        <v>0</v>
      </c>
      <c r="Q136" s="365">
        <v>0</v>
      </c>
      <c r="R136" s="365">
        <v>0</v>
      </c>
      <c r="S136" s="365">
        <v>0</v>
      </c>
      <c r="T136" s="365">
        <v>0</v>
      </c>
      <c r="U136" s="366" t="e">
        <v>#DIV/0!</v>
      </c>
      <c r="V136" s="365">
        <v>0</v>
      </c>
      <c r="W136" s="365">
        <v>0</v>
      </c>
      <c r="X136" s="365">
        <v>0</v>
      </c>
      <c r="Y136" s="365">
        <v>0</v>
      </c>
      <c r="Z136" s="365">
        <v>0</v>
      </c>
      <c r="AA136" s="365">
        <v>0</v>
      </c>
    </row>
    <row r="137" spans="1:27" ht="12" customHeight="1" x14ac:dyDescent="0.25">
      <c r="A137" s="354" t="s">
        <v>1225</v>
      </c>
      <c r="B137" s="354" t="s">
        <v>528</v>
      </c>
      <c r="C137" s="365">
        <v>0</v>
      </c>
      <c r="D137" s="365">
        <v>0</v>
      </c>
      <c r="E137" s="365">
        <v>0</v>
      </c>
      <c r="F137" s="365">
        <v>0</v>
      </c>
      <c r="G137" s="365">
        <v>0</v>
      </c>
      <c r="H137" s="365">
        <v>0</v>
      </c>
      <c r="I137" s="365">
        <v>0</v>
      </c>
      <c r="J137" s="365">
        <v>0</v>
      </c>
      <c r="K137" s="365">
        <v>0</v>
      </c>
      <c r="L137" s="365">
        <v>0</v>
      </c>
      <c r="M137" s="365">
        <v>0</v>
      </c>
      <c r="N137" s="365">
        <v>0</v>
      </c>
      <c r="O137" s="365">
        <v>0</v>
      </c>
      <c r="P137" s="365">
        <v>0</v>
      </c>
      <c r="Q137" s="365">
        <v>0</v>
      </c>
      <c r="R137" s="365">
        <v>0</v>
      </c>
      <c r="S137" s="365">
        <v>0</v>
      </c>
      <c r="T137" s="365">
        <v>0</v>
      </c>
      <c r="U137" s="366" t="e">
        <v>#DIV/0!</v>
      </c>
      <c r="V137" s="365">
        <v>0</v>
      </c>
      <c r="W137" s="365">
        <v>0</v>
      </c>
      <c r="X137" s="365">
        <v>0</v>
      </c>
      <c r="Y137" s="365">
        <v>0</v>
      </c>
      <c r="Z137" s="365">
        <v>0</v>
      </c>
      <c r="AA137" s="365">
        <v>0</v>
      </c>
    </row>
    <row r="138" spans="1:27" ht="12" customHeight="1" x14ac:dyDescent="0.25">
      <c r="A138" s="354" t="s">
        <v>1226</v>
      </c>
      <c r="B138" s="354" t="s">
        <v>529</v>
      </c>
      <c r="C138" s="365">
        <v>0</v>
      </c>
      <c r="D138" s="365">
        <v>0</v>
      </c>
      <c r="E138" s="365">
        <v>0</v>
      </c>
      <c r="F138" s="365">
        <v>0</v>
      </c>
      <c r="G138" s="365">
        <v>0</v>
      </c>
      <c r="H138" s="365">
        <v>0</v>
      </c>
      <c r="I138" s="365">
        <v>0</v>
      </c>
      <c r="J138" s="365">
        <v>0</v>
      </c>
      <c r="K138" s="365">
        <v>0</v>
      </c>
      <c r="L138" s="365">
        <v>0</v>
      </c>
      <c r="M138" s="365">
        <v>0</v>
      </c>
      <c r="N138" s="365">
        <v>0</v>
      </c>
      <c r="O138" s="365">
        <v>0</v>
      </c>
      <c r="P138" s="365">
        <v>0</v>
      </c>
      <c r="Q138" s="365">
        <v>0</v>
      </c>
      <c r="R138" s="365">
        <v>0</v>
      </c>
      <c r="S138" s="365">
        <v>0</v>
      </c>
      <c r="T138" s="365">
        <v>0</v>
      </c>
      <c r="U138" s="366" t="e">
        <v>#DIV/0!</v>
      </c>
      <c r="V138" s="365">
        <v>0</v>
      </c>
      <c r="W138" s="365">
        <v>0</v>
      </c>
      <c r="X138" s="365">
        <v>0</v>
      </c>
      <c r="Y138" s="365">
        <v>0</v>
      </c>
      <c r="Z138" s="365">
        <v>0</v>
      </c>
      <c r="AA138" s="365">
        <v>0</v>
      </c>
    </row>
    <row r="139" spans="1:27" ht="12" customHeight="1" x14ac:dyDescent="0.25">
      <c r="A139" s="354" t="s">
        <v>1227</v>
      </c>
      <c r="B139" s="354" t="s">
        <v>530</v>
      </c>
      <c r="C139" s="365">
        <v>0</v>
      </c>
      <c r="D139" s="365">
        <v>0</v>
      </c>
      <c r="E139" s="365">
        <v>0</v>
      </c>
      <c r="F139" s="365">
        <v>0</v>
      </c>
      <c r="G139" s="365">
        <v>0</v>
      </c>
      <c r="H139" s="365">
        <v>0</v>
      </c>
      <c r="I139" s="365">
        <v>0</v>
      </c>
      <c r="J139" s="365">
        <v>0</v>
      </c>
      <c r="K139" s="365">
        <v>0</v>
      </c>
      <c r="L139" s="365">
        <v>0</v>
      </c>
      <c r="M139" s="365">
        <v>0</v>
      </c>
      <c r="N139" s="365">
        <v>0</v>
      </c>
      <c r="O139" s="365">
        <v>0</v>
      </c>
      <c r="P139" s="365">
        <v>0</v>
      </c>
      <c r="Q139" s="365">
        <v>0</v>
      </c>
      <c r="R139" s="365">
        <v>0</v>
      </c>
      <c r="S139" s="365">
        <v>0</v>
      </c>
      <c r="T139" s="365">
        <v>0</v>
      </c>
      <c r="U139" s="366" t="e">
        <v>#DIV/0!</v>
      </c>
      <c r="V139" s="365">
        <v>0</v>
      </c>
      <c r="W139" s="365">
        <v>0</v>
      </c>
      <c r="X139" s="365">
        <v>0</v>
      </c>
      <c r="Y139" s="365">
        <v>0</v>
      </c>
      <c r="Z139" s="365">
        <v>0</v>
      </c>
      <c r="AA139" s="365">
        <v>0</v>
      </c>
    </row>
    <row r="140" spans="1:27" ht="12" customHeight="1" x14ac:dyDescent="0.25">
      <c r="A140" s="354" t="s">
        <v>1228</v>
      </c>
      <c r="B140" s="354" t="s">
        <v>531</v>
      </c>
      <c r="C140" s="365">
        <v>0</v>
      </c>
      <c r="D140" s="365">
        <v>0</v>
      </c>
      <c r="E140" s="365">
        <v>0</v>
      </c>
      <c r="F140" s="365">
        <v>0</v>
      </c>
      <c r="G140" s="365">
        <v>0</v>
      </c>
      <c r="H140" s="365">
        <v>0</v>
      </c>
      <c r="I140" s="365">
        <v>0</v>
      </c>
      <c r="J140" s="365">
        <v>0</v>
      </c>
      <c r="K140" s="365">
        <v>0</v>
      </c>
      <c r="L140" s="365">
        <v>0</v>
      </c>
      <c r="M140" s="365">
        <v>0</v>
      </c>
      <c r="N140" s="365">
        <v>0</v>
      </c>
      <c r="O140" s="365">
        <v>0</v>
      </c>
      <c r="P140" s="365">
        <v>0</v>
      </c>
      <c r="Q140" s="365">
        <v>0</v>
      </c>
      <c r="R140" s="365">
        <v>0</v>
      </c>
      <c r="S140" s="365">
        <v>0</v>
      </c>
      <c r="T140" s="365">
        <v>0</v>
      </c>
      <c r="U140" s="366" t="e">
        <v>#DIV/0!</v>
      </c>
      <c r="V140" s="365">
        <v>0</v>
      </c>
      <c r="W140" s="365">
        <v>0</v>
      </c>
      <c r="X140" s="365">
        <v>0</v>
      </c>
      <c r="Y140" s="365">
        <v>0</v>
      </c>
      <c r="Z140" s="365">
        <v>0</v>
      </c>
      <c r="AA140" s="365">
        <v>0</v>
      </c>
    </row>
    <row r="141" spans="1:27" ht="12" customHeight="1" x14ac:dyDescent="0.25">
      <c r="A141" s="354" t="s">
        <v>1229</v>
      </c>
      <c r="B141" s="354" t="s">
        <v>532</v>
      </c>
      <c r="C141" s="365">
        <v>0</v>
      </c>
      <c r="D141" s="365">
        <v>0</v>
      </c>
      <c r="E141" s="365">
        <v>0</v>
      </c>
      <c r="F141" s="365">
        <v>0</v>
      </c>
      <c r="G141" s="365">
        <v>0</v>
      </c>
      <c r="H141" s="365">
        <v>0</v>
      </c>
      <c r="I141" s="365">
        <v>0</v>
      </c>
      <c r="J141" s="365">
        <v>0</v>
      </c>
      <c r="K141" s="365">
        <v>0</v>
      </c>
      <c r="L141" s="365">
        <v>0</v>
      </c>
      <c r="M141" s="365">
        <v>0</v>
      </c>
      <c r="N141" s="365">
        <v>0</v>
      </c>
      <c r="O141" s="365">
        <v>0</v>
      </c>
      <c r="P141" s="365">
        <v>0</v>
      </c>
      <c r="Q141" s="365">
        <v>0</v>
      </c>
      <c r="R141" s="365">
        <v>0</v>
      </c>
      <c r="S141" s="365">
        <v>0</v>
      </c>
      <c r="T141" s="365">
        <v>0</v>
      </c>
      <c r="U141" s="366" t="e">
        <v>#DIV/0!</v>
      </c>
      <c r="V141" s="365">
        <v>0</v>
      </c>
      <c r="W141" s="365">
        <v>0</v>
      </c>
      <c r="X141" s="365">
        <v>0</v>
      </c>
      <c r="Y141" s="365">
        <v>0</v>
      </c>
      <c r="Z141" s="365">
        <v>0</v>
      </c>
      <c r="AA141" s="365">
        <v>0</v>
      </c>
    </row>
    <row r="142" spans="1:27" ht="12" customHeight="1" x14ac:dyDescent="0.25">
      <c r="A142" s="354" t="s">
        <v>1230</v>
      </c>
      <c r="B142" s="360" t="s">
        <v>533</v>
      </c>
      <c r="C142" s="362">
        <v>0</v>
      </c>
      <c r="D142" s="362">
        <v>0</v>
      </c>
      <c r="E142" s="362">
        <v>0</v>
      </c>
      <c r="F142" s="362">
        <v>0</v>
      </c>
      <c r="G142" s="362">
        <v>0</v>
      </c>
      <c r="H142" s="362">
        <v>0</v>
      </c>
      <c r="I142" s="362">
        <v>0</v>
      </c>
      <c r="J142" s="362">
        <v>0</v>
      </c>
      <c r="K142" s="362">
        <v>0</v>
      </c>
      <c r="L142" s="362">
        <v>0</v>
      </c>
      <c r="M142" s="362">
        <v>0</v>
      </c>
      <c r="N142" s="362">
        <v>0</v>
      </c>
      <c r="O142" s="362">
        <v>0</v>
      </c>
      <c r="P142" s="362">
        <v>0</v>
      </c>
      <c r="Q142" s="362">
        <v>0</v>
      </c>
      <c r="R142" s="362">
        <v>0</v>
      </c>
      <c r="S142" s="362">
        <v>0</v>
      </c>
      <c r="T142" s="362">
        <v>0</v>
      </c>
      <c r="U142" s="363" t="e">
        <v>#DIV/0!</v>
      </c>
      <c r="V142" s="362">
        <v>0</v>
      </c>
      <c r="W142" s="362">
        <v>0</v>
      </c>
      <c r="X142" s="362">
        <v>0</v>
      </c>
      <c r="Y142" s="362">
        <v>0</v>
      </c>
      <c r="Z142" s="362">
        <v>0</v>
      </c>
      <c r="AA142" s="362">
        <v>0</v>
      </c>
    </row>
    <row r="143" spans="1:27" ht="12" customHeight="1" x14ac:dyDescent="0.25">
      <c r="A143" s="354" t="s">
        <v>1231</v>
      </c>
      <c r="B143" s="360" t="s">
        <v>534</v>
      </c>
      <c r="C143" s="362">
        <v>0</v>
      </c>
      <c r="D143" s="362">
        <v>0</v>
      </c>
      <c r="E143" s="362">
        <v>0</v>
      </c>
      <c r="F143" s="362">
        <v>0</v>
      </c>
      <c r="G143" s="362">
        <v>0</v>
      </c>
      <c r="H143" s="362">
        <v>0</v>
      </c>
      <c r="I143" s="362">
        <v>0</v>
      </c>
      <c r="J143" s="362">
        <v>0</v>
      </c>
      <c r="K143" s="362">
        <v>0</v>
      </c>
      <c r="L143" s="362">
        <v>0</v>
      </c>
      <c r="M143" s="362">
        <v>0</v>
      </c>
      <c r="N143" s="362">
        <v>0</v>
      </c>
      <c r="O143" s="362">
        <v>0</v>
      </c>
      <c r="P143" s="362">
        <v>0</v>
      </c>
      <c r="Q143" s="362">
        <v>0</v>
      </c>
      <c r="R143" s="362">
        <v>0</v>
      </c>
      <c r="S143" s="362">
        <v>0</v>
      </c>
      <c r="T143" s="362">
        <v>0</v>
      </c>
      <c r="U143" s="363" t="e">
        <v>#DIV/0!</v>
      </c>
      <c r="V143" s="362">
        <v>0</v>
      </c>
      <c r="W143" s="362">
        <v>0</v>
      </c>
      <c r="X143" s="362">
        <v>0</v>
      </c>
      <c r="Y143" s="362">
        <v>0</v>
      </c>
      <c r="Z143" s="362">
        <v>0</v>
      </c>
      <c r="AA143" s="362">
        <v>0</v>
      </c>
    </row>
    <row r="144" spans="1:27" ht="12" customHeight="1" x14ac:dyDescent="0.25">
      <c r="A144" s="354"/>
      <c r="B144" s="360" t="s">
        <v>535</v>
      </c>
      <c r="C144" s="361">
        <v>0</v>
      </c>
      <c r="D144" s="361">
        <v>0</v>
      </c>
      <c r="E144" s="361">
        <v>0</v>
      </c>
      <c r="F144" s="361">
        <v>0</v>
      </c>
      <c r="G144" s="361">
        <v>0</v>
      </c>
      <c r="H144" s="361">
        <v>0</v>
      </c>
      <c r="I144" s="361">
        <v>0</v>
      </c>
      <c r="J144" s="361">
        <v>0</v>
      </c>
      <c r="K144" s="361">
        <v>0</v>
      </c>
      <c r="L144" s="361">
        <v>0</v>
      </c>
      <c r="M144" s="361">
        <v>0</v>
      </c>
      <c r="N144" s="361">
        <v>0</v>
      </c>
      <c r="O144" s="361">
        <v>0</v>
      </c>
      <c r="P144" s="361">
        <v>0</v>
      </c>
      <c r="Q144" s="361">
        <v>0</v>
      </c>
      <c r="R144" s="361">
        <v>0</v>
      </c>
      <c r="S144" s="361">
        <v>0</v>
      </c>
      <c r="T144" s="362">
        <v>0</v>
      </c>
      <c r="U144" s="363" t="e">
        <v>#DIV/0!</v>
      </c>
      <c r="V144" s="362">
        <v>0</v>
      </c>
      <c r="W144" s="362">
        <v>0</v>
      </c>
      <c r="X144" s="362">
        <v>0</v>
      </c>
      <c r="Y144" s="362">
        <v>0</v>
      </c>
      <c r="Z144" s="362">
        <v>0</v>
      </c>
      <c r="AA144" s="362">
        <v>0</v>
      </c>
    </row>
    <row r="145" spans="1:27" ht="12" customHeight="1" x14ac:dyDescent="0.25">
      <c r="A145" s="354" t="s">
        <v>1232</v>
      </c>
      <c r="B145" s="354" t="s">
        <v>536</v>
      </c>
      <c r="C145" s="365">
        <v>0</v>
      </c>
      <c r="D145" s="365">
        <v>0</v>
      </c>
      <c r="E145" s="365">
        <v>0</v>
      </c>
      <c r="F145" s="365">
        <v>0</v>
      </c>
      <c r="G145" s="365">
        <v>0</v>
      </c>
      <c r="H145" s="365">
        <v>0</v>
      </c>
      <c r="I145" s="365">
        <v>0</v>
      </c>
      <c r="J145" s="365">
        <v>0</v>
      </c>
      <c r="K145" s="365">
        <v>0</v>
      </c>
      <c r="L145" s="365">
        <v>0</v>
      </c>
      <c r="M145" s="365">
        <v>0</v>
      </c>
      <c r="N145" s="365">
        <v>0</v>
      </c>
      <c r="O145" s="365">
        <v>0</v>
      </c>
      <c r="P145" s="365">
        <v>0</v>
      </c>
      <c r="Q145" s="365">
        <v>0</v>
      </c>
      <c r="R145" s="365">
        <v>0</v>
      </c>
      <c r="S145" s="365">
        <v>0</v>
      </c>
      <c r="T145" s="365">
        <v>0</v>
      </c>
      <c r="U145" s="366" t="e">
        <v>#DIV/0!</v>
      </c>
      <c r="V145" s="365">
        <v>0</v>
      </c>
      <c r="W145" s="365">
        <v>0</v>
      </c>
      <c r="X145" s="365">
        <v>0</v>
      </c>
      <c r="Y145" s="365">
        <v>0</v>
      </c>
      <c r="Z145" s="365">
        <v>0</v>
      </c>
      <c r="AA145" s="365">
        <v>0</v>
      </c>
    </row>
    <row r="146" spans="1:27" ht="12" customHeight="1" x14ac:dyDescent="0.25">
      <c r="A146" s="354" t="s">
        <v>1233</v>
      </c>
      <c r="B146" s="354" t="s">
        <v>537</v>
      </c>
      <c r="C146" s="365">
        <v>0</v>
      </c>
      <c r="D146" s="365">
        <v>0</v>
      </c>
      <c r="E146" s="365">
        <v>0</v>
      </c>
      <c r="F146" s="365">
        <v>0</v>
      </c>
      <c r="G146" s="365">
        <v>0</v>
      </c>
      <c r="H146" s="365">
        <v>0</v>
      </c>
      <c r="I146" s="365">
        <v>0</v>
      </c>
      <c r="J146" s="365">
        <v>0</v>
      </c>
      <c r="K146" s="365">
        <v>0</v>
      </c>
      <c r="L146" s="365">
        <v>0</v>
      </c>
      <c r="M146" s="365">
        <v>0</v>
      </c>
      <c r="N146" s="365">
        <v>0</v>
      </c>
      <c r="O146" s="365">
        <v>0</v>
      </c>
      <c r="P146" s="365">
        <v>0</v>
      </c>
      <c r="Q146" s="365">
        <v>0</v>
      </c>
      <c r="R146" s="365">
        <v>0</v>
      </c>
      <c r="S146" s="365">
        <v>0</v>
      </c>
      <c r="T146" s="365">
        <v>0</v>
      </c>
      <c r="U146" s="366" t="e">
        <v>#DIV/0!</v>
      </c>
      <c r="V146" s="365">
        <v>0</v>
      </c>
      <c r="W146" s="365">
        <v>0</v>
      </c>
      <c r="X146" s="365">
        <v>0</v>
      </c>
      <c r="Y146" s="365">
        <v>0</v>
      </c>
      <c r="Z146" s="365">
        <v>0</v>
      </c>
      <c r="AA146" s="365">
        <v>0</v>
      </c>
    </row>
    <row r="147" spans="1:27" ht="12" customHeight="1" x14ac:dyDescent="0.25">
      <c r="A147" s="354" t="s">
        <v>1234</v>
      </c>
      <c r="B147" s="354" t="s">
        <v>538</v>
      </c>
      <c r="C147" s="365">
        <v>0</v>
      </c>
      <c r="D147" s="365">
        <v>0</v>
      </c>
      <c r="E147" s="365">
        <v>0</v>
      </c>
      <c r="F147" s="365">
        <v>0</v>
      </c>
      <c r="G147" s="365">
        <v>0</v>
      </c>
      <c r="H147" s="365">
        <v>0</v>
      </c>
      <c r="I147" s="365">
        <v>0</v>
      </c>
      <c r="J147" s="365">
        <v>0</v>
      </c>
      <c r="K147" s="365">
        <v>0</v>
      </c>
      <c r="L147" s="365">
        <v>0</v>
      </c>
      <c r="M147" s="365">
        <v>0</v>
      </c>
      <c r="N147" s="365">
        <v>0</v>
      </c>
      <c r="O147" s="365">
        <v>0</v>
      </c>
      <c r="P147" s="365">
        <v>0</v>
      </c>
      <c r="Q147" s="365">
        <v>0</v>
      </c>
      <c r="R147" s="365">
        <v>0</v>
      </c>
      <c r="S147" s="365">
        <v>0</v>
      </c>
      <c r="T147" s="365">
        <v>0</v>
      </c>
      <c r="U147" s="366" t="e">
        <v>#DIV/0!</v>
      </c>
      <c r="V147" s="365">
        <v>0</v>
      </c>
      <c r="W147" s="365">
        <v>0</v>
      </c>
      <c r="X147" s="365">
        <v>0</v>
      </c>
      <c r="Y147" s="365">
        <v>0</v>
      </c>
      <c r="Z147" s="365">
        <v>0</v>
      </c>
      <c r="AA147" s="365">
        <v>0</v>
      </c>
    </row>
    <row r="148" spans="1:27" ht="12" customHeight="1" x14ac:dyDescent="0.25">
      <c r="A148" s="354" t="s">
        <v>1235</v>
      </c>
      <c r="B148" s="354" t="s">
        <v>539</v>
      </c>
      <c r="C148" s="365">
        <v>0</v>
      </c>
      <c r="D148" s="365">
        <v>0</v>
      </c>
      <c r="E148" s="365">
        <v>0</v>
      </c>
      <c r="F148" s="365">
        <v>0</v>
      </c>
      <c r="G148" s="365">
        <v>0</v>
      </c>
      <c r="H148" s="365">
        <v>0</v>
      </c>
      <c r="I148" s="365">
        <v>0</v>
      </c>
      <c r="J148" s="365">
        <v>0</v>
      </c>
      <c r="K148" s="365">
        <v>0</v>
      </c>
      <c r="L148" s="365">
        <v>0</v>
      </c>
      <c r="M148" s="365">
        <v>0</v>
      </c>
      <c r="N148" s="365">
        <v>0</v>
      </c>
      <c r="O148" s="365">
        <v>0</v>
      </c>
      <c r="P148" s="365">
        <v>0</v>
      </c>
      <c r="Q148" s="365">
        <v>0</v>
      </c>
      <c r="R148" s="365">
        <v>0</v>
      </c>
      <c r="S148" s="365">
        <v>0</v>
      </c>
      <c r="T148" s="365">
        <v>0</v>
      </c>
      <c r="U148" s="366" t="e">
        <v>#DIV/0!</v>
      </c>
      <c r="V148" s="365">
        <v>0</v>
      </c>
      <c r="W148" s="365">
        <v>0</v>
      </c>
      <c r="X148" s="365">
        <v>0</v>
      </c>
      <c r="Y148" s="365">
        <v>0</v>
      </c>
      <c r="Z148" s="365">
        <v>0</v>
      </c>
      <c r="AA148" s="365">
        <v>0</v>
      </c>
    </row>
    <row r="149" spans="1:27" ht="12" customHeight="1" x14ac:dyDescent="0.25">
      <c r="A149" s="354" t="s">
        <v>1236</v>
      </c>
      <c r="B149" s="354" t="s">
        <v>540</v>
      </c>
      <c r="C149" s="365">
        <v>0</v>
      </c>
      <c r="D149" s="365">
        <v>0</v>
      </c>
      <c r="E149" s="365">
        <v>0</v>
      </c>
      <c r="F149" s="365">
        <v>0</v>
      </c>
      <c r="G149" s="365">
        <v>0</v>
      </c>
      <c r="H149" s="365">
        <v>0</v>
      </c>
      <c r="I149" s="365">
        <v>0</v>
      </c>
      <c r="J149" s="365">
        <v>0</v>
      </c>
      <c r="K149" s="365">
        <v>0</v>
      </c>
      <c r="L149" s="365">
        <v>0</v>
      </c>
      <c r="M149" s="365">
        <v>0</v>
      </c>
      <c r="N149" s="365">
        <v>0</v>
      </c>
      <c r="O149" s="365">
        <v>0</v>
      </c>
      <c r="P149" s="365">
        <v>0</v>
      </c>
      <c r="Q149" s="365">
        <v>0</v>
      </c>
      <c r="R149" s="365">
        <v>0</v>
      </c>
      <c r="S149" s="365">
        <v>0</v>
      </c>
      <c r="T149" s="365">
        <v>0</v>
      </c>
      <c r="U149" s="366" t="e">
        <v>#DIV/0!</v>
      </c>
      <c r="V149" s="365">
        <v>0</v>
      </c>
      <c r="W149" s="365">
        <v>0</v>
      </c>
      <c r="X149" s="365">
        <v>0</v>
      </c>
      <c r="Y149" s="365">
        <v>0</v>
      </c>
      <c r="Z149" s="365">
        <v>0</v>
      </c>
      <c r="AA149" s="365">
        <v>0</v>
      </c>
    </row>
    <row r="150" spans="1:27" ht="12" customHeight="1" x14ac:dyDescent="0.25">
      <c r="A150" s="354" t="s">
        <v>1237</v>
      </c>
      <c r="B150" s="354" t="s">
        <v>541</v>
      </c>
      <c r="C150" s="365">
        <v>0</v>
      </c>
      <c r="D150" s="365">
        <v>0</v>
      </c>
      <c r="E150" s="365">
        <v>0</v>
      </c>
      <c r="F150" s="365">
        <v>0</v>
      </c>
      <c r="G150" s="365">
        <v>0</v>
      </c>
      <c r="H150" s="365">
        <v>0</v>
      </c>
      <c r="I150" s="365">
        <v>0</v>
      </c>
      <c r="J150" s="365">
        <v>0</v>
      </c>
      <c r="K150" s="365">
        <v>0</v>
      </c>
      <c r="L150" s="365">
        <v>0</v>
      </c>
      <c r="M150" s="365">
        <v>0</v>
      </c>
      <c r="N150" s="365">
        <v>0</v>
      </c>
      <c r="O150" s="365">
        <v>0</v>
      </c>
      <c r="P150" s="365">
        <v>0</v>
      </c>
      <c r="Q150" s="365">
        <v>0</v>
      </c>
      <c r="R150" s="365">
        <v>0</v>
      </c>
      <c r="S150" s="365">
        <v>0</v>
      </c>
      <c r="T150" s="365">
        <v>0</v>
      </c>
      <c r="U150" s="366" t="e">
        <v>#DIV/0!</v>
      </c>
      <c r="V150" s="365">
        <v>0</v>
      </c>
      <c r="W150" s="365">
        <v>0</v>
      </c>
      <c r="X150" s="365">
        <v>0</v>
      </c>
      <c r="Y150" s="365">
        <v>0</v>
      </c>
      <c r="Z150" s="365">
        <v>0</v>
      </c>
      <c r="AA150" s="365">
        <v>0</v>
      </c>
    </row>
    <row r="151" spans="1:27" ht="12" customHeight="1" x14ac:dyDescent="0.25">
      <c r="A151" s="354" t="s">
        <v>1238</v>
      </c>
      <c r="B151" s="360" t="s">
        <v>542</v>
      </c>
      <c r="C151" s="362">
        <v>0</v>
      </c>
      <c r="D151" s="362">
        <v>0</v>
      </c>
      <c r="E151" s="362">
        <v>0</v>
      </c>
      <c r="F151" s="362">
        <v>0</v>
      </c>
      <c r="G151" s="362">
        <v>0</v>
      </c>
      <c r="H151" s="362">
        <v>0</v>
      </c>
      <c r="I151" s="362">
        <v>0</v>
      </c>
      <c r="J151" s="362">
        <v>0</v>
      </c>
      <c r="K151" s="362">
        <v>0</v>
      </c>
      <c r="L151" s="362">
        <v>0</v>
      </c>
      <c r="M151" s="362">
        <v>0</v>
      </c>
      <c r="N151" s="362">
        <v>0</v>
      </c>
      <c r="O151" s="362">
        <v>0</v>
      </c>
      <c r="P151" s="362">
        <v>0</v>
      </c>
      <c r="Q151" s="362">
        <v>0</v>
      </c>
      <c r="R151" s="362">
        <v>0</v>
      </c>
      <c r="S151" s="362">
        <v>0</v>
      </c>
      <c r="T151" s="362">
        <v>0</v>
      </c>
      <c r="U151" s="363" t="e">
        <v>#DIV/0!</v>
      </c>
      <c r="V151" s="362">
        <v>0</v>
      </c>
      <c r="W151" s="362">
        <v>0</v>
      </c>
      <c r="X151" s="362">
        <v>0</v>
      </c>
      <c r="Y151" s="362">
        <v>0</v>
      </c>
      <c r="Z151" s="362">
        <v>0</v>
      </c>
      <c r="AA151" s="362">
        <v>0</v>
      </c>
    </row>
    <row r="152" spans="1:27" ht="12" customHeight="1" x14ac:dyDescent="0.25">
      <c r="A152" s="354" t="s">
        <v>1239</v>
      </c>
      <c r="B152" s="360" t="s">
        <v>543</v>
      </c>
      <c r="C152" s="362">
        <v>0</v>
      </c>
      <c r="D152" s="362">
        <v>0</v>
      </c>
      <c r="E152" s="362">
        <v>0</v>
      </c>
      <c r="F152" s="362">
        <v>0</v>
      </c>
      <c r="G152" s="362">
        <v>0</v>
      </c>
      <c r="H152" s="362">
        <v>0</v>
      </c>
      <c r="I152" s="362">
        <v>0</v>
      </c>
      <c r="J152" s="362">
        <v>0</v>
      </c>
      <c r="K152" s="362">
        <v>0</v>
      </c>
      <c r="L152" s="362">
        <v>0</v>
      </c>
      <c r="M152" s="362">
        <v>0</v>
      </c>
      <c r="N152" s="362">
        <v>0</v>
      </c>
      <c r="O152" s="362">
        <v>0</v>
      </c>
      <c r="P152" s="362">
        <v>0</v>
      </c>
      <c r="Q152" s="362">
        <v>0</v>
      </c>
      <c r="R152" s="362">
        <v>0</v>
      </c>
      <c r="S152" s="362">
        <v>0</v>
      </c>
      <c r="T152" s="362">
        <v>0</v>
      </c>
      <c r="U152" s="363" t="e">
        <v>#DIV/0!</v>
      </c>
      <c r="V152" s="362">
        <v>0</v>
      </c>
      <c r="W152" s="362">
        <v>0</v>
      </c>
      <c r="X152" s="362">
        <v>0</v>
      </c>
      <c r="Y152" s="362">
        <v>0</v>
      </c>
      <c r="Z152" s="362">
        <v>0</v>
      </c>
      <c r="AA152" s="362">
        <v>0</v>
      </c>
    </row>
    <row r="153" spans="1:27" ht="12" customHeight="1" x14ac:dyDescent="0.25">
      <c r="A153" s="354"/>
      <c r="B153" s="360" t="s">
        <v>544</v>
      </c>
      <c r="C153" s="361">
        <v>8127</v>
      </c>
      <c r="D153" s="361">
        <v>8127</v>
      </c>
      <c r="E153" s="361">
        <v>8127</v>
      </c>
      <c r="F153" s="361">
        <v>8127</v>
      </c>
      <c r="G153" s="361">
        <v>3960</v>
      </c>
      <c r="H153" s="361">
        <v>0</v>
      </c>
      <c r="I153" s="361">
        <v>0</v>
      </c>
      <c r="J153" s="361">
        <v>0</v>
      </c>
      <c r="K153" s="361">
        <v>0</v>
      </c>
      <c r="L153" s="361">
        <v>3960</v>
      </c>
      <c r="M153" s="361">
        <v>0</v>
      </c>
      <c r="N153" s="361">
        <v>0</v>
      </c>
      <c r="O153" s="361">
        <v>0</v>
      </c>
      <c r="P153" s="361">
        <v>0</v>
      </c>
      <c r="Q153" s="361">
        <v>0</v>
      </c>
      <c r="R153" s="361">
        <v>0</v>
      </c>
      <c r="S153" s="361">
        <v>0</v>
      </c>
      <c r="T153" s="362">
        <v>3960</v>
      </c>
      <c r="U153" s="363">
        <v>0.48726467331118495</v>
      </c>
      <c r="V153" s="362">
        <v>4167</v>
      </c>
      <c r="W153" s="362">
        <v>0</v>
      </c>
      <c r="X153" s="362">
        <v>0</v>
      </c>
      <c r="Y153" s="362">
        <v>0</v>
      </c>
      <c r="Z153" s="362">
        <v>4167</v>
      </c>
      <c r="AA153" s="362">
        <v>0</v>
      </c>
    </row>
    <row r="154" spans="1:27" ht="12" customHeight="1" x14ac:dyDescent="0.25">
      <c r="A154" s="354" t="s">
        <v>1240</v>
      </c>
      <c r="B154" s="354" t="s">
        <v>545</v>
      </c>
      <c r="C154" s="365">
        <v>0</v>
      </c>
      <c r="D154" s="365">
        <v>0</v>
      </c>
      <c r="E154" s="365">
        <v>0</v>
      </c>
      <c r="F154" s="365">
        <v>0</v>
      </c>
      <c r="G154" s="365">
        <v>0</v>
      </c>
      <c r="H154" s="365">
        <v>0</v>
      </c>
      <c r="I154" s="365">
        <v>0</v>
      </c>
      <c r="J154" s="365">
        <v>0</v>
      </c>
      <c r="K154" s="365">
        <v>0</v>
      </c>
      <c r="L154" s="365">
        <v>0</v>
      </c>
      <c r="M154" s="365">
        <v>0</v>
      </c>
      <c r="N154" s="365">
        <v>0</v>
      </c>
      <c r="O154" s="365">
        <v>0</v>
      </c>
      <c r="P154" s="365">
        <v>0</v>
      </c>
      <c r="Q154" s="365">
        <v>0</v>
      </c>
      <c r="R154" s="365">
        <v>0</v>
      </c>
      <c r="S154" s="365">
        <v>0</v>
      </c>
      <c r="T154" s="365">
        <v>0</v>
      </c>
      <c r="U154" s="366" t="e">
        <v>#DIV/0!</v>
      </c>
      <c r="V154" s="365">
        <v>0</v>
      </c>
      <c r="W154" s="365">
        <v>0</v>
      </c>
      <c r="X154" s="365">
        <v>0</v>
      </c>
      <c r="Y154" s="365">
        <v>0</v>
      </c>
      <c r="Z154" s="365">
        <v>0</v>
      </c>
      <c r="AA154" s="365">
        <v>0</v>
      </c>
    </row>
    <row r="155" spans="1:27" ht="12" customHeight="1" x14ac:dyDescent="0.25">
      <c r="A155" s="354" t="s">
        <v>1241</v>
      </c>
      <c r="B155" s="354" t="s">
        <v>546</v>
      </c>
      <c r="C155" s="365">
        <v>0</v>
      </c>
      <c r="D155" s="365">
        <v>0</v>
      </c>
      <c r="E155" s="365">
        <v>0</v>
      </c>
      <c r="F155" s="365">
        <v>0</v>
      </c>
      <c r="G155" s="365">
        <v>0</v>
      </c>
      <c r="H155" s="365">
        <v>0</v>
      </c>
      <c r="I155" s="365">
        <v>0</v>
      </c>
      <c r="J155" s="365">
        <v>0</v>
      </c>
      <c r="K155" s="365">
        <v>0</v>
      </c>
      <c r="L155" s="365">
        <v>0</v>
      </c>
      <c r="M155" s="365">
        <v>0</v>
      </c>
      <c r="N155" s="365">
        <v>0</v>
      </c>
      <c r="O155" s="365">
        <v>0</v>
      </c>
      <c r="P155" s="365">
        <v>0</v>
      </c>
      <c r="Q155" s="365">
        <v>0</v>
      </c>
      <c r="R155" s="365">
        <v>0</v>
      </c>
      <c r="S155" s="365">
        <v>0</v>
      </c>
      <c r="T155" s="365">
        <v>0</v>
      </c>
      <c r="U155" s="366" t="e">
        <v>#DIV/0!</v>
      </c>
      <c r="V155" s="365">
        <v>0</v>
      </c>
      <c r="W155" s="365">
        <v>0</v>
      </c>
      <c r="X155" s="365">
        <v>0</v>
      </c>
      <c r="Y155" s="365">
        <v>0</v>
      </c>
      <c r="Z155" s="365">
        <v>0</v>
      </c>
      <c r="AA155" s="365">
        <v>0</v>
      </c>
    </row>
    <row r="156" spans="1:27" ht="12" customHeight="1" x14ac:dyDescent="0.25">
      <c r="A156" s="354" t="s">
        <v>1242</v>
      </c>
      <c r="B156" s="354" t="s">
        <v>547</v>
      </c>
      <c r="C156" s="365">
        <v>8127</v>
      </c>
      <c r="D156" s="365">
        <v>8127</v>
      </c>
      <c r="E156" s="365">
        <v>8127</v>
      </c>
      <c r="F156" s="365">
        <v>8127</v>
      </c>
      <c r="G156" s="365">
        <v>3960</v>
      </c>
      <c r="H156" s="365">
        <v>0</v>
      </c>
      <c r="I156" s="365">
        <v>0</v>
      </c>
      <c r="J156" s="365">
        <v>0</v>
      </c>
      <c r="K156" s="365">
        <v>0</v>
      </c>
      <c r="L156" s="365">
        <v>3960</v>
      </c>
      <c r="M156" s="365">
        <v>0</v>
      </c>
      <c r="N156" s="365">
        <v>0</v>
      </c>
      <c r="O156" s="365">
        <v>0</v>
      </c>
      <c r="P156" s="365">
        <v>0</v>
      </c>
      <c r="Q156" s="365">
        <v>0</v>
      </c>
      <c r="R156" s="365">
        <v>0</v>
      </c>
      <c r="S156" s="365">
        <v>0</v>
      </c>
      <c r="T156" s="365">
        <v>3960</v>
      </c>
      <c r="U156" s="366">
        <v>0.48726467331118495</v>
      </c>
      <c r="V156" s="365">
        <v>4167</v>
      </c>
      <c r="W156" s="365">
        <v>0</v>
      </c>
      <c r="X156" s="365">
        <v>0</v>
      </c>
      <c r="Y156" s="365">
        <v>0</v>
      </c>
      <c r="Z156" s="365">
        <v>4167</v>
      </c>
      <c r="AA156" s="365">
        <v>0</v>
      </c>
    </row>
    <row r="157" spans="1:27" ht="12" customHeight="1" x14ac:dyDescent="0.25">
      <c r="A157" s="354" t="s">
        <v>1243</v>
      </c>
      <c r="B157" s="354" t="s">
        <v>548</v>
      </c>
      <c r="C157" s="365">
        <v>0</v>
      </c>
      <c r="D157" s="365">
        <v>0</v>
      </c>
      <c r="E157" s="365">
        <v>0</v>
      </c>
      <c r="F157" s="365">
        <v>0</v>
      </c>
      <c r="G157" s="365">
        <v>0</v>
      </c>
      <c r="H157" s="365">
        <v>0</v>
      </c>
      <c r="I157" s="365">
        <v>0</v>
      </c>
      <c r="J157" s="365">
        <v>0</v>
      </c>
      <c r="K157" s="365">
        <v>0</v>
      </c>
      <c r="L157" s="365">
        <v>0</v>
      </c>
      <c r="M157" s="365">
        <v>0</v>
      </c>
      <c r="N157" s="365">
        <v>0</v>
      </c>
      <c r="O157" s="365">
        <v>0</v>
      </c>
      <c r="P157" s="365">
        <v>0</v>
      </c>
      <c r="Q157" s="365">
        <v>0</v>
      </c>
      <c r="R157" s="365">
        <v>0</v>
      </c>
      <c r="S157" s="365">
        <v>0</v>
      </c>
      <c r="T157" s="365">
        <v>0</v>
      </c>
      <c r="U157" s="366" t="e">
        <v>#DIV/0!</v>
      </c>
      <c r="V157" s="365">
        <v>0</v>
      </c>
      <c r="W157" s="365">
        <v>0</v>
      </c>
      <c r="X157" s="365">
        <v>0</v>
      </c>
      <c r="Y157" s="365">
        <v>0</v>
      </c>
      <c r="Z157" s="365">
        <v>0</v>
      </c>
      <c r="AA157" s="365">
        <v>0</v>
      </c>
    </row>
    <row r="158" spans="1:27" ht="12" customHeight="1" x14ac:dyDescent="0.25">
      <c r="A158" s="354" t="s">
        <v>1244</v>
      </c>
      <c r="B158" s="354" t="s">
        <v>549</v>
      </c>
      <c r="C158" s="365">
        <v>0</v>
      </c>
      <c r="D158" s="365">
        <v>0</v>
      </c>
      <c r="E158" s="365">
        <v>0</v>
      </c>
      <c r="F158" s="365">
        <v>0</v>
      </c>
      <c r="G158" s="365">
        <v>0</v>
      </c>
      <c r="H158" s="365">
        <v>0</v>
      </c>
      <c r="I158" s="365">
        <v>0</v>
      </c>
      <c r="J158" s="365">
        <v>0</v>
      </c>
      <c r="K158" s="365">
        <v>0</v>
      </c>
      <c r="L158" s="365">
        <v>0</v>
      </c>
      <c r="M158" s="365">
        <v>0</v>
      </c>
      <c r="N158" s="365">
        <v>0</v>
      </c>
      <c r="O158" s="365">
        <v>0</v>
      </c>
      <c r="P158" s="365">
        <v>0</v>
      </c>
      <c r="Q158" s="365">
        <v>0</v>
      </c>
      <c r="R158" s="365">
        <v>0</v>
      </c>
      <c r="S158" s="365">
        <v>0</v>
      </c>
      <c r="T158" s="365">
        <v>0</v>
      </c>
      <c r="U158" s="366" t="e">
        <v>#DIV/0!</v>
      </c>
      <c r="V158" s="365">
        <v>0</v>
      </c>
      <c r="W158" s="365">
        <v>0</v>
      </c>
      <c r="X158" s="365">
        <v>0</v>
      </c>
      <c r="Y158" s="365">
        <v>0</v>
      </c>
      <c r="Z158" s="365">
        <v>0</v>
      </c>
      <c r="AA158" s="365">
        <v>0</v>
      </c>
    </row>
    <row r="159" spans="1:27" ht="12" customHeight="1" x14ac:dyDescent="0.25">
      <c r="A159" s="354" t="s">
        <v>1245</v>
      </c>
      <c r="B159" s="354" t="s">
        <v>550</v>
      </c>
      <c r="C159" s="365">
        <v>0</v>
      </c>
      <c r="D159" s="365">
        <v>0</v>
      </c>
      <c r="E159" s="365">
        <v>0</v>
      </c>
      <c r="F159" s="365">
        <v>0</v>
      </c>
      <c r="G159" s="365">
        <v>0</v>
      </c>
      <c r="H159" s="365">
        <v>0</v>
      </c>
      <c r="I159" s="365">
        <v>0</v>
      </c>
      <c r="J159" s="365">
        <v>0</v>
      </c>
      <c r="K159" s="365">
        <v>0</v>
      </c>
      <c r="L159" s="365">
        <v>0</v>
      </c>
      <c r="M159" s="365">
        <v>0</v>
      </c>
      <c r="N159" s="365">
        <v>0</v>
      </c>
      <c r="O159" s="365">
        <v>0</v>
      </c>
      <c r="P159" s="365">
        <v>0</v>
      </c>
      <c r="Q159" s="365">
        <v>0</v>
      </c>
      <c r="R159" s="365">
        <v>0</v>
      </c>
      <c r="S159" s="365">
        <v>0</v>
      </c>
      <c r="T159" s="365">
        <v>0</v>
      </c>
      <c r="U159" s="366" t="e">
        <v>#DIV/0!</v>
      </c>
      <c r="V159" s="365">
        <v>0</v>
      </c>
      <c r="W159" s="365">
        <v>0</v>
      </c>
      <c r="X159" s="365">
        <v>0</v>
      </c>
      <c r="Y159" s="365">
        <v>0</v>
      </c>
      <c r="Z159" s="365">
        <v>0</v>
      </c>
      <c r="AA159" s="365">
        <v>0</v>
      </c>
    </row>
    <row r="160" spans="1:27" ht="12" customHeight="1" x14ac:dyDescent="0.25">
      <c r="A160" s="354" t="s">
        <v>1246</v>
      </c>
      <c r="B160" s="354" t="s">
        <v>551</v>
      </c>
      <c r="C160" s="365">
        <v>0</v>
      </c>
      <c r="D160" s="365">
        <v>0</v>
      </c>
      <c r="E160" s="365">
        <v>0</v>
      </c>
      <c r="F160" s="365">
        <v>0</v>
      </c>
      <c r="G160" s="365">
        <v>0</v>
      </c>
      <c r="H160" s="365">
        <v>0</v>
      </c>
      <c r="I160" s="365">
        <v>0</v>
      </c>
      <c r="J160" s="365">
        <v>0</v>
      </c>
      <c r="K160" s="365">
        <v>0</v>
      </c>
      <c r="L160" s="365">
        <v>0</v>
      </c>
      <c r="M160" s="365">
        <v>0</v>
      </c>
      <c r="N160" s="365">
        <v>0</v>
      </c>
      <c r="O160" s="365">
        <v>0</v>
      </c>
      <c r="P160" s="365">
        <v>0</v>
      </c>
      <c r="Q160" s="365">
        <v>0</v>
      </c>
      <c r="R160" s="365">
        <v>0</v>
      </c>
      <c r="S160" s="365">
        <v>0</v>
      </c>
      <c r="T160" s="365">
        <v>0</v>
      </c>
      <c r="U160" s="366" t="e">
        <v>#DIV/0!</v>
      </c>
      <c r="V160" s="365">
        <v>0</v>
      </c>
      <c r="W160" s="365">
        <v>0</v>
      </c>
      <c r="X160" s="365">
        <v>0</v>
      </c>
      <c r="Y160" s="365">
        <v>0</v>
      </c>
      <c r="Z160" s="365">
        <v>0</v>
      </c>
      <c r="AA160" s="365">
        <v>0</v>
      </c>
    </row>
    <row r="161" spans="1:27" ht="12" customHeight="1" x14ac:dyDescent="0.25">
      <c r="A161" s="354" t="s">
        <v>1247</v>
      </c>
      <c r="B161" s="354" t="s">
        <v>552</v>
      </c>
      <c r="C161" s="365">
        <v>0</v>
      </c>
      <c r="D161" s="365">
        <v>0</v>
      </c>
      <c r="E161" s="365">
        <v>0</v>
      </c>
      <c r="F161" s="365">
        <v>0</v>
      </c>
      <c r="G161" s="365">
        <v>0</v>
      </c>
      <c r="H161" s="365">
        <v>0</v>
      </c>
      <c r="I161" s="365">
        <v>0</v>
      </c>
      <c r="J161" s="365">
        <v>0</v>
      </c>
      <c r="K161" s="365">
        <v>0</v>
      </c>
      <c r="L161" s="365">
        <v>0</v>
      </c>
      <c r="M161" s="365">
        <v>0</v>
      </c>
      <c r="N161" s="365">
        <v>0</v>
      </c>
      <c r="O161" s="365">
        <v>0</v>
      </c>
      <c r="P161" s="365">
        <v>0</v>
      </c>
      <c r="Q161" s="365">
        <v>0</v>
      </c>
      <c r="R161" s="365">
        <v>0</v>
      </c>
      <c r="S161" s="365">
        <v>0</v>
      </c>
      <c r="T161" s="365">
        <v>0</v>
      </c>
      <c r="U161" s="366" t="e">
        <v>#DIV/0!</v>
      </c>
      <c r="V161" s="365">
        <v>0</v>
      </c>
      <c r="W161" s="365">
        <v>0</v>
      </c>
      <c r="X161" s="365">
        <v>0</v>
      </c>
      <c r="Y161" s="365">
        <v>0</v>
      </c>
      <c r="Z161" s="365">
        <v>0</v>
      </c>
      <c r="AA161" s="365">
        <v>0</v>
      </c>
    </row>
    <row r="162" spans="1:27" ht="12" customHeight="1" x14ac:dyDescent="0.25">
      <c r="A162" s="354" t="s">
        <v>1248</v>
      </c>
      <c r="B162" s="354" t="s">
        <v>553</v>
      </c>
      <c r="C162" s="365">
        <v>0</v>
      </c>
      <c r="D162" s="365">
        <v>0</v>
      </c>
      <c r="E162" s="365">
        <v>0</v>
      </c>
      <c r="F162" s="365">
        <v>0</v>
      </c>
      <c r="G162" s="365">
        <v>0</v>
      </c>
      <c r="H162" s="365">
        <v>0</v>
      </c>
      <c r="I162" s="365">
        <v>0</v>
      </c>
      <c r="J162" s="365">
        <v>0</v>
      </c>
      <c r="K162" s="365">
        <v>0</v>
      </c>
      <c r="L162" s="365">
        <v>0</v>
      </c>
      <c r="M162" s="365">
        <v>0</v>
      </c>
      <c r="N162" s="365">
        <v>0</v>
      </c>
      <c r="O162" s="365">
        <v>0</v>
      </c>
      <c r="P162" s="365">
        <v>0</v>
      </c>
      <c r="Q162" s="365">
        <v>0</v>
      </c>
      <c r="R162" s="365">
        <v>0</v>
      </c>
      <c r="S162" s="365">
        <v>0</v>
      </c>
      <c r="T162" s="365">
        <v>0</v>
      </c>
      <c r="U162" s="366" t="e">
        <v>#DIV/0!</v>
      </c>
      <c r="V162" s="365">
        <v>0</v>
      </c>
      <c r="W162" s="365">
        <v>0</v>
      </c>
      <c r="X162" s="365">
        <v>0</v>
      </c>
      <c r="Y162" s="365">
        <v>0</v>
      </c>
      <c r="Z162" s="365">
        <v>0</v>
      </c>
      <c r="AA162" s="365">
        <v>0</v>
      </c>
    </row>
    <row r="163" spans="1:27" ht="12" customHeight="1" x14ac:dyDescent="0.25">
      <c r="A163" s="354" t="s">
        <v>1249</v>
      </c>
      <c r="B163" s="354" t="s">
        <v>554</v>
      </c>
      <c r="C163" s="365">
        <v>0</v>
      </c>
      <c r="D163" s="365">
        <v>0</v>
      </c>
      <c r="E163" s="365">
        <v>0</v>
      </c>
      <c r="F163" s="365">
        <v>0</v>
      </c>
      <c r="G163" s="365">
        <v>0</v>
      </c>
      <c r="H163" s="365">
        <v>0</v>
      </c>
      <c r="I163" s="365">
        <v>0</v>
      </c>
      <c r="J163" s="365">
        <v>0</v>
      </c>
      <c r="K163" s="365">
        <v>0</v>
      </c>
      <c r="L163" s="365">
        <v>0</v>
      </c>
      <c r="M163" s="365">
        <v>0</v>
      </c>
      <c r="N163" s="365">
        <v>0</v>
      </c>
      <c r="O163" s="365">
        <v>0</v>
      </c>
      <c r="P163" s="365">
        <v>0</v>
      </c>
      <c r="Q163" s="365">
        <v>0</v>
      </c>
      <c r="R163" s="365">
        <v>0</v>
      </c>
      <c r="S163" s="365">
        <v>0</v>
      </c>
      <c r="T163" s="365">
        <v>0</v>
      </c>
      <c r="U163" s="366" t="e">
        <v>#DIV/0!</v>
      </c>
      <c r="V163" s="365">
        <v>0</v>
      </c>
      <c r="W163" s="365">
        <v>0</v>
      </c>
      <c r="X163" s="365">
        <v>0</v>
      </c>
      <c r="Y163" s="365">
        <v>0</v>
      </c>
      <c r="Z163" s="365">
        <v>0</v>
      </c>
      <c r="AA163" s="365">
        <v>0</v>
      </c>
    </row>
    <row r="164" spans="1:27" ht="12" customHeight="1" x14ac:dyDescent="0.25">
      <c r="A164" s="354" t="s">
        <v>1250</v>
      </c>
      <c r="B164" s="354" t="s">
        <v>555</v>
      </c>
      <c r="C164" s="365">
        <v>0</v>
      </c>
      <c r="D164" s="365">
        <v>0</v>
      </c>
      <c r="E164" s="365">
        <v>0</v>
      </c>
      <c r="F164" s="365">
        <v>0</v>
      </c>
      <c r="G164" s="365">
        <v>0</v>
      </c>
      <c r="H164" s="365">
        <v>0</v>
      </c>
      <c r="I164" s="365">
        <v>0</v>
      </c>
      <c r="J164" s="365">
        <v>0</v>
      </c>
      <c r="K164" s="365">
        <v>0</v>
      </c>
      <c r="L164" s="365">
        <v>0</v>
      </c>
      <c r="M164" s="365">
        <v>0</v>
      </c>
      <c r="N164" s="365">
        <v>0</v>
      </c>
      <c r="O164" s="365">
        <v>0</v>
      </c>
      <c r="P164" s="365">
        <v>0</v>
      </c>
      <c r="Q164" s="365">
        <v>0</v>
      </c>
      <c r="R164" s="365">
        <v>0</v>
      </c>
      <c r="S164" s="365">
        <v>0</v>
      </c>
      <c r="T164" s="365">
        <v>0</v>
      </c>
      <c r="U164" s="366" t="e">
        <v>#DIV/0!</v>
      </c>
      <c r="V164" s="365">
        <v>0</v>
      </c>
      <c r="W164" s="365">
        <v>0</v>
      </c>
      <c r="X164" s="365">
        <v>0</v>
      </c>
      <c r="Y164" s="365">
        <v>0</v>
      </c>
      <c r="Z164" s="365">
        <v>0</v>
      </c>
      <c r="AA164" s="365">
        <v>0</v>
      </c>
    </row>
    <row r="165" spans="1:27" ht="12" customHeight="1" x14ac:dyDescent="0.25">
      <c r="A165" s="354" t="s">
        <v>1251</v>
      </c>
      <c r="B165" s="354" t="s">
        <v>556</v>
      </c>
      <c r="C165" s="365">
        <v>0</v>
      </c>
      <c r="D165" s="365">
        <v>0</v>
      </c>
      <c r="E165" s="365">
        <v>0</v>
      </c>
      <c r="F165" s="365">
        <v>0</v>
      </c>
      <c r="G165" s="365">
        <v>0</v>
      </c>
      <c r="H165" s="365">
        <v>0</v>
      </c>
      <c r="I165" s="365">
        <v>0</v>
      </c>
      <c r="J165" s="365">
        <v>0</v>
      </c>
      <c r="K165" s="365">
        <v>0</v>
      </c>
      <c r="L165" s="365">
        <v>0</v>
      </c>
      <c r="M165" s="365">
        <v>0</v>
      </c>
      <c r="N165" s="365">
        <v>0</v>
      </c>
      <c r="O165" s="365">
        <v>0</v>
      </c>
      <c r="P165" s="365">
        <v>0</v>
      </c>
      <c r="Q165" s="365">
        <v>0</v>
      </c>
      <c r="R165" s="365">
        <v>0</v>
      </c>
      <c r="S165" s="365">
        <v>0</v>
      </c>
      <c r="T165" s="365">
        <v>0</v>
      </c>
      <c r="U165" s="366" t="e">
        <v>#DIV/0!</v>
      </c>
      <c r="V165" s="365">
        <v>0</v>
      </c>
      <c r="W165" s="365">
        <v>0</v>
      </c>
      <c r="X165" s="365">
        <v>0</v>
      </c>
      <c r="Y165" s="365">
        <v>0</v>
      </c>
      <c r="Z165" s="365">
        <v>0</v>
      </c>
      <c r="AA165" s="365">
        <v>0</v>
      </c>
    </row>
    <row r="166" spans="1:27" ht="12" customHeight="1" x14ac:dyDescent="0.25">
      <c r="A166" s="354"/>
      <c r="B166" s="360" t="s">
        <v>557</v>
      </c>
      <c r="C166" s="361">
        <v>0</v>
      </c>
      <c r="D166" s="361">
        <v>0</v>
      </c>
      <c r="E166" s="361">
        <v>0</v>
      </c>
      <c r="F166" s="361">
        <v>0</v>
      </c>
      <c r="G166" s="361">
        <v>0</v>
      </c>
      <c r="H166" s="361">
        <v>0</v>
      </c>
      <c r="I166" s="361">
        <v>0</v>
      </c>
      <c r="J166" s="361">
        <v>0</v>
      </c>
      <c r="K166" s="361">
        <v>0</v>
      </c>
      <c r="L166" s="361">
        <v>0</v>
      </c>
      <c r="M166" s="361">
        <v>0</v>
      </c>
      <c r="N166" s="361">
        <v>0</v>
      </c>
      <c r="O166" s="361">
        <v>0</v>
      </c>
      <c r="P166" s="361">
        <v>0</v>
      </c>
      <c r="Q166" s="361">
        <v>0</v>
      </c>
      <c r="R166" s="361">
        <v>0</v>
      </c>
      <c r="S166" s="361">
        <v>0</v>
      </c>
      <c r="T166" s="362">
        <v>0</v>
      </c>
      <c r="U166" s="363" t="e">
        <v>#DIV/0!</v>
      </c>
      <c r="V166" s="362">
        <v>0</v>
      </c>
      <c r="W166" s="362">
        <v>0</v>
      </c>
      <c r="X166" s="362">
        <v>0</v>
      </c>
      <c r="Y166" s="362">
        <v>0</v>
      </c>
      <c r="Z166" s="362">
        <v>0</v>
      </c>
      <c r="AA166" s="362">
        <v>0</v>
      </c>
    </row>
    <row r="167" spans="1:27" ht="12" customHeight="1" x14ac:dyDescent="0.25">
      <c r="A167" s="354" t="s">
        <v>1252</v>
      </c>
      <c r="B167" s="354" t="s">
        <v>558</v>
      </c>
      <c r="C167" s="365">
        <v>0</v>
      </c>
      <c r="D167" s="365">
        <v>0</v>
      </c>
      <c r="E167" s="365">
        <v>0</v>
      </c>
      <c r="F167" s="365">
        <v>0</v>
      </c>
      <c r="G167" s="365">
        <v>0</v>
      </c>
      <c r="H167" s="365">
        <v>0</v>
      </c>
      <c r="I167" s="365">
        <v>0</v>
      </c>
      <c r="J167" s="365">
        <v>0</v>
      </c>
      <c r="K167" s="365">
        <v>0</v>
      </c>
      <c r="L167" s="365">
        <v>0</v>
      </c>
      <c r="M167" s="365">
        <v>0</v>
      </c>
      <c r="N167" s="365">
        <v>0</v>
      </c>
      <c r="O167" s="365">
        <v>0</v>
      </c>
      <c r="P167" s="365">
        <v>0</v>
      </c>
      <c r="Q167" s="365">
        <v>0</v>
      </c>
      <c r="R167" s="365">
        <v>0</v>
      </c>
      <c r="S167" s="365">
        <v>0</v>
      </c>
      <c r="T167" s="365">
        <v>0</v>
      </c>
      <c r="U167" s="366" t="e">
        <v>#DIV/0!</v>
      </c>
      <c r="V167" s="365">
        <v>0</v>
      </c>
      <c r="W167" s="365">
        <v>0</v>
      </c>
      <c r="X167" s="365">
        <v>0</v>
      </c>
      <c r="Y167" s="365">
        <v>0</v>
      </c>
      <c r="Z167" s="365">
        <v>0</v>
      </c>
      <c r="AA167" s="365">
        <v>0</v>
      </c>
    </row>
    <row r="168" spans="1:27" ht="12" customHeight="1" x14ac:dyDescent="0.25">
      <c r="A168" s="354" t="s">
        <v>1253</v>
      </c>
      <c r="B168" s="354" t="s">
        <v>559</v>
      </c>
      <c r="C168" s="365">
        <v>0</v>
      </c>
      <c r="D168" s="365">
        <v>0</v>
      </c>
      <c r="E168" s="365">
        <v>0</v>
      </c>
      <c r="F168" s="365">
        <v>0</v>
      </c>
      <c r="G168" s="365">
        <v>0</v>
      </c>
      <c r="H168" s="365">
        <v>0</v>
      </c>
      <c r="I168" s="365">
        <v>0</v>
      </c>
      <c r="J168" s="365">
        <v>0</v>
      </c>
      <c r="K168" s="365">
        <v>0</v>
      </c>
      <c r="L168" s="365">
        <v>0</v>
      </c>
      <c r="M168" s="365">
        <v>0</v>
      </c>
      <c r="N168" s="365">
        <v>0</v>
      </c>
      <c r="O168" s="365">
        <v>0</v>
      </c>
      <c r="P168" s="365">
        <v>0</v>
      </c>
      <c r="Q168" s="365">
        <v>0</v>
      </c>
      <c r="R168" s="365">
        <v>0</v>
      </c>
      <c r="S168" s="365">
        <v>0</v>
      </c>
      <c r="T168" s="365">
        <v>0</v>
      </c>
      <c r="U168" s="366" t="e">
        <v>#DIV/0!</v>
      </c>
      <c r="V168" s="365">
        <v>0</v>
      </c>
      <c r="W168" s="365">
        <v>0</v>
      </c>
      <c r="X168" s="365">
        <v>0</v>
      </c>
      <c r="Y168" s="365">
        <v>0</v>
      </c>
      <c r="Z168" s="365">
        <v>0</v>
      </c>
      <c r="AA168" s="365">
        <v>0</v>
      </c>
    </row>
    <row r="169" spans="1:27" ht="12" customHeight="1" x14ac:dyDescent="0.25">
      <c r="A169" s="354" t="s">
        <v>1254</v>
      </c>
      <c r="B169" s="354" t="s">
        <v>560</v>
      </c>
      <c r="C169" s="365">
        <v>0</v>
      </c>
      <c r="D169" s="365">
        <v>0</v>
      </c>
      <c r="E169" s="365">
        <v>0</v>
      </c>
      <c r="F169" s="365">
        <v>0</v>
      </c>
      <c r="G169" s="365">
        <v>0</v>
      </c>
      <c r="H169" s="365">
        <v>0</v>
      </c>
      <c r="I169" s="365">
        <v>0</v>
      </c>
      <c r="J169" s="365">
        <v>0</v>
      </c>
      <c r="K169" s="365">
        <v>0</v>
      </c>
      <c r="L169" s="365">
        <v>0</v>
      </c>
      <c r="M169" s="365">
        <v>0</v>
      </c>
      <c r="N169" s="365">
        <v>0</v>
      </c>
      <c r="O169" s="365">
        <v>0</v>
      </c>
      <c r="P169" s="365">
        <v>0</v>
      </c>
      <c r="Q169" s="365">
        <v>0</v>
      </c>
      <c r="R169" s="365">
        <v>0</v>
      </c>
      <c r="S169" s="365">
        <v>0</v>
      </c>
      <c r="T169" s="365">
        <v>0</v>
      </c>
      <c r="U169" s="366" t="e">
        <v>#DIV/0!</v>
      </c>
      <c r="V169" s="365">
        <v>0</v>
      </c>
      <c r="W169" s="365">
        <v>0</v>
      </c>
      <c r="X169" s="365">
        <v>0</v>
      </c>
      <c r="Y169" s="365">
        <v>0</v>
      </c>
      <c r="Z169" s="365">
        <v>0</v>
      </c>
      <c r="AA169" s="365">
        <v>0</v>
      </c>
    </row>
    <row r="170" spans="1:27" ht="12" customHeight="1" x14ac:dyDescent="0.25">
      <c r="A170" s="354"/>
      <c r="B170" s="355" t="s">
        <v>561</v>
      </c>
      <c r="C170" s="356">
        <v>0</v>
      </c>
      <c r="D170" s="356">
        <v>0</v>
      </c>
      <c r="E170" s="356">
        <v>0</v>
      </c>
      <c r="F170" s="356">
        <v>0</v>
      </c>
      <c r="G170" s="356">
        <v>0</v>
      </c>
      <c r="H170" s="356">
        <v>0</v>
      </c>
      <c r="I170" s="356">
        <v>0</v>
      </c>
      <c r="J170" s="356">
        <v>0</v>
      </c>
      <c r="K170" s="356">
        <v>0</v>
      </c>
      <c r="L170" s="356">
        <v>0</v>
      </c>
      <c r="M170" s="356">
        <v>0</v>
      </c>
      <c r="N170" s="356">
        <v>0</v>
      </c>
      <c r="O170" s="356">
        <v>0</v>
      </c>
      <c r="P170" s="356">
        <v>0</v>
      </c>
      <c r="Q170" s="356">
        <v>0</v>
      </c>
      <c r="R170" s="356">
        <v>0</v>
      </c>
      <c r="S170" s="356">
        <v>0</v>
      </c>
      <c r="T170" s="357">
        <v>0</v>
      </c>
      <c r="U170" s="358" t="e">
        <v>#DIV/0!</v>
      </c>
      <c r="V170" s="357">
        <v>0</v>
      </c>
      <c r="W170" s="357">
        <v>0</v>
      </c>
      <c r="X170" s="357">
        <v>0</v>
      </c>
      <c r="Y170" s="357">
        <v>0</v>
      </c>
      <c r="Z170" s="357">
        <v>0</v>
      </c>
      <c r="AA170" s="357">
        <v>0</v>
      </c>
    </row>
    <row r="171" spans="1:27" ht="12" customHeight="1" x14ac:dyDescent="0.25">
      <c r="A171" s="354"/>
      <c r="B171" s="360" t="s">
        <v>562</v>
      </c>
      <c r="C171" s="361">
        <v>0</v>
      </c>
      <c r="D171" s="361">
        <v>0</v>
      </c>
      <c r="E171" s="361">
        <v>0</v>
      </c>
      <c r="F171" s="361">
        <v>0</v>
      </c>
      <c r="G171" s="361">
        <v>0</v>
      </c>
      <c r="H171" s="361">
        <v>0</v>
      </c>
      <c r="I171" s="361">
        <v>0</v>
      </c>
      <c r="J171" s="361">
        <v>0</v>
      </c>
      <c r="K171" s="361">
        <v>0</v>
      </c>
      <c r="L171" s="361">
        <v>0</v>
      </c>
      <c r="M171" s="361">
        <v>0</v>
      </c>
      <c r="N171" s="361">
        <v>0</v>
      </c>
      <c r="O171" s="361">
        <v>0</v>
      </c>
      <c r="P171" s="361">
        <v>0</v>
      </c>
      <c r="Q171" s="361">
        <v>0</v>
      </c>
      <c r="R171" s="361">
        <v>0</v>
      </c>
      <c r="S171" s="361">
        <v>0</v>
      </c>
      <c r="T171" s="362">
        <v>0</v>
      </c>
      <c r="U171" s="363" t="e">
        <v>#DIV/0!</v>
      </c>
      <c r="V171" s="362">
        <v>0</v>
      </c>
      <c r="W171" s="362">
        <v>0</v>
      </c>
      <c r="X171" s="362">
        <v>0</v>
      </c>
      <c r="Y171" s="362">
        <v>0</v>
      </c>
      <c r="Z171" s="362">
        <v>0</v>
      </c>
      <c r="AA171" s="362">
        <v>0</v>
      </c>
    </row>
    <row r="172" spans="1:27" ht="12" customHeight="1" x14ac:dyDescent="0.25">
      <c r="A172" s="354"/>
      <c r="B172" s="354" t="s">
        <v>563</v>
      </c>
      <c r="C172" s="368">
        <v>0</v>
      </c>
      <c r="D172" s="368">
        <v>0</v>
      </c>
      <c r="E172" s="368">
        <v>0</v>
      </c>
      <c r="F172" s="368">
        <v>0</v>
      </c>
      <c r="G172" s="368">
        <v>0</v>
      </c>
      <c r="H172" s="368">
        <v>0</v>
      </c>
      <c r="I172" s="368">
        <v>0</v>
      </c>
      <c r="J172" s="368">
        <v>0</v>
      </c>
      <c r="K172" s="368">
        <v>0</v>
      </c>
      <c r="L172" s="368">
        <v>0</v>
      </c>
      <c r="M172" s="368">
        <v>0</v>
      </c>
      <c r="N172" s="368">
        <v>0</v>
      </c>
      <c r="O172" s="368">
        <v>0</v>
      </c>
      <c r="P172" s="368">
        <v>0</v>
      </c>
      <c r="Q172" s="368">
        <v>0</v>
      </c>
      <c r="R172" s="368">
        <v>0</v>
      </c>
      <c r="S172" s="368">
        <v>0</v>
      </c>
      <c r="T172" s="365">
        <v>0</v>
      </c>
      <c r="U172" s="366" t="e">
        <v>#DIV/0!</v>
      </c>
      <c r="V172" s="365">
        <v>0</v>
      </c>
      <c r="W172" s="365">
        <v>0</v>
      </c>
      <c r="X172" s="365">
        <v>0</v>
      </c>
      <c r="Y172" s="365">
        <v>0</v>
      </c>
      <c r="Z172" s="365">
        <v>0</v>
      </c>
      <c r="AA172" s="365">
        <v>0</v>
      </c>
    </row>
    <row r="173" spans="1:27" ht="12" customHeight="1" x14ac:dyDescent="0.25">
      <c r="A173" s="354" t="s">
        <v>1255</v>
      </c>
      <c r="B173" s="364" t="s">
        <v>564</v>
      </c>
      <c r="C173" s="365">
        <v>0</v>
      </c>
      <c r="D173" s="365">
        <v>0</v>
      </c>
      <c r="E173" s="365">
        <v>0</v>
      </c>
      <c r="F173" s="365">
        <v>0</v>
      </c>
      <c r="G173" s="365">
        <v>0</v>
      </c>
      <c r="H173" s="365">
        <v>0</v>
      </c>
      <c r="I173" s="365">
        <v>0</v>
      </c>
      <c r="J173" s="365">
        <v>0</v>
      </c>
      <c r="K173" s="365">
        <v>0</v>
      </c>
      <c r="L173" s="365">
        <v>0</v>
      </c>
      <c r="M173" s="365">
        <v>0</v>
      </c>
      <c r="N173" s="365">
        <v>0</v>
      </c>
      <c r="O173" s="365">
        <v>0</v>
      </c>
      <c r="P173" s="365">
        <v>0</v>
      </c>
      <c r="Q173" s="365">
        <v>0</v>
      </c>
      <c r="R173" s="365">
        <v>0</v>
      </c>
      <c r="S173" s="365">
        <v>0</v>
      </c>
      <c r="T173" s="365">
        <v>0</v>
      </c>
      <c r="U173" s="366" t="e">
        <v>#DIV/0!</v>
      </c>
      <c r="V173" s="365">
        <v>0</v>
      </c>
      <c r="W173" s="365">
        <v>0</v>
      </c>
      <c r="X173" s="365">
        <v>0</v>
      </c>
      <c r="Y173" s="365">
        <v>0</v>
      </c>
      <c r="Z173" s="365">
        <v>0</v>
      </c>
      <c r="AA173" s="365">
        <v>0</v>
      </c>
    </row>
    <row r="174" spans="1:27" ht="12" customHeight="1" x14ac:dyDescent="0.25">
      <c r="A174" s="354" t="s">
        <v>1256</v>
      </c>
      <c r="B174" s="364" t="s">
        <v>565</v>
      </c>
      <c r="C174" s="365">
        <v>0</v>
      </c>
      <c r="D174" s="365">
        <v>0</v>
      </c>
      <c r="E174" s="365">
        <v>0</v>
      </c>
      <c r="F174" s="365">
        <v>0</v>
      </c>
      <c r="G174" s="365">
        <v>0</v>
      </c>
      <c r="H174" s="365">
        <v>0</v>
      </c>
      <c r="I174" s="365">
        <v>0</v>
      </c>
      <c r="J174" s="365">
        <v>0</v>
      </c>
      <c r="K174" s="365">
        <v>0</v>
      </c>
      <c r="L174" s="365">
        <v>0</v>
      </c>
      <c r="M174" s="365">
        <v>0</v>
      </c>
      <c r="N174" s="365">
        <v>0</v>
      </c>
      <c r="O174" s="365">
        <v>0</v>
      </c>
      <c r="P174" s="365">
        <v>0</v>
      </c>
      <c r="Q174" s="365">
        <v>0</v>
      </c>
      <c r="R174" s="365">
        <v>0</v>
      </c>
      <c r="S174" s="365">
        <v>0</v>
      </c>
      <c r="T174" s="365">
        <v>0</v>
      </c>
      <c r="U174" s="366" t="e">
        <v>#DIV/0!</v>
      </c>
      <c r="V174" s="365">
        <v>0</v>
      </c>
      <c r="W174" s="365">
        <v>0</v>
      </c>
      <c r="X174" s="365">
        <v>0</v>
      </c>
      <c r="Y174" s="365">
        <v>0</v>
      </c>
      <c r="Z174" s="365">
        <v>0</v>
      </c>
      <c r="AA174" s="365">
        <v>0</v>
      </c>
    </row>
    <row r="175" spans="1:27" ht="12" customHeight="1" x14ac:dyDescent="0.25">
      <c r="A175" s="354"/>
      <c r="B175" s="354" t="s">
        <v>1257</v>
      </c>
      <c r="C175" s="365">
        <v>0</v>
      </c>
      <c r="D175" s="365">
        <v>0</v>
      </c>
      <c r="E175" s="365">
        <v>0</v>
      </c>
      <c r="F175" s="365">
        <v>0</v>
      </c>
      <c r="G175" s="365">
        <v>0</v>
      </c>
      <c r="H175" s="365">
        <v>0</v>
      </c>
      <c r="I175" s="365">
        <v>0</v>
      </c>
      <c r="J175" s="365">
        <v>0</v>
      </c>
      <c r="K175" s="365">
        <v>0</v>
      </c>
      <c r="L175" s="365">
        <v>0</v>
      </c>
      <c r="M175" s="365">
        <v>0</v>
      </c>
      <c r="N175" s="365">
        <v>0</v>
      </c>
      <c r="O175" s="365">
        <v>0</v>
      </c>
      <c r="P175" s="365">
        <v>0</v>
      </c>
      <c r="Q175" s="365">
        <v>0</v>
      </c>
      <c r="R175" s="365">
        <v>0</v>
      </c>
      <c r="S175" s="365">
        <v>0</v>
      </c>
      <c r="T175" s="365">
        <v>0</v>
      </c>
      <c r="U175" s="366" t="e">
        <v>#DIV/0!</v>
      </c>
      <c r="V175" s="365">
        <v>0</v>
      </c>
      <c r="W175" s="365">
        <v>0</v>
      </c>
      <c r="X175" s="365">
        <v>0</v>
      </c>
      <c r="Y175" s="365">
        <v>0</v>
      </c>
      <c r="Z175" s="365">
        <v>0</v>
      </c>
      <c r="AA175" s="365">
        <v>0</v>
      </c>
    </row>
    <row r="176" spans="1:27" ht="12" customHeight="1" x14ac:dyDescent="0.25">
      <c r="A176" s="354" t="s">
        <v>1258</v>
      </c>
      <c r="B176" s="364" t="s">
        <v>1259</v>
      </c>
      <c r="C176" s="365">
        <v>0</v>
      </c>
      <c r="D176" s="365">
        <v>0</v>
      </c>
      <c r="E176" s="365">
        <v>0</v>
      </c>
      <c r="F176" s="365">
        <v>0</v>
      </c>
      <c r="G176" s="365">
        <v>0</v>
      </c>
      <c r="H176" s="365">
        <v>0</v>
      </c>
      <c r="I176" s="365">
        <v>0</v>
      </c>
      <c r="J176" s="365">
        <v>0</v>
      </c>
      <c r="K176" s="365">
        <v>0</v>
      </c>
      <c r="L176" s="365">
        <v>0</v>
      </c>
      <c r="M176" s="365">
        <v>0</v>
      </c>
      <c r="N176" s="365">
        <v>0</v>
      </c>
      <c r="O176" s="365">
        <v>0</v>
      </c>
      <c r="P176" s="365">
        <v>0</v>
      </c>
      <c r="Q176" s="365">
        <v>0</v>
      </c>
      <c r="R176" s="365">
        <v>0</v>
      </c>
      <c r="S176" s="365">
        <v>0</v>
      </c>
      <c r="T176" s="365">
        <v>0</v>
      </c>
      <c r="U176" s="366" t="e">
        <v>#DIV/0!</v>
      </c>
      <c r="V176" s="365">
        <v>0</v>
      </c>
      <c r="W176" s="365">
        <v>0</v>
      </c>
      <c r="X176" s="365">
        <v>0</v>
      </c>
      <c r="Y176" s="365">
        <v>0</v>
      </c>
      <c r="Z176" s="365">
        <v>0</v>
      </c>
      <c r="AA176" s="365">
        <v>0</v>
      </c>
    </row>
    <row r="177" spans="1:27" ht="12" customHeight="1" x14ac:dyDescent="0.25">
      <c r="A177" s="354" t="s">
        <v>1260</v>
      </c>
      <c r="B177" s="364" t="s">
        <v>1261</v>
      </c>
      <c r="C177" s="365">
        <v>0</v>
      </c>
      <c r="D177" s="365">
        <v>0</v>
      </c>
      <c r="E177" s="365">
        <v>0</v>
      </c>
      <c r="F177" s="365">
        <v>0</v>
      </c>
      <c r="G177" s="365">
        <v>0</v>
      </c>
      <c r="H177" s="365">
        <v>0</v>
      </c>
      <c r="I177" s="365">
        <v>0</v>
      </c>
      <c r="J177" s="365">
        <v>0</v>
      </c>
      <c r="K177" s="365">
        <v>0</v>
      </c>
      <c r="L177" s="365">
        <v>0</v>
      </c>
      <c r="M177" s="365">
        <v>0</v>
      </c>
      <c r="N177" s="365">
        <v>0</v>
      </c>
      <c r="O177" s="365">
        <v>0</v>
      </c>
      <c r="P177" s="365">
        <v>0</v>
      </c>
      <c r="Q177" s="365">
        <v>0</v>
      </c>
      <c r="R177" s="365">
        <v>0</v>
      </c>
      <c r="S177" s="365">
        <v>0</v>
      </c>
      <c r="T177" s="365">
        <v>0</v>
      </c>
      <c r="U177" s="366" t="e">
        <v>#DIV/0!</v>
      </c>
      <c r="V177" s="365">
        <v>0</v>
      </c>
      <c r="W177" s="365">
        <v>0</v>
      </c>
      <c r="X177" s="365">
        <v>0</v>
      </c>
      <c r="Y177" s="365">
        <v>0</v>
      </c>
      <c r="Z177" s="365">
        <v>0</v>
      </c>
      <c r="AA177" s="365">
        <v>0</v>
      </c>
    </row>
    <row r="178" spans="1:27" ht="12" customHeight="1" x14ac:dyDescent="0.25">
      <c r="A178" s="354" t="s">
        <v>1262</v>
      </c>
      <c r="B178" s="354" t="s">
        <v>566</v>
      </c>
      <c r="C178" s="365">
        <v>0</v>
      </c>
      <c r="D178" s="365">
        <v>0</v>
      </c>
      <c r="E178" s="365">
        <v>0</v>
      </c>
      <c r="F178" s="365">
        <v>0</v>
      </c>
      <c r="G178" s="365">
        <v>0</v>
      </c>
      <c r="H178" s="365">
        <v>0</v>
      </c>
      <c r="I178" s="365">
        <v>0</v>
      </c>
      <c r="J178" s="365">
        <v>0</v>
      </c>
      <c r="K178" s="365">
        <v>0</v>
      </c>
      <c r="L178" s="365">
        <v>0</v>
      </c>
      <c r="M178" s="365">
        <v>0</v>
      </c>
      <c r="N178" s="365">
        <v>0</v>
      </c>
      <c r="O178" s="365">
        <v>0</v>
      </c>
      <c r="P178" s="365">
        <v>0</v>
      </c>
      <c r="Q178" s="365">
        <v>0</v>
      </c>
      <c r="R178" s="365">
        <v>0</v>
      </c>
      <c r="S178" s="365">
        <v>0</v>
      </c>
      <c r="T178" s="365">
        <v>0</v>
      </c>
      <c r="U178" s="366" t="e">
        <v>#DIV/0!</v>
      </c>
      <c r="V178" s="365">
        <v>0</v>
      </c>
      <c r="W178" s="365">
        <v>0</v>
      </c>
      <c r="X178" s="365">
        <v>0</v>
      </c>
      <c r="Y178" s="365">
        <v>0</v>
      </c>
      <c r="Z178" s="365">
        <v>0</v>
      </c>
      <c r="AA178" s="365">
        <v>0</v>
      </c>
    </row>
    <row r="179" spans="1:27" ht="12" customHeight="1" x14ac:dyDescent="0.25">
      <c r="A179" s="354" t="s">
        <v>1263</v>
      </c>
      <c r="B179" s="354" t="s">
        <v>567</v>
      </c>
      <c r="C179" s="365">
        <v>0</v>
      </c>
      <c r="D179" s="365">
        <v>0</v>
      </c>
      <c r="E179" s="365">
        <v>0</v>
      </c>
      <c r="F179" s="365">
        <v>0</v>
      </c>
      <c r="G179" s="365">
        <v>0</v>
      </c>
      <c r="H179" s="365">
        <v>0</v>
      </c>
      <c r="I179" s="365">
        <v>0</v>
      </c>
      <c r="J179" s="365">
        <v>0</v>
      </c>
      <c r="K179" s="365">
        <v>0</v>
      </c>
      <c r="L179" s="365">
        <v>0</v>
      </c>
      <c r="M179" s="365">
        <v>0</v>
      </c>
      <c r="N179" s="365">
        <v>0</v>
      </c>
      <c r="O179" s="365">
        <v>0</v>
      </c>
      <c r="P179" s="365">
        <v>0</v>
      </c>
      <c r="Q179" s="365">
        <v>0</v>
      </c>
      <c r="R179" s="365">
        <v>0</v>
      </c>
      <c r="S179" s="365">
        <v>0</v>
      </c>
      <c r="T179" s="365">
        <v>0</v>
      </c>
      <c r="U179" s="366" t="e">
        <v>#DIV/0!</v>
      </c>
      <c r="V179" s="365">
        <v>0</v>
      </c>
      <c r="W179" s="365">
        <v>0</v>
      </c>
      <c r="X179" s="365">
        <v>0</v>
      </c>
      <c r="Y179" s="365">
        <v>0</v>
      </c>
      <c r="Z179" s="365">
        <v>0</v>
      </c>
      <c r="AA179" s="365">
        <v>0</v>
      </c>
    </row>
    <row r="180" spans="1:27" ht="12" customHeight="1" x14ac:dyDescent="0.25">
      <c r="A180" s="354"/>
      <c r="B180" s="360" t="s">
        <v>568</v>
      </c>
      <c r="C180" s="361">
        <v>0</v>
      </c>
      <c r="D180" s="361">
        <v>0</v>
      </c>
      <c r="E180" s="361">
        <v>0</v>
      </c>
      <c r="F180" s="361">
        <v>0</v>
      </c>
      <c r="G180" s="361">
        <v>0</v>
      </c>
      <c r="H180" s="361">
        <v>0</v>
      </c>
      <c r="I180" s="361">
        <v>0</v>
      </c>
      <c r="J180" s="361">
        <v>0</v>
      </c>
      <c r="K180" s="361">
        <v>0</v>
      </c>
      <c r="L180" s="361">
        <v>0</v>
      </c>
      <c r="M180" s="361">
        <v>0</v>
      </c>
      <c r="N180" s="361">
        <v>0</v>
      </c>
      <c r="O180" s="361">
        <v>0</v>
      </c>
      <c r="P180" s="361">
        <v>0</v>
      </c>
      <c r="Q180" s="361">
        <v>0</v>
      </c>
      <c r="R180" s="361">
        <v>0</v>
      </c>
      <c r="S180" s="361">
        <v>0</v>
      </c>
      <c r="T180" s="362">
        <v>0</v>
      </c>
      <c r="U180" s="363" t="e">
        <v>#DIV/0!</v>
      </c>
      <c r="V180" s="362">
        <v>0</v>
      </c>
      <c r="W180" s="362">
        <v>0</v>
      </c>
      <c r="X180" s="362">
        <v>0</v>
      </c>
      <c r="Y180" s="362">
        <v>0</v>
      </c>
      <c r="Z180" s="362">
        <v>0</v>
      </c>
      <c r="AA180" s="362">
        <v>0</v>
      </c>
    </row>
    <row r="181" spans="1:27" ht="12" customHeight="1" x14ac:dyDescent="0.25">
      <c r="A181" s="354" t="s">
        <v>1264</v>
      </c>
      <c r="B181" s="354" t="s">
        <v>569</v>
      </c>
      <c r="C181" s="365">
        <v>0</v>
      </c>
      <c r="D181" s="365">
        <v>0</v>
      </c>
      <c r="E181" s="365">
        <v>0</v>
      </c>
      <c r="F181" s="365">
        <v>0</v>
      </c>
      <c r="G181" s="365">
        <v>0</v>
      </c>
      <c r="H181" s="365">
        <v>0</v>
      </c>
      <c r="I181" s="365">
        <v>0</v>
      </c>
      <c r="J181" s="365">
        <v>0</v>
      </c>
      <c r="K181" s="365">
        <v>0</v>
      </c>
      <c r="L181" s="365">
        <v>0</v>
      </c>
      <c r="M181" s="365">
        <v>0</v>
      </c>
      <c r="N181" s="365">
        <v>0</v>
      </c>
      <c r="O181" s="365">
        <v>0</v>
      </c>
      <c r="P181" s="365">
        <v>0</v>
      </c>
      <c r="Q181" s="365">
        <v>0</v>
      </c>
      <c r="R181" s="365">
        <v>0</v>
      </c>
      <c r="S181" s="365">
        <v>0</v>
      </c>
      <c r="T181" s="365">
        <v>0</v>
      </c>
      <c r="U181" s="366" t="e">
        <v>#DIV/0!</v>
      </c>
      <c r="V181" s="365">
        <v>0</v>
      </c>
      <c r="W181" s="365">
        <v>0</v>
      </c>
      <c r="X181" s="365">
        <v>0</v>
      </c>
      <c r="Y181" s="365">
        <v>0</v>
      </c>
      <c r="Z181" s="365">
        <v>0</v>
      </c>
      <c r="AA181" s="365">
        <v>0</v>
      </c>
    </row>
    <row r="182" spans="1:27" ht="12" customHeight="1" x14ac:dyDescent="0.25">
      <c r="A182" s="354" t="s">
        <v>1265</v>
      </c>
      <c r="B182" s="354" t="s">
        <v>570</v>
      </c>
      <c r="C182" s="365">
        <v>0</v>
      </c>
      <c r="D182" s="365">
        <v>0</v>
      </c>
      <c r="E182" s="365">
        <v>0</v>
      </c>
      <c r="F182" s="365">
        <v>0</v>
      </c>
      <c r="G182" s="365">
        <v>0</v>
      </c>
      <c r="H182" s="365">
        <v>0</v>
      </c>
      <c r="I182" s="365">
        <v>0</v>
      </c>
      <c r="J182" s="365">
        <v>0</v>
      </c>
      <c r="K182" s="365">
        <v>0</v>
      </c>
      <c r="L182" s="365">
        <v>0</v>
      </c>
      <c r="M182" s="365">
        <v>0</v>
      </c>
      <c r="N182" s="365">
        <v>0</v>
      </c>
      <c r="O182" s="365">
        <v>0</v>
      </c>
      <c r="P182" s="365">
        <v>0</v>
      </c>
      <c r="Q182" s="365">
        <v>0</v>
      </c>
      <c r="R182" s="365">
        <v>0</v>
      </c>
      <c r="S182" s="365">
        <v>0</v>
      </c>
      <c r="T182" s="365">
        <v>0</v>
      </c>
      <c r="U182" s="366" t="e">
        <v>#DIV/0!</v>
      </c>
      <c r="V182" s="365">
        <v>0</v>
      </c>
      <c r="W182" s="365">
        <v>0</v>
      </c>
      <c r="X182" s="365">
        <v>0</v>
      </c>
      <c r="Y182" s="365">
        <v>0</v>
      </c>
      <c r="Z182" s="365">
        <v>0</v>
      </c>
      <c r="AA182" s="365">
        <v>0</v>
      </c>
    </row>
    <row r="183" spans="1:27" ht="12" customHeight="1" x14ac:dyDescent="0.25">
      <c r="A183" s="354" t="s">
        <v>1266</v>
      </c>
      <c r="B183" s="354" t="s">
        <v>571</v>
      </c>
      <c r="C183" s="365">
        <v>0</v>
      </c>
      <c r="D183" s="365">
        <v>0</v>
      </c>
      <c r="E183" s="365">
        <v>0</v>
      </c>
      <c r="F183" s="365">
        <v>0</v>
      </c>
      <c r="G183" s="365">
        <v>0</v>
      </c>
      <c r="H183" s="365">
        <v>0</v>
      </c>
      <c r="I183" s="365">
        <v>0</v>
      </c>
      <c r="J183" s="365">
        <v>0</v>
      </c>
      <c r="K183" s="365">
        <v>0</v>
      </c>
      <c r="L183" s="365">
        <v>0</v>
      </c>
      <c r="M183" s="365">
        <v>0</v>
      </c>
      <c r="N183" s="365">
        <v>0</v>
      </c>
      <c r="O183" s="365">
        <v>0</v>
      </c>
      <c r="P183" s="365">
        <v>0</v>
      </c>
      <c r="Q183" s="365">
        <v>0</v>
      </c>
      <c r="R183" s="365">
        <v>0</v>
      </c>
      <c r="S183" s="365">
        <v>0</v>
      </c>
      <c r="T183" s="365">
        <v>0</v>
      </c>
      <c r="U183" s="366" t="e">
        <v>#DIV/0!</v>
      </c>
      <c r="V183" s="365">
        <v>0</v>
      </c>
      <c r="W183" s="365">
        <v>0</v>
      </c>
      <c r="X183" s="365">
        <v>0</v>
      </c>
      <c r="Y183" s="365">
        <v>0</v>
      </c>
      <c r="Z183" s="365">
        <v>0</v>
      </c>
      <c r="AA183" s="365">
        <v>0</v>
      </c>
    </row>
    <row r="184" spans="1:27" ht="12" customHeight="1" x14ac:dyDescent="0.25">
      <c r="A184" s="354"/>
      <c r="B184" s="360" t="s">
        <v>572</v>
      </c>
      <c r="C184" s="361">
        <v>0</v>
      </c>
      <c r="D184" s="361">
        <v>0</v>
      </c>
      <c r="E184" s="361">
        <v>0</v>
      </c>
      <c r="F184" s="361">
        <v>0</v>
      </c>
      <c r="G184" s="361">
        <v>0</v>
      </c>
      <c r="H184" s="361">
        <v>0</v>
      </c>
      <c r="I184" s="361">
        <v>0</v>
      </c>
      <c r="J184" s="361">
        <v>0</v>
      </c>
      <c r="K184" s="361">
        <v>0</v>
      </c>
      <c r="L184" s="361">
        <v>0</v>
      </c>
      <c r="M184" s="361">
        <v>0</v>
      </c>
      <c r="N184" s="361">
        <v>0</v>
      </c>
      <c r="O184" s="361">
        <v>0</v>
      </c>
      <c r="P184" s="361">
        <v>0</v>
      </c>
      <c r="Q184" s="361">
        <v>0</v>
      </c>
      <c r="R184" s="361">
        <v>0</v>
      </c>
      <c r="S184" s="361">
        <v>0</v>
      </c>
      <c r="T184" s="362">
        <v>0</v>
      </c>
      <c r="U184" s="363" t="e">
        <v>#DIV/0!</v>
      </c>
      <c r="V184" s="362">
        <v>0</v>
      </c>
      <c r="W184" s="362">
        <v>0</v>
      </c>
      <c r="X184" s="362">
        <v>0</v>
      </c>
      <c r="Y184" s="362">
        <v>0</v>
      </c>
      <c r="Z184" s="362">
        <v>0</v>
      </c>
      <c r="AA184" s="362">
        <v>0</v>
      </c>
    </row>
    <row r="185" spans="1:27" ht="12" customHeight="1" x14ac:dyDescent="0.25">
      <c r="A185" s="354" t="s">
        <v>1267</v>
      </c>
      <c r="B185" s="354" t="s">
        <v>573</v>
      </c>
      <c r="C185" s="365">
        <v>0</v>
      </c>
      <c r="D185" s="365">
        <v>0</v>
      </c>
      <c r="E185" s="365">
        <v>0</v>
      </c>
      <c r="F185" s="365">
        <v>0</v>
      </c>
      <c r="G185" s="365">
        <v>0</v>
      </c>
      <c r="H185" s="365">
        <v>0</v>
      </c>
      <c r="I185" s="365">
        <v>0</v>
      </c>
      <c r="J185" s="365">
        <v>0</v>
      </c>
      <c r="K185" s="365">
        <v>0</v>
      </c>
      <c r="L185" s="365">
        <v>0</v>
      </c>
      <c r="M185" s="365">
        <v>0</v>
      </c>
      <c r="N185" s="365">
        <v>0</v>
      </c>
      <c r="O185" s="365">
        <v>0</v>
      </c>
      <c r="P185" s="365">
        <v>0</v>
      </c>
      <c r="Q185" s="365">
        <v>0</v>
      </c>
      <c r="R185" s="365">
        <v>0</v>
      </c>
      <c r="S185" s="365">
        <v>0</v>
      </c>
      <c r="T185" s="365">
        <v>0</v>
      </c>
      <c r="U185" s="366" t="e">
        <v>#DIV/0!</v>
      </c>
      <c r="V185" s="365">
        <v>0</v>
      </c>
      <c r="W185" s="365">
        <v>0</v>
      </c>
      <c r="X185" s="365">
        <v>0</v>
      </c>
      <c r="Y185" s="365">
        <v>0</v>
      </c>
      <c r="Z185" s="365">
        <v>0</v>
      </c>
      <c r="AA185" s="365">
        <v>0</v>
      </c>
    </row>
    <row r="186" spans="1:27" ht="12" customHeight="1" x14ac:dyDescent="0.25">
      <c r="A186" s="354" t="s">
        <v>1268</v>
      </c>
      <c r="B186" s="354" t="s">
        <v>574</v>
      </c>
      <c r="C186" s="365">
        <v>0</v>
      </c>
      <c r="D186" s="365">
        <v>0</v>
      </c>
      <c r="E186" s="365">
        <v>0</v>
      </c>
      <c r="F186" s="365">
        <v>0</v>
      </c>
      <c r="G186" s="365">
        <v>0</v>
      </c>
      <c r="H186" s="365">
        <v>0</v>
      </c>
      <c r="I186" s="365">
        <v>0</v>
      </c>
      <c r="J186" s="365">
        <v>0</v>
      </c>
      <c r="K186" s="365">
        <v>0</v>
      </c>
      <c r="L186" s="365">
        <v>0</v>
      </c>
      <c r="M186" s="365">
        <v>0</v>
      </c>
      <c r="N186" s="365">
        <v>0</v>
      </c>
      <c r="O186" s="365">
        <v>0</v>
      </c>
      <c r="P186" s="365">
        <v>0</v>
      </c>
      <c r="Q186" s="365">
        <v>0</v>
      </c>
      <c r="R186" s="365">
        <v>0</v>
      </c>
      <c r="S186" s="365">
        <v>0</v>
      </c>
      <c r="T186" s="365">
        <v>0</v>
      </c>
      <c r="U186" s="366" t="e">
        <v>#DIV/0!</v>
      </c>
      <c r="V186" s="365">
        <v>0</v>
      </c>
      <c r="W186" s="365">
        <v>0</v>
      </c>
      <c r="X186" s="365">
        <v>0</v>
      </c>
      <c r="Y186" s="365">
        <v>0</v>
      </c>
      <c r="Z186" s="365">
        <v>0</v>
      </c>
      <c r="AA186" s="365">
        <v>0</v>
      </c>
    </row>
    <row r="187" spans="1:27" ht="12" customHeight="1" x14ac:dyDescent="0.25">
      <c r="A187" s="354" t="s">
        <v>1269</v>
      </c>
      <c r="B187" s="354" t="s">
        <v>575</v>
      </c>
      <c r="C187" s="365">
        <v>0</v>
      </c>
      <c r="D187" s="365">
        <v>0</v>
      </c>
      <c r="E187" s="365">
        <v>0</v>
      </c>
      <c r="F187" s="365">
        <v>0</v>
      </c>
      <c r="G187" s="365">
        <v>0</v>
      </c>
      <c r="H187" s="365">
        <v>0</v>
      </c>
      <c r="I187" s="365">
        <v>0</v>
      </c>
      <c r="J187" s="365">
        <v>0</v>
      </c>
      <c r="K187" s="365">
        <v>0</v>
      </c>
      <c r="L187" s="365">
        <v>0</v>
      </c>
      <c r="M187" s="365">
        <v>0</v>
      </c>
      <c r="N187" s="365">
        <v>0</v>
      </c>
      <c r="O187" s="365">
        <v>0</v>
      </c>
      <c r="P187" s="365">
        <v>0</v>
      </c>
      <c r="Q187" s="365">
        <v>0</v>
      </c>
      <c r="R187" s="365">
        <v>0</v>
      </c>
      <c r="S187" s="365">
        <v>0</v>
      </c>
      <c r="T187" s="365">
        <v>0</v>
      </c>
      <c r="U187" s="366" t="e">
        <v>#DIV/0!</v>
      </c>
      <c r="V187" s="365">
        <v>0</v>
      </c>
      <c r="W187" s="365">
        <v>0</v>
      </c>
      <c r="X187" s="365">
        <v>0</v>
      </c>
      <c r="Y187" s="365">
        <v>0</v>
      </c>
      <c r="Z187" s="365">
        <v>0</v>
      </c>
      <c r="AA187" s="365">
        <v>0</v>
      </c>
    </row>
    <row r="188" spans="1:27" ht="12" customHeight="1" x14ac:dyDescent="0.25">
      <c r="A188" s="354" t="s">
        <v>1270</v>
      </c>
      <c r="B188" s="354" t="s">
        <v>576</v>
      </c>
      <c r="C188" s="365">
        <v>0</v>
      </c>
      <c r="D188" s="365">
        <v>0</v>
      </c>
      <c r="E188" s="365">
        <v>0</v>
      </c>
      <c r="F188" s="365">
        <v>0</v>
      </c>
      <c r="G188" s="365">
        <v>0</v>
      </c>
      <c r="H188" s="365">
        <v>0</v>
      </c>
      <c r="I188" s="365">
        <v>0</v>
      </c>
      <c r="J188" s="365">
        <v>0</v>
      </c>
      <c r="K188" s="365">
        <v>0</v>
      </c>
      <c r="L188" s="365">
        <v>0</v>
      </c>
      <c r="M188" s="365">
        <v>0</v>
      </c>
      <c r="N188" s="365">
        <v>0</v>
      </c>
      <c r="O188" s="365">
        <v>0</v>
      </c>
      <c r="P188" s="365">
        <v>0</v>
      </c>
      <c r="Q188" s="365">
        <v>0</v>
      </c>
      <c r="R188" s="365">
        <v>0</v>
      </c>
      <c r="S188" s="365">
        <v>0</v>
      </c>
      <c r="T188" s="365">
        <v>0</v>
      </c>
      <c r="U188" s="366" t="e">
        <v>#DIV/0!</v>
      </c>
      <c r="V188" s="365">
        <v>0</v>
      </c>
      <c r="W188" s="365">
        <v>0</v>
      </c>
      <c r="X188" s="365">
        <v>0</v>
      </c>
      <c r="Y188" s="365">
        <v>0</v>
      </c>
      <c r="Z188" s="365">
        <v>0</v>
      </c>
      <c r="AA188" s="365">
        <v>0</v>
      </c>
    </row>
    <row r="189" spans="1:27" ht="12" customHeight="1" x14ac:dyDescent="0.25">
      <c r="A189" s="354" t="s">
        <v>1271</v>
      </c>
      <c r="B189" s="354" t="s">
        <v>577</v>
      </c>
      <c r="C189" s="365">
        <v>0</v>
      </c>
      <c r="D189" s="365">
        <v>0</v>
      </c>
      <c r="E189" s="365">
        <v>0</v>
      </c>
      <c r="F189" s="365">
        <v>0</v>
      </c>
      <c r="G189" s="365">
        <v>0</v>
      </c>
      <c r="H189" s="365">
        <v>0</v>
      </c>
      <c r="I189" s="365">
        <v>0</v>
      </c>
      <c r="J189" s="365">
        <v>0</v>
      </c>
      <c r="K189" s="365">
        <v>0</v>
      </c>
      <c r="L189" s="365">
        <v>0</v>
      </c>
      <c r="M189" s="365">
        <v>0</v>
      </c>
      <c r="N189" s="365">
        <v>0</v>
      </c>
      <c r="O189" s="365">
        <v>0</v>
      </c>
      <c r="P189" s="365">
        <v>0</v>
      </c>
      <c r="Q189" s="365">
        <v>0</v>
      </c>
      <c r="R189" s="365">
        <v>0</v>
      </c>
      <c r="S189" s="365">
        <v>0</v>
      </c>
      <c r="T189" s="365">
        <v>0</v>
      </c>
      <c r="U189" s="366" t="e">
        <v>#DIV/0!</v>
      </c>
      <c r="V189" s="365">
        <v>0</v>
      </c>
      <c r="W189" s="365">
        <v>0</v>
      </c>
      <c r="X189" s="365">
        <v>0</v>
      </c>
      <c r="Y189" s="365">
        <v>0</v>
      </c>
      <c r="Z189" s="365">
        <v>0</v>
      </c>
      <c r="AA189" s="365">
        <v>0</v>
      </c>
    </row>
    <row r="190" spans="1:27" ht="12" customHeight="1" x14ac:dyDescent="0.25">
      <c r="A190" s="354" t="s">
        <v>1272</v>
      </c>
      <c r="B190" s="354" t="s">
        <v>578</v>
      </c>
      <c r="C190" s="365">
        <v>0</v>
      </c>
      <c r="D190" s="365">
        <v>0</v>
      </c>
      <c r="E190" s="365">
        <v>0</v>
      </c>
      <c r="F190" s="365">
        <v>0</v>
      </c>
      <c r="G190" s="365">
        <v>0</v>
      </c>
      <c r="H190" s="365">
        <v>0</v>
      </c>
      <c r="I190" s="365">
        <v>0</v>
      </c>
      <c r="J190" s="365">
        <v>0</v>
      </c>
      <c r="K190" s="365">
        <v>0</v>
      </c>
      <c r="L190" s="365">
        <v>0</v>
      </c>
      <c r="M190" s="365">
        <v>0</v>
      </c>
      <c r="N190" s="365">
        <v>0</v>
      </c>
      <c r="O190" s="365">
        <v>0</v>
      </c>
      <c r="P190" s="365">
        <v>0</v>
      </c>
      <c r="Q190" s="365">
        <v>0</v>
      </c>
      <c r="R190" s="365">
        <v>0</v>
      </c>
      <c r="S190" s="365">
        <v>0</v>
      </c>
      <c r="T190" s="365">
        <v>0</v>
      </c>
      <c r="U190" s="366" t="e">
        <v>#DIV/0!</v>
      </c>
      <c r="V190" s="365">
        <v>0</v>
      </c>
      <c r="W190" s="365">
        <v>0</v>
      </c>
      <c r="X190" s="365">
        <v>0</v>
      </c>
      <c r="Y190" s="365">
        <v>0</v>
      </c>
      <c r="Z190" s="365">
        <v>0</v>
      </c>
      <c r="AA190" s="365">
        <v>0</v>
      </c>
    </row>
    <row r="191" spans="1:27" ht="12" customHeight="1" x14ac:dyDescent="0.25">
      <c r="A191" s="354" t="s">
        <v>1273</v>
      </c>
      <c r="B191" s="354" t="s">
        <v>579</v>
      </c>
      <c r="C191" s="365">
        <v>0</v>
      </c>
      <c r="D191" s="365">
        <v>0</v>
      </c>
      <c r="E191" s="365">
        <v>0</v>
      </c>
      <c r="F191" s="365">
        <v>0</v>
      </c>
      <c r="G191" s="365">
        <v>0</v>
      </c>
      <c r="H191" s="365">
        <v>0</v>
      </c>
      <c r="I191" s="365">
        <v>0</v>
      </c>
      <c r="J191" s="365">
        <v>0</v>
      </c>
      <c r="K191" s="365">
        <v>0</v>
      </c>
      <c r="L191" s="365">
        <v>0</v>
      </c>
      <c r="M191" s="365">
        <v>0</v>
      </c>
      <c r="N191" s="365">
        <v>0</v>
      </c>
      <c r="O191" s="365">
        <v>0</v>
      </c>
      <c r="P191" s="365">
        <v>0</v>
      </c>
      <c r="Q191" s="365">
        <v>0</v>
      </c>
      <c r="R191" s="365">
        <v>0</v>
      </c>
      <c r="S191" s="365">
        <v>0</v>
      </c>
      <c r="T191" s="365">
        <v>0</v>
      </c>
      <c r="U191" s="366" t="e">
        <v>#DIV/0!</v>
      </c>
      <c r="V191" s="365">
        <v>0</v>
      </c>
      <c r="W191" s="365">
        <v>0</v>
      </c>
      <c r="X191" s="365">
        <v>0</v>
      </c>
      <c r="Y191" s="365">
        <v>0</v>
      </c>
      <c r="Z191" s="365">
        <v>0</v>
      </c>
      <c r="AA191" s="365">
        <v>0</v>
      </c>
    </row>
    <row r="192" spans="1:27" ht="12" customHeight="1" x14ac:dyDescent="0.25">
      <c r="A192" s="354" t="s">
        <v>1274</v>
      </c>
      <c r="B192" s="354" t="s">
        <v>580</v>
      </c>
      <c r="C192" s="365">
        <v>0</v>
      </c>
      <c r="D192" s="365">
        <v>0</v>
      </c>
      <c r="E192" s="365">
        <v>0</v>
      </c>
      <c r="F192" s="365">
        <v>0</v>
      </c>
      <c r="G192" s="365">
        <v>0</v>
      </c>
      <c r="H192" s="365">
        <v>0</v>
      </c>
      <c r="I192" s="365">
        <v>0</v>
      </c>
      <c r="J192" s="365">
        <v>0</v>
      </c>
      <c r="K192" s="365">
        <v>0</v>
      </c>
      <c r="L192" s="365">
        <v>0</v>
      </c>
      <c r="M192" s="365">
        <v>0</v>
      </c>
      <c r="N192" s="365">
        <v>0</v>
      </c>
      <c r="O192" s="365">
        <v>0</v>
      </c>
      <c r="P192" s="365">
        <v>0</v>
      </c>
      <c r="Q192" s="365">
        <v>0</v>
      </c>
      <c r="R192" s="365">
        <v>0</v>
      </c>
      <c r="S192" s="365">
        <v>0</v>
      </c>
      <c r="T192" s="365">
        <v>0</v>
      </c>
      <c r="U192" s="366" t="e">
        <v>#DIV/0!</v>
      </c>
      <c r="V192" s="365">
        <v>0</v>
      </c>
      <c r="W192" s="365">
        <v>0</v>
      </c>
      <c r="X192" s="365">
        <v>0</v>
      </c>
      <c r="Y192" s="365">
        <v>0</v>
      </c>
      <c r="Z192" s="365">
        <v>0</v>
      </c>
      <c r="AA192" s="365">
        <v>0</v>
      </c>
    </row>
    <row r="193" spans="1:27" ht="12" customHeight="1" x14ac:dyDescent="0.25">
      <c r="A193" s="354" t="s">
        <v>1275</v>
      </c>
      <c r="B193" s="354" t="s">
        <v>581</v>
      </c>
      <c r="C193" s="365">
        <v>0</v>
      </c>
      <c r="D193" s="365">
        <v>0</v>
      </c>
      <c r="E193" s="365">
        <v>0</v>
      </c>
      <c r="F193" s="365">
        <v>0</v>
      </c>
      <c r="G193" s="365">
        <v>0</v>
      </c>
      <c r="H193" s="365">
        <v>0</v>
      </c>
      <c r="I193" s="365">
        <v>0</v>
      </c>
      <c r="J193" s="365">
        <v>0</v>
      </c>
      <c r="K193" s="365">
        <v>0</v>
      </c>
      <c r="L193" s="365">
        <v>0</v>
      </c>
      <c r="M193" s="365">
        <v>0</v>
      </c>
      <c r="N193" s="365">
        <v>0</v>
      </c>
      <c r="O193" s="365">
        <v>0</v>
      </c>
      <c r="P193" s="365">
        <v>0</v>
      </c>
      <c r="Q193" s="365">
        <v>0</v>
      </c>
      <c r="R193" s="365">
        <v>0</v>
      </c>
      <c r="S193" s="365">
        <v>0</v>
      </c>
      <c r="T193" s="365">
        <v>0</v>
      </c>
      <c r="U193" s="366" t="e">
        <v>#DIV/0!</v>
      </c>
      <c r="V193" s="365">
        <v>0</v>
      </c>
      <c r="W193" s="365">
        <v>0</v>
      </c>
      <c r="X193" s="365">
        <v>0</v>
      </c>
      <c r="Y193" s="365">
        <v>0</v>
      </c>
      <c r="Z193" s="365">
        <v>0</v>
      </c>
      <c r="AA193" s="365">
        <v>0</v>
      </c>
    </row>
    <row r="194" spans="1:27" ht="12" customHeight="1" x14ac:dyDescent="0.25">
      <c r="A194" s="354" t="s">
        <v>1276</v>
      </c>
      <c r="B194" s="354" t="s">
        <v>582</v>
      </c>
      <c r="C194" s="365">
        <v>0</v>
      </c>
      <c r="D194" s="365">
        <v>0</v>
      </c>
      <c r="E194" s="365">
        <v>0</v>
      </c>
      <c r="F194" s="365">
        <v>0</v>
      </c>
      <c r="G194" s="365">
        <v>0</v>
      </c>
      <c r="H194" s="365">
        <v>0</v>
      </c>
      <c r="I194" s="365">
        <v>0</v>
      </c>
      <c r="J194" s="365">
        <v>0</v>
      </c>
      <c r="K194" s="365">
        <v>0</v>
      </c>
      <c r="L194" s="365">
        <v>0</v>
      </c>
      <c r="M194" s="365">
        <v>0</v>
      </c>
      <c r="N194" s="365">
        <v>0</v>
      </c>
      <c r="O194" s="365">
        <v>0</v>
      </c>
      <c r="P194" s="365">
        <v>0</v>
      </c>
      <c r="Q194" s="365">
        <v>0</v>
      </c>
      <c r="R194" s="365">
        <v>0</v>
      </c>
      <c r="S194" s="365">
        <v>0</v>
      </c>
      <c r="T194" s="365">
        <v>0</v>
      </c>
      <c r="U194" s="366" t="e">
        <v>#DIV/0!</v>
      </c>
      <c r="V194" s="365">
        <v>0</v>
      </c>
      <c r="W194" s="365">
        <v>0</v>
      </c>
      <c r="X194" s="365">
        <v>0</v>
      </c>
      <c r="Y194" s="365">
        <v>0</v>
      </c>
      <c r="Z194" s="365">
        <v>0</v>
      </c>
      <c r="AA194" s="365">
        <v>0</v>
      </c>
    </row>
    <row r="195" spans="1:27" ht="12" customHeight="1" x14ac:dyDescent="0.25">
      <c r="A195" s="354" t="s">
        <v>1277</v>
      </c>
      <c r="B195" s="354" t="s">
        <v>583</v>
      </c>
      <c r="C195" s="365">
        <v>0</v>
      </c>
      <c r="D195" s="365">
        <v>0</v>
      </c>
      <c r="E195" s="365">
        <v>0</v>
      </c>
      <c r="F195" s="365">
        <v>0</v>
      </c>
      <c r="G195" s="365">
        <v>0</v>
      </c>
      <c r="H195" s="365">
        <v>0</v>
      </c>
      <c r="I195" s="365">
        <v>0</v>
      </c>
      <c r="J195" s="365">
        <v>0</v>
      </c>
      <c r="K195" s="365">
        <v>0</v>
      </c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365">
        <v>0</v>
      </c>
      <c r="S195" s="365">
        <v>0</v>
      </c>
      <c r="T195" s="365">
        <v>0</v>
      </c>
      <c r="U195" s="366" t="e">
        <v>#DIV/0!</v>
      </c>
      <c r="V195" s="365">
        <v>0</v>
      </c>
      <c r="W195" s="365">
        <v>0</v>
      </c>
      <c r="X195" s="365">
        <v>0</v>
      </c>
      <c r="Y195" s="365">
        <v>0</v>
      </c>
      <c r="Z195" s="365">
        <v>0</v>
      </c>
      <c r="AA195" s="365">
        <v>0</v>
      </c>
    </row>
    <row r="196" spans="1:27" ht="12" customHeight="1" x14ac:dyDescent="0.25">
      <c r="A196" s="354" t="s">
        <v>1278</v>
      </c>
      <c r="B196" s="354" t="s">
        <v>584</v>
      </c>
      <c r="C196" s="365">
        <v>0</v>
      </c>
      <c r="D196" s="365">
        <v>0</v>
      </c>
      <c r="E196" s="365">
        <v>0</v>
      </c>
      <c r="F196" s="365">
        <v>0</v>
      </c>
      <c r="G196" s="365">
        <v>0</v>
      </c>
      <c r="H196" s="365">
        <v>0</v>
      </c>
      <c r="I196" s="365">
        <v>0</v>
      </c>
      <c r="J196" s="365">
        <v>0</v>
      </c>
      <c r="K196" s="365">
        <v>0</v>
      </c>
      <c r="L196" s="365">
        <v>0</v>
      </c>
      <c r="M196" s="365">
        <v>0</v>
      </c>
      <c r="N196" s="365">
        <v>0</v>
      </c>
      <c r="O196" s="365">
        <v>0</v>
      </c>
      <c r="P196" s="365">
        <v>0</v>
      </c>
      <c r="Q196" s="365">
        <v>0</v>
      </c>
      <c r="R196" s="365">
        <v>0</v>
      </c>
      <c r="S196" s="365">
        <v>0</v>
      </c>
      <c r="T196" s="365">
        <v>0</v>
      </c>
      <c r="U196" s="366" t="e">
        <v>#DIV/0!</v>
      </c>
      <c r="V196" s="365">
        <v>0</v>
      </c>
      <c r="W196" s="365">
        <v>0</v>
      </c>
      <c r="X196" s="365">
        <v>0</v>
      </c>
      <c r="Y196" s="365">
        <v>0</v>
      </c>
      <c r="Z196" s="365">
        <v>0</v>
      </c>
      <c r="AA196" s="365">
        <v>0</v>
      </c>
    </row>
    <row r="197" spans="1:27" ht="12" customHeight="1" x14ac:dyDescent="0.25">
      <c r="A197" s="354" t="s">
        <v>1279</v>
      </c>
      <c r="B197" s="354" t="s">
        <v>585</v>
      </c>
      <c r="C197" s="365">
        <v>0</v>
      </c>
      <c r="D197" s="365">
        <v>0</v>
      </c>
      <c r="E197" s="365">
        <v>0</v>
      </c>
      <c r="F197" s="365">
        <v>0</v>
      </c>
      <c r="G197" s="365">
        <v>0</v>
      </c>
      <c r="H197" s="365">
        <v>0</v>
      </c>
      <c r="I197" s="365">
        <v>0</v>
      </c>
      <c r="J197" s="365">
        <v>0</v>
      </c>
      <c r="K197" s="365">
        <v>0</v>
      </c>
      <c r="L197" s="365">
        <v>0</v>
      </c>
      <c r="M197" s="365">
        <v>0</v>
      </c>
      <c r="N197" s="365">
        <v>0</v>
      </c>
      <c r="O197" s="365">
        <v>0</v>
      </c>
      <c r="P197" s="365">
        <v>0</v>
      </c>
      <c r="Q197" s="365">
        <v>0</v>
      </c>
      <c r="R197" s="365">
        <v>0</v>
      </c>
      <c r="S197" s="365">
        <v>0</v>
      </c>
      <c r="T197" s="365">
        <v>0</v>
      </c>
      <c r="U197" s="366" t="e">
        <v>#DIV/0!</v>
      </c>
      <c r="V197" s="365">
        <v>0</v>
      </c>
      <c r="W197" s="365">
        <v>0</v>
      </c>
      <c r="X197" s="365">
        <v>0</v>
      </c>
      <c r="Y197" s="365">
        <v>0</v>
      </c>
      <c r="Z197" s="365">
        <v>0</v>
      </c>
      <c r="AA197" s="365">
        <v>0</v>
      </c>
    </row>
    <row r="198" spans="1:27" ht="12" customHeight="1" x14ac:dyDescent="0.25">
      <c r="A198" s="354" t="s">
        <v>1280</v>
      </c>
      <c r="B198" s="354" t="s">
        <v>586</v>
      </c>
      <c r="C198" s="365">
        <v>0</v>
      </c>
      <c r="D198" s="365">
        <v>0</v>
      </c>
      <c r="E198" s="365">
        <v>0</v>
      </c>
      <c r="F198" s="365">
        <v>0</v>
      </c>
      <c r="G198" s="365">
        <v>0</v>
      </c>
      <c r="H198" s="365">
        <v>0</v>
      </c>
      <c r="I198" s="365">
        <v>0</v>
      </c>
      <c r="J198" s="365">
        <v>0</v>
      </c>
      <c r="K198" s="365">
        <v>0</v>
      </c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365">
        <v>0</v>
      </c>
      <c r="S198" s="365">
        <v>0</v>
      </c>
      <c r="T198" s="365">
        <v>0</v>
      </c>
      <c r="U198" s="366" t="e">
        <v>#DIV/0!</v>
      </c>
      <c r="V198" s="365">
        <v>0</v>
      </c>
      <c r="W198" s="365">
        <v>0</v>
      </c>
      <c r="X198" s="365">
        <v>0</v>
      </c>
      <c r="Y198" s="365">
        <v>0</v>
      </c>
      <c r="Z198" s="365">
        <v>0</v>
      </c>
      <c r="AA198" s="365">
        <v>0</v>
      </c>
    </row>
    <row r="199" spans="1:27" ht="12" customHeight="1" x14ac:dyDescent="0.25">
      <c r="A199" s="354" t="s">
        <v>1281</v>
      </c>
      <c r="B199" s="354" t="s">
        <v>587</v>
      </c>
      <c r="C199" s="365">
        <v>0</v>
      </c>
      <c r="D199" s="365">
        <v>0</v>
      </c>
      <c r="E199" s="365">
        <v>0</v>
      </c>
      <c r="F199" s="365">
        <v>0</v>
      </c>
      <c r="G199" s="365">
        <v>0</v>
      </c>
      <c r="H199" s="365">
        <v>0</v>
      </c>
      <c r="I199" s="365">
        <v>0</v>
      </c>
      <c r="J199" s="365">
        <v>0</v>
      </c>
      <c r="K199" s="365">
        <v>0</v>
      </c>
      <c r="L199" s="365">
        <v>0</v>
      </c>
      <c r="M199" s="365">
        <v>0</v>
      </c>
      <c r="N199" s="365">
        <v>0</v>
      </c>
      <c r="O199" s="365">
        <v>0</v>
      </c>
      <c r="P199" s="365">
        <v>0</v>
      </c>
      <c r="Q199" s="365">
        <v>0</v>
      </c>
      <c r="R199" s="365">
        <v>0</v>
      </c>
      <c r="S199" s="365">
        <v>0</v>
      </c>
      <c r="T199" s="365">
        <v>0</v>
      </c>
      <c r="U199" s="366" t="e">
        <v>#DIV/0!</v>
      </c>
      <c r="V199" s="365">
        <v>0</v>
      </c>
      <c r="W199" s="365">
        <v>0</v>
      </c>
      <c r="X199" s="365">
        <v>0</v>
      </c>
      <c r="Y199" s="365">
        <v>0</v>
      </c>
      <c r="Z199" s="365">
        <v>0</v>
      </c>
      <c r="AA199" s="365">
        <v>0</v>
      </c>
    </row>
    <row r="200" spans="1:27" ht="12" customHeight="1" x14ac:dyDescent="0.25">
      <c r="A200" s="354" t="s">
        <v>1282</v>
      </c>
      <c r="B200" s="354" t="s">
        <v>588</v>
      </c>
      <c r="C200" s="365">
        <v>0</v>
      </c>
      <c r="D200" s="365">
        <v>0</v>
      </c>
      <c r="E200" s="365">
        <v>0</v>
      </c>
      <c r="F200" s="365">
        <v>0</v>
      </c>
      <c r="G200" s="365">
        <v>0</v>
      </c>
      <c r="H200" s="365">
        <v>0</v>
      </c>
      <c r="I200" s="365">
        <v>0</v>
      </c>
      <c r="J200" s="365">
        <v>0</v>
      </c>
      <c r="K200" s="365">
        <v>0</v>
      </c>
      <c r="L200" s="365">
        <v>0</v>
      </c>
      <c r="M200" s="365">
        <v>0</v>
      </c>
      <c r="N200" s="365">
        <v>0</v>
      </c>
      <c r="O200" s="365">
        <v>0</v>
      </c>
      <c r="P200" s="365">
        <v>0</v>
      </c>
      <c r="Q200" s="365">
        <v>0</v>
      </c>
      <c r="R200" s="365">
        <v>0</v>
      </c>
      <c r="S200" s="365">
        <v>0</v>
      </c>
      <c r="T200" s="365">
        <v>0</v>
      </c>
      <c r="U200" s="366" t="e">
        <v>#DIV/0!</v>
      </c>
      <c r="V200" s="365">
        <v>0</v>
      </c>
      <c r="W200" s="365">
        <v>0</v>
      </c>
      <c r="X200" s="365">
        <v>0</v>
      </c>
      <c r="Y200" s="365">
        <v>0</v>
      </c>
      <c r="Z200" s="365">
        <v>0</v>
      </c>
      <c r="AA200" s="365">
        <v>0</v>
      </c>
    </row>
    <row r="201" spans="1:27" ht="12" customHeight="1" x14ac:dyDescent="0.25">
      <c r="A201" s="354" t="s">
        <v>1283</v>
      </c>
      <c r="B201" s="354" t="s">
        <v>589</v>
      </c>
      <c r="C201" s="365">
        <v>0</v>
      </c>
      <c r="D201" s="365">
        <v>0</v>
      </c>
      <c r="E201" s="365">
        <v>0</v>
      </c>
      <c r="F201" s="365">
        <v>0</v>
      </c>
      <c r="G201" s="365">
        <v>0</v>
      </c>
      <c r="H201" s="365">
        <v>0</v>
      </c>
      <c r="I201" s="365">
        <v>0</v>
      </c>
      <c r="J201" s="365">
        <v>0</v>
      </c>
      <c r="K201" s="365">
        <v>0</v>
      </c>
      <c r="L201" s="365">
        <v>0</v>
      </c>
      <c r="M201" s="365">
        <v>0</v>
      </c>
      <c r="N201" s="365">
        <v>0</v>
      </c>
      <c r="O201" s="365">
        <v>0</v>
      </c>
      <c r="P201" s="365">
        <v>0</v>
      </c>
      <c r="Q201" s="365">
        <v>0</v>
      </c>
      <c r="R201" s="365">
        <v>0</v>
      </c>
      <c r="S201" s="365">
        <v>0</v>
      </c>
      <c r="T201" s="365">
        <v>0</v>
      </c>
      <c r="U201" s="366" t="e">
        <v>#DIV/0!</v>
      </c>
      <c r="V201" s="365">
        <v>0</v>
      </c>
      <c r="W201" s="365">
        <v>0</v>
      </c>
      <c r="X201" s="365">
        <v>0</v>
      </c>
      <c r="Y201" s="365">
        <v>0</v>
      </c>
      <c r="Z201" s="365">
        <v>0</v>
      </c>
      <c r="AA201" s="365">
        <v>0</v>
      </c>
    </row>
    <row r="202" spans="1:27" ht="12" customHeight="1" x14ac:dyDescent="0.25">
      <c r="A202" s="354" t="s">
        <v>1284</v>
      </c>
      <c r="B202" s="354" t="s">
        <v>590</v>
      </c>
      <c r="C202" s="365">
        <v>0</v>
      </c>
      <c r="D202" s="365">
        <v>0</v>
      </c>
      <c r="E202" s="365">
        <v>0</v>
      </c>
      <c r="F202" s="365">
        <v>0</v>
      </c>
      <c r="G202" s="365">
        <v>0</v>
      </c>
      <c r="H202" s="365">
        <v>0</v>
      </c>
      <c r="I202" s="365">
        <v>0</v>
      </c>
      <c r="J202" s="365">
        <v>0</v>
      </c>
      <c r="K202" s="365">
        <v>0</v>
      </c>
      <c r="L202" s="365">
        <v>0</v>
      </c>
      <c r="M202" s="365">
        <v>0</v>
      </c>
      <c r="N202" s="365">
        <v>0</v>
      </c>
      <c r="O202" s="365">
        <v>0</v>
      </c>
      <c r="P202" s="365">
        <v>0</v>
      </c>
      <c r="Q202" s="365">
        <v>0</v>
      </c>
      <c r="R202" s="365">
        <v>0</v>
      </c>
      <c r="S202" s="365">
        <v>0</v>
      </c>
      <c r="T202" s="365">
        <v>0</v>
      </c>
      <c r="U202" s="366" t="e">
        <v>#DIV/0!</v>
      </c>
      <c r="V202" s="365">
        <v>0</v>
      </c>
      <c r="W202" s="365">
        <v>0</v>
      </c>
      <c r="X202" s="365">
        <v>0</v>
      </c>
      <c r="Y202" s="365">
        <v>0</v>
      </c>
      <c r="Z202" s="365">
        <v>0</v>
      </c>
      <c r="AA202" s="365">
        <v>0</v>
      </c>
    </row>
    <row r="203" spans="1:27" ht="12" customHeight="1" x14ac:dyDescent="0.25">
      <c r="A203" s="354" t="s">
        <v>1285</v>
      </c>
      <c r="B203" s="354" t="s">
        <v>591</v>
      </c>
      <c r="C203" s="365">
        <v>0</v>
      </c>
      <c r="D203" s="365">
        <v>0</v>
      </c>
      <c r="E203" s="365">
        <v>0</v>
      </c>
      <c r="F203" s="365">
        <v>0</v>
      </c>
      <c r="G203" s="365">
        <v>0</v>
      </c>
      <c r="H203" s="365">
        <v>0</v>
      </c>
      <c r="I203" s="365">
        <v>0</v>
      </c>
      <c r="J203" s="365">
        <v>0</v>
      </c>
      <c r="K203" s="365">
        <v>0</v>
      </c>
      <c r="L203" s="365">
        <v>0</v>
      </c>
      <c r="M203" s="365">
        <v>0</v>
      </c>
      <c r="N203" s="365">
        <v>0</v>
      </c>
      <c r="O203" s="365">
        <v>0</v>
      </c>
      <c r="P203" s="365">
        <v>0</v>
      </c>
      <c r="Q203" s="365">
        <v>0</v>
      </c>
      <c r="R203" s="365">
        <v>0</v>
      </c>
      <c r="S203" s="365">
        <v>0</v>
      </c>
      <c r="T203" s="365">
        <v>0</v>
      </c>
      <c r="U203" s="366" t="e">
        <v>#DIV/0!</v>
      </c>
      <c r="V203" s="365">
        <v>0</v>
      </c>
      <c r="W203" s="365">
        <v>0</v>
      </c>
      <c r="X203" s="365">
        <v>0</v>
      </c>
      <c r="Y203" s="365">
        <v>0</v>
      </c>
      <c r="Z203" s="365">
        <v>0</v>
      </c>
      <c r="AA203" s="365">
        <v>0</v>
      </c>
    </row>
    <row r="204" spans="1:27" ht="12" customHeight="1" x14ac:dyDescent="0.25">
      <c r="A204" s="354" t="s">
        <v>1286</v>
      </c>
      <c r="B204" s="354" t="s">
        <v>592</v>
      </c>
      <c r="C204" s="365">
        <v>0</v>
      </c>
      <c r="D204" s="365">
        <v>0</v>
      </c>
      <c r="E204" s="365">
        <v>0</v>
      </c>
      <c r="F204" s="365">
        <v>0</v>
      </c>
      <c r="G204" s="365">
        <v>0</v>
      </c>
      <c r="H204" s="365">
        <v>0</v>
      </c>
      <c r="I204" s="365">
        <v>0</v>
      </c>
      <c r="J204" s="365">
        <v>0</v>
      </c>
      <c r="K204" s="365">
        <v>0</v>
      </c>
      <c r="L204" s="365">
        <v>0</v>
      </c>
      <c r="M204" s="365">
        <v>0</v>
      </c>
      <c r="N204" s="365">
        <v>0</v>
      </c>
      <c r="O204" s="365">
        <v>0</v>
      </c>
      <c r="P204" s="365">
        <v>0</v>
      </c>
      <c r="Q204" s="365">
        <v>0</v>
      </c>
      <c r="R204" s="365">
        <v>0</v>
      </c>
      <c r="S204" s="365">
        <v>0</v>
      </c>
      <c r="T204" s="365">
        <v>0</v>
      </c>
      <c r="U204" s="366" t="e">
        <v>#DIV/0!</v>
      </c>
      <c r="V204" s="365">
        <v>0</v>
      </c>
      <c r="W204" s="365">
        <v>0</v>
      </c>
      <c r="X204" s="365">
        <v>0</v>
      </c>
      <c r="Y204" s="365">
        <v>0</v>
      </c>
      <c r="Z204" s="365">
        <v>0</v>
      </c>
      <c r="AA204" s="365">
        <v>0</v>
      </c>
    </row>
    <row r="205" spans="1:27" ht="12" customHeight="1" x14ac:dyDescent="0.25">
      <c r="A205" s="354" t="s">
        <v>1287</v>
      </c>
      <c r="B205" s="354" t="s">
        <v>593</v>
      </c>
      <c r="C205" s="365">
        <v>0</v>
      </c>
      <c r="D205" s="365">
        <v>0</v>
      </c>
      <c r="E205" s="365">
        <v>0</v>
      </c>
      <c r="F205" s="365">
        <v>0</v>
      </c>
      <c r="G205" s="365">
        <v>0</v>
      </c>
      <c r="H205" s="365">
        <v>0</v>
      </c>
      <c r="I205" s="365">
        <v>0</v>
      </c>
      <c r="J205" s="365">
        <v>0</v>
      </c>
      <c r="K205" s="365">
        <v>0</v>
      </c>
      <c r="L205" s="365">
        <v>0</v>
      </c>
      <c r="M205" s="365">
        <v>0</v>
      </c>
      <c r="N205" s="365">
        <v>0</v>
      </c>
      <c r="O205" s="365">
        <v>0</v>
      </c>
      <c r="P205" s="365">
        <v>0</v>
      </c>
      <c r="Q205" s="365">
        <v>0</v>
      </c>
      <c r="R205" s="365">
        <v>0</v>
      </c>
      <c r="S205" s="365">
        <v>0</v>
      </c>
      <c r="T205" s="365">
        <v>0</v>
      </c>
      <c r="U205" s="366" t="e">
        <v>#DIV/0!</v>
      </c>
      <c r="V205" s="365">
        <v>0</v>
      </c>
      <c r="W205" s="365">
        <v>0</v>
      </c>
      <c r="X205" s="365">
        <v>0</v>
      </c>
      <c r="Y205" s="365">
        <v>0</v>
      </c>
      <c r="Z205" s="365">
        <v>0</v>
      </c>
      <c r="AA205" s="365">
        <v>0</v>
      </c>
    </row>
    <row r="206" spans="1:27" ht="12" customHeight="1" x14ac:dyDescent="0.25">
      <c r="A206" s="354" t="s">
        <v>1288</v>
      </c>
      <c r="B206" s="354" t="s">
        <v>594</v>
      </c>
      <c r="C206" s="365">
        <v>0</v>
      </c>
      <c r="D206" s="365">
        <v>0</v>
      </c>
      <c r="E206" s="365">
        <v>0</v>
      </c>
      <c r="F206" s="365">
        <v>0</v>
      </c>
      <c r="G206" s="365">
        <v>0</v>
      </c>
      <c r="H206" s="365">
        <v>0</v>
      </c>
      <c r="I206" s="365">
        <v>0</v>
      </c>
      <c r="J206" s="365">
        <v>0</v>
      </c>
      <c r="K206" s="365">
        <v>0</v>
      </c>
      <c r="L206" s="365">
        <v>0</v>
      </c>
      <c r="M206" s="365">
        <v>0</v>
      </c>
      <c r="N206" s="365">
        <v>0</v>
      </c>
      <c r="O206" s="365">
        <v>0</v>
      </c>
      <c r="P206" s="365">
        <v>0</v>
      </c>
      <c r="Q206" s="365">
        <v>0</v>
      </c>
      <c r="R206" s="365">
        <v>0</v>
      </c>
      <c r="S206" s="365">
        <v>0</v>
      </c>
      <c r="T206" s="365">
        <v>0</v>
      </c>
      <c r="U206" s="366" t="e">
        <v>#DIV/0!</v>
      </c>
      <c r="V206" s="365">
        <v>0</v>
      </c>
      <c r="W206" s="365">
        <v>0</v>
      </c>
      <c r="X206" s="365">
        <v>0</v>
      </c>
      <c r="Y206" s="365">
        <v>0</v>
      </c>
      <c r="Z206" s="365">
        <v>0</v>
      </c>
      <c r="AA206" s="365">
        <v>0</v>
      </c>
    </row>
    <row r="207" spans="1:27" ht="12" customHeight="1" x14ac:dyDescent="0.25">
      <c r="A207" s="354" t="s">
        <v>1289</v>
      </c>
      <c r="B207" s="354" t="s">
        <v>595</v>
      </c>
      <c r="C207" s="365">
        <v>0</v>
      </c>
      <c r="D207" s="365">
        <v>0</v>
      </c>
      <c r="E207" s="365">
        <v>0</v>
      </c>
      <c r="F207" s="365">
        <v>0</v>
      </c>
      <c r="G207" s="365">
        <v>0</v>
      </c>
      <c r="H207" s="365">
        <v>0</v>
      </c>
      <c r="I207" s="365">
        <v>0</v>
      </c>
      <c r="J207" s="365">
        <v>0</v>
      </c>
      <c r="K207" s="365">
        <v>0</v>
      </c>
      <c r="L207" s="365">
        <v>0</v>
      </c>
      <c r="M207" s="365">
        <v>0</v>
      </c>
      <c r="N207" s="365">
        <v>0</v>
      </c>
      <c r="O207" s="365">
        <v>0</v>
      </c>
      <c r="P207" s="365">
        <v>0</v>
      </c>
      <c r="Q207" s="365">
        <v>0</v>
      </c>
      <c r="R207" s="365">
        <v>0</v>
      </c>
      <c r="S207" s="365">
        <v>0</v>
      </c>
      <c r="T207" s="365">
        <v>0</v>
      </c>
      <c r="U207" s="366" t="e">
        <v>#DIV/0!</v>
      </c>
      <c r="V207" s="365">
        <v>0</v>
      </c>
      <c r="W207" s="365">
        <v>0</v>
      </c>
      <c r="X207" s="365">
        <v>0</v>
      </c>
      <c r="Y207" s="365">
        <v>0</v>
      </c>
      <c r="Z207" s="365">
        <v>0</v>
      </c>
      <c r="AA207" s="365">
        <v>0</v>
      </c>
    </row>
    <row r="208" spans="1:27" ht="12" customHeight="1" x14ac:dyDescent="0.25">
      <c r="A208" s="354" t="s">
        <v>1290</v>
      </c>
      <c r="B208" s="354" t="s">
        <v>596</v>
      </c>
      <c r="C208" s="365">
        <v>0</v>
      </c>
      <c r="D208" s="365">
        <v>0</v>
      </c>
      <c r="E208" s="365">
        <v>0</v>
      </c>
      <c r="F208" s="365">
        <v>0</v>
      </c>
      <c r="G208" s="365">
        <v>0</v>
      </c>
      <c r="H208" s="365">
        <v>0</v>
      </c>
      <c r="I208" s="365">
        <v>0</v>
      </c>
      <c r="J208" s="365">
        <v>0</v>
      </c>
      <c r="K208" s="365">
        <v>0</v>
      </c>
      <c r="L208" s="365">
        <v>0</v>
      </c>
      <c r="M208" s="365">
        <v>0</v>
      </c>
      <c r="N208" s="365">
        <v>0</v>
      </c>
      <c r="O208" s="365">
        <v>0</v>
      </c>
      <c r="P208" s="365">
        <v>0</v>
      </c>
      <c r="Q208" s="365">
        <v>0</v>
      </c>
      <c r="R208" s="365">
        <v>0</v>
      </c>
      <c r="S208" s="365">
        <v>0</v>
      </c>
      <c r="T208" s="365">
        <v>0</v>
      </c>
      <c r="U208" s="366" t="e">
        <v>#DIV/0!</v>
      </c>
      <c r="V208" s="365">
        <v>0</v>
      </c>
      <c r="W208" s="365">
        <v>0</v>
      </c>
      <c r="X208" s="365">
        <v>0</v>
      </c>
      <c r="Y208" s="365">
        <v>0</v>
      </c>
      <c r="Z208" s="365">
        <v>0</v>
      </c>
      <c r="AA208" s="365">
        <v>0</v>
      </c>
    </row>
    <row r="209" spans="1:27" ht="12" customHeight="1" x14ac:dyDescent="0.25">
      <c r="A209" s="354" t="s">
        <v>1291</v>
      </c>
      <c r="B209" s="354" t="s">
        <v>597</v>
      </c>
      <c r="C209" s="365">
        <v>0</v>
      </c>
      <c r="D209" s="365">
        <v>0</v>
      </c>
      <c r="E209" s="365">
        <v>0</v>
      </c>
      <c r="F209" s="365">
        <v>0</v>
      </c>
      <c r="G209" s="365">
        <v>0</v>
      </c>
      <c r="H209" s="365">
        <v>0</v>
      </c>
      <c r="I209" s="365">
        <v>0</v>
      </c>
      <c r="J209" s="365">
        <v>0</v>
      </c>
      <c r="K209" s="365">
        <v>0</v>
      </c>
      <c r="L209" s="365">
        <v>0</v>
      </c>
      <c r="M209" s="365">
        <v>0</v>
      </c>
      <c r="N209" s="365">
        <v>0</v>
      </c>
      <c r="O209" s="365">
        <v>0</v>
      </c>
      <c r="P209" s="365">
        <v>0</v>
      </c>
      <c r="Q209" s="365">
        <v>0</v>
      </c>
      <c r="R209" s="365">
        <v>0</v>
      </c>
      <c r="S209" s="365">
        <v>0</v>
      </c>
      <c r="T209" s="365">
        <v>0</v>
      </c>
      <c r="U209" s="366" t="e">
        <v>#DIV/0!</v>
      </c>
      <c r="V209" s="365">
        <v>0</v>
      </c>
      <c r="W209" s="365">
        <v>0</v>
      </c>
      <c r="X209" s="365">
        <v>0</v>
      </c>
      <c r="Y209" s="365">
        <v>0</v>
      </c>
      <c r="Z209" s="365">
        <v>0</v>
      </c>
      <c r="AA209" s="365">
        <v>0</v>
      </c>
    </row>
    <row r="210" spans="1:27" ht="12" customHeight="1" x14ac:dyDescent="0.25">
      <c r="A210" s="354" t="s">
        <v>1292</v>
      </c>
      <c r="B210" s="354" t="s">
        <v>598</v>
      </c>
      <c r="C210" s="365">
        <v>0</v>
      </c>
      <c r="D210" s="365">
        <v>0</v>
      </c>
      <c r="E210" s="365">
        <v>0</v>
      </c>
      <c r="F210" s="365">
        <v>0</v>
      </c>
      <c r="G210" s="365">
        <v>0</v>
      </c>
      <c r="H210" s="365">
        <v>0</v>
      </c>
      <c r="I210" s="365">
        <v>0</v>
      </c>
      <c r="J210" s="365">
        <v>0</v>
      </c>
      <c r="K210" s="365">
        <v>0</v>
      </c>
      <c r="L210" s="365">
        <v>0</v>
      </c>
      <c r="M210" s="365">
        <v>0</v>
      </c>
      <c r="N210" s="365">
        <v>0</v>
      </c>
      <c r="O210" s="365">
        <v>0</v>
      </c>
      <c r="P210" s="365">
        <v>0</v>
      </c>
      <c r="Q210" s="365">
        <v>0</v>
      </c>
      <c r="R210" s="365">
        <v>0</v>
      </c>
      <c r="S210" s="365">
        <v>0</v>
      </c>
      <c r="T210" s="365">
        <v>0</v>
      </c>
      <c r="U210" s="366" t="e">
        <v>#DIV/0!</v>
      </c>
      <c r="V210" s="365">
        <v>0</v>
      </c>
      <c r="W210" s="365">
        <v>0</v>
      </c>
      <c r="X210" s="365">
        <v>0</v>
      </c>
      <c r="Y210" s="365">
        <v>0</v>
      </c>
      <c r="Z210" s="365">
        <v>0</v>
      </c>
      <c r="AA210" s="365">
        <v>0</v>
      </c>
    </row>
    <row r="211" spans="1:27" ht="12" customHeight="1" x14ac:dyDescent="0.25">
      <c r="A211" s="354" t="s">
        <v>1293</v>
      </c>
      <c r="B211" s="354" t="s">
        <v>599</v>
      </c>
      <c r="C211" s="365">
        <v>0</v>
      </c>
      <c r="D211" s="365">
        <v>0</v>
      </c>
      <c r="E211" s="365">
        <v>0</v>
      </c>
      <c r="F211" s="365">
        <v>0</v>
      </c>
      <c r="G211" s="365">
        <v>0</v>
      </c>
      <c r="H211" s="365">
        <v>0</v>
      </c>
      <c r="I211" s="365">
        <v>0</v>
      </c>
      <c r="J211" s="365">
        <v>0</v>
      </c>
      <c r="K211" s="365">
        <v>0</v>
      </c>
      <c r="L211" s="365">
        <v>0</v>
      </c>
      <c r="M211" s="365">
        <v>0</v>
      </c>
      <c r="N211" s="365">
        <v>0</v>
      </c>
      <c r="O211" s="365">
        <v>0</v>
      </c>
      <c r="P211" s="365">
        <v>0</v>
      </c>
      <c r="Q211" s="365">
        <v>0</v>
      </c>
      <c r="R211" s="365">
        <v>0</v>
      </c>
      <c r="S211" s="365">
        <v>0</v>
      </c>
      <c r="T211" s="365">
        <v>0</v>
      </c>
      <c r="U211" s="366" t="e">
        <v>#DIV/0!</v>
      </c>
      <c r="V211" s="365">
        <v>0</v>
      </c>
      <c r="W211" s="365">
        <v>0</v>
      </c>
      <c r="X211" s="365">
        <v>0</v>
      </c>
      <c r="Y211" s="365">
        <v>0</v>
      </c>
      <c r="Z211" s="365">
        <v>0</v>
      </c>
      <c r="AA211" s="365">
        <v>0</v>
      </c>
    </row>
    <row r="212" spans="1:27" ht="12" customHeight="1" x14ac:dyDescent="0.25">
      <c r="A212" s="354" t="s">
        <v>1294</v>
      </c>
      <c r="B212" s="354" t="s">
        <v>600</v>
      </c>
      <c r="C212" s="365">
        <v>0</v>
      </c>
      <c r="D212" s="365">
        <v>0</v>
      </c>
      <c r="E212" s="365">
        <v>0</v>
      </c>
      <c r="F212" s="365">
        <v>0</v>
      </c>
      <c r="G212" s="365">
        <v>0</v>
      </c>
      <c r="H212" s="365">
        <v>0</v>
      </c>
      <c r="I212" s="365">
        <v>0</v>
      </c>
      <c r="J212" s="365">
        <v>0</v>
      </c>
      <c r="K212" s="365">
        <v>0</v>
      </c>
      <c r="L212" s="365">
        <v>0</v>
      </c>
      <c r="M212" s="365">
        <v>0</v>
      </c>
      <c r="N212" s="365">
        <v>0</v>
      </c>
      <c r="O212" s="365">
        <v>0</v>
      </c>
      <c r="P212" s="365">
        <v>0</v>
      </c>
      <c r="Q212" s="365">
        <v>0</v>
      </c>
      <c r="R212" s="365">
        <v>0</v>
      </c>
      <c r="S212" s="365">
        <v>0</v>
      </c>
      <c r="T212" s="365">
        <v>0</v>
      </c>
      <c r="U212" s="366" t="e">
        <v>#DIV/0!</v>
      </c>
      <c r="V212" s="365">
        <v>0</v>
      </c>
      <c r="W212" s="365">
        <v>0</v>
      </c>
      <c r="X212" s="365">
        <v>0</v>
      </c>
      <c r="Y212" s="365">
        <v>0</v>
      </c>
      <c r="Z212" s="365">
        <v>0</v>
      </c>
      <c r="AA212" s="365">
        <v>0</v>
      </c>
    </row>
    <row r="213" spans="1:27" ht="12" customHeight="1" x14ac:dyDescent="0.25">
      <c r="A213" s="354" t="s">
        <v>1295</v>
      </c>
      <c r="B213" s="354" t="s">
        <v>601</v>
      </c>
      <c r="C213" s="365">
        <v>0</v>
      </c>
      <c r="D213" s="365">
        <v>0</v>
      </c>
      <c r="E213" s="365">
        <v>0</v>
      </c>
      <c r="F213" s="365">
        <v>0</v>
      </c>
      <c r="G213" s="365">
        <v>0</v>
      </c>
      <c r="H213" s="365">
        <v>0</v>
      </c>
      <c r="I213" s="365">
        <v>0</v>
      </c>
      <c r="J213" s="365">
        <v>0</v>
      </c>
      <c r="K213" s="365">
        <v>0</v>
      </c>
      <c r="L213" s="365">
        <v>0</v>
      </c>
      <c r="M213" s="365">
        <v>0</v>
      </c>
      <c r="N213" s="365">
        <v>0</v>
      </c>
      <c r="O213" s="365">
        <v>0</v>
      </c>
      <c r="P213" s="365">
        <v>0</v>
      </c>
      <c r="Q213" s="365">
        <v>0</v>
      </c>
      <c r="R213" s="365">
        <v>0</v>
      </c>
      <c r="S213" s="365">
        <v>0</v>
      </c>
      <c r="T213" s="365">
        <v>0</v>
      </c>
      <c r="U213" s="366" t="e">
        <v>#DIV/0!</v>
      </c>
      <c r="V213" s="365">
        <v>0</v>
      </c>
      <c r="W213" s="365">
        <v>0</v>
      </c>
      <c r="X213" s="365">
        <v>0</v>
      </c>
      <c r="Y213" s="365">
        <v>0</v>
      </c>
      <c r="Z213" s="365">
        <v>0</v>
      </c>
      <c r="AA213" s="365">
        <v>0</v>
      </c>
    </row>
    <row r="214" spans="1:27" ht="12" customHeight="1" x14ac:dyDescent="0.25">
      <c r="A214" s="354" t="s">
        <v>1296</v>
      </c>
      <c r="B214" s="354" t="s">
        <v>602</v>
      </c>
      <c r="C214" s="365">
        <v>0</v>
      </c>
      <c r="D214" s="365">
        <v>0</v>
      </c>
      <c r="E214" s="365">
        <v>0</v>
      </c>
      <c r="F214" s="365">
        <v>0</v>
      </c>
      <c r="G214" s="365">
        <v>0</v>
      </c>
      <c r="H214" s="365">
        <v>0</v>
      </c>
      <c r="I214" s="365">
        <v>0</v>
      </c>
      <c r="J214" s="365">
        <v>0</v>
      </c>
      <c r="K214" s="365">
        <v>0</v>
      </c>
      <c r="L214" s="365">
        <v>0</v>
      </c>
      <c r="M214" s="365">
        <v>0</v>
      </c>
      <c r="N214" s="365">
        <v>0</v>
      </c>
      <c r="O214" s="365">
        <v>0</v>
      </c>
      <c r="P214" s="365">
        <v>0</v>
      </c>
      <c r="Q214" s="365">
        <v>0</v>
      </c>
      <c r="R214" s="365">
        <v>0</v>
      </c>
      <c r="S214" s="365">
        <v>0</v>
      </c>
      <c r="T214" s="365">
        <v>0</v>
      </c>
      <c r="U214" s="366" t="e">
        <v>#DIV/0!</v>
      </c>
      <c r="V214" s="365">
        <v>0</v>
      </c>
      <c r="W214" s="365">
        <v>0</v>
      </c>
      <c r="X214" s="365">
        <v>0</v>
      </c>
      <c r="Y214" s="365">
        <v>0</v>
      </c>
      <c r="Z214" s="365">
        <v>0</v>
      </c>
      <c r="AA214" s="365">
        <v>0</v>
      </c>
    </row>
    <row r="215" spans="1:27" ht="12" customHeight="1" x14ac:dyDescent="0.25">
      <c r="A215" s="354" t="s">
        <v>1297</v>
      </c>
      <c r="B215" s="354" t="s">
        <v>603</v>
      </c>
      <c r="C215" s="365">
        <v>0</v>
      </c>
      <c r="D215" s="365">
        <v>0</v>
      </c>
      <c r="E215" s="365">
        <v>0</v>
      </c>
      <c r="F215" s="365">
        <v>0</v>
      </c>
      <c r="G215" s="365">
        <v>0</v>
      </c>
      <c r="H215" s="365">
        <v>0</v>
      </c>
      <c r="I215" s="365">
        <v>0</v>
      </c>
      <c r="J215" s="365">
        <v>0</v>
      </c>
      <c r="K215" s="365">
        <v>0</v>
      </c>
      <c r="L215" s="365">
        <v>0</v>
      </c>
      <c r="M215" s="365">
        <v>0</v>
      </c>
      <c r="N215" s="365">
        <v>0</v>
      </c>
      <c r="O215" s="365">
        <v>0</v>
      </c>
      <c r="P215" s="365">
        <v>0</v>
      </c>
      <c r="Q215" s="365">
        <v>0</v>
      </c>
      <c r="R215" s="365">
        <v>0</v>
      </c>
      <c r="S215" s="365">
        <v>0</v>
      </c>
      <c r="T215" s="365">
        <v>0</v>
      </c>
      <c r="U215" s="366" t="e">
        <v>#DIV/0!</v>
      </c>
      <c r="V215" s="365">
        <v>0</v>
      </c>
      <c r="W215" s="365">
        <v>0</v>
      </c>
      <c r="X215" s="365">
        <v>0</v>
      </c>
      <c r="Y215" s="365">
        <v>0</v>
      </c>
      <c r="Z215" s="365">
        <v>0</v>
      </c>
      <c r="AA215" s="365">
        <v>0</v>
      </c>
    </row>
    <row r="216" spans="1:27" ht="12" customHeight="1" x14ac:dyDescent="0.25">
      <c r="A216" s="354"/>
      <c r="B216" s="360" t="s">
        <v>604</v>
      </c>
      <c r="C216" s="361">
        <v>0</v>
      </c>
      <c r="D216" s="361">
        <v>0</v>
      </c>
      <c r="E216" s="361">
        <v>0</v>
      </c>
      <c r="F216" s="361">
        <v>0</v>
      </c>
      <c r="G216" s="361">
        <v>0</v>
      </c>
      <c r="H216" s="361">
        <v>0</v>
      </c>
      <c r="I216" s="361">
        <v>0</v>
      </c>
      <c r="J216" s="361">
        <v>0</v>
      </c>
      <c r="K216" s="361">
        <v>0</v>
      </c>
      <c r="L216" s="361">
        <v>0</v>
      </c>
      <c r="M216" s="361">
        <v>0</v>
      </c>
      <c r="N216" s="361">
        <v>0</v>
      </c>
      <c r="O216" s="361">
        <v>0</v>
      </c>
      <c r="P216" s="361">
        <v>0</v>
      </c>
      <c r="Q216" s="361">
        <v>0</v>
      </c>
      <c r="R216" s="361">
        <v>0</v>
      </c>
      <c r="S216" s="361">
        <v>0</v>
      </c>
      <c r="T216" s="362">
        <v>0</v>
      </c>
      <c r="U216" s="363" t="e">
        <v>#DIV/0!</v>
      </c>
      <c r="V216" s="362">
        <v>0</v>
      </c>
      <c r="W216" s="362">
        <v>0</v>
      </c>
      <c r="X216" s="362">
        <v>0</v>
      </c>
      <c r="Y216" s="362">
        <v>0</v>
      </c>
      <c r="Z216" s="362">
        <v>0</v>
      </c>
      <c r="AA216" s="362">
        <v>0</v>
      </c>
    </row>
    <row r="217" spans="1:27" ht="12" customHeight="1" x14ac:dyDescent="0.25">
      <c r="A217" s="354" t="s">
        <v>1298</v>
      </c>
      <c r="B217" s="354" t="s">
        <v>605</v>
      </c>
      <c r="C217" s="365">
        <v>0</v>
      </c>
      <c r="D217" s="365">
        <v>0</v>
      </c>
      <c r="E217" s="365">
        <v>0</v>
      </c>
      <c r="F217" s="365">
        <v>0</v>
      </c>
      <c r="G217" s="365">
        <v>0</v>
      </c>
      <c r="H217" s="365">
        <v>0</v>
      </c>
      <c r="I217" s="365">
        <v>0</v>
      </c>
      <c r="J217" s="365">
        <v>0</v>
      </c>
      <c r="K217" s="365">
        <v>0</v>
      </c>
      <c r="L217" s="365">
        <v>0</v>
      </c>
      <c r="M217" s="365">
        <v>0</v>
      </c>
      <c r="N217" s="365">
        <v>0</v>
      </c>
      <c r="O217" s="365">
        <v>0</v>
      </c>
      <c r="P217" s="365">
        <v>0</v>
      </c>
      <c r="Q217" s="365">
        <v>0</v>
      </c>
      <c r="R217" s="365">
        <v>0</v>
      </c>
      <c r="S217" s="365">
        <v>0</v>
      </c>
      <c r="T217" s="365">
        <v>0</v>
      </c>
      <c r="U217" s="366" t="e">
        <v>#DIV/0!</v>
      </c>
      <c r="V217" s="365">
        <v>0</v>
      </c>
      <c r="W217" s="365">
        <v>0</v>
      </c>
      <c r="X217" s="365">
        <v>0</v>
      </c>
      <c r="Y217" s="365">
        <v>0</v>
      </c>
      <c r="Z217" s="365">
        <v>0</v>
      </c>
      <c r="AA217" s="365">
        <v>0</v>
      </c>
    </row>
    <row r="218" spans="1:27" ht="12" customHeight="1" x14ac:dyDescent="0.25">
      <c r="A218" s="354" t="s">
        <v>1299</v>
      </c>
      <c r="B218" s="354" t="s">
        <v>606</v>
      </c>
      <c r="C218" s="365">
        <v>0</v>
      </c>
      <c r="D218" s="365">
        <v>0</v>
      </c>
      <c r="E218" s="365">
        <v>0</v>
      </c>
      <c r="F218" s="365">
        <v>0</v>
      </c>
      <c r="G218" s="365">
        <v>0</v>
      </c>
      <c r="H218" s="365">
        <v>0</v>
      </c>
      <c r="I218" s="365">
        <v>0</v>
      </c>
      <c r="J218" s="365">
        <v>0</v>
      </c>
      <c r="K218" s="365">
        <v>0</v>
      </c>
      <c r="L218" s="365">
        <v>0</v>
      </c>
      <c r="M218" s="365">
        <v>0</v>
      </c>
      <c r="N218" s="365">
        <v>0</v>
      </c>
      <c r="O218" s="365">
        <v>0</v>
      </c>
      <c r="P218" s="365">
        <v>0</v>
      </c>
      <c r="Q218" s="365">
        <v>0</v>
      </c>
      <c r="R218" s="365">
        <v>0</v>
      </c>
      <c r="S218" s="365">
        <v>0</v>
      </c>
      <c r="T218" s="365">
        <v>0</v>
      </c>
      <c r="U218" s="366" t="e">
        <v>#DIV/0!</v>
      </c>
      <c r="V218" s="365">
        <v>0</v>
      </c>
      <c r="W218" s="365">
        <v>0</v>
      </c>
      <c r="X218" s="365">
        <v>0</v>
      </c>
      <c r="Y218" s="365">
        <v>0</v>
      </c>
      <c r="Z218" s="365">
        <v>0</v>
      </c>
      <c r="AA218" s="365">
        <v>0</v>
      </c>
    </row>
    <row r="219" spans="1:27" ht="12" customHeight="1" x14ac:dyDescent="0.25">
      <c r="A219" s="354" t="s">
        <v>1300</v>
      </c>
      <c r="B219" s="354" t="s">
        <v>607</v>
      </c>
      <c r="C219" s="365">
        <v>0</v>
      </c>
      <c r="D219" s="365">
        <v>0</v>
      </c>
      <c r="E219" s="365">
        <v>0</v>
      </c>
      <c r="F219" s="365">
        <v>0</v>
      </c>
      <c r="G219" s="365">
        <v>0</v>
      </c>
      <c r="H219" s="365">
        <v>0</v>
      </c>
      <c r="I219" s="365">
        <v>0</v>
      </c>
      <c r="J219" s="365">
        <v>0</v>
      </c>
      <c r="K219" s="365">
        <v>0</v>
      </c>
      <c r="L219" s="365">
        <v>0</v>
      </c>
      <c r="M219" s="365">
        <v>0</v>
      </c>
      <c r="N219" s="365">
        <v>0</v>
      </c>
      <c r="O219" s="365">
        <v>0</v>
      </c>
      <c r="P219" s="365">
        <v>0</v>
      </c>
      <c r="Q219" s="365">
        <v>0</v>
      </c>
      <c r="R219" s="365">
        <v>0</v>
      </c>
      <c r="S219" s="365">
        <v>0</v>
      </c>
      <c r="T219" s="365">
        <v>0</v>
      </c>
      <c r="U219" s="366" t="e">
        <v>#DIV/0!</v>
      </c>
      <c r="V219" s="365">
        <v>0</v>
      </c>
      <c r="W219" s="365">
        <v>0</v>
      </c>
      <c r="X219" s="365">
        <v>0</v>
      </c>
      <c r="Y219" s="365">
        <v>0</v>
      </c>
      <c r="Z219" s="365">
        <v>0</v>
      </c>
      <c r="AA219" s="365">
        <v>0</v>
      </c>
    </row>
    <row r="220" spans="1:27" ht="12" customHeight="1" x14ac:dyDescent="0.25">
      <c r="A220" s="354"/>
      <c r="B220" s="360" t="s">
        <v>608</v>
      </c>
      <c r="C220" s="361">
        <v>0</v>
      </c>
      <c r="D220" s="361">
        <v>0</v>
      </c>
      <c r="E220" s="361">
        <v>0</v>
      </c>
      <c r="F220" s="361">
        <v>0</v>
      </c>
      <c r="G220" s="361">
        <v>0</v>
      </c>
      <c r="H220" s="361">
        <v>0</v>
      </c>
      <c r="I220" s="361">
        <v>0</v>
      </c>
      <c r="J220" s="361">
        <v>0</v>
      </c>
      <c r="K220" s="361">
        <v>0</v>
      </c>
      <c r="L220" s="361">
        <v>0</v>
      </c>
      <c r="M220" s="361">
        <v>0</v>
      </c>
      <c r="N220" s="361">
        <v>0</v>
      </c>
      <c r="O220" s="361">
        <v>0</v>
      </c>
      <c r="P220" s="361">
        <v>0</v>
      </c>
      <c r="Q220" s="361">
        <v>0</v>
      </c>
      <c r="R220" s="361">
        <v>0</v>
      </c>
      <c r="S220" s="361">
        <v>0</v>
      </c>
      <c r="T220" s="362">
        <v>0</v>
      </c>
      <c r="U220" s="363" t="e">
        <v>#DIV/0!</v>
      </c>
      <c r="V220" s="362">
        <v>0</v>
      </c>
      <c r="W220" s="362">
        <v>0</v>
      </c>
      <c r="X220" s="362">
        <v>0</v>
      </c>
      <c r="Y220" s="362">
        <v>0</v>
      </c>
      <c r="Z220" s="362">
        <v>0</v>
      </c>
      <c r="AA220" s="362">
        <v>0</v>
      </c>
    </row>
    <row r="221" spans="1:27" ht="12" customHeight="1" x14ac:dyDescent="0.25">
      <c r="A221" s="354" t="s">
        <v>1301</v>
      </c>
      <c r="B221" s="354" t="s">
        <v>609</v>
      </c>
      <c r="C221" s="365">
        <v>0</v>
      </c>
      <c r="D221" s="365">
        <v>0</v>
      </c>
      <c r="E221" s="365">
        <v>0</v>
      </c>
      <c r="F221" s="365">
        <v>0</v>
      </c>
      <c r="G221" s="365">
        <v>0</v>
      </c>
      <c r="H221" s="365">
        <v>0</v>
      </c>
      <c r="I221" s="365">
        <v>0</v>
      </c>
      <c r="J221" s="365">
        <v>0</v>
      </c>
      <c r="K221" s="365">
        <v>0</v>
      </c>
      <c r="L221" s="365">
        <v>0</v>
      </c>
      <c r="M221" s="365">
        <v>0</v>
      </c>
      <c r="N221" s="365">
        <v>0</v>
      </c>
      <c r="O221" s="365">
        <v>0</v>
      </c>
      <c r="P221" s="365">
        <v>0</v>
      </c>
      <c r="Q221" s="365">
        <v>0</v>
      </c>
      <c r="R221" s="365">
        <v>0</v>
      </c>
      <c r="S221" s="365">
        <v>0</v>
      </c>
      <c r="T221" s="365">
        <v>0</v>
      </c>
      <c r="U221" s="366" t="e">
        <v>#DIV/0!</v>
      </c>
      <c r="V221" s="365">
        <v>0</v>
      </c>
      <c r="W221" s="365">
        <v>0</v>
      </c>
      <c r="X221" s="365">
        <v>0</v>
      </c>
      <c r="Y221" s="365">
        <v>0</v>
      </c>
      <c r="Z221" s="365">
        <v>0</v>
      </c>
      <c r="AA221" s="365">
        <v>0</v>
      </c>
    </row>
    <row r="222" spans="1:27" ht="12" customHeight="1" x14ac:dyDescent="0.25">
      <c r="A222" s="354" t="s">
        <v>1302</v>
      </c>
      <c r="B222" s="354" t="s">
        <v>610</v>
      </c>
      <c r="C222" s="365">
        <v>0</v>
      </c>
      <c r="D222" s="365">
        <v>0</v>
      </c>
      <c r="E222" s="365">
        <v>0</v>
      </c>
      <c r="F222" s="365">
        <v>0</v>
      </c>
      <c r="G222" s="365">
        <v>0</v>
      </c>
      <c r="H222" s="365">
        <v>0</v>
      </c>
      <c r="I222" s="365">
        <v>0</v>
      </c>
      <c r="J222" s="365">
        <v>0</v>
      </c>
      <c r="K222" s="365">
        <v>0</v>
      </c>
      <c r="L222" s="365">
        <v>0</v>
      </c>
      <c r="M222" s="365">
        <v>0</v>
      </c>
      <c r="N222" s="365">
        <v>0</v>
      </c>
      <c r="O222" s="365">
        <v>0</v>
      </c>
      <c r="P222" s="365">
        <v>0</v>
      </c>
      <c r="Q222" s="365">
        <v>0</v>
      </c>
      <c r="R222" s="365">
        <v>0</v>
      </c>
      <c r="S222" s="365">
        <v>0</v>
      </c>
      <c r="T222" s="365">
        <v>0</v>
      </c>
      <c r="U222" s="366" t="e">
        <v>#DIV/0!</v>
      </c>
      <c r="V222" s="365">
        <v>0</v>
      </c>
      <c r="W222" s="365">
        <v>0</v>
      </c>
      <c r="X222" s="365">
        <v>0</v>
      </c>
      <c r="Y222" s="365">
        <v>0</v>
      </c>
      <c r="Z222" s="365">
        <v>0</v>
      </c>
      <c r="AA222" s="365">
        <v>0</v>
      </c>
    </row>
    <row r="223" spans="1:27" ht="12" customHeight="1" x14ac:dyDescent="0.25">
      <c r="A223" s="354" t="s">
        <v>1303</v>
      </c>
      <c r="B223" s="354" t="s">
        <v>611</v>
      </c>
      <c r="C223" s="365">
        <v>0</v>
      </c>
      <c r="D223" s="365">
        <v>0</v>
      </c>
      <c r="E223" s="365">
        <v>0</v>
      </c>
      <c r="F223" s="365">
        <v>0</v>
      </c>
      <c r="G223" s="365">
        <v>0</v>
      </c>
      <c r="H223" s="365">
        <v>0</v>
      </c>
      <c r="I223" s="365">
        <v>0</v>
      </c>
      <c r="J223" s="365">
        <v>0</v>
      </c>
      <c r="K223" s="365">
        <v>0</v>
      </c>
      <c r="L223" s="365">
        <v>0</v>
      </c>
      <c r="M223" s="365">
        <v>0</v>
      </c>
      <c r="N223" s="365">
        <v>0</v>
      </c>
      <c r="O223" s="365">
        <v>0</v>
      </c>
      <c r="P223" s="365">
        <v>0</v>
      </c>
      <c r="Q223" s="365">
        <v>0</v>
      </c>
      <c r="R223" s="365">
        <v>0</v>
      </c>
      <c r="S223" s="365">
        <v>0</v>
      </c>
      <c r="T223" s="365">
        <v>0</v>
      </c>
      <c r="U223" s="366" t="e">
        <v>#DIV/0!</v>
      </c>
      <c r="V223" s="365">
        <v>0</v>
      </c>
      <c r="W223" s="365">
        <v>0</v>
      </c>
      <c r="X223" s="365">
        <v>0</v>
      </c>
      <c r="Y223" s="365">
        <v>0</v>
      </c>
      <c r="Z223" s="365">
        <v>0</v>
      </c>
      <c r="AA223" s="365">
        <v>0</v>
      </c>
    </row>
    <row r="224" spans="1:27" ht="12" customHeight="1" x14ac:dyDescent="0.25">
      <c r="A224" s="354"/>
      <c r="B224" s="360" t="s">
        <v>612</v>
      </c>
      <c r="C224" s="361">
        <v>0</v>
      </c>
      <c r="D224" s="361">
        <v>0</v>
      </c>
      <c r="E224" s="361">
        <v>0</v>
      </c>
      <c r="F224" s="361">
        <v>0</v>
      </c>
      <c r="G224" s="361">
        <v>0</v>
      </c>
      <c r="H224" s="361">
        <v>0</v>
      </c>
      <c r="I224" s="361">
        <v>0</v>
      </c>
      <c r="J224" s="361">
        <v>0</v>
      </c>
      <c r="K224" s="361">
        <v>0</v>
      </c>
      <c r="L224" s="361">
        <v>0</v>
      </c>
      <c r="M224" s="361">
        <v>0</v>
      </c>
      <c r="N224" s="361">
        <v>0</v>
      </c>
      <c r="O224" s="361">
        <v>0</v>
      </c>
      <c r="P224" s="361">
        <v>0</v>
      </c>
      <c r="Q224" s="361">
        <v>0</v>
      </c>
      <c r="R224" s="361">
        <v>0</v>
      </c>
      <c r="S224" s="361">
        <v>0</v>
      </c>
      <c r="T224" s="362">
        <v>0</v>
      </c>
      <c r="U224" s="363" t="e">
        <v>#DIV/0!</v>
      </c>
      <c r="V224" s="362">
        <v>0</v>
      </c>
      <c r="W224" s="362">
        <v>0</v>
      </c>
      <c r="X224" s="362">
        <v>0</v>
      </c>
      <c r="Y224" s="362">
        <v>0</v>
      </c>
      <c r="Z224" s="362">
        <v>0</v>
      </c>
      <c r="AA224" s="362">
        <v>0</v>
      </c>
    </row>
    <row r="225" spans="1:27" ht="12" customHeight="1" x14ac:dyDescent="0.25">
      <c r="A225" s="354" t="s">
        <v>1304</v>
      </c>
      <c r="B225" s="354" t="s">
        <v>613</v>
      </c>
      <c r="C225" s="365">
        <v>0</v>
      </c>
      <c r="D225" s="365">
        <v>0</v>
      </c>
      <c r="E225" s="365">
        <v>0</v>
      </c>
      <c r="F225" s="365">
        <v>0</v>
      </c>
      <c r="G225" s="365">
        <v>0</v>
      </c>
      <c r="H225" s="365">
        <v>0</v>
      </c>
      <c r="I225" s="365">
        <v>0</v>
      </c>
      <c r="J225" s="365">
        <v>0</v>
      </c>
      <c r="K225" s="365">
        <v>0</v>
      </c>
      <c r="L225" s="365">
        <v>0</v>
      </c>
      <c r="M225" s="365">
        <v>0</v>
      </c>
      <c r="N225" s="365">
        <v>0</v>
      </c>
      <c r="O225" s="365">
        <v>0</v>
      </c>
      <c r="P225" s="365">
        <v>0</v>
      </c>
      <c r="Q225" s="365">
        <v>0</v>
      </c>
      <c r="R225" s="365">
        <v>0</v>
      </c>
      <c r="S225" s="365">
        <v>0</v>
      </c>
      <c r="T225" s="365">
        <v>0</v>
      </c>
      <c r="U225" s="366" t="e">
        <v>#DIV/0!</v>
      </c>
      <c r="V225" s="365">
        <v>0</v>
      </c>
      <c r="W225" s="365">
        <v>0</v>
      </c>
      <c r="X225" s="365">
        <v>0</v>
      </c>
      <c r="Y225" s="365">
        <v>0</v>
      </c>
      <c r="Z225" s="365">
        <v>0</v>
      </c>
      <c r="AA225" s="365">
        <v>0</v>
      </c>
    </row>
    <row r="226" spans="1:27" ht="12" customHeight="1" x14ac:dyDescent="0.25">
      <c r="A226" s="354" t="s">
        <v>1305</v>
      </c>
      <c r="B226" s="354" t="s">
        <v>614</v>
      </c>
      <c r="C226" s="365">
        <v>0</v>
      </c>
      <c r="D226" s="365">
        <v>0</v>
      </c>
      <c r="E226" s="365">
        <v>0</v>
      </c>
      <c r="F226" s="365">
        <v>0</v>
      </c>
      <c r="G226" s="365">
        <v>0</v>
      </c>
      <c r="H226" s="365">
        <v>0</v>
      </c>
      <c r="I226" s="365">
        <v>0</v>
      </c>
      <c r="J226" s="365">
        <v>0</v>
      </c>
      <c r="K226" s="365">
        <v>0</v>
      </c>
      <c r="L226" s="365">
        <v>0</v>
      </c>
      <c r="M226" s="365">
        <v>0</v>
      </c>
      <c r="N226" s="365">
        <v>0</v>
      </c>
      <c r="O226" s="365">
        <v>0</v>
      </c>
      <c r="P226" s="365">
        <v>0</v>
      </c>
      <c r="Q226" s="365">
        <v>0</v>
      </c>
      <c r="R226" s="365">
        <v>0</v>
      </c>
      <c r="S226" s="365">
        <v>0</v>
      </c>
      <c r="T226" s="365">
        <v>0</v>
      </c>
      <c r="U226" s="366" t="e">
        <v>#DIV/0!</v>
      </c>
      <c r="V226" s="365">
        <v>0</v>
      </c>
      <c r="W226" s="365">
        <v>0</v>
      </c>
      <c r="X226" s="365">
        <v>0</v>
      </c>
      <c r="Y226" s="365">
        <v>0</v>
      </c>
      <c r="Z226" s="365">
        <v>0</v>
      </c>
      <c r="AA226" s="365">
        <v>0</v>
      </c>
    </row>
    <row r="227" spans="1:27" ht="12" customHeight="1" x14ac:dyDescent="0.25">
      <c r="A227" s="354" t="s">
        <v>1306</v>
      </c>
      <c r="B227" s="354" t="s">
        <v>615</v>
      </c>
      <c r="C227" s="365">
        <v>0</v>
      </c>
      <c r="D227" s="365">
        <v>0</v>
      </c>
      <c r="E227" s="365">
        <v>0</v>
      </c>
      <c r="F227" s="365">
        <v>0</v>
      </c>
      <c r="G227" s="365">
        <v>0</v>
      </c>
      <c r="H227" s="365">
        <v>0</v>
      </c>
      <c r="I227" s="365">
        <v>0</v>
      </c>
      <c r="J227" s="365">
        <v>0</v>
      </c>
      <c r="K227" s="365">
        <v>0</v>
      </c>
      <c r="L227" s="365">
        <v>0</v>
      </c>
      <c r="M227" s="365">
        <v>0</v>
      </c>
      <c r="N227" s="365">
        <v>0</v>
      </c>
      <c r="O227" s="365">
        <v>0</v>
      </c>
      <c r="P227" s="365">
        <v>0</v>
      </c>
      <c r="Q227" s="365">
        <v>0</v>
      </c>
      <c r="R227" s="365">
        <v>0</v>
      </c>
      <c r="S227" s="365">
        <v>0</v>
      </c>
      <c r="T227" s="365">
        <v>0</v>
      </c>
      <c r="U227" s="366" t="e">
        <v>#DIV/0!</v>
      </c>
      <c r="V227" s="365">
        <v>0</v>
      </c>
      <c r="W227" s="365">
        <v>0</v>
      </c>
      <c r="X227" s="365">
        <v>0</v>
      </c>
      <c r="Y227" s="365">
        <v>0</v>
      </c>
      <c r="Z227" s="365">
        <v>0</v>
      </c>
      <c r="AA227" s="365">
        <v>0</v>
      </c>
    </row>
    <row r="228" spans="1:27" ht="12" customHeight="1" x14ac:dyDescent="0.25">
      <c r="A228" s="354" t="s">
        <v>1307</v>
      </c>
      <c r="B228" s="354" t="s">
        <v>616</v>
      </c>
      <c r="C228" s="365">
        <v>0</v>
      </c>
      <c r="D228" s="365">
        <v>0</v>
      </c>
      <c r="E228" s="365">
        <v>0</v>
      </c>
      <c r="F228" s="365">
        <v>0</v>
      </c>
      <c r="G228" s="365">
        <v>0</v>
      </c>
      <c r="H228" s="365">
        <v>0</v>
      </c>
      <c r="I228" s="365">
        <v>0</v>
      </c>
      <c r="J228" s="365">
        <v>0</v>
      </c>
      <c r="K228" s="365">
        <v>0</v>
      </c>
      <c r="L228" s="365">
        <v>0</v>
      </c>
      <c r="M228" s="365">
        <v>0</v>
      </c>
      <c r="N228" s="365">
        <v>0</v>
      </c>
      <c r="O228" s="365">
        <v>0</v>
      </c>
      <c r="P228" s="365">
        <v>0</v>
      </c>
      <c r="Q228" s="365">
        <v>0</v>
      </c>
      <c r="R228" s="365">
        <v>0</v>
      </c>
      <c r="S228" s="365">
        <v>0</v>
      </c>
      <c r="T228" s="365">
        <v>0</v>
      </c>
      <c r="U228" s="366" t="e">
        <v>#DIV/0!</v>
      </c>
      <c r="V228" s="365">
        <v>0</v>
      </c>
      <c r="W228" s="365">
        <v>0</v>
      </c>
      <c r="X228" s="365">
        <v>0</v>
      </c>
      <c r="Y228" s="365">
        <v>0</v>
      </c>
      <c r="Z228" s="365">
        <v>0</v>
      </c>
      <c r="AA228" s="365">
        <v>0</v>
      </c>
    </row>
    <row r="229" spans="1:27" ht="12" customHeight="1" x14ac:dyDescent="0.25">
      <c r="A229" s="354" t="s">
        <v>1308</v>
      </c>
      <c r="B229" s="354" t="s">
        <v>617</v>
      </c>
      <c r="C229" s="365">
        <v>0</v>
      </c>
      <c r="D229" s="365">
        <v>0</v>
      </c>
      <c r="E229" s="365">
        <v>0</v>
      </c>
      <c r="F229" s="365">
        <v>0</v>
      </c>
      <c r="G229" s="365">
        <v>0</v>
      </c>
      <c r="H229" s="365">
        <v>0</v>
      </c>
      <c r="I229" s="365">
        <v>0</v>
      </c>
      <c r="J229" s="365">
        <v>0</v>
      </c>
      <c r="K229" s="365">
        <v>0</v>
      </c>
      <c r="L229" s="365">
        <v>0</v>
      </c>
      <c r="M229" s="365">
        <v>0</v>
      </c>
      <c r="N229" s="365">
        <v>0</v>
      </c>
      <c r="O229" s="365">
        <v>0</v>
      </c>
      <c r="P229" s="365">
        <v>0</v>
      </c>
      <c r="Q229" s="365">
        <v>0</v>
      </c>
      <c r="R229" s="365">
        <v>0</v>
      </c>
      <c r="S229" s="365">
        <v>0</v>
      </c>
      <c r="T229" s="365">
        <v>0</v>
      </c>
      <c r="U229" s="366" t="e">
        <v>#DIV/0!</v>
      </c>
      <c r="V229" s="365">
        <v>0</v>
      </c>
      <c r="W229" s="365">
        <v>0</v>
      </c>
      <c r="X229" s="365">
        <v>0</v>
      </c>
      <c r="Y229" s="365">
        <v>0</v>
      </c>
      <c r="Z229" s="365">
        <v>0</v>
      </c>
      <c r="AA229" s="365">
        <v>0</v>
      </c>
    </row>
    <row r="230" spans="1:27" ht="12" customHeight="1" x14ac:dyDescent="0.25">
      <c r="A230" s="354" t="s">
        <v>1309</v>
      </c>
      <c r="B230" s="354" t="s">
        <v>618</v>
      </c>
      <c r="C230" s="365">
        <v>0</v>
      </c>
      <c r="D230" s="365">
        <v>0</v>
      </c>
      <c r="E230" s="365">
        <v>0</v>
      </c>
      <c r="F230" s="365">
        <v>0</v>
      </c>
      <c r="G230" s="365">
        <v>0</v>
      </c>
      <c r="H230" s="365">
        <v>0</v>
      </c>
      <c r="I230" s="365">
        <v>0</v>
      </c>
      <c r="J230" s="365">
        <v>0</v>
      </c>
      <c r="K230" s="365">
        <v>0</v>
      </c>
      <c r="L230" s="365">
        <v>0</v>
      </c>
      <c r="M230" s="365">
        <v>0</v>
      </c>
      <c r="N230" s="365">
        <v>0</v>
      </c>
      <c r="O230" s="365">
        <v>0</v>
      </c>
      <c r="P230" s="365">
        <v>0</v>
      </c>
      <c r="Q230" s="365">
        <v>0</v>
      </c>
      <c r="R230" s="365">
        <v>0</v>
      </c>
      <c r="S230" s="365">
        <v>0</v>
      </c>
      <c r="T230" s="365">
        <v>0</v>
      </c>
      <c r="U230" s="366" t="e">
        <v>#DIV/0!</v>
      </c>
      <c r="V230" s="365">
        <v>0</v>
      </c>
      <c r="W230" s="365">
        <v>0</v>
      </c>
      <c r="X230" s="365">
        <v>0</v>
      </c>
      <c r="Y230" s="365">
        <v>0</v>
      </c>
      <c r="Z230" s="365">
        <v>0</v>
      </c>
      <c r="AA230" s="365">
        <v>0</v>
      </c>
    </row>
    <row r="231" spans="1:27" ht="12" customHeight="1" x14ac:dyDescent="0.25">
      <c r="A231" s="354" t="s">
        <v>1310</v>
      </c>
      <c r="B231" s="354" t="s">
        <v>619</v>
      </c>
      <c r="C231" s="365">
        <v>0</v>
      </c>
      <c r="D231" s="365">
        <v>0</v>
      </c>
      <c r="E231" s="365">
        <v>0</v>
      </c>
      <c r="F231" s="365">
        <v>0</v>
      </c>
      <c r="G231" s="365">
        <v>0</v>
      </c>
      <c r="H231" s="365">
        <v>0</v>
      </c>
      <c r="I231" s="365">
        <v>0</v>
      </c>
      <c r="J231" s="365">
        <v>0</v>
      </c>
      <c r="K231" s="365">
        <v>0</v>
      </c>
      <c r="L231" s="365">
        <v>0</v>
      </c>
      <c r="M231" s="365">
        <v>0</v>
      </c>
      <c r="N231" s="365">
        <v>0</v>
      </c>
      <c r="O231" s="365">
        <v>0</v>
      </c>
      <c r="P231" s="365">
        <v>0</v>
      </c>
      <c r="Q231" s="365">
        <v>0</v>
      </c>
      <c r="R231" s="365">
        <v>0</v>
      </c>
      <c r="S231" s="365">
        <v>0</v>
      </c>
      <c r="T231" s="365">
        <v>0</v>
      </c>
      <c r="U231" s="366" t="e">
        <v>#DIV/0!</v>
      </c>
      <c r="V231" s="365">
        <v>0</v>
      </c>
      <c r="W231" s="365">
        <v>0</v>
      </c>
      <c r="X231" s="365">
        <v>0</v>
      </c>
      <c r="Y231" s="365">
        <v>0</v>
      </c>
      <c r="Z231" s="365">
        <v>0</v>
      </c>
      <c r="AA231" s="365">
        <v>0</v>
      </c>
    </row>
    <row r="232" spans="1:27" ht="12" customHeight="1" x14ac:dyDescent="0.25">
      <c r="A232" s="354" t="s">
        <v>1311</v>
      </c>
      <c r="B232" s="360" t="s">
        <v>620</v>
      </c>
      <c r="C232" s="362">
        <v>0</v>
      </c>
      <c r="D232" s="362">
        <v>0</v>
      </c>
      <c r="E232" s="362">
        <v>0</v>
      </c>
      <c r="F232" s="362">
        <v>0</v>
      </c>
      <c r="G232" s="362">
        <v>0</v>
      </c>
      <c r="H232" s="362">
        <v>0</v>
      </c>
      <c r="I232" s="362">
        <v>0</v>
      </c>
      <c r="J232" s="362">
        <v>0</v>
      </c>
      <c r="K232" s="362">
        <v>0</v>
      </c>
      <c r="L232" s="362">
        <v>0</v>
      </c>
      <c r="M232" s="362">
        <v>0</v>
      </c>
      <c r="N232" s="362">
        <v>0</v>
      </c>
      <c r="O232" s="362">
        <v>0</v>
      </c>
      <c r="P232" s="362">
        <v>0</v>
      </c>
      <c r="Q232" s="362">
        <v>0</v>
      </c>
      <c r="R232" s="362">
        <v>0</v>
      </c>
      <c r="S232" s="362">
        <v>0</v>
      </c>
      <c r="T232" s="362">
        <v>0</v>
      </c>
      <c r="U232" s="363" t="e">
        <v>#DIV/0!</v>
      </c>
      <c r="V232" s="362">
        <v>0</v>
      </c>
      <c r="W232" s="362">
        <v>0</v>
      </c>
      <c r="X232" s="362">
        <v>0</v>
      </c>
      <c r="Y232" s="362">
        <v>0</v>
      </c>
      <c r="Z232" s="362">
        <v>0</v>
      </c>
      <c r="AA232" s="362">
        <v>0</v>
      </c>
    </row>
    <row r="233" spans="1:27" ht="12" customHeight="1" x14ac:dyDescent="0.25">
      <c r="A233" s="354" t="s">
        <v>1312</v>
      </c>
      <c r="B233" s="360" t="s">
        <v>621</v>
      </c>
      <c r="C233" s="362">
        <v>0</v>
      </c>
      <c r="D233" s="362">
        <v>0</v>
      </c>
      <c r="E233" s="362">
        <v>0</v>
      </c>
      <c r="F233" s="362">
        <v>0</v>
      </c>
      <c r="G233" s="362">
        <v>0</v>
      </c>
      <c r="H233" s="362">
        <v>0</v>
      </c>
      <c r="I233" s="362">
        <v>0</v>
      </c>
      <c r="J233" s="362">
        <v>0</v>
      </c>
      <c r="K233" s="362">
        <v>0</v>
      </c>
      <c r="L233" s="362">
        <v>0</v>
      </c>
      <c r="M233" s="362">
        <v>0</v>
      </c>
      <c r="N233" s="362">
        <v>0</v>
      </c>
      <c r="O233" s="362">
        <v>0</v>
      </c>
      <c r="P233" s="362">
        <v>0</v>
      </c>
      <c r="Q233" s="362">
        <v>0</v>
      </c>
      <c r="R233" s="362">
        <v>0</v>
      </c>
      <c r="S233" s="362">
        <v>0</v>
      </c>
      <c r="T233" s="362">
        <v>0</v>
      </c>
      <c r="U233" s="363" t="e">
        <v>#DIV/0!</v>
      </c>
      <c r="V233" s="362">
        <v>0</v>
      </c>
      <c r="W233" s="362">
        <v>0</v>
      </c>
      <c r="X233" s="362">
        <v>0</v>
      </c>
      <c r="Y233" s="362">
        <v>0</v>
      </c>
      <c r="Z233" s="362">
        <v>0</v>
      </c>
      <c r="AA233" s="362">
        <v>0</v>
      </c>
    </row>
    <row r="234" spans="1:27" ht="12" customHeight="1" x14ac:dyDescent="0.25">
      <c r="A234" s="354" t="s">
        <v>1313</v>
      </c>
      <c r="B234" s="360" t="s">
        <v>622</v>
      </c>
      <c r="C234" s="362">
        <v>0</v>
      </c>
      <c r="D234" s="362">
        <v>0</v>
      </c>
      <c r="E234" s="362">
        <v>0</v>
      </c>
      <c r="F234" s="362">
        <v>0</v>
      </c>
      <c r="G234" s="362">
        <v>0</v>
      </c>
      <c r="H234" s="362">
        <v>0</v>
      </c>
      <c r="I234" s="362">
        <v>0</v>
      </c>
      <c r="J234" s="362">
        <v>0</v>
      </c>
      <c r="K234" s="362">
        <v>0</v>
      </c>
      <c r="L234" s="362">
        <v>0</v>
      </c>
      <c r="M234" s="362">
        <v>0</v>
      </c>
      <c r="N234" s="362">
        <v>0</v>
      </c>
      <c r="O234" s="362">
        <v>0</v>
      </c>
      <c r="P234" s="362">
        <v>0</v>
      </c>
      <c r="Q234" s="362">
        <v>0</v>
      </c>
      <c r="R234" s="362">
        <v>0</v>
      </c>
      <c r="S234" s="362">
        <v>0</v>
      </c>
      <c r="T234" s="362">
        <v>0</v>
      </c>
      <c r="U234" s="363" t="e">
        <v>#DIV/0!</v>
      </c>
      <c r="V234" s="362">
        <v>0</v>
      </c>
      <c r="W234" s="362">
        <v>0</v>
      </c>
      <c r="X234" s="362">
        <v>0</v>
      </c>
      <c r="Y234" s="362">
        <v>0</v>
      </c>
      <c r="Z234" s="362">
        <v>0</v>
      </c>
      <c r="AA234" s="362">
        <v>0</v>
      </c>
    </row>
    <row r="235" spans="1:27" ht="12" customHeight="1" x14ac:dyDescent="0.25">
      <c r="A235" s="354" t="s">
        <v>1314</v>
      </c>
      <c r="B235" s="360" t="s">
        <v>623</v>
      </c>
      <c r="C235" s="362">
        <v>0</v>
      </c>
      <c r="D235" s="362">
        <v>0</v>
      </c>
      <c r="E235" s="362">
        <v>0</v>
      </c>
      <c r="F235" s="362">
        <v>0</v>
      </c>
      <c r="G235" s="362">
        <v>0</v>
      </c>
      <c r="H235" s="362">
        <v>0</v>
      </c>
      <c r="I235" s="362">
        <v>0</v>
      </c>
      <c r="J235" s="362">
        <v>0</v>
      </c>
      <c r="K235" s="362">
        <v>0</v>
      </c>
      <c r="L235" s="362">
        <v>0</v>
      </c>
      <c r="M235" s="362">
        <v>0</v>
      </c>
      <c r="N235" s="362">
        <v>0</v>
      </c>
      <c r="O235" s="362">
        <v>0</v>
      </c>
      <c r="P235" s="362">
        <v>0</v>
      </c>
      <c r="Q235" s="362">
        <v>0</v>
      </c>
      <c r="R235" s="362">
        <v>0</v>
      </c>
      <c r="S235" s="362">
        <v>0</v>
      </c>
      <c r="T235" s="362">
        <v>0</v>
      </c>
      <c r="U235" s="363" t="e">
        <v>#DIV/0!</v>
      </c>
      <c r="V235" s="362">
        <v>0</v>
      </c>
      <c r="W235" s="362">
        <v>0</v>
      </c>
      <c r="X235" s="362">
        <v>0</v>
      </c>
      <c r="Y235" s="362">
        <v>0</v>
      </c>
      <c r="Z235" s="362">
        <v>0</v>
      </c>
      <c r="AA235" s="362">
        <v>0</v>
      </c>
    </row>
    <row r="236" spans="1:27" ht="12" customHeight="1" x14ac:dyDescent="0.25">
      <c r="A236" s="354"/>
      <c r="B236" s="360" t="s">
        <v>624</v>
      </c>
      <c r="C236" s="361">
        <v>0</v>
      </c>
      <c r="D236" s="361">
        <v>0</v>
      </c>
      <c r="E236" s="361">
        <v>0</v>
      </c>
      <c r="F236" s="361">
        <v>0</v>
      </c>
      <c r="G236" s="361">
        <v>0</v>
      </c>
      <c r="H236" s="361">
        <v>0</v>
      </c>
      <c r="I236" s="361">
        <v>0</v>
      </c>
      <c r="J236" s="361">
        <v>0</v>
      </c>
      <c r="K236" s="361">
        <v>0</v>
      </c>
      <c r="L236" s="361">
        <v>0</v>
      </c>
      <c r="M236" s="361">
        <v>0</v>
      </c>
      <c r="N236" s="361">
        <v>0</v>
      </c>
      <c r="O236" s="361">
        <v>0</v>
      </c>
      <c r="P236" s="361">
        <v>0</v>
      </c>
      <c r="Q236" s="361">
        <v>0</v>
      </c>
      <c r="R236" s="361">
        <v>0</v>
      </c>
      <c r="S236" s="361">
        <v>0</v>
      </c>
      <c r="T236" s="362">
        <v>0</v>
      </c>
      <c r="U236" s="363" t="e">
        <v>#DIV/0!</v>
      </c>
      <c r="V236" s="362">
        <v>0</v>
      </c>
      <c r="W236" s="362">
        <v>0</v>
      </c>
      <c r="X236" s="362">
        <v>0</v>
      </c>
      <c r="Y236" s="362">
        <v>0</v>
      </c>
      <c r="Z236" s="362">
        <v>0</v>
      </c>
      <c r="AA236" s="362">
        <v>0</v>
      </c>
    </row>
    <row r="237" spans="1:27" ht="12" customHeight="1" x14ac:dyDescent="0.25">
      <c r="A237" s="354"/>
      <c r="B237" s="354" t="s">
        <v>625</v>
      </c>
      <c r="C237" s="368">
        <v>0</v>
      </c>
      <c r="D237" s="368">
        <v>0</v>
      </c>
      <c r="E237" s="368">
        <v>0</v>
      </c>
      <c r="F237" s="368">
        <v>0</v>
      </c>
      <c r="G237" s="368">
        <v>0</v>
      </c>
      <c r="H237" s="368">
        <v>0</v>
      </c>
      <c r="I237" s="368">
        <v>0</v>
      </c>
      <c r="J237" s="368">
        <v>0</v>
      </c>
      <c r="K237" s="368">
        <v>0</v>
      </c>
      <c r="L237" s="368">
        <v>0</v>
      </c>
      <c r="M237" s="368">
        <v>0</v>
      </c>
      <c r="N237" s="368">
        <v>0</v>
      </c>
      <c r="O237" s="368">
        <v>0</v>
      </c>
      <c r="P237" s="368">
        <v>0</v>
      </c>
      <c r="Q237" s="368">
        <v>0</v>
      </c>
      <c r="R237" s="368">
        <v>0</v>
      </c>
      <c r="S237" s="368">
        <v>0</v>
      </c>
      <c r="T237" s="365">
        <v>0</v>
      </c>
      <c r="U237" s="366" t="e">
        <v>#DIV/0!</v>
      </c>
      <c r="V237" s="365">
        <v>0</v>
      </c>
      <c r="W237" s="365">
        <v>0</v>
      </c>
      <c r="X237" s="365">
        <v>0</v>
      </c>
      <c r="Y237" s="365">
        <v>0</v>
      </c>
      <c r="Z237" s="365">
        <v>0</v>
      </c>
      <c r="AA237" s="365">
        <v>0</v>
      </c>
    </row>
    <row r="238" spans="1:27" ht="12" customHeight="1" x14ac:dyDescent="0.25">
      <c r="A238" s="354"/>
      <c r="B238" s="364" t="s">
        <v>626</v>
      </c>
      <c r="C238" s="368">
        <v>0</v>
      </c>
      <c r="D238" s="368">
        <v>0</v>
      </c>
      <c r="E238" s="368">
        <v>0</v>
      </c>
      <c r="F238" s="368">
        <v>0</v>
      </c>
      <c r="G238" s="368">
        <v>0</v>
      </c>
      <c r="H238" s="368">
        <v>0</v>
      </c>
      <c r="I238" s="368">
        <v>0</v>
      </c>
      <c r="J238" s="368">
        <v>0</v>
      </c>
      <c r="K238" s="368">
        <v>0</v>
      </c>
      <c r="L238" s="368">
        <v>0</v>
      </c>
      <c r="M238" s="368">
        <v>0</v>
      </c>
      <c r="N238" s="368">
        <v>0</v>
      </c>
      <c r="O238" s="368">
        <v>0</v>
      </c>
      <c r="P238" s="368">
        <v>0</v>
      </c>
      <c r="Q238" s="368">
        <v>0</v>
      </c>
      <c r="R238" s="368">
        <v>0</v>
      </c>
      <c r="S238" s="368">
        <v>0</v>
      </c>
      <c r="T238" s="365">
        <v>0</v>
      </c>
      <c r="U238" s="366" t="e">
        <v>#DIV/0!</v>
      </c>
      <c r="V238" s="365">
        <v>0</v>
      </c>
      <c r="W238" s="365">
        <v>0</v>
      </c>
      <c r="X238" s="365">
        <v>0</v>
      </c>
      <c r="Y238" s="365">
        <v>0</v>
      </c>
      <c r="Z238" s="365">
        <v>0</v>
      </c>
      <c r="AA238" s="365">
        <v>0</v>
      </c>
    </row>
    <row r="239" spans="1:27" ht="12" customHeight="1" x14ac:dyDescent="0.25">
      <c r="A239" s="354" t="s">
        <v>1315</v>
      </c>
      <c r="B239" s="369" t="s">
        <v>627</v>
      </c>
      <c r="C239" s="365">
        <v>0</v>
      </c>
      <c r="D239" s="365">
        <v>0</v>
      </c>
      <c r="E239" s="365">
        <v>0</v>
      </c>
      <c r="F239" s="365">
        <v>0</v>
      </c>
      <c r="G239" s="365">
        <v>0</v>
      </c>
      <c r="H239" s="365">
        <v>0</v>
      </c>
      <c r="I239" s="365">
        <v>0</v>
      </c>
      <c r="J239" s="365">
        <v>0</v>
      </c>
      <c r="K239" s="365">
        <v>0</v>
      </c>
      <c r="L239" s="365">
        <v>0</v>
      </c>
      <c r="M239" s="365">
        <v>0</v>
      </c>
      <c r="N239" s="365">
        <v>0</v>
      </c>
      <c r="O239" s="365">
        <v>0</v>
      </c>
      <c r="P239" s="365">
        <v>0</v>
      </c>
      <c r="Q239" s="365">
        <v>0</v>
      </c>
      <c r="R239" s="365">
        <v>0</v>
      </c>
      <c r="S239" s="365">
        <v>0</v>
      </c>
      <c r="T239" s="365">
        <v>0</v>
      </c>
      <c r="U239" s="366" t="e">
        <v>#DIV/0!</v>
      </c>
      <c r="V239" s="365">
        <v>0</v>
      </c>
      <c r="W239" s="365">
        <v>0</v>
      </c>
      <c r="X239" s="365">
        <v>0</v>
      </c>
      <c r="Y239" s="365">
        <v>0</v>
      </c>
      <c r="Z239" s="365">
        <v>0</v>
      </c>
      <c r="AA239" s="365">
        <v>0</v>
      </c>
    </row>
    <row r="240" spans="1:27" ht="12" customHeight="1" x14ac:dyDescent="0.25">
      <c r="A240" s="354" t="s">
        <v>1316</v>
      </c>
      <c r="B240" s="369" t="s">
        <v>628</v>
      </c>
      <c r="C240" s="365">
        <v>0</v>
      </c>
      <c r="D240" s="365">
        <v>0</v>
      </c>
      <c r="E240" s="365">
        <v>0</v>
      </c>
      <c r="F240" s="365">
        <v>0</v>
      </c>
      <c r="G240" s="365">
        <v>0</v>
      </c>
      <c r="H240" s="365">
        <v>0</v>
      </c>
      <c r="I240" s="365">
        <v>0</v>
      </c>
      <c r="J240" s="365">
        <v>0</v>
      </c>
      <c r="K240" s="365">
        <v>0</v>
      </c>
      <c r="L240" s="365">
        <v>0</v>
      </c>
      <c r="M240" s="365">
        <v>0</v>
      </c>
      <c r="N240" s="365">
        <v>0</v>
      </c>
      <c r="O240" s="365">
        <v>0</v>
      </c>
      <c r="P240" s="365">
        <v>0</v>
      </c>
      <c r="Q240" s="365">
        <v>0</v>
      </c>
      <c r="R240" s="365">
        <v>0</v>
      </c>
      <c r="S240" s="365">
        <v>0</v>
      </c>
      <c r="T240" s="365">
        <v>0</v>
      </c>
      <c r="U240" s="366" t="e">
        <v>#DIV/0!</v>
      </c>
      <c r="V240" s="365">
        <v>0</v>
      </c>
      <c r="W240" s="365">
        <v>0</v>
      </c>
      <c r="X240" s="365">
        <v>0</v>
      </c>
      <c r="Y240" s="365">
        <v>0</v>
      </c>
      <c r="Z240" s="365">
        <v>0</v>
      </c>
      <c r="AA240" s="365">
        <v>0</v>
      </c>
    </row>
    <row r="241" spans="1:27" ht="12" customHeight="1" x14ac:dyDescent="0.25">
      <c r="A241" s="354"/>
      <c r="B241" s="364" t="s">
        <v>1317</v>
      </c>
      <c r="C241" s="365">
        <v>0</v>
      </c>
      <c r="D241" s="365">
        <v>0</v>
      </c>
      <c r="E241" s="365">
        <v>0</v>
      </c>
      <c r="F241" s="365">
        <v>0</v>
      </c>
      <c r="G241" s="365">
        <v>0</v>
      </c>
      <c r="H241" s="365">
        <v>0</v>
      </c>
      <c r="I241" s="365">
        <v>0</v>
      </c>
      <c r="J241" s="365">
        <v>0</v>
      </c>
      <c r="K241" s="365">
        <v>0</v>
      </c>
      <c r="L241" s="365">
        <v>0</v>
      </c>
      <c r="M241" s="365">
        <v>0</v>
      </c>
      <c r="N241" s="365">
        <v>0</v>
      </c>
      <c r="O241" s="365">
        <v>0</v>
      </c>
      <c r="P241" s="365">
        <v>0</v>
      </c>
      <c r="Q241" s="365">
        <v>0</v>
      </c>
      <c r="R241" s="365">
        <v>0</v>
      </c>
      <c r="S241" s="365">
        <v>0</v>
      </c>
      <c r="T241" s="365">
        <v>0</v>
      </c>
      <c r="U241" s="366" t="e">
        <v>#DIV/0!</v>
      </c>
      <c r="V241" s="365">
        <v>0</v>
      </c>
      <c r="W241" s="365">
        <v>0</v>
      </c>
      <c r="X241" s="365">
        <v>0</v>
      </c>
      <c r="Y241" s="365">
        <v>0</v>
      </c>
      <c r="Z241" s="365">
        <v>0</v>
      </c>
      <c r="AA241" s="365">
        <v>0</v>
      </c>
    </row>
    <row r="242" spans="1:27" ht="12" customHeight="1" x14ac:dyDescent="0.25">
      <c r="A242" s="354" t="s">
        <v>1318</v>
      </c>
      <c r="B242" s="369" t="s">
        <v>1319</v>
      </c>
      <c r="C242" s="365">
        <v>0</v>
      </c>
      <c r="D242" s="365">
        <v>0</v>
      </c>
      <c r="E242" s="365">
        <v>0</v>
      </c>
      <c r="F242" s="365">
        <v>0</v>
      </c>
      <c r="G242" s="365">
        <v>0</v>
      </c>
      <c r="H242" s="365">
        <v>0</v>
      </c>
      <c r="I242" s="365">
        <v>0</v>
      </c>
      <c r="J242" s="365">
        <v>0</v>
      </c>
      <c r="K242" s="365">
        <v>0</v>
      </c>
      <c r="L242" s="365">
        <v>0</v>
      </c>
      <c r="M242" s="365">
        <v>0</v>
      </c>
      <c r="N242" s="365">
        <v>0</v>
      </c>
      <c r="O242" s="365">
        <v>0</v>
      </c>
      <c r="P242" s="365">
        <v>0</v>
      </c>
      <c r="Q242" s="365">
        <v>0</v>
      </c>
      <c r="R242" s="365">
        <v>0</v>
      </c>
      <c r="S242" s="365">
        <v>0</v>
      </c>
      <c r="T242" s="365">
        <v>0</v>
      </c>
      <c r="U242" s="366" t="e">
        <v>#DIV/0!</v>
      </c>
      <c r="V242" s="365">
        <v>0</v>
      </c>
      <c r="W242" s="365">
        <v>0</v>
      </c>
      <c r="X242" s="365">
        <v>0</v>
      </c>
      <c r="Y242" s="365">
        <v>0</v>
      </c>
      <c r="Z242" s="365">
        <v>0</v>
      </c>
      <c r="AA242" s="365">
        <v>0</v>
      </c>
    </row>
    <row r="243" spans="1:27" ht="12" customHeight="1" x14ac:dyDescent="0.25">
      <c r="A243" s="354" t="s">
        <v>1320</v>
      </c>
      <c r="B243" s="369" t="s">
        <v>1321</v>
      </c>
      <c r="C243" s="365">
        <v>0</v>
      </c>
      <c r="D243" s="365">
        <v>0</v>
      </c>
      <c r="E243" s="365">
        <v>0</v>
      </c>
      <c r="F243" s="365">
        <v>0</v>
      </c>
      <c r="G243" s="365">
        <v>0</v>
      </c>
      <c r="H243" s="365">
        <v>0</v>
      </c>
      <c r="I243" s="365">
        <v>0</v>
      </c>
      <c r="J243" s="365">
        <v>0</v>
      </c>
      <c r="K243" s="365">
        <v>0</v>
      </c>
      <c r="L243" s="365">
        <v>0</v>
      </c>
      <c r="M243" s="365">
        <v>0</v>
      </c>
      <c r="N243" s="365">
        <v>0</v>
      </c>
      <c r="O243" s="365">
        <v>0</v>
      </c>
      <c r="P243" s="365">
        <v>0</v>
      </c>
      <c r="Q243" s="365">
        <v>0</v>
      </c>
      <c r="R243" s="365">
        <v>0</v>
      </c>
      <c r="S243" s="365">
        <v>0</v>
      </c>
      <c r="T243" s="365">
        <v>0</v>
      </c>
      <c r="U243" s="366" t="e">
        <v>#DIV/0!</v>
      </c>
      <c r="V243" s="365">
        <v>0</v>
      </c>
      <c r="W243" s="365">
        <v>0</v>
      </c>
      <c r="X243" s="365">
        <v>0</v>
      </c>
      <c r="Y243" s="365">
        <v>0</v>
      </c>
      <c r="Z243" s="365">
        <v>0</v>
      </c>
      <c r="AA243" s="365">
        <v>0</v>
      </c>
    </row>
    <row r="244" spans="1:27" ht="12" customHeight="1" x14ac:dyDescent="0.25">
      <c r="A244" s="354" t="s">
        <v>1322</v>
      </c>
      <c r="B244" s="364" t="s">
        <v>629</v>
      </c>
      <c r="C244" s="365">
        <v>0</v>
      </c>
      <c r="D244" s="365">
        <v>0</v>
      </c>
      <c r="E244" s="365">
        <v>0</v>
      </c>
      <c r="F244" s="365">
        <v>0</v>
      </c>
      <c r="G244" s="365">
        <v>0</v>
      </c>
      <c r="H244" s="365">
        <v>0</v>
      </c>
      <c r="I244" s="365">
        <v>0</v>
      </c>
      <c r="J244" s="365">
        <v>0</v>
      </c>
      <c r="K244" s="365">
        <v>0</v>
      </c>
      <c r="L244" s="365">
        <v>0</v>
      </c>
      <c r="M244" s="365">
        <v>0</v>
      </c>
      <c r="N244" s="365">
        <v>0</v>
      </c>
      <c r="O244" s="365">
        <v>0</v>
      </c>
      <c r="P244" s="365">
        <v>0</v>
      </c>
      <c r="Q244" s="365">
        <v>0</v>
      </c>
      <c r="R244" s="365">
        <v>0</v>
      </c>
      <c r="S244" s="365">
        <v>0</v>
      </c>
      <c r="T244" s="365">
        <v>0</v>
      </c>
      <c r="U244" s="366" t="e">
        <v>#DIV/0!</v>
      </c>
      <c r="V244" s="365">
        <v>0</v>
      </c>
      <c r="W244" s="365">
        <v>0</v>
      </c>
      <c r="X244" s="365">
        <v>0</v>
      </c>
      <c r="Y244" s="365">
        <v>0</v>
      </c>
      <c r="Z244" s="365">
        <v>0</v>
      </c>
      <c r="AA244" s="365">
        <v>0</v>
      </c>
    </row>
    <row r="245" spans="1:27" ht="12" customHeight="1" x14ac:dyDescent="0.25">
      <c r="A245" s="354" t="s">
        <v>1323</v>
      </c>
      <c r="B245" s="364" t="s">
        <v>630</v>
      </c>
      <c r="C245" s="365">
        <v>0</v>
      </c>
      <c r="D245" s="365">
        <v>0</v>
      </c>
      <c r="E245" s="365">
        <v>0</v>
      </c>
      <c r="F245" s="365">
        <v>0</v>
      </c>
      <c r="G245" s="365">
        <v>0</v>
      </c>
      <c r="H245" s="365">
        <v>0</v>
      </c>
      <c r="I245" s="365">
        <v>0</v>
      </c>
      <c r="J245" s="365">
        <v>0</v>
      </c>
      <c r="K245" s="365">
        <v>0</v>
      </c>
      <c r="L245" s="365">
        <v>0</v>
      </c>
      <c r="M245" s="365">
        <v>0</v>
      </c>
      <c r="N245" s="365">
        <v>0</v>
      </c>
      <c r="O245" s="365">
        <v>0</v>
      </c>
      <c r="P245" s="365">
        <v>0</v>
      </c>
      <c r="Q245" s="365">
        <v>0</v>
      </c>
      <c r="R245" s="365">
        <v>0</v>
      </c>
      <c r="S245" s="365">
        <v>0</v>
      </c>
      <c r="T245" s="365">
        <v>0</v>
      </c>
      <c r="U245" s="366" t="e">
        <v>#DIV/0!</v>
      </c>
      <c r="V245" s="365">
        <v>0</v>
      </c>
      <c r="W245" s="365">
        <v>0</v>
      </c>
      <c r="X245" s="365">
        <v>0</v>
      </c>
      <c r="Y245" s="365">
        <v>0</v>
      </c>
      <c r="Z245" s="365">
        <v>0</v>
      </c>
      <c r="AA245" s="365">
        <v>0</v>
      </c>
    </row>
    <row r="246" spans="1:27" ht="12" customHeight="1" x14ac:dyDescent="0.25">
      <c r="A246" s="354" t="s">
        <v>1324</v>
      </c>
      <c r="B246" s="354" t="s">
        <v>631</v>
      </c>
      <c r="C246" s="365">
        <v>0</v>
      </c>
      <c r="D246" s="365">
        <v>0</v>
      </c>
      <c r="E246" s="365">
        <v>0</v>
      </c>
      <c r="F246" s="365">
        <v>0</v>
      </c>
      <c r="G246" s="365">
        <v>0</v>
      </c>
      <c r="H246" s="365">
        <v>0</v>
      </c>
      <c r="I246" s="365">
        <v>0</v>
      </c>
      <c r="J246" s="365">
        <v>0</v>
      </c>
      <c r="K246" s="365">
        <v>0</v>
      </c>
      <c r="L246" s="365">
        <v>0</v>
      </c>
      <c r="M246" s="365">
        <v>0</v>
      </c>
      <c r="N246" s="365">
        <v>0</v>
      </c>
      <c r="O246" s="365">
        <v>0</v>
      </c>
      <c r="P246" s="365">
        <v>0</v>
      </c>
      <c r="Q246" s="365">
        <v>0</v>
      </c>
      <c r="R246" s="365">
        <v>0</v>
      </c>
      <c r="S246" s="365">
        <v>0</v>
      </c>
      <c r="T246" s="365">
        <v>0</v>
      </c>
      <c r="U246" s="366" t="e">
        <v>#DIV/0!</v>
      </c>
      <c r="V246" s="365">
        <v>0</v>
      </c>
      <c r="W246" s="365">
        <v>0</v>
      </c>
      <c r="X246" s="365">
        <v>0</v>
      </c>
      <c r="Y246" s="365">
        <v>0</v>
      </c>
      <c r="Z246" s="365">
        <v>0</v>
      </c>
      <c r="AA246" s="365">
        <v>0</v>
      </c>
    </row>
    <row r="247" spans="1:27" ht="12" customHeight="1" x14ac:dyDescent="0.25">
      <c r="A247" s="354" t="s">
        <v>1325</v>
      </c>
      <c r="B247" s="354" t="s">
        <v>632</v>
      </c>
      <c r="C247" s="365">
        <v>0</v>
      </c>
      <c r="D247" s="365">
        <v>0</v>
      </c>
      <c r="E247" s="365">
        <v>0</v>
      </c>
      <c r="F247" s="365">
        <v>0</v>
      </c>
      <c r="G247" s="365">
        <v>0</v>
      </c>
      <c r="H247" s="365">
        <v>0</v>
      </c>
      <c r="I247" s="365">
        <v>0</v>
      </c>
      <c r="J247" s="365">
        <v>0</v>
      </c>
      <c r="K247" s="365">
        <v>0</v>
      </c>
      <c r="L247" s="365">
        <v>0</v>
      </c>
      <c r="M247" s="365">
        <v>0</v>
      </c>
      <c r="N247" s="365">
        <v>0</v>
      </c>
      <c r="O247" s="365">
        <v>0</v>
      </c>
      <c r="P247" s="365">
        <v>0</v>
      </c>
      <c r="Q247" s="365">
        <v>0</v>
      </c>
      <c r="R247" s="365">
        <v>0</v>
      </c>
      <c r="S247" s="365">
        <v>0</v>
      </c>
      <c r="T247" s="365">
        <v>0</v>
      </c>
      <c r="U247" s="366" t="e">
        <v>#DIV/0!</v>
      </c>
      <c r="V247" s="365">
        <v>0</v>
      </c>
      <c r="W247" s="365">
        <v>0</v>
      </c>
      <c r="X247" s="365">
        <v>0</v>
      </c>
      <c r="Y247" s="365">
        <v>0</v>
      </c>
      <c r="Z247" s="365">
        <v>0</v>
      </c>
      <c r="AA247" s="365">
        <v>0</v>
      </c>
    </row>
    <row r="248" spans="1:27" ht="12" customHeight="1" x14ac:dyDescent="0.25">
      <c r="A248" s="354" t="s">
        <v>1326</v>
      </c>
      <c r="B248" s="354" t="s">
        <v>633</v>
      </c>
      <c r="C248" s="365">
        <v>0</v>
      </c>
      <c r="D248" s="365">
        <v>0</v>
      </c>
      <c r="E248" s="365">
        <v>0</v>
      </c>
      <c r="F248" s="365">
        <v>0</v>
      </c>
      <c r="G248" s="365">
        <v>0</v>
      </c>
      <c r="H248" s="365">
        <v>0</v>
      </c>
      <c r="I248" s="365">
        <v>0</v>
      </c>
      <c r="J248" s="365">
        <v>0</v>
      </c>
      <c r="K248" s="365">
        <v>0</v>
      </c>
      <c r="L248" s="365">
        <v>0</v>
      </c>
      <c r="M248" s="365">
        <v>0</v>
      </c>
      <c r="N248" s="365">
        <v>0</v>
      </c>
      <c r="O248" s="365">
        <v>0</v>
      </c>
      <c r="P248" s="365">
        <v>0</v>
      </c>
      <c r="Q248" s="365">
        <v>0</v>
      </c>
      <c r="R248" s="365">
        <v>0</v>
      </c>
      <c r="S248" s="365">
        <v>0</v>
      </c>
      <c r="T248" s="365">
        <v>0</v>
      </c>
      <c r="U248" s="366" t="e">
        <v>#DIV/0!</v>
      </c>
      <c r="V248" s="365">
        <v>0</v>
      </c>
      <c r="W248" s="365">
        <v>0</v>
      </c>
      <c r="X248" s="365">
        <v>0</v>
      </c>
      <c r="Y248" s="365">
        <v>0</v>
      </c>
      <c r="Z248" s="365">
        <v>0</v>
      </c>
      <c r="AA248" s="365">
        <v>0</v>
      </c>
    </row>
    <row r="249" spans="1:27" ht="12" customHeight="1" x14ac:dyDescent="0.25">
      <c r="A249" s="354" t="s">
        <v>1327</v>
      </c>
      <c r="B249" s="354" t="s">
        <v>634</v>
      </c>
      <c r="C249" s="365">
        <v>0</v>
      </c>
      <c r="D249" s="365">
        <v>0</v>
      </c>
      <c r="E249" s="365">
        <v>0</v>
      </c>
      <c r="F249" s="365">
        <v>0</v>
      </c>
      <c r="G249" s="365">
        <v>0</v>
      </c>
      <c r="H249" s="365">
        <v>0</v>
      </c>
      <c r="I249" s="365">
        <v>0</v>
      </c>
      <c r="J249" s="365">
        <v>0</v>
      </c>
      <c r="K249" s="365">
        <v>0</v>
      </c>
      <c r="L249" s="365">
        <v>0</v>
      </c>
      <c r="M249" s="365">
        <v>0</v>
      </c>
      <c r="N249" s="365">
        <v>0</v>
      </c>
      <c r="O249" s="365">
        <v>0</v>
      </c>
      <c r="P249" s="365">
        <v>0</v>
      </c>
      <c r="Q249" s="365">
        <v>0</v>
      </c>
      <c r="R249" s="365">
        <v>0</v>
      </c>
      <c r="S249" s="365">
        <v>0</v>
      </c>
      <c r="T249" s="365">
        <v>0</v>
      </c>
      <c r="U249" s="366" t="e">
        <v>#DIV/0!</v>
      </c>
      <c r="V249" s="365">
        <v>0</v>
      </c>
      <c r="W249" s="365">
        <v>0</v>
      </c>
      <c r="X249" s="365">
        <v>0</v>
      </c>
      <c r="Y249" s="365">
        <v>0</v>
      </c>
      <c r="Z249" s="365">
        <v>0</v>
      </c>
      <c r="AA249" s="365">
        <v>0</v>
      </c>
    </row>
    <row r="250" spans="1:27" ht="12" customHeight="1" x14ac:dyDescent="0.25">
      <c r="A250" s="354" t="s">
        <v>1328</v>
      </c>
      <c r="B250" s="354" t="s">
        <v>635</v>
      </c>
      <c r="C250" s="365">
        <v>0</v>
      </c>
      <c r="D250" s="365">
        <v>0</v>
      </c>
      <c r="E250" s="365">
        <v>0</v>
      </c>
      <c r="F250" s="365">
        <v>0</v>
      </c>
      <c r="G250" s="365">
        <v>0</v>
      </c>
      <c r="H250" s="365">
        <v>0</v>
      </c>
      <c r="I250" s="365">
        <v>0</v>
      </c>
      <c r="J250" s="365">
        <v>0</v>
      </c>
      <c r="K250" s="365">
        <v>0</v>
      </c>
      <c r="L250" s="365">
        <v>0</v>
      </c>
      <c r="M250" s="365">
        <v>0</v>
      </c>
      <c r="N250" s="365">
        <v>0</v>
      </c>
      <c r="O250" s="365">
        <v>0</v>
      </c>
      <c r="P250" s="365">
        <v>0</v>
      </c>
      <c r="Q250" s="365">
        <v>0</v>
      </c>
      <c r="R250" s="365">
        <v>0</v>
      </c>
      <c r="S250" s="365">
        <v>0</v>
      </c>
      <c r="T250" s="365">
        <v>0</v>
      </c>
      <c r="U250" s="366" t="e">
        <v>#DIV/0!</v>
      </c>
      <c r="V250" s="365">
        <v>0</v>
      </c>
      <c r="W250" s="365">
        <v>0</v>
      </c>
      <c r="X250" s="365">
        <v>0</v>
      </c>
      <c r="Y250" s="365">
        <v>0</v>
      </c>
      <c r="Z250" s="365">
        <v>0</v>
      </c>
      <c r="AA250" s="365">
        <v>0</v>
      </c>
    </row>
    <row r="251" spans="1:27" ht="12" customHeight="1" x14ac:dyDescent="0.25">
      <c r="A251" s="354"/>
      <c r="B251" s="360" t="s">
        <v>636</v>
      </c>
      <c r="C251" s="361">
        <v>0</v>
      </c>
      <c r="D251" s="361">
        <v>0</v>
      </c>
      <c r="E251" s="361">
        <v>0</v>
      </c>
      <c r="F251" s="361">
        <v>0</v>
      </c>
      <c r="G251" s="361">
        <v>0</v>
      </c>
      <c r="H251" s="361">
        <v>0</v>
      </c>
      <c r="I251" s="361">
        <v>0</v>
      </c>
      <c r="J251" s="361">
        <v>0</v>
      </c>
      <c r="K251" s="361">
        <v>0</v>
      </c>
      <c r="L251" s="361">
        <v>0</v>
      </c>
      <c r="M251" s="361">
        <v>0</v>
      </c>
      <c r="N251" s="361">
        <v>0</v>
      </c>
      <c r="O251" s="361">
        <v>0</v>
      </c>
      <c r="P251" s="361">
        <v>0</v>
      </c>
      <c r="Q251" s="361">
        <v>0</v>
      </c>
      <c r="R251" s="361">
        <v>0</v>
      </c>
      <c r="S251" s="361">
        <v>0</v>
      </c>
      <c r="T251" s="362">
        <v>0</v>
      </c>
      <c r="U251" s="363" t="e">
        <v>#DIV/0!</v>
      </c>
      <c r="V251" s="362">
        <v>0</v>
      </c>
      <c r="W251" s="362">
        <v>0</v>
      </c>
      <c r="X251" s="362">
        <v>0</v>
      </c>
      <c r="Y251" s="362">
        <v>0</v>
      </c>
      <c r="Z251" s="362">
        <v>0</v>
      </c>
      <c r="AA251" s="362">
        <v>0</v>
      </c>
    </row>
    <row r="252" spans="1:27" ht="12" customHeight="1" x14ac:dyDescent="0.25">
      <c r="A252" s="354" t="s">
        <v>1329</v>
      </c>
      <c r="B252" s="354" t="s">
        <v>637</v>
      </c>
      <c r="C252" s="365">
        <v>0</v>
      </c>
      <c r="D252" s="365">
        <v>0</v>
      </c>
      <c r="E252" s="365">
        <v>0</v>
      </c>
      <c r="F252" s="365">
        <v>0</v>
      </c>
      <c r="G252" s="365">
        <v>0</v>
      </c>
      <c r="H252" s="365">
        <v>0</v>
      </c>
      <c r="I252" s="365">
        <v>0</v>
      </c>
      <c r="J252" s="365">
        <v>0</v>
      </c>
      <c r="K252" s="365">
        <v>0</v>
      </c>
      <c r="L252" s="365">
        <v>0</v>
      </c>
      <c r="M252" s="365">
        <v>0</v>
      </c>
      <c r="N252" s="365">
        <v>0</v>
      </c>
      <c r="O252" s="365">
        <v>0</v>
      </c>
      <c r="P252" s="365">
        <v>0</v>
      </c>
      <c r="Q252" s="365">
        <v>0</v>
      </c>
      <c r="R252" s="365">
        <v>0</v>
      </c>
      <c r="S252" s="365">
        <v>0</v>
      </c>
      <c r="T252" s="365">
        <v>0</v>
      </c>
      <c r="U252" s="366" t="e">
        <v>#DIV/0!</v>
      </c>
      <c r="V252" s="365">
        <v>0</v>
      </c>
      <c r="W252" s="365">
        <v>0</v>
      </c>
      <c r="X252" s="365">
        <v>0</v>
      </c>
      <c r="Y252" s="365">
        <v>0</v>
      </c>
      <c r="Z252" s="365">
        <v>0</v>
      </c>
      <c r="AA252" s="365">
        <v>0</v>
      </c>
    </row>
    <row r="253" spans="1:27" ht="12" customHeight="1" x14ac:dyDescent="0.25">
      <c r="A253" s="354" t="s">
        <v>1330</v>
      </c>
      <c r="B253" s="354" t="s">
        <v>638</v>
      </c>
      <c r="C253" s="365">
        <v>0</v>
      </c>
      <c r="D253" s="365">
        <v>0</v>
      </c>
      <c r="E253" s="365">
        <v>0</v>
      </c>
      <c r="F253" s="365">
        <v>0</v>
      </c>
      <c r="G253" s="365">
        <v>0</v>
      </c>
      <c r="H253" s="365">
        <v>0</v>
      </c>
      <c r="I253" s="365">
        <v>0</v>
      </c>
      <c r="J253" s="365">
        <v>0</v>
      </c>
      <c r="K253" s="365">
        <v>0</v>
      </c>
      <c r="L253" s="365">
        <v>0</v>
      </c>
      <c r="M253" s="365">
        <v>0</v>
      </c>
      <c r="N253" s="365">
        <v>0</v>
      </c>
      <c r="O253" s="365">
        <v>0</v>
      </c>
      <c r="P253" s="365">
        <v>0</v>
      </c>
      <c r="Q253" s="365">
        <v>0</v>
      </c>
      <c r="R253" s="365">
        <v>0</v>
      </c>
      <c r="S253" s="365">
        <v>0</v>
      </c>
      <c r="T253" s="365">
        <v>0</v>
      </c>
      <c r="U253" s="366" t="e">
        <v>#DIV/0!</v>
      </c>
      <c r="V253" s="365">
        <v>0</v>
      </c>
      <c r="W253" s="365">
        <v>0</v>
      </c>
      <c r="X253" s="365">
        <v>0</v>
      </c>
      <c r="Y253" s="365">
        <v>0</v>
      </c>
      <c r="Z253" s="365">
        <v>0</v>
      </c>
      <c r="AA253" s="365">
        <v>0</v>
      </c>
    </row>
    <row r="254" spans="1:27" ht="12" customHeight="1" x14ac:dyDescent="0.25">
      <c r="A254" s="354" t="s">
        <v>1331</v>
      </c>
      <c r="B254" s="354" t="s">
        <v>639</v>
      </c>
      <c r="C254" s="365">
        <v>0</v>
      </c>
      <c r="D254" s="365">
        <v>0</v>
      </c>
      <c r="E254" s="365">
        <v>0</v>
      </c>
      <c r="F254" s="365">
        <v>0</v>
      </c>
      <c r="G254" s="365">
        <v>0</v>
      </c>
      <c r="H254" s="365">
        <v>0</v>
      </c>
      <c r="I254" s="365">
        <v>0</v>
      </c>
      <c r="J254" s="365">
        <v>0</v>
      </c>
      <c r="K254" s="365">
        <v>0</v>
      </c>
      <c r="L254" s="365">
        <v>0</v>
      </c>
      <c r="M254" s="365">
        <v>0</v>
      </c>
      <c r="N254" s="365">
        <v>0</v>
      </c>
      <c r="O254" s="365">
        <v>0</v>
      </c>
      <c r="P254" s="365">
        <v>0</v>
      </c>
      <c r="Q254" s="365">
        <v>0</v>
      </c>
      <c r="R254" s="365">
        <v>0</v>
      </c>
      <c r="S254" s="365">
        <v>0</v>
      </c>
      <c r="T254" s="365">
        <v>0</v>
      </c>
      <c r="U254" s="366" t="e">
        <v>#DIV/0!</v>
      </c>
      <c r="V254" s="365">
        <v>0</v>
      </c>
      <c r="W254" s="365">
        <v>0</v>
      </c>
      <c r="X254" s="365">
        <v>0</v>
      </c>
      <c r="Y254" s="365">
        <v>0</v>
      </c>
      <c r="Z254" s="365">
        <v>0</v>
      </c>
      <c r="AA254" s="365">
        <v>0</v>
      </c>
    </row>
    <row r="255" spans="1:27" ht="12" customHeight="1" x14ac:dyDescent="0.25">
      <c r="A255" s="354"/>
      <c r="B255" s="360" t="s">
        <v>640</v>
      </c>
      <c r="C255" s="361">
        <v>0</v>
      </c>
      <c r="D255" s="361">
        <v>0</v>
      </c>
      <c r="E255" s="361">
        <v>0</v>
      </c>
      <c r="F255" s="361">
        <v>0</v>
      </c>
      <c r="G255" s="361">
        <v>0</v>
      </c>
      <c r="H255" s="361">
        <v>0</v>
      </c>
      <c r="I255" s="361">
        <v>0</v>
      </c>
      <c r="J255" s="361">
        <v>0</v>
      </c>
      <c r="K255" s="361">
        <v>0</v>
      </c>
      <c r="L255" s="361">
        <v>0</v>
      </c>
      <c r="M255" s="361">
        <v>0</v>
      </c>
      <c r="N255" s="361">
        <v>0</v>
      </c>
      <c r="O255" s="361">
        <v>0</v>
      </c>
      <c r="P255" s="361">
        <v>0</v>
      </c>
      <c r="Q255" s="361">
        <v>0</v>
      </c>
      <c r="R255" s="361">
        <v>0</v>
      </c>
      <c r="S255" s="361">
        <v>0</v>
      </c>
      <c r="T255" s="362">
        <v>0</v>
      </c>
      <c r="U255" s="363" t="e">
        <v>#DIV/0!</v>
      </c>
      <c r="V255" s="362">
        <v>0</v>
      </c>
      <c r="W255" s="362">
        <v>0</v>
      </c>
      <c r="X255" s="362">
        <v>0</v>
      </c>
      <c r="Y255" s="362">
        <v>0</v>
      </c>
      <c r="Z255" s="362">
        <v>0</v>
      </c>
      <c r="AA255" s="362">
        <v>0</v>
      </c>
    </row>
    <row r="256" spans="1:27" ht="12" customHeight="1" x14ac:dyDescent="0.25">
      <c r="A256" s="354" t="s">
        <v>1332</v>
      </c>
      <c r="B256" s="354" t="s">
        <v>641</v>
      </c>
      <c r="C256" s="365">
        <v>0</v>
      </c>
      <c r="D256" s="365">
        <v>0</v>
      </c>
      <c r="E256" s="365">
        <v>0</v>
      </c>
      <c r="F256" s="365">
        <v>0</v>
      </c>
      <c r="G256" s="365">
        <v>0</v>
      </c>
      <c r="H256" s="365">
        <v>0</v>
      </c>
      <c r="I256" s="365">
        <v>0</v>
      </c>
      <c r="J256" s="365">
        <v>0</v>
      </c>
      <c r="K256" s="365">
        <v>0</v>
      </c>
      <c r="L256" s="365">
        <v>0</v>
      </c>
      <c r="M256" s="365">
        <v>0</v>
      </c>
      <c r="N256" s="365">
        <v>0</v>
      </c>
      <c r="O256" s="365">
        <v>0</v>
      </c>
      <c r="P256" s="365">
        <v>0</v>
      </c>
      <c r="Q256" s="365">
        <v>0</v>
      </c>
      <c r="R256" s="365">
        <v>0</v>
      </c>
      <c r="S256" s="365">
        <v>0</v>
      </c>
      <c r="T256" s="365">
        <v>0</v>
      </c>
      <c r="U256" s="366" t="e">
        <v>#DIV/0!</v>
      </c>
      <c r="V256" s="365">
        <v>0</v>
      </c>
      <c r="W256" s="365">
        <v>0</v>
      </c>
      <c r="X256" s="365">
        <v>0</v>
      </c>
      <c r="Y256" s="365">
        <v>0</v>
      </c>
      <c r="Z256" s="365">
        <v>0</v>
      </c>
      <c r="AA256" s="365">
        <v>0</v>
      </c>
    </row>
    <row r="257" spans="1:27" ht="12" customHeight="1" x14ac:dyDescent="0.25">
      <c r="A257" s="354" t="s">
        <v>1333</v>
      </c>
      <c r="B257" s="354" t="s">
        <v>642</v>
      </c>
      <c r="C257" s="365">
        <v>0</v>
      </c>
      <c r="D257" s="365">
        <v>0</v>
      </c>
      <c r="E257" s="365">
        <v>0</v>
      </c>
      <c r="F257" s="365">
        <v>0</v>
      </c>
      <c r="G257" s="365">
        <v>0</v>
      </c>
      <c r="H257" s="365">
        <v>0</v>
      </c>
      <c r="I257" s="365">
        <v>0</v>
      </c>
      <c r="J257" s="365">
        <v>0</v>
      </c>
      <c r="K257" s="365">
        <v>0</v>
      </c>
      <c r="L257" s="365">
        <v>0</v>
      </c>
      <c r="M257" s="365">
        <v>0</v>
      </c>
      <c r="N257" s="365">
        <v>0</v>
      </c>
      <c r="O257" s="365">
        <v>0</v>
      </c>
      <c r="P257" s="365">
        <v>0</v>
      </c>
      <c r="Q257" s="365">
        <v>0</v>
      </c>
      <c r="R257" s="365">
        <v>0</v>
      </c>
      <c r="S257" s="365">
        <v>0</v>
      </c>
      <c r="T257" s="365">
        <v>0</v>
      </c>
      <c r="U257" s="366" t="e">
        <v>#DIV/0!</v>
      </c>
      <c r="V257" s="365">
        <v>0</v>
      </c>
      <c r="W257" s="365">
        <v>0</v>
      </c>
      <c r="X257" s="365">
        <v>0</v>
      </c>
      <c r="Y257" s="365">
        <v>0</v>
      </c>
      <c r="Z257" s="365">
        <v>0</v>
      </c>
      <c r="AA257" s="365">
        <v>0</v>
      </c>
    </row>
    <row r="258" spans="1:27" ht="12" customHeight="1" x14ac:dyDescent="0.25">
      <c r="A258" s="354" t="s">
        <v>1334</v>
      </c>
      <c r="B258" s="354" t="s">
        <v>643</v>
      </c>
      <c r="C258" s="365">
        <v>0</v>
      </c>
      <c r="D258" s="365">
        <v>0</v>
      </c>
      <c r="E258" s="365">
        <v>0</v>
      </c>
      <c r="F258" s="365">
        <v>0</v>
      </c>
      <c r="G258" s="365">
        <v>0</v>
      </c>
      <c r="H258" s="365">
        <v>0</v>
      </c>
      <c r="I258" s="365">
        <v>0</v>
      </c>
      <c r="J258" s="365">
        <v>0</v>
      </c>
      <c r="K258" s="365">
        <v>0</v>
      </c>
      <c r="L258" s="365">
        <v>0</v>
      </c>
      <c r="M258" s="365">
        <v>0</v>
      </c>
      <c r="N258" s="365">
        <v>0</v>
      </c>
      <c r="O258" s="365">
        <v>0</v>
      </c>
      <c r="P258" s="365">
        <v>0</v>
      </c>
      <c r="Q258" s="365">
        <v>0</v>
      </c>
      <c r="R258" s="365">
        <v>0</v>
      </c>
      <c r="S258" s="365">
        <v>0</v>
      </c>
      <c r="T258" s="365">
        <v>0</v>
      </c>
      <c r="U258" s="366" t="e">
        <v>#DIV/0!</v>
      </c>
      <c r="V258" s="365">
        <v>0</v>
      </c>
      <c r="W258" s="365">
        <v>0</v>
      </c>
      <c r="X258" s="365">
        <v>0</v>
      </c>
      <c r="Y258" s="365">
        <v>0</v>
      </c>
      <c r="Z258" s="365">
        <v>0</v>
      </c>
      <c r="AA258" s="365">
        <v>0</v>
      </c>
    </row>
    <row r="259" spans="1:27" ht="12" customHeight="1" x14ac:dyDescent="0.25">
      <c r="A259" s="354" t="s">
        <v>1335</v>
      </c>
      <c r="B259" s="354" t="s">
        <v>644</v>
      </c>
      <c r="C259" s="365">
        <v>0</v>
      </c>
      <c r="D259" s="365">
        <v>0</v>
      </c>
      <c r="E259" s="365">
        <v>0</v>
      </c>
      <c r="F259" s="365">
        <v>0</v>
      </c>
      <c r="G259" s="365">
        <v>0</v>
      </c>
      <c r="H259" s="365">
        <v>0</v>
      </c>
      <c r="I259" s="365">
        <v>0</v>
      </c>
      <c r="J259" s="365">
        <v>0</v>
      </c>
      <c r="K259" s="365">
        <v>0</v>
      </c>
      <c r="L259" s="365">
        <v>0</v>
      </c>
      <c r="M259" s="365">
        <v>0</v>
      </c>
      <c r="N259" s="365">
        <v>0</v>
      </c>
      <c r="O259" s="365">
        <v>0</v>
      </c>
      <c r="P259" s="365">
        <v>0</v>
      </c>
      <c r="Q259" s="365">
        <v>0</v>
      </c>
      <c r="R259" s="365">
        <v>0</v>
      </c>
      <c r="S259" s="365">
        <v>0</v>
      </c>
      <c r="T259" s="365">
        <v>0</v>
      </c>
      <c r="U259" s="366" t="e">
        <v>#DIV/0!</v>
      </c>
      <c r="V259" s="365">
        <v>0</v>
      </c>
      <c r="W259" s="365">
        <v>0</v>
      </c>
      <c r="X259" s="365">
        <v>0</v>
      </c>
      <c r="Y259" s="365">
        <v>0</v>
      </c>
      <c r="Z259" s="365">
        <v>0</v>
      </c>
      <c r="AA259" s="365">
        <v>0</v>
      </c>
    </row>
    <row r="260" spans="1:27" ht="12" customHeight="1" x14ac:dyDescent="0.25">
      <c r="A260" s="354" t="s">
        <v>1336</v>
      </c>
      <c r="B260" s="354" t="s">
        <v>645</v>
      </c>
      <c r="C260" s="365">
        <v>0</v>
      </c>
      <c r="D260" s="365">
        <v>0</v>
      </c>
      <c r="E260" s="365">
        <v>0</v>
      </c>
      <c r="F260" s="365">
        <v>0</v>
      </c>
      <c r="G260" s="365">
        <v>0</v>
      </c>
      <c r="H260" s="365">
        <v>0</v>
      </c>
      <c r="I260" s="365">
        <v>0</v>
      </c>
      <c r="J260" s="365">
        <v>0</v>
      </c>
      <c r="K260" s="365">
        <v>0</v>
      </c>
      <c r="L260" s="365">
        <v>0</v>
      </c>
      <c r="M260" s="365">
        <v>0</v>
      </c>
      <c r="N260" s="365">
        <v>0</v>
      </c>
      <c r="O260" s="365">
        <v>0</v>
      </c>
      <c r="P260" s="365">
        <v>0</v>
      </c>
      <c r="Q260" s="365">
        <v>0</v>
      </c>
      <c r="R260" s="365">
        <v>0</v>
      </c>
      <c r="S260" s="365">
        <v>0</v>
      </c>
      <c r="T260" s="365">
        <v>0</v>
      </c>
      <c r="U260" s="366" t="e">
        <v>#DIV/0!</v>
      </c>
      <c r="V260" s="365">
        <v>0</v>
      </c>
      <c r="W260" s="365">
        <v>0</v>
      </c>
      <c r="X260" s="365">
        <v>0</v>
      </c>
      <c r="Y260" s="365">
        <v>0</v>
      </c>
      <c r="Z260" s="365">
        <v>0</v>
      </c>
      <c r="AA260" s="365">
        <v>0</v>
      </c>
    </row>
    <row r="261" spans="1:27" ht="12" customHeight="1" x14ac:dyDescent="0.25">
      <c r="A261" s="354" t="s">
        <v>1337</v>
      </c>
      <c r="B261" s="354" t="s">
        <v>646</v>
      </c>
      <c r="C261" s="365">
        <v>0</v>
      </c>
      <c r="D261" s="365">
        <v>0</v>
      </c>
      <c r="E261" s="365">
        <v>0</v>
      </c>
      <c r="F261" s="365">
        <v>0</v>
      </c>
      <c r="G261" s="365">
        <v>0</v>
      </c>
      <c r="H261" s="365">
        <v>0</v>
      </c>
      <c r="I261" s="365">
        <v>0</v>
      </c>
      <c r="J261" s="365">
        <v>0</v>
      </c>
      <c r="K261" s="365">
        <v>0</v>
      </c>
      <c r="L261" s="365">
        <v>0</v>
      </c>
      <c r="M261" s="365">
        <v>0</v>
      </c>
      <c r="N261" s="365">
        <v>0</v>
      </c>
      <c r="O261" s="365">
        <v>0</v>
      </c>
      <c r="P261" s="365">
        <v>0</v>
      </c>
      <c r="Q261" s="365">
        <v>0</v>
      </c>
      <c r="R261" s="365">
        <v>0</v>
      </c>
      <c r="S261" s="365">
        <v>0</v>
      </c>
      <c r="T261" s="365">
        <v>0</v>
      </c>
      <c r="U261" s="366" t="e">
        <v>#DIV/0!</v>
      </c>
      <c r="V261" s="365">
        <v>0</v>
      </c>
      <c r="W261" s="365">
        <v>0</v>
      </c>
      <c r="X261" s="365">
        <v>0</v>
      </c>
      <c r="Y261" s="365">
        <v>0</v>
      </c>
      <c r="Z261" s="365">
        <v>0</v>
      </c>
      <c r="AA261" s="365">
        <v>0</v>
      </c>
    </row>
    <row r="262" spans="1:27" ht="12" customHeight="1" x14ac:dyDescent="0.25">
      <c r="A262" s="354"/>
      <c r="B262" s="355" t="s">
        <v>647</v>
      </c>
      <c r="C262" s="356">
        <v>0</v>
      </c>
      <c r="D262" s="356">
        <v>0</v>
      </c>
      <c r="E262" s="356">
        <v>0</v>
      </c>
      <c r="F262" s="356">
        <v>0</v>
      </c>
      <c r="G262" s="356">
        <v>0</v>
      </c>
      <c r="H262" s="356">
        <v>0</v>
      </c>
      <c r="I262" s="356">
        <v>0</v>
      </c>
      <c r="J262" s="356">
        <v>0</v>
      </c>
      <c r="K262" s="356">
        <v>0</v>
      </c>
      <c r="L262" s="356">
        <v>0</v>
      </c>
      <c r="M262" s="356">
        <v>0</v>
      </c>
      <c r="N262" s="356">
        <v>0</v>
      </c>
      <c r="O262" s="356">
        <v>0</v>
      </c>
      <c r="P262" s="356">
        <v>0</v>
      </c>
      <c r="Q262" s="356">
        <v>0</v>
      </c>
      <c r="R262" s="356">
        <v>0</v>
      </c>
      <c r="S262" s="356">
        <v>0</v>
      </c>
      <c r="T262" s="357">
        <v>0</v>
      </c>
      <c r="U262" s="358" t="e">
        <v>#DIV/0!</v>
      </c>
      <c r="V262" s="357">
        <v>0</v>
      </c>
      <c r="W262" s="357">
        <v>0</v>
      </c>
      <c r="X262" s="357">
        <v>0</v>
      </c>
      <c r="Y262" s="357">
        <v>0</v>
      </c>
      <c r="Z262" s="357">
        <v>0</v>
      </c>
      <c r="AA262" s="357">
        <v>0</v>
      </c>
    </row>
    <row r="263" spans="1:27" ht="12" customHeight="1" x14ac:dyDescent="0.25">
      <c r="A263" s="354"/>
      <c r="B263" s="360" t="s">
        <v>648</v>
      </c>
      <c r="C263" s="361">
        <v>0</v>
      </c>
      <c r="D263" s="361">
        <v>0</v>
      </c>
      <c r="E263" s="361">
        <v>0</v>
      </c>
      <c r="F263" s="361">
        <v>0</v>
      </c>
      <c r="G263" s="361">
        <v>0</v>
      </c>
      <c r="H263" s="361">
        <v>0</v>
      </c>
      <c r="I263" s="361">
        <v>0</v>
      </c>
      <c r="J263" s="361">
        <v>0</v>
      </c>
      <c r="K263" s="361">
        <v>0</v>
      </c>
      <c r="L263" s="361">
        <v>0</v>
      </c>
      <c r="M263" s="361">
        <v>0</v>
      </c>
      <c r="N263" s="361">
        <v>0</v>
      </c>
      <c r="O263" s="361">
        <v>0</v>
      </c>
      <c r="P263" s="361">
        <v>0</v>
      </c>
      <c r="Q263" s="361">
        <v>0</v>
      </c>
      <c r="R263" s="361">
        <v>0</v>
      </c>
      <c r="S263" s="361">
        <v>0</v>
      </c>
      <c r="T263" s="362">
        <v>0</v>
      </c>
      <c r="U263" s="363" t="e">
        <v>#DIV/0!</v>
      </c>
      <c r="V263" s="362">
        <v>0</v>
      </c>
      <c r="W263" s="362">
        <v>0</v>
      </c>
      <c r="X263" s="362">
        <v>0</v>
      </c>
      <c r="Y263" s="362">
        <v>0</v>
      </c>
      <c r="Z263" s="362">
        <v>0</v>
      </c>
      <c r="AA263" s="362">
        <v>0</v>
      </c>
    </row>
    <row r="264" spans="1:27" ht="12" customHeight="1" x14ac:dyDescent="0.25">
      <c r="A264" s="354" t="s">
        <v>1338</v>
      </c>
      <c r="B264" s="354" t="s">
        <v>649</v>
      </c>
      <c r="C264" s="365">
        <v>0</v>
      </c>
      <c r="D264" s="365">
        <v>0</v>
      </c>
      <c r="E264" s="365">
        <v>0</v>
      </c>
      <c r="F264" s="365">
        <v>0</v>
      </c>
      <c r="G264" s="365">
        <v>0</v>
      </c>
      <c r="H264" s="365">
        <v>0</v>
      </c>
      <c r="I264" s="365">
        <v>0</v>
      </c>
      <c r="J264" s="365">
        <v>0</v>
      </c>
      <c r="K264" s="365">
        <v>0</v>
      </c>
      <c r="L264" s="365">
        <v>0</v>
      </c>
      <c r="M264" s="365">
        <v>0</v>
      </c>
      <c r="N264" s="365">
        <v>0</v>
      </c>
      <c r="O264" s="365">
        <v>0</v>
      </c>
      <c r="P264" s="365">
        <v>0</v>
      </c>
      <c r="Q264" s="365">
        <v>0</v>
      </c>
      <c r="R264" s="365">
        <v>0</v>
      </c>
      <c r="S264" s="365">
        <v>0</v>
      </c>
      <c r="T264" s="365">
        <v>0</v>
      </c>
      <c r="U264" s="366" t="e">
        <v>#DIV/0!</v>
      </c>
      <c r="V264" s="365">
        <v>0</v>
      </c>
      <c r="W264" s="365">
        <v>0</v>
      </c>
      <c r="X264" s="365">
        <v>0</v>
      </c>
      <c r="Y264" s="365">
        <v>0</v>
      </c>
      <c r="Z264" s="365">
        <v>0</v>
      </c>
      <c r="AA264" s="365">
        <v>0</v>
      </c>
    </row>
    <row r="265" spans="1:27" ht="12" customHeight="1" x14ac:dyDescent="0.25">
      <c r="A265" s="354" t="s">
        <v>1339</v>
      </c>
      <c r="B265" s="354" t="s">
        <v>650</v>
      </c>
      <c r="C265" s="365">
        <v>0</v>
      </c>
      <c r="D265" s="365">
        <v>0</v>
      </c>
      <c r="E265" s="365">
        <v>0</v>
      </c>
      <c r="F265" s="365">
        <v>0</v>
      </c>
      <c r="G265" s="365">
        <v>0</v>
      </c>
      <c r="H265" s="365">
        <v>0</v>
      </c>
      <c r="I265" s="365">
        <v>0</v>
      </c>
      <c r="J265" s="365">
        <v>0</v>
      </c>
      <c r="K265" s="365">
        <v>0</v>
      </c>
      <c r="L265" s="365">
        <v>0</v>
      </c>
      <c r="M265" s="365">
        <v>0</v>
      </c>
      <c r="N265" s="365">
        <v>0</v>
      </c>
      <c r="O265" s="365">
        <v>0</v>
      </c>
      <c r="P265" s="365">
        <v>0</v>
      </c>
      <c r="Q265" s="365">
        <v>0</v>
      </c>
      <c r="R265" s="365">
        <v>0</v>
      </c>
      <c r="S265" s="365">
        <v>0</v>
      </c>
      <c r="T265" s="365">
        <v>0</v>
      </c>
      <c r="U265" s="366" t="e">
        <v>#DIV/0!</v>
      </c>
      <c r="V265" s="365">
        <v>0</v>
      </c>
      <c r="W265" s="365">
        <v>0</v>
      </c>
      <c r="X265" s="365">
        <v>0</v>
      </c>
      <c r="Y265" s="365">
        <v>0</v>
      </c>
      <c r="Z265" s="365">
        <v>0</v>
      </c>
      <c r="AA265" s="365">
        <v>0</v>
      </c>
    </row>
    <row r="266" spans="1:27" ht="12" customHeight="1" x14ac:dyDescent="0.25">
      <c r="A266" s="354" t="s">
        <v>1340</v>
      </c>
      <c r="B266" s="354" t="s">
        <v>651</v>
      </c>
      <c r="C266" s="365">
        <v>0</v>
      </c>
      <c r="D266" s="365">
        <v>0</v>
      </c>
      <c r="E266" s="365">
        <v>0</v>
      </c>
      <c r="F266" s="365">
        <v>0</v>
      </c>
      <c r="G266" s="365">
        <v>0</v>
      </c>
      <c r="H266" s="365">
        <v>0</v>
      </c>
      <c r="I266" s="365">
        <v>0</v>
      </c>
      <c r="J266" s="365">
        <v>0</v>
      </c>
      <c r="K266" s="365">
        <v>0</v>
      </c>
      <c r="L266" s="365">
        <v>0</v>
      </c>
      <c r="M266" s="365">
        <v>0</v>
      </c>
      <c r="N266" s="365">
        <v>0</v>
      </c>
      <c r="O266" s="365">
        <v>0</v>
      </c>
      <c r="P266" s="365">
        <v>0</v>
      </c>
      <c r="Q266" s="365">
        <v>0</v>
      </c>
      <c r="R266" s="365">
        <v>0</v>
      </c>
      <c r="S266" s="365">
        <v>0</v>
      </c>
      <c r="T266" s="365">
        <v>0</v>
      </c>
      <c r="U266" s="366" t="e">
        <v>#DIV/0!</v>
      </c>
      <c r="V266" s="365">
        <v>0</v>
      </c>
      <c r="W266" s="365">
        <v>0</v>
      </c>
      <c r="X266" s="365">
        <v>0</v>
      </c>
      <c r="Y266" s="365">
        <v>0</v>
      </c>
      <c r="Z266" s="365">
        <v>0</v>
      </c>
      <c r="AA266" s="365">
        <v>0</v>
      </c>
    </row>
    <row r="267" spans="1:27" ht="12" customHeight="1" x14ac:dyDescent="0.25">
      <c r="A267" s="354" t="s">
        <v>1341</v>
      </c>
      <c r="B267" s="354" t="s">
        <v>652</v>
      </c>
      <c r="C267" s="365">
        <v>0</v>
      </c>
      <c r="D267" s="365">
        <v>0</v>
      </c>
      <c r="E267" s="365">
        <v>0</v>
      </c>
      <c r="F267" s="365">
        <v>0</v>
      </c>
      <c r="G267" s="365">
        <v>0</v>
      </c>
      <c r="H267" s="365">
        <v>0</v>
      </c>
      <c r="I267" s="365">
        <v>0</v>
      </c>
      <c r="J267" s="365">
        <v>0</v>
      </c>
      <c r="K267" s="365">
        <v>0</v>
      </c>
      <c r="L267" s="365">
        <v>0</v>
      </c>
      <c r="M267" s="365">
        <v>0</v>
      </c>
      <c r="N267" s="365">
        <v>0</v>
      </c>
      <c r="O267" s="365">
        <v>0</v>
      </c>
      <c r="P267" s="365">
        <v>0</v>
      </c>
      <c r="Q267" s="365">
        <v>0</v>
      </c>
      <c r="R267" s="365">
        <v>0</v>
      </c>
      <c r="S267" s="365">
        <v>0</v>
      </c>
      <c r="T267" s="365">
        <v>0</v>
      </c>
      <c r="U267" s="366" t="e">
        <v>#DIV/0!</v>
      </c>
      <c r="V267" s="365">
        <v>0</v>
      </c>
      <c r="W267" s="365">
        <v>0</v>
      </c>
      <c r="X267" s="365">
        <v>0</v>
      </c>
      <c r="Y267" s="365">
        <v>0</v>
      </c>
      <c r="Z267" s="365">
        <v>0</v>
      </c>
      <c r="AA267" s="365">
        <v>0</v>
      </c>
    </row>
    <row r="268" spans="1:27" ht="12" customHeight="1" x14ac:dyDescent="0.25">
      <c r="A268" s="354" t="s">
        <v>1342</v>
      </c>
      <c r="B268" s="354" t="s">
        <v>653</v>
      </c>
      <c r="C268" s="365">
        <v>0</v>
      </c>
      <c r="D268" s="365">
        <v>0</v>
      </c>
      <c r="E268" s="365">
        <v>0</v>
      </c>
      <c r="F268" s="365">
        <v>0</v>
      </c>
      <c r="G268" s="365">
        <v>0</v>
      </c>
      <c r="H268" s="365">
        <v>0</v>
      </c>
      <c r="I268" s="365">
        <v>0</v>
      </c>
      <c r="J268" s="365">
        <v>0</v>
      </c>
      <c r="K268" s="365">
        <v>0</v>
      </c>
      <c r="L268" s="365">
        <v>0</v>
      </c>
      <c r="M268" s="365">
        <v>0</v>
      </c>
      <c r="N268" s="365">
        <v>0</v>
      </c>
      <c r="O268" s="365">
        <v>0</v>
      </c>
      <c r="P268" s="365">
        <v>0</v>
      </c>
      <c r="Q268" s="365">
        <v>0</v>
      </c>
      <c r="R268" s="365">
        <v>0</v>
      </c>
      <c r="S268" s="365">
        <v>0</v>
      </c>
      <c r="T268" s="365">
        <v>0</v>
      </c>
      <c r="U268" s="366" t="e">
        <v>#DIV/0!</v>
      </c>
      <c r="V268" s="365">
        <v>0</v>
      </c>
      <c r="W268" s="365">
        <v>0</v>
      </c>
      <c r="X268" s="365">
        <v>0</v>
      </c>
      <c r="Y268" s="365">
        <v>0</v>
      </c>
      <c r="Z268" s="365">
        <v>0</v>
      </c>
      <c r="AA268" s="365">
        <v>0</v>
      </c>
    </row>
    <row r="269" spans="1:27" ht="12" customHeight="1" x14ac:dyDescent="0.25">
      <c r="A269" s="354" t="s">
        <v>1343</v>
      </c>
      <c r="B269" s="354" t="s">
        <v>654</v>
      </c>
      <c r="C269" s="365">
        <v>0</v>
      </c>
      <c r="D269" s="365">
        <v>0</v>
      </c>
      <c r="E269" s="365">
        <v>0</v>
      </c>
      <c r="F269" s="365">
        <v>0</v>
      </c>
      <c r="G269" s="365">
        <v>0</v>
      </c>
      <c r="H269" s="365">
        <v>0</v>
      </c>
      <c r="I269" s="365">
        <v>0</v>
      </c>
      <c r="J269" s="365">
        <v>0</v>
      </c>
      <c r="K269" s="365">
        <v>0</v>
      </c>
      <c r="L269" s="365">
        <v>0</v>
      </c>
      <c r="M269" s="365">
        <v>0</v>
      </c>
      <c r="N269" s="365">
        <v>0</v>
      </c>
      <c r="O269" s="365">
        <v>0</v>
      </c>
      <c r="P269" s="365">
        <v>0</v>
      </c>
      <c r="Q269" s="365">
        <v>0</v>
      </c>
      <c r="R269" s="365">
        <v>0</v>
      </c>
      <c r="S269" s="365">
        <v>0</v>
      </c>
      <c r="T269" s="365">
        <v>0</v>
      </c>
      <c r="U269" s="366" t="e">
        <v>#DIV/0!</v>
      </c>
      <c r="V269" s="365">
        <v>0</v>
      </c>
      <c r="W269" s="365">
        <v>0</v>
      </c>
      <c r="X269" s="365">
        <v>0</v>
      </c>
      <c r="Y269" s="365">
        <v>0</v>
      </c>
      <c r="Z269" s="365">
        <v>0</v>
      </c>
      <c r="AA269" s="365">
        <v>0</v>
      </c>
    </row>
    <row r="270" spans="1:27" ht="12" customHeight="1" x14ac:dyDescent="0.25">
      <c r="A270" s="354" t="s">
        <v>1344</v>
      </c>
      <c r="B270" s="354" t="s">
        <v>655</v>
      </c>
      <c r="C270" s="365">
        <v>0</v>
      </c>
      <c r="D270" s="365">
        <v>0</v>
      </c>
      <c r="E270" s="365">
        <v>0</v>
      </c>
      <c r="F270" s="365">
        <v>0</v>
      </c>
      <c r="G270" s="365">
        <v>0</v>
      </c>
      <c r="H270" s="365">
        <v>0</v>
      </c>
      <c r="I270" s="365">
        <v>0</v>
      </c>
      <c r="J270" s="365">
        <v>0</v>
      </c>
      <c r="K270" s="365">
        <v>0</v>
      </c>
      <c r="L270" s="365">
        <v>0</v>
      </c>
      <c r="M270" s="365">
        <v>0</v>
      </c>
      <c r="N270" s="365">
        <v>0</v>
      </c>
      <c r="O270" s="365">
        <v>0</v>
      </c>
      <c r="P270" s="365">
        <v>0</v>
      </c>
      <c r="Q270" s="365">
        <v>0</v>
      </c>
      <c r="R270" s="365">
        <v>0</v>
      </c>
      <c r="S270" s="365">
        <v>0</v>
      </c>
      <c r="T270" s="365">
        <v>0</v>
      </c>
      <c r="U270" s="366" t="e">
        <v>#DIV/0!</v>
      </c>
      <c r="V270" s="365">
        <v>0</v>
      </c>
      <c r="W270" s="365">
        <v>0</v>
      </c>
      <c r="X270" s="365">
        <v>0</v>
      </c>
      <c r="Y270" s="365">
        <v>0</v>
      </c>
      <c r="Z270" s="365">
        <v>0</v>
      </c>
      <c r="AA270" s="365">
        <v>0</v>
      </c>
    </row>
    <row r="271" spans="1:27" ht="12" customHeight="1" x14ac:dyDescent="0.25">
      <c r="A271" s="354" t="s">
        <v>1345</v>
      </c>
      <c r="B271" s="354" t="s">
        <v>656</v>
      </c>
      <c r="C271" s="365">
        <v>0</v>
      </c>
      <c r="D271" s="365">
        <v>0</v>
      </c>
      <c r="E271" s="365">
        <v>0</v>
      </c>
      <c r="F271" s="365">
        <v>0</v>
      </c>
      <c r="G271" s="365">
        <v>0</v>
      </c>
      <c r="H271" s="365">
        <v>0</v>
      </c>
      <c r="I271" s="365">
        <v>0</v>
      </c>
      <c r="J271" s="365">
        <v>0</v>
      </c>
      <c r="K271" s="365">
        <v>0</v>
      </c>
      <c r="L271" s="365">
        <v>0</v>
      </c>
      <c r="M271" s="365">
        <v>0</v>
      </c>
      <c r="N271" s="365">
        <v>0</v>
      </c>
      <c r="O271" s="365">
        <v>0</v>
      </c>
      <c r="P271" s="365">
        <v>0</v>
      </c>
      <c r="Q271" s="365">
        <v>0</v>
      </c>
      <c r="R271" s="365">
        <v>0</v>
      </c>
      <c r="S271" s="365">
        <v>0</v>
      </c>
      <c r="T271" s="365">
        <v>0</v>
      </c>
      <c r="U271" s="366" t="e">
        <v>#DIV/0!</v>
      </c>
      <c r="V271" s="365">
        <v>0</v>
      </c>
      <c r="W271" s="365">
        <v>0</v>
      </c>
      <c r="X271" s="365">
        <v>0</v>
      </c>
      <c r="Y271" s="365">
        <v>0</v>
      </c>
      <c r="Z271" s="365">
        <v>0</v>
      </c>
      <c r="AA271" s="365">
        <v>0</v>
      </c>
    </row>
    <row r="272" spans="1:27" ht="12" customHeight="1" x14ac:dyDescent="0.25">
      <c r="A272" s="354" t="s">
        <v>1346</v>
      </c>
      <c r="B272" s="354" t="s">
        <v>657</v>
      </c>
      <c r="C272" s="365">
        <v>0</v>
      </c>
      <c r="D272" s="365">
        <v>0</v>
      </c>
      <c r="E272" s="365">
        <v>0</v>
      </c>
      <c r="F272" s="365">
        <v>0</v>
      </c>
      <c r="G272" s="365">
        <v>0</v>
      </c>
      <c r="H272" s="365">
        <v>0</v>
      </c>
      <c r="I272" s="365">
        <v>0</v>
      </c>
      <c r="J272" s="365">
        <v>0</v>
      </c>
      <c r="K272" s="365">
        <v>0</v>
      </c>
      <c r="L272" s="365">
        <v>0</v>
      </c>
      <c r="M272" s="365">
        <v>0</v>
      </c>
      <c r="N272" s="365">
        <v>0</v>
      </c>
      <c r="O272" s="365">
        <v>0</v>
      </c>
      <c r="P272" s="365">
        <v>0</v>
      </c>
      <c r="Q272" s="365">
        <v>0</v>
      </c>
      <c r="R272" s="365">
        <v>0</v>
      </c>
      <c r="S272" s="365">
        <v>0</v>
      </c>
      <c r="T272" s="365">
        <v>0</v>
      </c>
      <c r="U272" s="366" t="e">
        <v>#DIV/0!</v>
      </c>
      <c r="V272" s="365">
        <v>0</v>
      </c>
      <c r="W272" s="365">
        <v>0</v>
      </c>
      <c r="X272" s="365">
        <v>0</v>
      </c>
      <c r="Y272" s="365">
        <v>0</v>
      </c>
      <c r="Z272" s="365">
        <v>0</v>
      </c>
      <c r="AA272" s="365">
        <v>0</v>
      </c>
    </row>
    <row r="273" spans="1:27" ht="12" customHeight="1" x14ac:dyDescent="0.25">
      <c r="A273" s="354" t="s">
        <v>1347</v>
      </c>
      <c r="B273" s="354" t="s">
        <v>658</v>
      </c>
      <c r="C273" s="365">
        <v>0</v>
      </c>
      <c r="D273" s="365">
        <v>0</v>
      </c>
      <c r="E273" s="365">
        <v>0</v>
      </c>
      <c r="F273" s="365">
        <v>0</v>
      </c>
      <c r="G273" s="365">
        <v>0</v>
      </c>
      <c r="H273" s="365">
        <v>0</v>
      </c>
      <c r="I273" s="365">
        <v>0</v>
      </c>
      <c r="J273" s="365">
        <v>0</v>
      </c>
      <c r="K273" s="365">
        <v>0</v>
      </c>
      <c r="L273" s="365">
        <v>0</v>
      </c>
      <c r="M273" s="365">
        <v>0</v>
      </c>
      <c r="N273" s="365">
        <v>0</v>
      </c>
      <c r="O273" s="365">
        <v>0</v>
      </c>
      <c r="P273" s="365">
        <v>0</v>
      </c>
      <c r="Q273" s="365">
        <v>0</v>
      </c>
      <c r="R273" s="365">
        <v>0</v>
      </c>
      <c r="S273" s="365">
        <v>0</v>
      </c>
      <c r="T273" s="365">
        <v>0</v>
      </c>
      <c r="U273" s="366" t="e">
        <v>#DIV/0!</v>
      </c>
      <c r="V273" s="365">
        <v>0</v>
      </c>
      <c r="W273" s="365">
        <v>0</v>
      </c>
      <c r="X273" s="365">
        <v>0</v>
      </c>
      <c r="Y273" s="365">
        <v>0</v>
      </c>
      <c r="Z273" s="365">
        <v>0</v>
      </c>
      <c r="AA273" s="365">
        <v>0</v>
      </c>
    </row>
    <row r="274" spans="1:27" ht="12" customHeight="1" x14ac:dyDescent="0.25">
      <c r="A274" s="354" t="s">
        <v>1348</v>
      </c>
      <c r="B274" s="354" t="s">
        <v>659</v>
      </c>
      <c r="C274" s="365">
        <v>0</v>
      </c>
      <c r="D274" s="365">
        <v>0</v>
      </c>
      <c r="E274" s="365">
        <v>0</v>
      </c>
      <c r="F274" s="365">
        <v>0</v>
      </c>
      <c r="G274" s="365">
        <v>0</v>
      </c>
      <c r="H274" s="365">
        <v>0</v>
      </c>
      <c r="I274" s="365">
        <v>0</v>
      </c>
      <c r="J274" s="365">
        <v>0</v>
      </c>
      <c r="K274" s="365">
        <v>0</v>
      </c>
      <c r="L274" s="365">
        <v>0</v>
      </c>
      <c r="M274" s="365">
        <v>0</v>
      </c>
      <c r="N274" s="365">
        <v>0</v>
      </c>
      <c r="O274" s="365">
        <v>0</v>
      </c>
      <c r="P274" s="365">
        <v>0</v>
      </c>
      <c r="Q274" s="365">
        <v>0</v>
      </c>
      <c r="R274" s="365">
        <v>0</v>
      </c>
      <c r="S274" s="365">
        <v>0</v>
      </c>
      <c r="T274" s="365">
        <v>0</v>
      </c>
      <c r="U274" s="366" t="e">
        <v>#DIV/0!</v>
      </c>
      <c r="V274" s="365">
        <v>0</v>
      </c>
      <c r="W274" s="365">
        <v>0</v>
      </c>
      <c r="X274" s="365">
        <v>0</v>
      </c>
      <c r="Y274" s="365">
        <v>0</v>
      </c>
      <c r="Z274" s="365">
        <v>0</v>
      </c>
      <c r="AA274" s="365">
        <v>0</v>
      </c>
    </row>
    <row r="275" spans="1:27" ht="12" customHeight="1" x14ac:dyDescent="0.25">
      <c r="A275" s="354" t="s">
        <v>1349</v>
      </c>
      <c r="B275" s="354" t="s">
        <v>660</v>
      </c>
      <c r="C275" s="365">
        <v>0</v>
      </c>
      <c r="D275" s="365">
        <v>0</v>
      </c>
      <c r="E275" s="365">
        <v>0</v>
      </c>
      <c r="F275" s="365">
        <v>0</v>
      </c>
      <c r="G275" s="365">
        <v>0</v>
      </c>
      <c r="H275" s="365">
        <v>0</v>
      </c>
      <c r="I275" s="365">
        <v>0</v>
      </c>
      <c r="J275" s="365">
        <v>0</v>
      </c>
      <c r="K275" s="365">
        <v>0</v>
      </c>
      <c r="L275" s="365">
        <v>0</v>
      </c>
      <c r="M275" s="365">
        <v>0</v>
      </c>
      <c r="N275" s="365">
        <v>0</v>
      </c>
      <c r="O275" s="365">
        <v>0</v>
      </c>
      <c r="P275" s="365">
        <v>0</v>
      </c>
      <c r="Q275" s="365">
        <v>0</v>
      </c>
      <c r="R275" s="365">
        <v>0</v>
      </c>
      <c r="S275" s="365">
        <v>0</v>
      </c>
      <c r="T275" s="365">
        <v>0</v>
      </c>
      <c r="U275" s="366" t="e">
        <v>#DIV/0!</v>
      </c>
      <c r="V275" s="365">
        <v>0</v>
      </c>
      <c r="W275" s="365">
        <v>0</v>
      </c>
      <c r="X275" s="365">
        <v>0</v>
      </c>
      <c r="Y275" s="365">
        <v>0</v>
      </c>
      <c r="Z275" s="365">
        <v>0</v>
      </c>
      <c r="AA275" s="365">
        <v>0</v>
      </c>
    </row>
    <row r="276" spans="1:27" ht="12" customHeight="1" x14ac:dyDescent="0.25">
      <c r="A276" s="354" t="s">
        <v>1350</v>
      </c>
      <c r="B276" s="354" t="s">
        <v>661</v>
      </c>
      <c r="C276" s="365">
        <v>0</v>
      </c>
      <c r="D276" s="365">
        <v>0</v>
      </c>
      <c r="E276" s="365">
        <v>0</v>
      </c>
      <c r="F276" s="365">
        <v>0</v>
      </c>
      <c r="G276" s="365">
        <v>0</v>
      </c>
      <c r="H276" s="365">
        <v>0</v>
      </c>
      <c r="I276" s="365">
        <v>0</v>
      </c>
      <c r="J276" s="365">
        <v>0</v>
      </c>
      <c r="K276" s="365">
        <v>0</v>
      </c>
      <c r="L276" s="365">
        <v>0</v>
      </c>
      <c r="M276" s="365">
        <v>0</v>
      </c>
      <c r="N276" s="365">
        <v>0</v>
      </c>
      <c r="O276" s="365">
        <v>0</v>
      </c>
      <c r="P276" s="365">
        <v>0</v>
      </c>
      <c r="Q276" s="365">
        <v>0</v>
      </c>
      <c r="R276" s="365">
        <v>0</v>
      </c>
      <c r="S276" s="365">
        <v>0</v>
      </c>
      <c r="T276" s="365">
        <v>0</v>
      </c>
      <c r="U276" s="366" t="e">
        <v>#DIV/0!</v>
      </c>
      <c r="V276" s="365">
        <v>0</v>
      </c>
      <c r="W276" s="365">
        <v>0</v>
      </c>
      <c r="X276" s="365">
        <v>0</v>
      </c>
      <c r="Y276" s="365">
        <v>0</v>
      </c>
      <c r="Z276" s="365">
        <v>0</v>
      </c>
      <c r="AA276" s="365">
        <v>0</v>
      </c>
    </row>
    <row r="277" spans="1:27" ht="12" customHeight="1" x14ac:dyDescent="0.25">
      <c r="A277" s="354" t="s">
        <v>1351</v>
      </c>
      <c r="B277" s="354" t="s">
        <v>662</v>
      </c>
      <c r="C277" s="365">
        <v>0</v>
      </c>
      <c r="D277" s="365">
        <v>0</v>
      </c>
      <c r="E277" s="365">
        <v>0</v>
      </c>
      <c r="F277" s="365">
        <v>0</v>
      </c>
      <c r="G277" s="365">
        <v>0</v>
      </c>
      <c r="H277" s="365">
        <v>0</v>
      </c>
      <c r="I277" s="365">
        <v>0</v>
      </c>
      <c r="J277" s="365">
        <v>0</v>
      </c>
      <c r="K277" s="365">
        <v>0</v>
      </c>
      <c r="L277" s="365">
        <v>0</v>
      </c>
      <c r="M277" s="365">
        <v>0</v>
      </c>
      <c r="N277" s="365">
        <v>0</v>
      </c>
      <c r="O277" s="365">
        <v>0</v>
      </c>
      <c r="P277" s="365">
        <v>0</v>
      </c>
      <c r="Q277" s="365">
        <v>0</v>
      </c>
      <c r="R277" s="365">
        <v>0</v>
      </c>
      <c r="S277" s="365">
        <v>0</v>
      </c>
      <c r="T277" s="365">
        <v>0</v>
      </c>
      <c r="U277" s="366" t="e">
        <v>#DIV/0!</v>
      </c>
      <c r="V277" s="365">
        <v>0</v>
      </c>
      <c r="W277" s="365">
        <v>0</v>
      </c>
      <c r="X277" s="365">
        <v>0</v>
      </c>
      <c r="Y277" s="365">
        <v>0</v>
      </c>
      <c r="Z277" s="365">
        <v>0</v>
      </c>
      <c r="AA277" s="365">
        <v>0</v>
      </c>
    </row>
    <row r="278" spans="1:27" ht="12" customHeight="1" x14ac:dyDescent="0.25">
      <c r="A278" s="354" t="s">
        <v>1352</v>
      </c>
      <c r="B278" s="360" t="s">
        <v>663</v>
      </c>
      <c r="C278" s="362">
        <v>0</v>
      </c>
      <c r="D278" s="362">
        <v>0</v>
      </c>
      <c r="E278" s="362">
        <v>0</v>
      </c>
      <c r="F278" s="362">
        <v>0</v>
      </c>
      <c r="G278" s="362">
        <v>0</v>
      </c>
      <c r="H278" s="362">
        <v>0</v>
      </c>
      <c r="I278" s="362">
        <v>0</v>
      </c>
      <c r="J278" s="362">
        <v>0</v>
      </c>
      <c r="K278" s="362">
        <v>0</v>
      </c>
      <c r="L278" s="362">
        <v>0</v>
      </c>
      <c r="M278" s="362">
        <v>0</v>
      </c>
      <c r="N278" s="362">
        <v>0</v>
      </c>
      <c r="O278" s="362">
        <v>0</v>
      </c>
      <c r="P278" s="362">
        <v>0</v>
      </c>
      <c r="Q278" s="362">
        <v>0</v>
      </c>
      <c r="R278" s="362">
        <v>0</v>
      </c>
      <c r="S278" s="362">
        <v>0</v>
      </c>
      <c r="T278" s="362">
        <v>0</v>
      </c>
      <c r="U278" s="363" t="e">
        <v>#DIV/0!</v>
      </c>
      <c r="V278" s="362">
        <v>0</v>
      </c>
      <c r="W278" s="362">
        <v>0</v>
      </c>
      <c r="X278" s="362">
        <v>0</v>
      </c>
      <c r="Y278" s="362">
        <v>0</v>
      </c>
      <c r="Z278" s="362">
        <v>0</v>
      </c>
      <c r="AA278" s="362">
        <v>0</v>
      </c>
    </row>
    <row r="279" spans="1:27" ht="12" customHeight="1" x14ac:dyDescent="0.25">
      <c r="A279" s="354"/>
      <c r="B279" s="355" t="s">
        <v>664</v>
      </c>
      <c r="C279" s="356">
        <v>0</v>
      </c>
      <c r="D279" s="356">
        <v>0</v>
      </c>
      <c r="E279" s="356">
        <v>0</v>
      </c>
      <c r="F279" s="356">
        <v>0</v>
      </c>
      <c r="G279" s="356">
        <v>0</v>
      </c>
      <c r="H279" s="356">
        <v>0</v>
      </c>
      <c r="I279" s="356">
        <v>0</v>
      </c>
      <c r="J279" s="356">
        <v>0</v>
      </c>
      <c r="K279" s="356">
        <v>0</v>
      </c>
      <c r="L279" s="356">
        <v>0</v>
      </c>
      <c r="M279" s="356">
        <v>0</v>
      </c>
      <c r="N279" s="356">
        <v>0</v>
      </c>
      <c r="O279" s="356">
        <v>0</v>
      </c>
      <c r="P279" s="356">
        <v>0</v>
      </c>
      <c r="Q279" s="356">
        <v>0</v>
      </c>
      <c r="R279" s="356">
        <v>0</v>
      </c>
      <c r="S279" s="356">
        <v>0</v>
      </c>
      <c r="T279" s="357">
        <v>0</v>
      </c>
      <c r="U279" s="358" t="e">
        <v>#DIV/0!</v>
      </c>
      <c r="V279" s="357">
        <v>0</v>
      </c>
      <c r="W279" s="357">
        <v>0</v>
      </c>
      <c r="X279" s="357">
        <v>0</v>
      </c>
      <c r="Y279" s="357">
        <v>0</v>
      </c>
      <c r="Z279" s="357">
        <v>0</v>
      </c>
      <c r="AA279" s="357">
        <v>0</v>
      </c>
    </row>
    <row r="280" spans="1:27" ht="12" customHeight="1" x14ac:dyDescent="0.25">
      <c r="A280" s="354"/>
      <c r="B280" s="360" t="s">
        <v>665</v>
      </c>
      <c r="C280" s="361">
        <v>0</v>
      </c>
      <c r="D280" s="361">
        <v>0</v>
      </c>
      <c r="E280" s="361">
        <v>0</v>
      </c>
      <c r="F280" s="361">
        <v>0</v>
      </c>
      <c r="G280" s="361">
        <v>0</v>
      </c>
      <c r="H280" s="361">
        <v>0</v>
      </c>
      <c r="I280" s="361">
        <v>0</v>
      </c>
      <c r="J280" s="361">
        <v>0</v>
      </c>
      <c r="K280" s="361">
        <v>0</v>
      </c>
      <c r="L280" s="361">
        <v>0</v>
      </c>
      <c r="M280" s="361">
        <v>0</v>
      </c>
      <c r="N280" s="361">
        <v>0</v>
      </c>
      <c r="O280" s="361">
        <v>0</v>
      </c>
      <c r="P280" s="361">
        <v>0</v>
      </c>
      <c r="Q280" s="361">
        <v>0</v>
      </c>
      <c r="R280" s="361">
        <v>0</v>
      </c>
      <c r="S280" s="361">
        <v>0</v>
      </c>
      <c r="T280" s="362">
        <v>0</v>
      </c>
      <c r="U280" s="363" t="e">
        <v>#DIV/0!</v>
      </c>
      <c r="V280" s="362">
        <v>0</v>
      </c>
      <c r="W280" s="362">
        <v>0</v>
      </c>
      <c r="X280" s="362">
        <v>0</v>
      </c>
      <c r="Y280" s="362">
        <v>0</v>
      </c>
      <c r="Z280" s="362">
        <v>0</v>
      </c>
      <c r="AA280" s="362">
        <v>0</v>
      </c>
    </row>
    <row r="281" spans="1:27" ht="12" customHeight="1" x14ac:dyDescent="0.25">
      <c r="A281" s="354" t="s">
        <v>1353</v>
      </c>
      <c r="B281" s="354" t="s">
        <v>666</v>
      </c>
      <c r="C281" s="365">
        <v>0</v>
      </c>
      <c r="D281" s="365">
        <v>0</v>
      </c>
      <c r="E281" s="365">
        <v>0</v>
      </c>
      <c r="F281" s="365">
        <v>0</v>
      </c>
      <c r="G281" s="365">
        <v>0</v>
      </c>
      <c r="H281" s="365">
        <v>0</v>
      </c>
      <c r="I281" s="365">
        <v>0</v>
      </c>
      <c r="J281" s="365">
        <v>0</v>
      </c>
      <c r="K281" s="365">
        <v>0</v>
      </c>
      <c r="L281" s="365">
        <v>0</v>
      </c>
      <c r="M281" s="365">
        <v>0</v>
      </c>
      <c r="N281" s="365">
        <v>0</v>
      </c>
      <c r="O281" s="365">
        <v>0</v>
      </c>
      <c r="P281" s="365">
        <v>0</v>
      </c>
      <c r="Q281" s="365">
        <v>0</v>
      </c>
      <c r="R281" s="365">
        <v>0</v>
      </c>
      <c r="S281" s="365">
        <v>0</v>
      </c>
      <c r="T281" s="365">
        <v>0</v>
      </c>
      <c r="U281" s="366" t="e">
        <v>#DIV/0!</v>
      </c>
      <c r="V281" s="365">
        <v>0</v>
      </c>
      <c r="W281" s="365">
        <v>0</v>
      </c>
      <c r="X281" s="365">
        <v>0</v>
      </c>
      <c r="Y281" s="365">
        <v>0</v>
      </c>
      <c r="Z281" s="365">
        <v>0</v>
      </c>
      <c r="AA281" s="365">
        <v>0</v>
      </c>
    </row>
    <row r="282" spans="1:27" ht="12" customHeight="1" x14ac:dyDescent="0.25">
      <c r="A282" s="354" t="s">
        <v>1354</v>
      </c>
      <c r="B282" s="354" t="s">
        <v>667</v>
      </c>
      <c r="C282" s="365">
        <v>0</v>
      </c>
      <c r="D282" s="365">
        <v>0</v>
      </c>
      <c r="E282" s="365">
        <v>0</v>
      </c>
      <c r="F282" s="365">
        <v>0</v>
      </c>
      <c r="G282" s="365">
        <v>0</v>
      </c>
      <c r="H282" s="365">
        <v>0</v>
      </c>
      <c r="I282" s="365">
        <v>0</v>
      </c>
      <c r="J282" s="365">
        <v>0</v>
      </c>
      <c r="K282" s="365">
        <v>0</v>
      </c>
      <c r="L282" s="365">
        <v>0</v>
      </c>
      <c r="M282" s="365">
        <v>0</v>
      </c>
      <c r="N282" s="365">
        <v>0</v>
      </c>
      <c r="O282" s="365">
        <v>0</v>
      </c>
      <c r="P282" s="365">
        <v>0</v>
      </c>
      <c r="Q282" s="365">
        <v>0</v>
      </c>
      <c r="R282" s="365">
        <v>0</v>
      </c>
      <c r="S282" s="365">
        <v>0</v>
      </c>
      <c r="T282" s="365">
        <v>0</v>
      </c>
      <c r="U282" s="366" t="e">
        <v>#DIV/0!</v>
      </c>
      <c r="V282" s="365">
        <v>0</v>
      </c>
      <c r="W282" s="365">
        <v>0</v>
      </c>
      <c r="X282" s="365">
        <v>0</v>
      </c>
      <c r="Y282" s="365">
        <v>0</v>
      </c>
      <c r="Z282" s="365">
        <v>0</v>
      </c>
      <c r="AA282" s="365">
        <v>0</v>
      </c>
    </row>
    <row r="283" spans="1:27" ht="12" customHeight="1" x14ac:dyDescent="0.25">
      <c r="A283" s="354" t="s">
        <v>1355</v>
      </c>
      <c r="B283" s="354" t="s">
        <v>668</v>
      </c>
      <c r="C283" s="365">
        <v>0</v>
      </c>
      <c r="D283" s="365">
        <v>0</v>
      </c>
      <c r="E283" s="365">
        <v>0</v>
      </c>
      <c r="F283" s="365">
        <v>0</v>
      </c>
      <c r="G283" s="365">
        <v>0</v>
      </c>
      <c r="H283" s="365">
        <v>0</v>
      </c>
      <c r="I283" s="365">
        <v>0</v>
      </c>
      <c r="J283" s="365">
        <v>0</v>
      </c>
      <c r="K283" s="365">
        <v>0</v>
      </c>
      <c r="L283" s="365">
        <v>0</v>
      </c>
      <c r="M283" s="365">
        <v>0</v>
      </c>
      <c r="N283" s="365">
        <v>0</v>
      </c>
      <c r="O283" s="365">
        <v>0</v>
      </c>
      <c r="P283" s="365">
        <v>0</v>
      </c>
      <c r="Q283" s="365">
        <v>0</v>
      </c>
      <c r="R283" s="365">
        <v>0</v>
      </c>
      <c r="S283" s="365">
        <v>0</v>
      </c>
      <c r="T283" s="365">
        <v>0</v>
      </c>
      <c r="U283" s="366" t="e">
        <v>#DIV/0!</v>
      </c>
      <c r="V283" s="365">
        <v>0</v>
      </c>
      <c r="W283" s="365">
        <v>0</v>
      </c>
      <c r="X283" s="365">
        <v>0</v>
      </c>
      <c r="Y283" s="365">
        <v>0</v>
      </c>
      <c r="Z283" s="365">
        <v>0</v>
      </c>
      <c r="AA283" s="365">
        <v>0</v>
      </c>
    </row>
    <row r="284" spans="1:27" ht="12" customHeight="1" x14ac:dyDescent="0.25">
      <c r="A284" s="354" t="s">
        <v>1356</v>
      </c>
      <c r="B284" s="354" t="s">
        <v>669</v>
      </c>
      <c r="C284" s="365">
        <v>0</v>
      </c>
      <c r="D284" s="365">
        <v>0</v>
      </c>
      <c r="E284" s="365">
        <v>0</v>
      </c>
      <c r="F284" s="365">
        <v>0</v>
      </c>
      <c r="G284" s="365">
        <v>0</v>
      </c>
      <c r="H284" s="365">
        <v>0</v>
      </c>
      <c r="I284" s="365">
        <v>0</v>
      </c>
      <c r="J284" s="365">
        <v>0</v>
      </c>
      <c r="K284" s="365">
        <v>0</v>
      </c>
      <c r="L284" s="365">
        <v>0</v>
      </c>
      <c r="M284" s="365">
        <v>0</v>
      </c>
      <c r="N284" s="365">
        <v>0</v>
      </c>
      <c r="O284" s="365">
        <v>0</v>
      </c>
      <c r="P284" s="365">
        <v>0</v>
      </c>
      <c r="Q284" s="365">
        <v>0</v>
      </c>
      <c r="R284" s="365">
        <v>0</v>
      </c>
      <c r="S284" s="365">
        <v>0</v>
      </c>
      <c r="T284" s="365">
        <v>0</v>
      </c>
      <c r="U284" s="366" t="e">
        <v>#DIV/0!</v>
      </c>
      <c r="V284" s="365">
        <v>0</v>
      </c>
      <c r="W284" s="365">
        <v>0</v>
      </c>
      <c r="X284" s="365">
        <v>0</v>
      </c>
      <c r="Y284" s="365">
        <v>0</v>
      </c>
      <c r="Z284" s="365">
        <v>0</v>
      </c>
      <c r="AA284" s="365">
        <v>0</v>
      </c>
    </row>
    <row r="285" spans="1:27" ht="12" customHeight="1" x14ac:dyDescent="0.25">
      <c r="A285" s="354" t="s">
        <v>1357</v>
      </c>
      <c r="B285" s="354" t="s">
        <v>670</v>
      </c>
      <c r="C285" s="365">
        <v>0</v>
      </c>
      <c r="D285" s="365">
        <v>0</v>
      </c>
      <c r="E285" s="365">
        <v>0</v>
      </c>
      <c r="F285" s="365">
        <v>0</v>
      </c>
      <c r="G285" s="365">
        <v>0</v>
      </c>
      <c r="H285" s="365">
        <v>0</v>
      </c>
      <c r="I285" s="365">
        <v>0</v>
      </c>
      <c r="J285" s="365">
        <v>0</v>
      </c>
      <c r="K285" s="365">
        <v>0</v>
      </c>
      <c r="L285" s="365">
        <v>0</v>
      </c>
      <c r="M285" s="365">
        <v>0</v>
      </c>
      <c r="N285" s="365">
        <v>0</v>
      </c>
      <c r="O285" s="365">
        <v>0</v>
      </c>
      <c r="P285" s="365">
        <v>0</v>
      </c>
      <c r="Q285" s="365">
        <v>0</v>
      </c>
      <c r="R285" s="365">
        <v>0</v>
      </c>
      <c r="S285" s="365">
        <v>0</v>
      </c>
      <c r="T285" s="365">
        <v>0</v>
      </c>
      <c r="U285" s="366" t="e">
        <v>#DIV/0!</v>
      </c>
      <c r="V285" s="365">
        <v>0</v>
      </c>
      <c r="W285" s="365">
        <v>0</v>
      </c>
      <c r="X285" s="365">
        <v>0</v>
      </c>
      <c r="Y285" s="365">
        <v>0</v>
      </c>
      <c r="Z285" s="365">
        <v>0</v>
      </c>
      <c r="AA285" s="365">
        <v>0</v>
      </c>
    </row>
    <row r="286" spans="1:27" ht="12" customHeight="1" x14ac:dyDescent="0.25">
      <c r="A286" s="354" t="s">
        <v>1358</v>
      </c>
      <c r="B286" s="354" t="s">
        <v>671</v>
      </c>
      <c r="C286" s="365">
        <v>0</v>
      </c>
      <c r="D286" s="365">
        <v>0</v>
      </c>
      <c r="E286" s="365">
        <v>0</v>
      </c>
      <c r="F286" s="365">
        <v>0</v>
      </c>
      <c r="G286" s="365">
        <v>0</v>
      </c>
      <c r="H286" s="365">
        <v>0</v>
      </c>
      <c r="I286" s="365">
        <v>0</v>
      </c>
      <c r="J286" s="365">
        <v>0</v>
      </c>
      <c r="K286" s="365">
        <v>0</v>
      </c>
      <c r="L286" s="365">
        <v>0</v>
      </c>
      <c r="M286" s="365">
        <v>0</v>
      </c>
      <c r="N286" s="365">
        <v>0</v>
      </c>
      <c r="O286" s="365">
        <v>0</v>
      </c>
      <c r="P286" s="365">
        <v>0</v>
      </c>
      <c r="Q286" s="365">
        <v>0</v>
      </c>
      <c r="R286" s="365">
        <v>0</v>
      </c>
      <c r="S286" s="365">
        <v>0</v>
      </c>
      <c r="T286" s="365">
        <v>0</v>
      </c>
      <c r="U286" s="366" t="e">
        <v>#DIV/0!</v>
      </c>
      <c r="V286" s="365">
        <v>0</v>
      </c>
      <c r="W286" s="365">
        <v>0</v>
      </c>
      <c r="X286" s="365">
        <v>0</v>
      </c>
      <c r="Y286" s="365">
        <v>0</v>
      </c>
      <c r="Z286" s="365">
        <v>0</v>
      </c>
      <c r="AA286" s="365">
        <v>0</v>
      </c>
    </row>
    <row r="287" spans="1:27" ht="12" customHeight="1" x14ac:dyDescent="0.25">
      <c r="A287" s="354" t="s">
        <v>1359</v>
      </c>
      <c r="B287" s="354" t="s">
        <v>672</v>
      </c>
      <c r="C287" s="365">
        <v>0</v>
      </c>
      <c r="D287" s="365">
        <v>0</v>
      </c>
      <c r="E287" s="365">
        <v>0</v>
      </c>
      <c r="F287" s="365">
        <v>0</v>
      </c>
      <c r="G287" s="365">
        <v>0</v>
      </c>
      <c r="H287" s="365">
        <v>0</v>
      </c>
      <c r="I287" s="365">
        <v>0</v>
      </c>
      <c r="J287" s="365">
        <v>0</v>
      </c>
      <c r="K287" s="365">
        <v>0</v>
      </c>
      <c r="L287" s="365">
        <v>0</v>
      </c>
      <c r="M287" s="365">
        <v>0</v>
      </c>
      <c r="N287" s="365">
        <v>0</v>
      </c>
      <c r="O287" s="365">
        <v>0</v>
      </c>
      <c r="P287" s="365">
        <v>0</v>
      </c>
      <c r="Q287" s="365">
        <v>0</v>
      </c>
      <c r="R287" s="365">
        <v>0</v>
      </c>
      <c r="S287" s="365">
        <v>0</v>
      </c>
      <c r="T287" s="365">
        <v>0</v>
      </c>
      <c r="U287" s="366" t="e">
        <v>#DIV/0!</v>
      </c>
      <c r="V287" s="365">
        <v>0</v>
      </c>
      <c r="W287" s="365">
        <v>0</v>
      </c>
      <c r="X287" s="365">
        <v>0</v>
      </c>
      <c r="Y287" s="365">
        <v>0</v>
      </c>
      <c r="Z287" s="365">
        <v>0</v>
      </c>
      <c r="AA287" s="365">
        <v>0</v>
      </c>
    </row>
    <row r="288" spans="1:27" ht="12" customHeight="1" x14ac:dyDescent="0.25">
      <c r="A288" s="354" t="s">
        <v>1360</v>
      </c>
      <c r="B288" s="354" t="s">
        <v>673</v>
      </c>
      <c r="C288" s="365">
        <v>0</v>
      </c>
      <c r="D288" s="365">
        <v>0</v>
      </c>
      <c r="E288" s="365">
        <v>0</v>
      </c>
      <c r="F288" s="365">
        <v>0</v>
      </c>
      <c r="G288" s="365">
        <v>0</v>
      </c>
      <c r="H288" s="365">
        <v>0</v>
      </c>
      <c r="I288" s="365">
        <v>0</v>
      </c>
      <c r="J288" s="365">
        <v>0</v>
      </c>
      <c r="K288" s="365">
        <v>0</v>
      </c>
      <c r="L288" s="365">
        <v>0</v>
      </c>
      <c r="M288" s="365">
        <v>0</v>
      </c>
      <c r="N288" s="365">
        <v>0</v>
      </c>
      <c r="O288" s="365">
        <v>0</v>
      </c>
      <c r="P288" s="365">
        <v>0</v>
      </c>
      <c r="Q288" s="365">
        <v>0</v>
      </c>
      <c r="R288" s="365">
        <v>0</v>
      </c>
      <c r="S288" s="365">
        <v>0</v>
      </c>
      <c r="T288" s="365">
        <v>0</v>
      </c>
      <c r="U288" s="366" t="e">
        <v>#DIV/0!</v>
      </c>
      <c r="V288" s="365">
        <v>0</v>
      </c>
      <c r="W288" s="365">
        <v>0</v>
      </c>
      <c r="X288" s="365">
        <v>0</v>
      </c>
      <c r="Y288" s="365">
        <v>0</v>
      </c>
      <c r="Z288" s="365">
        <v>0</v>
      </c>
      <c r="AA288" s="365">
        <v>0</v>
      </c>
    </row>
    <row r="289" spans="1:27" ht="12" customHeight="1" x14ac:dyDescent="0.25">
      <c r="A289" s="354" t="s">
        <v>1361</v>
      </c>
      <c r="B289" s="354" t="s">
        <v>674</v>
      </c>
      <c r="C289" s="365">
        <v>0</v>
      </c>
      <c r="D289" s="365">
        <v>0</v>
      </c>
      <c r="E289" s="365">
        <v>0</v>
      </c>
      <c r="F289" s="365">
        <v>0</v>
      </c>
      <c r="G289" s="365">
        <v>0</v>
      </c>
      <c r="H289" s="365">
        <v>0</v>
      </c>
      <c r="I289" s="365">
        <v>0</v>
      </c>
      <c r="J289" s="365">
        <v>0</v>
      </c>
      <c r="K289" s="365">
        <v>0</v>
      </c>
      <c r="L289" s="365">
        <v>0</v>
      </c>
      <c r="M289" s="365">
        <v>0</v>
      </c>
      <c r="N289" s="365">
        <v>0</v>
      </c>
      <c r="O289" s="365">
        <v>0</v>
      </c>
      <c r="P289" s="365">
        <v>0</v>
      </c>
      <c r="Q289" s="365">
        <v>0</v>
      </c>
      <c r="R289" s="365">
        <v>0</v>
      </c>
      <c r="S289" s="365">
        <v>0</v>
      </c>
      <c r="T289" s="365">
        <v>0</v>
      </c>
      <c r="U289" s="366" t="e">
        <v>#DIV/0!</v>
      </c>
      <c r="V289" s="365">
        <v>0</v>
      </c>
      <c r="W289" s="365">
        <v>0</v>
      </c>
      <c r="X289" s="365">
        <v>0</v>
      </c>
      <c r="Y289" s="365">
        <v>0</v>
      </c>
      <c r="Z289" s="365">
        <v>0</v>
      </c>
      <c r="AA289" s="365">
        <v>0</v>
      </c>
    </row>
    <row r="290" spans="1:27" ht="12" customHeight="1" x14ac:dyDescent="0.25">
      <c r="A290" s="354" t="s">
        <v>1362</v>
      </c>
      <c r="B290" s="354" t="s">
        <v>675</v>
      </c>
      <c r="C290" s="365">
        <v>0</v>
      </c>
      <c r="D290" s="365">
        <v>0</v>
      </c>
      <c r="E290" s="365">
        <v>0</v>
      </c>
      <c r="F290" s="365">
        <v>0</v>
      </c>
      <c r="G290" s="365">
        <v>0</v>
      </c>
      <c r="H290" s="365">
        <v>0</v>
      </c>
      <c r="I290" s="365">
        <v>0</v>
      </c>
      <c r="J290" s="365">
        <v>0</v>
      </c>
      <c r="K290" s="365">
        <v>0</v>
      </c>
      <c r="L290" s="365">
        <v>0</v>
      </c>
      <c r="M290" s="365">
        <v>0</v>
      </c>
      <c r="N290" s="365">
        <v>0</v>
      </c>
      <c r="O290" s="365">
        <v>0</v>
      </c>
      <c r="P290" s="365">
        <v>0</v>
      </c>
      <c r="Q290" s="365">
        <v>0</v>
      </c>
      <c r="R290" s="365">
        <v>0</v>
      </c>
      <c r="S290" s="365">
        <v>0</v>
      </c>
      <c r="T290" s="365">
        <v>0</v>
      </c>
      <c r="U290" s="366" t="e">
        <v>#DIV/0!</v>
      </c>
      <c r="V290" s="365">
        <v>0</v>
      </c>
      <c r="W290" s="365">
        <v>0</v>
      </c>
      <c r="X290" s="365">
        <v>0</v>
      </c>
      <c r="Y290" s="365">
        <v>0</v>
      </c>
      <c r="Z290" s="365">
        <v>0</v>
      </c>
      <c r="AA290" s="365">
        <v>0</v>
      </c>
    </row>
    <row r="291" spans="1:27" ht="12" customHeight="1" x14ac:dyDescent="0.25">
      <c r="A291" s="354" t="s">
        <v>1363</v>
      </c>
      <c r="B291" s="354" t="s">
        <v>676</v>
      </c>
      <c r="C291" s="365">
        <v>0</v>
      </c>
      <c r="D291" s="365">
        <v>0</v>
      </c>
      <c r="E291" s="365">
        <v>0</v>
      </c>
      <c r="F291" s="365">
        <v>0</v>
      </c>
      <c r="G291" s="365">
        <v>0</v>
      </c>
      <c r="H291" s="365">
        <v>0</v>
      </c>
      <c r="I291" s="365">
        <v>0</v>
      </c>
      <c r="J291" s="365">
        <v>0</v>
      </c>
      <c r="K291" s="365">
        <v>0</v>
      </c>
      <c r="L291" s="365">
        <v>0</v>
      </c>
      <c r="M291" s="365">
        <v>0</v>
      </c>
      <c r="N291" s="365">
        <v>0</v>
      </c>
      <c r="O291" s="365">
        <v>0</v>
      </c>
      <c r="P291" s="365">
        <v>0</v>
      </c>
      <c r="Q291" s="365">
        <v>0</v>
      </c>
      <c r="R291" s="365">
        <v>0</v>
      </c>
      <c r="S291" s="365">
        <v>0</v>
      </c>
      <c r="T291" s="365">
        <v>0</v>
      </c>
      <c r="U291" s="366" t="e">
        <v>#DIV/0!</v>
      </c>
      <c r="V291" s="365">
        <v>0</v>
      </c>
      <c r="W291" s="365">
        <v>0</v>
      </c>
      <c r="X291" s="365">
        <v>0</v>
      </c>
      <c r="Y291" s="365">
        <v>0</v>
      </c>
      <c r="Z291" s="365">
        <v>0</v>
      </c>
      <c r="AA291" s="365">
        <v>0</v>
      </c>
    </row>
    <row r="292" spans="1:27" ht="12" customHeight="1" x14ac:dyDescent="0.25">
      <c r="A292" s="354" t="s">
        <v>1364</v>
      </c>
      <c r="B292" s="354" t="s">
        <v>677</v>
      </c>
      <c r="C292" s="365">
        <v>0</v>
      </c>
      <c r="D292" s="365">
        <v>0</v>
      </c>
      <c r="E292" s="365">
        <v>0</v>
      </c>
      <c r="F292" s="365">
        <v>0</v>
      </c>
      <c r="G292" s="365">
        <v>0</v>
      </c>
      <c r="H292" s="365">
        <v>0</v>
      </c>
      <c r="I292" s="365">
        <v>0</v>
      </c>
      <c r="J292" s="365">
        <v>0</v>
      </c>
      <c r="K292" s="365">
        <v>0</v>
      </c>
      <c r="L292" s="365">
        <v>0</v>
      </c>
      <c r="M292" s="365">
        <v>0</v>
      </c>
      <c r="N292" s="365">
        <v>0</v>
      </c>
      <c r="O292" s="365">
        <v>0</v>
      </c>
      <c r="P292" s="365">
        <v>0</v>
      </c>
      <c r="Q292" s="365">
        <v>0</v>
      </c>
      <c r="R292" s="365">
        <v>0</v>
      </c>
      <c r="S292" s="365">
        <v>0</v>
      </c>
      <c r="T292" s="365">
        <v>0</v>
      </c>
      <c r="U292" s="366" t="e">
        <v>#DIV/0!</v>
      </c>
      <c r="V292" s="365">
        <v>0</v>
      </c>
      <c r="W292" s="365">
        <v>0</v>
      </c>
      <c r="X292" s="365">
        <v>0</v>
      </c>
      <c r="Y292" s="365">
        <v>0</v>
      </c>
      <c r="Z292" s="365">
        <v>0</v>
      </c>
      <c r="AA292" s="365">
        <v>0</v>
      </c>
    </row>
    <row r="293" spans="1:27" ht="12" customHeight="1" x14ac:dyDescent="0.25">
      <c r="A293" s="354" t="s">
        <v>1365</v>
      </c>
      <c r="B293" s="354" t="s">
        <v>678</v>
      </c>
      <c r="C293" s="365">
        <v>0</v>
      </c>
      <c r="D293" s="365">
        <v>0</v>
      </c>
      <c r="E293" s="365">
        <v>0</v>
      </c>
      <c r="F293" s="365">
        <v>0</v>
      </c>
      <c r="G293" s="365">
        <v>0</v>
      </c>
      <c r="H293" s="365">
        <v>0</v>
      </c>
      <c r="I293" s="365">
        <v>0</v>
      </c>
      <c r="J293" s="365">
        <v>0</v>
      </c>
      <c r="K293" s="365">
        <v>0</v>
      </c>
      <c r="L293" s="365">
        <v>0</v>
      </c>
      <c r="M293" s="365">
        <v>0</v>
      </c>
      <c r="N293" s="365">
        <v>0</v>
      </c>
      <c r="O293" s="365">
        <v>0</v>
      </c>
      <c r="P293" s="365">
        <v>0</v>
      </c>
      <c r="Q293" s="365">
        <v>0</v>
      </c>
      <c r="R293" s="365">
        <v>0</v>
      </c>
      <c r="S293" s="365">
        <v>0</v>
      </c>
      <c r="T293" s="365">
        <v>0</v>
      </c>
      <c r="U293" s="366" t="e">
        <v>#DIV/0!</v>
      </c>
      <c r="V293" s="365">
        <v>0</v>
      </c>
      <c r="W293" s="365">
        <v>0</v>
      </c>
      <c r="X293" s="365">
        <v>0</v>
      </c>
      <c r="Y293" s="365">
        <v>0</v>
      </c>
      <c r="Z293" s="365">
        <v>0</v>
      </c>
      <c r="AA293" s="365">
        <v>0</v>
      </c>
    </row>
    <row r="294" spans="1:27" ht="12" customHeight="1" x14ac:dyDescent="0.25">
      <c r="A294" s="354" t="s">
        <v>1366</v>
      </c>
      <c r="B294" s="354" t="s">
        <v>679</v>
      </c>
      <c r="C294" s="365">
        <v>0</v>
      </c>
      <c r="D294" s="365">
        <v>0</v>
      </c>
      <c r="E294" s="365">
        <v>0</v>
      </c>
      <c r="F294" s="365">
        <v>0</v>
      </c>
      <c r="G294" s="365">
        <v>0</v>
      </c>
      <c r="H294" s="365">
        <v>0</v>
      </c>
      <c r="I294" s="365">
        <v>0</v>
      </c>
      <c r="J294" s="365">
        <v>0</v>
      </c>
      <c r="K294" s="365">
        <v>0</v>
      </c>
      <c r="L294" s="365">
        <v>0</v>
      </c>
      <c r="M294" s="365">
        <v>0</v>
      </c>
      <c r="N294" s="365">
        <v>0</v>
      </c>
      <c r="O294" s="365">
        <v>0</v>
      </c>
      <c r="P294" s="365">
        <v>0</v>
      </c>
      <c r="Q294" s="365">
        <v>0</v>
      </c>
      <c r="R294" s="365">
        <v>0</v>
      </c>
      <c r="S294" s="365">
        <v>0</v>
      </c>
      <c r="T294" s="365">
        <v>0</v>
      </c>
      <c r="U294" s="366" t="e">
        <v>#DIV/0!</v>
      </c>
      <c r="V294" s="365">
        <v>0</v>
      </c>
      <c r="W294" s="365">
        <v>0</v>
      </c>
      <c r="X294" s="365">
        <v>0</v>
      </c>
      <c r="Y294" s="365">
        <v>0</v>
      </c>
      <c r="Z294" s="365">
        <v>0</v>
      </c>
      <c r="AA294" s="365">
        <v>0</v>
      </c>
    </row>
    <row r="295" spans="1:27" ht="12" customHeight="1" x14ac:dyDescent="0.25">
      <c r="A295" s="354" t="s">
        <v>1367</v>
      </c>
      <c r="B295" s="354" t="s">
        <v>680</v>
      </c>
      <c r="C295" s="365">
        <v>0</v>
      </c>
      <c r="D295" s="365">
        <v>0</v>
      </c>
      <c r="E295" s="365">
        <v>0</v>
      </c>
      <c r="F295" s="365">
        <v>0</v>
      </c>
      <c r="G295" s="365">
        <v>0</v>
      </c>
      <c r="H295" s="365">
        <v>0</v>
      </c>
      <c r="I295" s="365">
        <v>0</v>
      </c>
      <c r="J295" s="365">
        <v>0</v>
      </c>
      <c r="K295" s="365">
        <v>0</v>
      </c>
      <c r="L295" s="365">
        <v>0</v>
      </c>
      <c r="M295" s="365">
        <v>0</v>
      </c>
      <c r="N295" s="365">
        <v>0</v>
      </c>
      <c r="O295" s="365">
        <v>0</v>
      </c>
      <c r="P295" s="365">
        <v>0</v>
      </c>
      <c r="Q295" s="365">
        <v>0</v>
      </c>
      <c r="R295" s="365">
        <v>0</v>
      </c>
      <c r="S295" s="365">
        <v>0</v>
      </c>
      <c r="T295" s="365">
        <v>0</v>
      </c>
      <c r="U295" s="366" t="e">
        <v>#DIV/0!</v>
      </c>
      <c r="V295" s="365">
        <v>0</v>
      </c>
      <c r="W295" s="365">
        <v>0</v>
      </c>
      <c r="X295" s="365">
        <v>0</v>
      </c>
      <c r="Y295" s="365">
        <v>0</v>
      </c>
      <c r="Z295" s="365">
        <v>0</v>
      </c>
      <c r="AA295" s="365">
        <v>0</v>
      </c>
    </row>
    <row r="296" spans="1:27" ht="12" customHeight="1" x14ac:dyDescent="0.25">
      <c r="A296" s="354" t="s">
        <v>1368</v>
      </c>
      <c r="B296" s="354" t="s">
        <v>681</v>
      </c>
      <c r="C296" s="365">
        <v>0</v>
      </c>
      <c r="D296" s="365">
        <v>0</v>
      </c>
      <c r="E296" s="365">
        <v>0</v>
      </c>
      <c r="F296" s="365">
        <v>0</v>
      </c>
      <c r="G296" s="365">
        <v>0</v>
      </c>
      <c r="H296" s="365">
        <v>0</v>
      </c>
      <c r="I296" s="365">
        <v>0</v>
      </c>
      <c r="J296" s="365">
        <v>0</v>
      </c>
      <c r="K296" s="365">
        <v>0</v>
      </c>
      <c r="L296" s="365">
        <v>0</v>
      </c>
      <c r="M296" s="365">
        <v>0</v>
      </c>
      <c r="N296" s="365">
        <v>0</v>
      </c>
      <c r="O296" s="365">
        <v>0</v>
      </c>
      <c r="P296" s="365">
        <v>0</v>
      </c>
      <c r="Q296" s="365">
        <v>0</v>
      </c>
      <c r="R296" s="365">
        <v>0</v>
      </c>
      <c r="S296" s="365">
        <v>0</v>
      </c>
      <c r="T296" s="365">
        <v>0</v>
      </c>
      <c r="U296" s="366" t="e">
        <v>#DIV/0!</v>
      </c>
      <c r="V296" s="365">
        <v>0</v>
      </c>
      <c r="W296" s="365">
        <v>0</v>
      </c>
      <c r="X296" s="365">
        <v>0</v>
      </c>
      <c r="Y296" s="365">
        <v>0</v>
      </c>
      <c r="Z296" s="365">
        <v>0</v>
      </c>
      <c r="AA296" s="365">
        <v>0</v>
      </c>
    </row>
    <row r="297" spans="1:27" ht="12" customHeight="1" x14ac:dyDescent="0.25">
      <c r="A297" s="354" t="s">
        <v>1369</v>
      </c>
      <c r="B297" s="354" t="s">
        <v>682</v>
      </c>
      <c r="C297" s="365">
        <v>0</v>
      </c>
      <c r="D297" s="365">
        <v>0</v>
      </c>
      <c r="E297" s="365">
        <v>0</v>
      </c>
      <c r="F297" s="365">
        <v>0</v>
      </c>
      <c r="G297" s="365">
        <v>0</v>
      </c>
      <c r="H297" s="365">
        <v>0</v>
      </c>
      <c r="I297" s="365">
        <v>0</v>
      </c>
      <c r="J297" s="365">
        <v>0</v>
      </c>
      <c r="K297" s="365">
        <v>0</v>
      </c>
      <c r="L297" s="365">
        <v>0</v>
      </c>
      <c r="M297" s="365">
        <v>0</v>
      </c>
      <c r="N297" s="365">
        <v>0</v>
      </c>
      <c r="O297" s="365">
        <v>0</v>
      </c>
      <c r="P297" s="365">
        <v>0</v>
      </c>
      <c r="Q297" s="365">
        <v>0</v>
      </c>
      <c r="R297" s="365">
        <v>0</v>
      </c>
      <c r="S297" s="365">
        <v>0</v>
      </c>
      <c r="T297" s="365">
        <v>0</v>
      </c>
      <c r="U297" s="366" t="e">
        <v>#DIV/0!</v>
      </c>
      <c r="V297" s="365">
        <v>0</v>
      </c>
      <c r="W297" s="365">
        <v>0</v>
      </c>
      <c r="X297" s="365">
        <v>0</v>
      </c>
      <c r="Y297" s="365">
        <v>0</v>
      </c>
      <c r="Z297" s="365">
        <v>0</v>
      </c>
      <c r="AA297" s="365">
        <v>0</v>
      </c>
    </row>
    <row r="298" spans="1:27" ht="12" customHeight="1" x14ac:dyDescent="0.25">
      <c r="A298" s="354" t="s">
        <v>1370</v>
      </c>
      <c r="B298" s="354" t="s">
        <v>683</v>
      </c>
      <c r="C298" s="365">
        <v>0</v>
      </c>
      <c r="D298" s="365">
        <v>0</v>
      </c>
      <c r="E298" s="365">
        <v>0</v>
      </c>
      <c r="F298" s="365">
        <v>0</v>
      </c>
      <c r="G298" s="365">
        <v>0</v>
      </c>
      <c r="H298" s="365">
        <v>0</v>
      </c>
      <c r="I298" s="365">
        <v>0</v>
      </c>
      <c r="J298" s="365">
        <v>0</v>
      </c>
      <c r="K298" s="365">
        <v>0</v>
      </c>
      <c r="L298" s="365">
        <v>0</v>
      </c>
      <c r="M298" s="365">
        <v>0</v>
      </c>
      <c r="N298" s="365">
        <v>0</v>
      </c>
      <c r="O298" s="365">
        <v>0</v>
      </c>
      <c r="P298" s="365">
        <v>0</v>
      </c>
      <c r="Q298" s="365">
        <v>0</v>
      </c>
      <c r="R298" s="365">
        <v>0</v>
      </c>
      <c r="S298" s="365">
        <v>0</v>
      </c>
      <c r="T298" s="365">
        <v>0</v>
      </c>
      <c r="U298" s="366" t="e">
        <v>#DIV/0!</v>
      </c>
      <c r="V298" s="365">
        <v>0</v>
      </c>
      <c r="W298" s="365">
        <v>0</v>
      </c>
      <c r="X298" s="365">
        <v>0</v>
      </c>
      <c r="Y298" s="365">
        <v>0</v>
      </c>
      <c r="Z298" s="365">
        <v>0</v>
      </c>
      <c r="AA298" s="365">
        <v>0</v>
      </c>
    </row>
    <row r="299" spans="1:27" ht="12" customHeight="1" x14ac:dyDescent="0.25">
      <c r="A299" s="354"/>
      <c r="B299" s="370" t="s">
        <v>684</v>
      </c>
      <c r="C299" s="371">
        <v>0</v>
      </c>
      <c r="D299" s="371">
        <v>0</v>
      </c>
      <c r="E299" s="371">
        <v>0</v>
      </c>
      <c r="F299" s="371">
        <v>0</v>
      </c>
      <c r="G299" s="371">
        <v>0</v>
      </c>
      <c r="H299" s="371">
        <v>0</v>
      </c>
      <c r="I299" s="371">
        <v>0</v>
      </c>
      <c r="J299" s="371">
        <v>0</v>
      </c>
      <c r="K299" s="371">
        <v>0</v>
      </c>
      <c r="L299" s="371">
        <v>0</v>
      </c>
      <c r="M299" s="371">
        <v>0</v>
      </c>
      <c r="N299" s="371">
        <v>0</v>
      </c>
      <c r="O299" s="371">
        <v>0</v>
      </c>
      <c r="P299" s="371">
        <v>0</v>
      </c>
      <c r="Q299" s="371">
        <v>0</v>
      </c>
      <c r="R299" s="371">
        <v>0</v>
      </c>
      <c r="S299" s="371">
        <v>0</v>
      </c>
      <c r="T299" s="372">
        <v>0</v>
      </c>
      <c r="U299" s="373" t="e">
        <v>#DIV/0!</v>
      </c>
      <c r="V299" s="372">
        <v>0</v>
      </c>
      <c r="W299" s="372">
        <v>0</v>
      </c>
      <c r="X299" s="372">
        <v>0</v>
      </c>
      <c r="Y299" s="372">
        <v>0</v>
      </c>
      <c r="Z299" s="372">
        <v>0</v>
      </c>
      <c r="AA299" s="372">
        <v>0</v>
      </c>
    </row>
    <row r="300" spans="1:27" ht="12" customHeight="1" x14ac:dyDescent="0.25">
      <c r="A300" s="354" t="s">
        <v>1371</v>
      </c>
      <c r="B300" s="360" t="s">
        <v>685</v>
      </c>
      <c r="C300" s="362">
        <v>0</v>
      </c>
      <c r="D300" s="362">
        <v>0</v>
      </c>
      <c r="E300" s="362">
        <v>0</v>
      </c>
      <c r="F300" s="362">
        <v>0</v>
      </c>
      <c r="G300" s="362">
        <v>0</v>
      </c>
      <c r="H300" s="362">
        <v>0</v>
      </c>
      <c r="I300" s="362">
        <v>0</v>
      </c>
      <c r="J300" s="362">
        <v>0</v>
      </c>
      <c r="K300" s="362">
        <v>0</v>
      </c>
      <c r="L300" s="362">
        <v>0</v>
      </c>
      <c r="M300" s="362">
        <v>0</v>
      </c>
      <c r="N300" s="362">
        <v>0</v>
      </c>
      <c r="O300" s="362">
        <v>0</v>
      </c>
      <c r="P300" s="362">
        <v>0</v>
      </c>
      <c r="Q300" s="362">
        <v>0</v>
      </c>
      <c r="R300" s="362">
        <v>0</v>
      </c>
      <c r="S300" s="362">
        <v>0</v>
      </c>
      <c r="T300" s="362">
        <v>0</v>
      </c>
      <c r="U300" s="363" t="e">
        <v>#DIV/0!</v>
      </c>
      <c r="V300" s="362">
        <v>0</v>
      </c>
      <c r="W300" s="362">
        <v>0</v>
      </c>
      <c r="X300" s="362">
        <v>0</v>
      </c>
      <c r="Y300" s="362">
        <v>0</v>
      </c>
      <c r="Z300" s="362">
        <v>0</v>
      </c>
      <c r="AA300" s="362">
        <v>0</v>
      </c>
    </row>
    <row r="301" spans="1:27" ht="12" customHeight="1" x14ac:dyDescent="0.25">
      <c r="A301" s="354"/>
      <c r="B301" s="360" t="s">
        <v>686</v>
      </c>
      <c r="C301" s="361">
        <v>0</v>
      </c>
      <c r="D301" s="361">
        <v>0</v>
      </c>
      <c r="E301" s="361">
        <v>0</v>
      </c>
      <c r="F301" s="361">
        <v>0</v>
      </c>
      <c r="G301" s="361">
        <v>0</v>
      </c>
      <c r="H301" s="361">
        <v>0</v>
      </c>
      <c r="I301" s="361">
        <v>0</v>
      </c>
      <c r="J301" s="361">
        <v>0</v>
      </c>
      <c r="K301" s="361">
        <v>0</v>
      </c>
      <c r="L301" s="361">
        <v>0</v>
      </c>
      <c r="M301" s="361">
        <v>0</v>
      </c>
      <c r="N301" s="361">
        <v>0</v>
      </c>
      <c r="O301" s="361">
        <v>0</v>
      </c>
      <c r="P301" s="361">
        <v>0</v>
      </c>
      <c r="Q301" s="361">
        <v>0</v>
      </c>
      <c r="R301" s="361">
        <v>0</v>
      </c>
      <c r="S301" s="361">
        <v>0</v>
      </c>
      <c r="T301" s="362">
        <v>0</v>
      </c>
      <c r="U301" s="363" t="e">
        <v>#DIV/0!</v>
      </c>
      <c r="V301" s="362">
        <v>0</v>
      </c>
      <c r="W301" s="362">
        <v>0</v>
      </c>
      <c r="X301" s="362">
        <v>0</v>
      </c>
      <c r="Y301" s="362">
        <v>0</v>
      </c>
      <c r="Z301" s="362">
        <v>0</v>
      </c>
      <c r="AA301" s="362">
        <v>0</v>
      </c>
    </row>
    <row r="302" spans="1:27" ht="12" customHeight="1" x14ac:dyDescent="0.25">
      <c r="A302" s="354" t="s">
        <v>1372</v>
      </c>
      <c r="B302" s="354" t="s">
        <v>687</v>
      </c>
      <c r="C302" s="365">
        <v>0</v>
      </c>
      <c r="D302" s="365">
        <v>0</v>
      </c>
      <c r="E302" s="365">
        <v>0</v>
      </c>
      <c r="F302" s="365">
        <v>0</v>
      </c>
      <c r="G302" s="365">
        <v>0</v>
      </c>
      <c r="H302" s="365">
        <v>0</v>
      </c>
      <c r="I302" s="365">
        <v>0</v>
      </c>
      <c r="J302" s="365">
        <v>0</v>
      </c>
      <c r="K302" s="365">
        <v>0</v>
      </c>
      <c r="L302" s="365">
        <v>0</v>
      </c>
      <c r="M302" s="365">
        <v>0</v>
      </c>
      <c r="N302" s="365">
        <v>0</v>
      </c>
      <c r="O302" s="365">
        <v>0</v>
      </c>
      <c r="P302" s="365">
        <v>0</v>
      </c>
      <c r="Q302" s="365">
        <v>0</v>
      </c>
      <c r="R302" s="365">
        <v>0</v>
      </c>
      <c r="S302" s="365">
        <v>0</v>
      </c>
      <c r="T302" s="365">
        <v>0</v>
      </c>
      <c r="U302" s="366" t="e">
        <v>#DIV/0!</v>
      </c>
      <c r="V302" s="365">
        <v>0</v>
      </c>
      <c r="W302" s="365">
        <v>0</v>
      </c>
      <c r="X302" s="365">
        <v>0</v>
      </c>
      <c r="Y302" s="365">
        <v>0</v>
      </c>
      <c r="Z302" s="365">
        <v>0</v>
      </c>
      <c r="AA302" s="365">
        <v>0</v>
      </c>
    </row>
    <row r="303" spans="1:27" ht="12" customHeight="1" x14ac:dyDescent="0.25">
      <c r="A303" s="354" t="s">
        <v>1373</v>
      </c>
      <c r="B303" s="354" t="s">
        <v>688</v>
      </c>
      <c r="C303" s="365">
        <v>0</v>
      </c>
      <c r="D303" s="365">
        <v>0</v>
      </c>
      <c r="E303" s="365">
        <v>0</v>
      </c>
      <c r="F303" s="365">
        <v>0</v>
      </c>
      <c r="G303" s="365">
        <v>0</v>
      </c>
      <c r="H303" s="365">
        <v>0</v>
      </c>
      <c r="I303" s="365">
        <v>0</v>
      </c>
      <c r="J303" s="365">
        <v>0</v>
      </c>
      <c r="K303" s="365">
        <v>0</v>
      </c>
      <c r="L303" s="365">
        <v>0</v>
      </c>
      <c r="M303" s="365">
        <v>0</v>
      </c>
      <c r="N303" s="365">
        <v>0</v>
      </c>
      <c r="O303" s="365">
        <v>0</v>
      </c>
      <c r="P303" s="365">
        <v>0</v>
      </c>
      <c r="Q303" s="365">
        <v>0</v>
      </c>
      <c r="R303" s="365">
        <v>0</v>
      </c>
      <c r="S303" s="365">
        <v>0</v>
      </c>
      <c r="T303" s="365">
        <v>0</v>
      </c>
      <c r="U303" s="366" t="e">
        <v>#DIV/0!</v>
      </c>
      <c r="V303" s="365">
        <v>0</v>
      </c>
      <c r="W303" s="365">
        <v>0</v>
      </c>
      <c r="X303" s="365">
        <v>0</v>
      </c>
      <c r="Y303" s="365">
        <v>0</v>
      </c>
      <c r="Z303" s="365">
        <v>0</v>
      </c>
      <c r="AA303" s="365">
        <v>0</v>
      </c>
    </row>
    <row r="304" spans="1:27" ht="12" customHeight="1" x14ac:dyDescent="0.25">
      <c r="A304" s="354" t="s">
        <v>1374</v>
      </c>
      <c r="B304" s="354" t="s">
        <v>689</v>
      </c>
      <c r="C304" s="365">
        <v>0</v>
      </c>
      <c r="D304" s="365">
        <v>0</v>
      </c>
      <c r="E304" s="365">
        <v>0</v>
      </c>
      <c r="F304" s="365">
        <v>0</v>
      </c>
      <c r="G304" s="365">
        <v>0</v>
      </c>
      <c r="H304" s="365">
        <v>0</v>
      </c>
      <c r="I304" s="365">
        <v>0</v>
      </c>
      <c r="J304" s="365">
        <v>0</v>
      </c>
      <c r="K304" s="365">
        <v>0</v>
      </c>
      <c r="L304" s="365">
        <v>0</v>
      </c>
      <c r="M304" s="365">
        <v>0</v>
      </c>
      <c r="N304" s="365">
        <v>0</v>
      </c>
      <c r="O304" s="365">
        <v>0</v>
      </c>
      <c r="P304" s="365">
        <v>0</v>
      </c>
      <c r="Q304" s="365">
        <v>0</v>
      </c>
      <c r="R304" s="365">
        <v>0</v>
      </c>
      <c r="S304" s="365">
        <v>0</v>
      </c>
      <c r="T304" s="365">
        <v>0</v>
      </c>
      <c r="U304" s="366" t="e">
        <v>#DIV/0!</v>
      </c>
      <c r="V304" s="365">
        <v>0</v>
      </c>
      <c r="W304" s="365">
        <v>0</v>
      </c>
      <c r="X304" s="365">
        <v>0</v>
      </c>
      <c r="Y304" s="365">
        <v>0</v>
      </c>
      <c r="Z304" s="365">
        <v>0</v>
      </c>
      <c r="AA304" s="365">
        <v>0</v>
      </c>
    </row>
    <row r="305" spans="1:27" ht="12" customHeight="1" x14ac:dyDescent="0.25">
      <c r="A305" s="354"/>
      <c r="B305" s="360" t="s">
        <v>690</v>
      </c>
      <c r="C305" s="361">
        <v>0</v>
      </c>
      <c r="D305" s="361">
        <v>0</v>
      </c>
      <c r="E305" s="361">
        <v>0</v>
      </c>
      <c r="F305" s="361">
        <v>0</v>
      </c>
      <c r="G305" s="361">
        <v>0</v>
      </c>
      <c r="H305" s="361">
        <v>0</v>
      </c>
      <c r="I305" s="361">
        <v>0</v>
      </c>
      <c r="J305" s="361">
        <v>0</v>
      </c>
      <c r="K305" s="361">
        <v>0</v>
      </c>
      <c r="L305" s="361">
        <v>0</v>
      </c>
      <c r="M305" s="361">
        <v>0</v>
      </c>
      <c r="N305" s="361">
        <v>0</v>
      </c>
      <c r="O305" s="361">
        <v>0</v>
      </c>
      <c r="P305" s="361">
        <v>0</v>
      </c>
      <c r="Q305" s="361">
        <v>0</v>
      </c>
      <c r="R305" s="361">
        <v>0</v>
      </c>
      <c r="S305" s="361">
        <v>0</v>
      </c>
      <c r="T305" s="362">
        <v>0</v>
      </c>
      <c r="U305" s="363" t="e">
        <v>#DIV/0!</v>
      </c>
      <c r="V305" s="362">
        <v>0</v>
      </c>
      <c r="W305" s="362">
        <v>0</v>
      </c>
      <c r="X305" s="362">
        <v>0</v>
      </c>
      <c r="Y305" s="362">
        <v>0</v>
      </c>
      <c r="Z305" s="362">
        <v>0</v>
      </c>
      <c r="AA305" s="362">
        <v>0</v>
      </c>
    </row>
    <row r="306" spans="1:27" ht="12" customHeight="1" x14ac:dyDescent="0.25">
      <c r="A306" s="354" t="s">
        <v>1375</v>
      </c>
      <c r="B306" s="354" t="s">
        <v>691</v>
      </c>
      <c r="C306" s="365">
        <v>0</v>
      </c>
      <c r="D306" s="365">
        <v>0</v>
      </c>
      <c r="E306" s="365">
        <v>0</v>
      </c>
      <c r="F306" s="365">
        <v>0</v>
      </c>
      <c r="G306" s="365">
        <v>0</v>
      </c>
      <c r="H306" s="365">
        <v>0</v>
      </c>
      <c r="I306" s="365">
        <v>0</v>
      </c>
      <c r="J306" s="365">
        <v>0</v>
      </c>
      <c r="K306" s="365">
        <v>0</v>
      </c>
      <c r="L306" s="365">
        <v>0</v>
      </c>
      <c r="M306" s="365">
        <v>0</v>
      </c>
      <c r="N306" s="365">
        <v>0</v>
      </c>
      <c r="O306" s="365">
        <v>0</v>
      </c>
      <c r="P306" s="365">
        <v>0</v>
      </c>
      <c r="Q306" s="365">
        <v>0</v>
      </c>
      <c r="R306" s="365">
        <v>0</v>
      </c>
      <c r="S306" s="365">
        <v>0</v>
      </c>
      <c r="T306" s="365">
        <v>0</v>
      </c>
      <c r="U306" s="366" t="e">
        <v>#DIV/0!</v>
      </c>
      <c r="V306" s="365">
        <v>0</v>
      </c>
      <c r="W306" s="365">
        <v>0</v>
      </c>
      <c r="X306" s="365">
        <v>0</v>
      </c>
      <c r="Y306" s="365">
        <v>0</v>
      </c>
      <c r="Z306" s="365">
        <v>0</v>
      </c>
      <c r="AA306" s="365">
        <v>0</v>
      </c>
    </row>
    <row r="307" spans="1:27" ht="12" customHeight="1" x14ac:dyDescent="0.25">
      <c r="A307" s="354" t="s">
        <v>1376</v>
      </c>
      <c r="B307" s="354" t="s">
        <v>692</v>
      </c>
      <c r="C307" s="365">
        <v>0</v>
      </c>
      <c r="D307" s="365">
        <v>0</v>
      </c>
      <c r="E307" s="365">
        <v>0</v>
      </c>
      <c r="F307" s="365">
        <v>0</v>
      </c>
      <c r="G307" s="365">
        <v>0</v>
      </c>
      <c r="H307" s="365">
        <v>0</v>
      </c>
      <c r="I307" s="365">
        <v>0</v>
      </c>
      <c r="J307" s="365">
        <v>0</v>
      </c>
      <c r="K307" s="365">
        <v>0</v>
      </c>
      <c r="L307" s="365">
        <v>0</v>
      </c>
      <c r="M307" s="365">
        <v>0</v>
      </c>
      <c r="N307" s="365">
        <v>0</v>
      </c>
      <c r="O307" s="365">
        <v>0</v>
      </c>
      <c r="P307" s="365">
        <v>0</v>
      </c>
      <c r="Q307" s="365">
        <v>0</v>
      </c>
      <c r="R307" s="365">
        <v>0</v>
      </c>
      <c r="S307" s="365">
        <v>0</v>
      </c>
      <c r="T307" s="365">
        <v>0</v>
      </c>
      <c r="U307" s="366" t="e">
        <v>#DIV/0!</v>
      </c>
      <c r="V307" s="365">
        <v>0</v>
      </c>
      <c r="W307" s="365">
        <v>0</v>
      </c>
      <c r="X307" s="365">
        <v>0</v>
      </c>
      <c r="Y307" s="365">
        <v>0</v>
      </c>
      <c r="Z307" s="365">
        <v>0</v>
      </c>
      <c r="AA307" s="365">
        <v>0</v>
      </c>
    </row>
    <row r="308" spans="1:27" ht="12" customHeight="1" x14ac:dyDescent="0.25">
      <c r="A308" s="354" t="s">
        <v>1377</v>
      </c>
      <c r="B308" s="354" t="s">
        <v>693</v>
      </c>
      <c r="C308" s="365">
        <v>0</v>
      </c>
      <c r="D308" s="365">
        <v>0</v>
      </c>
      <c r="E308" s="365">
        <v>0</v>
      </c>
      <c r="F308" s="365">
        <v>0</v>
      </c>
      <c r="G308" s="365">
        <v>0</v>
      </c>
      <c r="H308" s="365">
        <v>0</v>
      </c>
      <c r="I308" s="365">
        <v>0</v>
      </c>
      <c r="J308" s="365">
        <v>0</v>
      </c>
      <c r="K308" s="365">
        <v>0</v>
      </c>
      <c r="L308" s="365">
        <v>0</v>
      </c>
      <c r="M308" s="365">
        <v>0</v>
      </c>
      <c r="N308" s="365">
        <v>0</v>
      </c>
      <c r="O308" s="365">
        <v>0</v>
      </c>
      <c r="P308" s="365">
        <v>0</v>
      </c>
      <c r="Q308" s="365">
        <v>0</v>
      </c>
      <c r="R308" s="365">
        <v>0</v>
      </c>
      <c r="S308" s="365">
        <v>0</v>
      </c>
      <c r="T308" s="365">
        <v>0</v>
      </c>
      <c r="U308" s="366" t="e">
        <v>#DIV/0!</v>
      </c>
      <c r="V308" s="365">
        <v>0</v>
      </c>
      <c r="W308" s="365">
        <v>0</v>
      </c>
      <c r="X308" s="365">
        <v>0</v>
      </c>
      <c r="Y308" s="365">
        <v>0</v>
      </c>
      <c r="Z308" s="365">
        <v>0</v>
      </c>
      <c r="AA308" s="365">
        <v>0</v>
      </c>
    </row>
    <row r="309" spans="1:27" ht="12" customHeight="1" x14ac:dyDescent="0.25">
      <c r="A309" s="354" t="s">
        <v>1378</v>
      </c>
      <c r="B309" s="360" t="s">
        <v>694</v>
      </c>
      <c r="C309" s="362">
        <v>0</v>
      </c>
      <c r="D309" s="362">
        <v>0</v>
      </c>
      <c r="E309" s="362">
        <v>0</v>
      </c>
      <c r="F309" s="362">
        <v>0</v>
      </c>
      <c r="G309" s="362">
        <v>0</v>
      </c>
      <c r="H309" s="362">
        <v>0</v>
      </c>
      <c r="I309" s="362">
        <v>0</v>
      </c>
      <c r="J309" s="362">
        <v>0</v>
      </c>
      <c r="K309" s="362">
        <v>0</v>
      </c>
      <c r="L309" s="362">
        <v>0</v>
      </c>
      <c r="M309" s="362">
        <v>0</v>
      </c>
      <c r="N309" s="362">
        <v>0</v>
      </c>
      <c r="O309" s="362">
        <v>0</v>
      </c>
      <c r="P309" s="362">
        <v>0</v>
      </c>
      <c r="Q309" s="362">
        <v>0</v>
      </c>
      <c r="R309" s="362">
        <v>0</v>
      </c>
      <c r="S309" s="362">
        <v>0</v>
      </c>
      <c r="T309" s="362">
        <v>0</v>
      </c>
      <c r="U309" s="363" t="e">
        <v>#DIV/0!</v>
      </c>
      <c r="V309" s="362">
        <v>0</v>
      </c>
      <c r="W309" s="362">
        <v>0</v>
      </c>
      <c r="X309" s="362">
        <v>0</v>
      </c>
      <c r="Y309" s="362">
        <v>0</v>
      </c>
      <c r="Z309" s="362">
        <v>0</v>
      </c>
      <c r="AA309" s="362">
        <v>0</v>
      </c>
    </row>
    <row r="310" spans="1:27" ht="12" customHeight="1" x14ac:dyDescent="0.25">
      <c r="A310" s="354"/>
      <c r="B310" s="374" t="s">
        <v>35</v>
      </c>
      <c r="C310" s="375">
        <v>80127</v>
      </c>
      <c r="D310" s="375">
        <v>103127</v>
      </c>
      <c r="E310" s="375">
        <v>103127</v>
      </c>
      <c r="F310" s="375">
        <v>82119</v>
      </c>
      <c r="G310" s="375">
        <v>77856</v>
      </c>
      <c r="H310" s="375">
        <v>0</v>
      </c>
      <c r="I310" s="375">
        <v>1668</v>
      </c>
      <c r="J310" s="375">
        <v>5896</v>
      </c>
      <c r="K310" s="375">
        <v>15148</v>
      </c>
      <c r="L310" s="375">
        <v>14904</v>
      </c>
      <c r="M310" s="375">
        <v>12560</v>
      </c>
      <c r="N310" s="375">
        <v>15492</v>
      </c>
      <c r="O310" s="375">
        <v>3848</v>
      </c>
      <c r="P310" s="375">
        <v>8180</v>
      </c>
      <c r="Q310" s="375">
        <v>0</v>
      </c>
      <c r="R310" s="375">
        <v>0</v>
      </c>
      <c r="S310" s="375">
        <v>0</v>
      </c>
      <c r="T310" s="376">
        <v>77696</v>
      </c>
      <c r="U310" s="377">
        <v>0.75340114615958964</v>
      </c>
      <c r="V310" s="376">
        <v>25431</v>
      </c>
      <c r="W310" s="376">
        <v>0</v>
      </c>
      <c r="X310" s="376">
        <v>21008</v>
      </c>
      <c r="Y310" s="376">
        <v>21008</v>
      </c>
      <c r="Z310" s="376">
        <v>4263</v>
      </c>
      <c r="AA310" s="376">
        <v>160</v>
      </c>
    </row>
    <row r="311" spans="1:27" ht="12" customHeight="1" x14ac:dyDescent="0.25">
      <c r="A311" s="354"/>
      <c r="B311" s="378" t="s">
        <v>1379</v>
      </c>
      <c r="C311" s="379">
        <v>80127</v>
      </c>
      <c r="D311" s="379">
        <v>103127</v>
      </c>
      <c r="E311" s="379">
        <v>103127</v>
      </c>
      <c r="F311" s="379">
        <v>82119</v>
      </c>
      <c r="G311" s="379">
        <v>77856</v>
      </c>
      <c r="H311" s="379">
        <v>0</v>
      </c>
      <c r="I311" s="379">
        <v>1668</v>
      </c>
      <c r="J311" s="379">
        <v>5896</v>
      </c>
      <c r="K311" s="379">
        <v>15148</v>
      </c>
      <c r="L311" s="379">
        <v>14904</v>
      </c>
      <c r="M311" s="379">
        <v>12560</v>
      </c>
      <c r="N311" s="379">
        <v>15492</v>
      </c>
      <c r="O311" s="379">
        <v>3848</v>
      </c>
      <c r="P311" s="379">
        <v>8180</v>
      </c>
      <c r="Q311" s="379">
        <v>0</v>
      </c>
      <c r="R311" s="379">
        <v>0</v>
      </c>
      <c r="S311" s="379">
        <v>0</v>
      </c>
      <c r="T311" s="380">
        <v>77696</v>
      </c>
      <c r="U311" s="381">
        <v>0.75340114615958964</v>
      </c>
      <c r="V311" s="380">
        <v>25431</v>
      </c>
      <c r="W311" s="380">
        <v>0</v>
      </c>
      <c r="X311" s="380">
        <v>21008</v>
      </c>
      <c r="Y311" s="380">
        <v>21008</v>
      </c>
      <c r="Z311" s="380">
        <v>4263</v>
      </c>
      <c r="AA311" s="380">
        <v>160</v>
      </c>
    </row>
    <row r="312" spans="1:27" ht="12" customHeight="1" x14ac:dyDescent="0.25">
      <c r="A312" s="354"/>
      <c r="B312" s="382" t="s">
        <v>74</v>
      </c>
      <c r="C312" s="383">
        <v>80127</v>
      </c>
      <c r="D312" s="383">
        <v>103127</v>
      </c>
      <c r="E312" s="383">
        <v>103127</v>
      </c>
      <c r="F312" s="383">
        <v>82119</v>
      </c>
      <c r="G312" s="383">
        <v>77856</v>
      </c>
      <c r="H312" s="383">
        <v>0</v>
      </c>
      <c r="I312" s="383">
        <v>1668</v>
      </c>
      <c r="J312" s="383">
        <v>5896</v>
      </c>
      <c r="K312" s="383">
        <v>15148</v>
      </c>
      <c r="L312" s="383">
        <v>14904</v>
      </c>
      <c r="M312" s="383">
        <v>12560</v>
      </c>
      <c r="N312" s="383">
        <v>15492</v>
      </c>
      <c r="O312" s="383">
        <v>3848</v>
      </c>
      <c r="P312" s="383">
        <v>8180</v>
      </c>
      <c r="Q312" s="383">
        <v>0</v>
      </c>
      <c r="R312" s="383">
        <v>0</v>
      </c>
      <c r="S312" s="383">
        <v>0</v>
      </c>
      <c r="T312" s="384">
        <v>77696</v>
      </c>
      <c r="U312" s="385">
        <v>0.75340114615958964</v>
      </c>
      <c r="V312" s="384">
        <v>25431</v>
      </c>
      <c r="W312" s="384">
        <v>0</v>
      </c>
      <c r="X312" s="384">
        <v>21008</v>
      </c>
      <c r="Y312" s="384">
        <v>21008</v>
      </c>
      <c r="Z312" s="384">
        <v>4263</v>
      </c>
      <c r="AA312" s="384">
        <v>160</v>
      </c>
    </row>
    <row r="313" spans="1:27" ht="12" customHeight="1" x14ac:dyDescent="0.25">
      <c r="A313" s="359"/>
      <c r="B313" s="359"/>
      <c r="C313" s="359"/>
      <c r="D313" s="359"/>
      <c r="E313" s="359"/>
      <c r="F313" s="359"/>
      <c r="G313" s="359"/>
      <c r="H313" s="359"/>
      <c r="I313" s="359"/>
      <c r="J313" s="359"/>
      <c r="K313" s="359"/>
      <c r="L313" s="359"/>
      <c r="M313" s="359"/>
      <c r="N313" s="359"/>
      <c r="O313" s="359"/>
      <c r="P313" s="359"/>
      <c r="Q313" s="359"/>
      <c r="R313" s="359"/>
      <c r="S313" s="359"/>
      <c r="T313" s="359"/>
      <c r="U313" s="359"/>
      <c r="V313" s="359"/>
      <c r="W313" s="359"/>
      <c r="X313" s="359"/>
      <c r="Y313" s="359"/>
      <c r="Z313" s="359"/>
      <c r="AA313" s="359"/>
    </row>
    <row r="314" spans="1:27" ht="12" customHeight="1" x14ac:dyDescent="0.25">
      <c r="A314" s="359"/>
      <c r="B314" s="359"/>
      <c r="C314" s="359"/>
      <c r="D314" s="359"/>
      <c r="E314" s="359"/>
      <c r="F314" s="359"/>
      <c r="G314" s="359"/>
      <c r="H314" s="359"/>
      <c r="I314" s="359"/>
      <c r="J314" s="359"/>
      <c r="K314" s="359"/>
      <c r="L314" s="359"/>
      <c r="M314" s="359"/>
      <c r="N314" s="359"/>
      <c r="O314" s="359"/>
      <c r="P314" s="359"/>
      <c r="Q314" s="359"/>
      <c r="R314" s="359"/>
      <c r="S314" s="359"/>
      <c r="T314" s="359"/>
      <c r="U314" s="359"/>
      <c r="V314" s="359"/>
      <c r="W314" s="359"/>
      <c r="X314" s="359"/>
      <c r="Y314" s="359"/>
      <c r="Z314" s="359"/>
      <c r="AA314" s="359"/>
    </row>
    <row r="315" spans="1:27" ht="12" customHeight="1" x14ac:dyDescent="0.25">
      <c r="A315" s="359"/>
      <c r="B315" s="359"/>
      <c r="C315" s="359"/>
      <c r="D315" s="359"/>
      <c r="E315" s="359"/>
      <c r="F315" s="359"/>
      <c r="G315" s="359"/>
      <c r="H315" s="359"/>
      <c r="I315" s="359"/>
      <c r="J315" s="359"/>
      <c r="K315" s="359"/>
      <c r="L315" s="359"/>
      <c r="M315" s="359"/>
      <c r="N315" s="359"/>
      <c r="O315" s="359"/>
      <c r="P315" s="359"/>
      <c r="Q315" s="359"/>
      <c r="R315" s="359"/>
      <c r="S315" s="359"/>
      <c r="T315" s="359"/>
      <c r="U315" s="359"/>
      <c r="V315" s="359"/>
      <c r="W315" s="359"/>
      <c r="X315" s="359"/>
      <c r="Y315" s="359"/>
      <c r="Z315" s="359"/>
      <c r="AA315" s="359"/>
    </row>
    <row r="316" spans="1:27" ht="12" customHeight="1" x14ac:dyDescent="0.25">
      <c r="A316" s="359"/>
      <c r="B316" s="359"/>
      <c r="C316" s="359"/>
      <c r="D316" s="359"/>
      <c r="E316" s="359"/>
      <c r="F316" s="359"/>
      <c r="G316" s="359"/>
      <c r="H316" s="359"/>
      <c r="I316" s="359"/>
      <c r="J316" s="359"/>
      <c r="K316" s="359"/>
      <c r="L316" s="359"/>
      <c r="M316" s="359"/>
      <c r="N316" s="359"/>
      <c r="O316" s="359"/>
      <c r="P316" s="359"/>
      <c r="Q316" s="359"/>
      <c r="R316" s="359"/>
      <c r="S316" s="359"/>
      <c r="T316" s="359"/>
      <c r="U316" s="359"/>
      <c r="V316" s="359"/>
      <c r="W316" s="359"/>
      <c r="X316" s="359"/>
      <c r="Y316" s="359"/>
      <c r="Z316" s="359"/>
      <c r="AA316" s="359"/>
    </row>
    <row r="317" spans="1:27" ht="12" customHeight="1" x14ac:dyDescent="0.25">
      <c r="A317" s="359"/>
      <c r="B317" s="359"/>
      <c r="C317" s="359"/>
      <c r="D317" s="359"/>
      <c r="E317" s="359"/>
      <c r="F317" s="359"/>
      <c r="G317" s="359"/>
      <c r="H317" s="359"/>
      <c r="I317" s="359"/>
      <c r="J317" s="359"/>
      <c r="K317" s="359"/>
      <c r="L317" s="359"/>
      <c r="M317" s="359"/>
      <c r="N317" s="359"/>
      <c r="O317" s="359"/>
      <c r="P317" s="359"/>
      <c r="Q317" s="359"/>
      <c r="R317" s="359"/>
      <c r="S317" s="359"/>
      <c r="T317" s="359"/>
      <c r="U317" s="359"/>
      <c r="V317" s="359"/>
      <c r="W317" s="359"/>
      <c r="X317" s="359"/>
      <c r="Y317" s="359"/>
      <c r="Z317" s="359"/>
      <c r="AA317" s="359"/>
    </row>
    <row r="318" spans="1:27" ht="12" customHeight="1" x14ac:dyDescent="0.25">
      <c r="A318" s="359"/>
      <c r="B318" s="359"/>
      <c r="C318" s="359"/>
      <c r="D318" s="359"/>
      <c r="E318" s="359"/>
      <c r="F318" s="359"/>
      <c r="G318" s="359"/>
      <c r="H318" s="359"/>
      <c r="I318" s="359"/>
      <c r="J318" s="359"/>
      <c r="K318" s="359"/>
      <c r="L318" s="359"/>
      <c r="M318" s="359"/>
      <c r="N318" s="359"/>
      <c r="O318" s="359"/>
      <c r="P318" s="359"/>
      <c r="Q318" s="359"/>
      <c r="R318" s="359"/>
      <c r="S318" s="359"/>
      <c r="T318" s="359"/>
      <c r="U318" s="359"/>
      <c r="V318" s="359"/>
      <c r="W318" s="359"/>
      <c r="X318" s="359"/>
      <c r="Y318" s="359"/>
      <c r="Z318" s="359"/>
      <c r="AA318" s="359"/>
    </row>
    <row r="319" spans="1:27" ht="12" customHeight="1" x14ac:dyDescent="0.25">
      <c r="A319" s="359"/>
      <c r="B319" s="359"/>
      <c r="C319" s="359"/>
      <c r="D319" s="359"/>
      <c r="E319" s="359"/>
      <c r="F319" s="359"/>
      <c r="G319" s="359"/>
      <c r="H319" s="359"/>
      <c r="I319" s="359"/>
      <c r="J319" s="359"/>
      <c r="K319" s="359"/>
      <c r="L319" s="359"/>
      <c r="M319" s="359"/>
      <c r="N319" s="359"/>
      <c r="O319" s="359"/>
      <c r="P319" s="359"/>
      <c r="Q319" s="359"/>
      <c r="R319" s="359"/>
      <c r="S319" s="359"/>
      <c r="T319" s="359"/>
      <c r="U319" s="359"/>
      <c r="V319" s="359"/>
      <c r="W319" s="359"/>
      <c r="X319" s="359"/>
      <c r="Y319" s="359"/>
      <c r="Z319" s="359"/>
      <c r="AA319" s="359"/>
    </row>
    <row r="320" spans="1:27" ht="12" customHeight="1" x14ac:dyDescent="0.25">
      <c r="A320" s="359"/>
      <c r="B320" s="359"/>
      <c r="C320" s="359"/>
      <c r="D320" s="359"/>
      <c r="E320" s="359"/>
      <c r="F320" s="359"/>
      <c r="G320" s="359"/>
      <c r="H320" s="359"/>
      <c r="I320" s="359"/>
      <c r="J320" s="359"/>
      <c r="K320" s="359"/>
      <c r="L320" s="359"/>
      <c r="M320" s="359"/>
      <c r="N320" s="359"/>
      <c r="O320" s="359"/>
      <c r="P320" s="359"/>
      <c r="Q320" s="359"/>
      <c r="R320" s="359"/>
      <c r="S320" s="359"/>
      <c r="T320" s="359"/>
      <c r="U320" s="359"/>
      <c r="V320" s="359"/>
      <c r="W320" s="359"/>
      <c r="X320" s="359"/>
      <c r="Y320" s="359"/>
      <c r="Z320" s="359"/>
      <c r="AA320" s="359"/>
    </row>
    <row r="321" spans="1:27" ht="12" customHeight="1" x14ac:dyDescent="0.25">
      <c r="A321" s="359"/>
      <c r="B321" s="359"/>
      <c r="C321" s="359"/>
      <c r="D321" s="359"/>
      <c r="E321" s="359"/>
      <c r="F321" s="359"/>
      <c r="G321" s="359"/>
      <c r="H321" s="359"/>
      <c r="I321" s="359"/>
      <c r="J321" s="359"/>
      <c r="K321" s="359"/>
      <c r="L321" s="359"/>
      <c r="M321" s="359"/>
      <c r="N321" s="359"/>
      <c r="O321" s="359"/>
      <c r="P321" s="359"/>
      <c r="Q321" s="359"/>
      <c r="R321" s="359"/>
      <c r="S321" s="359"/>
      <c r="T321" s="359"/>
      <c r="U321" s="359"/>
      <c r="V321" s="359"/>
      <c r="W321" s="359"/>
      <c r="X321" s="359"/>
      <c r="Y321" s="359"/>
      <c r="Z321" s="359"/>
      <c r="AA321" s="359"/>
    </row>
    <row r="322" spans="1:27" ht="12" customHeight="1" x14ac:dyDescent="0.25">
      <c r="A322" s="359"/>
      <c r="B322" s="359"/>
      <c r="C322" s="359"/>
      <c r="D322" s="359"/>
      <c r="E322" s="359"/>
      <c r="F322" s="359"/>
      <c r="G322" s="359"/>
      <c r="H322" s="359"/>
      <c r="I322" s="359"/>
      <c r="J322" s="359"/>
      <c r="K322" s="359"/>
      <c r="L322" s="359"/>
      <c r="M322" s="359"/>
      <c r="N322" s="359"/>
      <c r="O322" s="359"/>
      <c r="P322" s="359"/>
      <c r="Q322" s="359"/>
      <c r="R322" s="359"/>
      <c r="S322" s="359"/>
      <c r="T322" s="359"/>
      <c r="U322" s="359"/>
      <c r="V322" s="359"/>
      <c r="W322" s="359"/>
      <c r="X322" s="359"/>
      <c r="Y322" s="359"/>
      <c r="Z322" s="359"/>
      <c r="AA322" s="359"/>
    </row>
    <row r="323" spans="1:27" ht="12" customHeight="1" x14ac:dyDescent="0.25">
      <c r="A323" s="359"/>
      <c r="B323" s="359"/>
      <c r="C323" s="359"/>
      <c r="D323" s="359"/>
      <c r="E323" s="359"/>
      <c r="F323" s="359"/>
      <c r="G323" s="359"/>
      <c r="H323" s="359"/>
      <c r="I323" s="359"/>
      <c r="J323" s="359"/>
      <c r="K323" s="359"/>
      <c r="L323" s="359"/>
      <c r="M323" s="359"/>
      <c r="N323" s="359"/>
      <c r="O323" s="359"/>
      <c r="P323" s="359"/>
      <c r="Q323" s="359"/>
      <c r="R323" s="359"/>
      <c r="S323" s="359"/>
      <c r="T323" s="359"/>
      <c r="U323" s="359"/>
      <c r="V323" s="359"/>
      <c r="W323" s="359"/>
      <c r="X323" s="359"/>
      <c r="Y323" s="359"/>
      <c r="Z323" s="359"/>
      <c r="AA323" s="359"/>
    </row>
    <row r="324" spans="1:27" ht="12" customHeight="1" x14ac:dyDescent="0.25">
      <c r="A324" s="359"/>
      <c r="B324" s="359"/>
      <c r="C324" s="359"/>
      <c r="D324" s="359"/>
      <c r="E324" s="359"/>
      <c r="F324" s="359"/>
      <c r="G324" s="359"/>
      <c r="H324" s="359"/>
      <c r="I324" s="359"/>
      <c r="J324" s="359"/>
      <c r="K324" s="359"/>
      <c r="L324" s="359"/>
      <c r="M324" s="359"/>
      <c r="N324" s="359"/>
      <c r="O324" s="359"/>
      <c r="P324" s="359"/>
      <c r="Q324" s="359"/>
      <c r="R324" s="359"/>
      <c r="S324" s="359"/>
      <c r="T324" s="359"/>
      <c r="U324" s="359"/>
      <c r="V324" s="359"/>
      <c r="W324" s="359"/>
      <c r="X324" s="359"/>
      <c r="Y324" s="359"/>
      <c r="Z324" s="359"/>
      <c r="AA324" s="359"/>
    </row>
    <row r="325" spans="1:27" ht="12" customHeight="1" x14ac:dyDescent="0.25">
      <c r="A325" s="359"/>
      <c r="B325" s="359"/>
      <c r="C325" s="359"/>
      <c r="D325" s="359"/>
      <c r="E325" s="359"/>
      <c r="F325" s="359"/>
      <c r="G325" s="359"/>
      <c r="H325" s="359"/>
      <c r="I325" s="359"/>
      <c r="J325" s="359"/>
      <c r="K325" s="359"/>
      <c r="L325" s="359"/>
      <c r="M325" s="359"/>
      <c r="N325" s="359"/>
      <c r="O325" s="359"/>
      <c r="P325" s="359"/>
      <c r="Q325" s="359"/>
      <c r="R325" s="359"/>
      <c r="S325" s="359"/>
      <c r="T325" s="359"/>
      <c r="U325" s="359"/>
      <c r="V325" s="359"/>
      <c r="W325" s="359"/>
      <c r="X325" s="359"/>
      <c r="Y325" s="359"/>
      <c r="Z325" s="359"/>
      <c r="AA325" s="359"/>
    </row>
    <row r="326" spans="1:27" ht="12" customHeight="1" x14ac:dyDescent="0.25">
      <c r="A326" s="359"/>
      <c r="B326" s="359"/>
      <c r="C326" s="359"/>
      <c r="D326" s="359"/>
      <c r="E326" s="359"/>
      <c r="F326" s="359"/>
      <c r="G326" s="359"/>
      <c r="H326" s="359"/>
      <c r="I326" s="359"/>
      <c r="J326" s="359"/>
      <c r="K326" s="359"/>
      <c r="L326" s="359"/>
      <c r="M326" s="359"/>
      <c r="N326" s="359"/>
      <c r="O326" s="359"/>
      <c r="P326" s="359"/>
      <c r="Q326" s="359"/>
      <c r="R326" s="359"/>
      <c r="S326" s="359"/>
      <c r="T326" s="359"/>
      <c r="U326" s="359"/>
      <c r="V326" s="359"/>
      <c r="W326" s="359"/>
      <c r="X326" s="359"/>
      <c r="Y326" s="359"/>
      <c r="Z326" s="359"/>
      <c r="AA326" s="359"/>
    </row>
    <row r="327" spans="1:27" ht="12" customHeight="1" x14ac:dyDescent="0.25">
      <c r="A327" s="359"/>
      <c r="B327" s="359"/>
      <c r="C327" s="359"/>
      <c r="D327" s="359"/>
      <c r="E327" s="359"/>
      <c r="F327" s="359"/>
      <c r="G327" s="359"/>
      <c r="H327" s="359"/>
      <c r="I327" s="359"/>
      <c r="J327" s="359"/>
      <c r="K327" s="359"/>
      <c r="L327" s="359"/>
      <c r="M327" s="359"/>
      <c r="N327" s="359"/>
      <c r="O327" s="359"/>
      <c r="P327" s="359"/>
      <c r="Q327" s="359"/>
      <c r="R327" s="359"/>
      <c r="S327" s="359"/>
      <c r="T327" s="359"/>
      <c r="U327" s="359"/>
      <c r="V327" s="359"/>
      <c r="W327" s="359"/>
      <c r="X327" s="359"/>
      <c r="Y327" s="359"/>
      <c r="Z327" s="359"/>
      <c r="AA327" s="359"/>
    </row>
    <row r="328" spans="1:27" ht="12" customHeight="1" x14ac:dyDescent="0.25">
      <c r="A328" s="359"/>
      <c r="B328" s="359"/>
      <c r="C328" s="359"/>
      <c r="D328" s="359"/>
      <c r="E328" s="359"/>
      <c r="F328" s="359"/>
      <c r="G328" s="359"/>
      <c r="H328" s="359"/>
      <c r="I328" s="359"/>
      <c r="J328" s="359"/>
      <c r="K328" s="359"/>
      <c r="L328" s="359"/>
      <c r="M328" s="359"/>
      <c r="N328" s="359"/>
      <c r="O328" s="359"/>
      <c r="P328" s="359"/>
      <c r="Q328" s="359"/>
      <c r="R328" s="359"/>
      <c r="S328" s="359"/>
      <c r="T328" s="359"/>
      <c r="U328" s="359"/>
      <c r="V328" s="359"/>
      <c r="W328" s="359"/>
      <c r="X328" s="359"/>
      <c r="Y328" s="359"/>
      <c r="Z328" s="359"/>
      <c r="AA328" s="359"/>
    </row>
    <row r="329" spans="1:27" ht="12" customHeight="1" x14ac:dyDescent="0.25">
      <c r="A329" s="359"/>
      <c r="B329" s="359"/>
      <c r="C329" s="359"/>
      <c r="D329" s="359"/>
      <c r="E329" s="359"/>
      <c r="F329" s="359"/>
      <c r="G329" s="359"/>
      <c r="H329" s="359"/>
      <c r="I329" s="359"/>
      <c r="J329" s="359"/>
      <c r="K329" s="359"/>
      <c r="L329" s="359"/>
      <c r="M329" s="359"/>
      <c r="N329" s="359"/>
      <c r="O329" s="359"/>
      <c r="P329" s="359"/>
      <c r="Q329" s="359"/>
      <c r="R329" s="359"/>
      <c r="S329" s="359"/>
      <c r="T329" s="359"/>
      <c r="U329" s="359"/>
      <c r="V329" s="359"/>
      <c r="W329" s="359"/>
      <c r="X329" s="359"/>
      <c r="Y329" s="359"/>
      <c r="Z329" s="359"/>
      <c r="AA329" s="359"/>
    </row>
    <row r="330" spans="1:27" ht="12" customHeight="1" x14ac:dyDescent="0.25">
      <c r="A330" s="359"/>
      <c r="B330" s="359"/>
      <c r="C330" s="359"/>
      <c r="D330" s="359"/>
      <c r="E330" s="359"/>
      <c r="F330" s="359"/>
      <c r="G330" s="359"/>
      <c r="H330" s="359"/>
      <c r="I330" s="359"/>
      <c r="J330" s="359"/>
      <c r="K330" s="359"/>
      <c r="L330" s="359"/>
      <c r="M330" s="359"/>
      <c r="N330" s="359"/>
      <c r="O330" s="359"/>
      <c r="P330" s="359"/>
      <c r="Q330" s="359"/>
      <c r="R330" s="359"/>
      <c r="S330" s="359"/>
      <c r="T330" s="359"/>
      <c r="U330" s="359"/>
      <c r="V330" s="359"/>
      <c r="W330" s="359"/>
      <c r="X330" s="359"/>
      <c r="Y330" s="359"/>
      <c r="Z330" s="359"/>
      <c r="AA330" s="359"/>
    </row>
    <row r="331" spans="1:27" ht="12" customHeight="1" x14ac:dyDescent="0.25">
      <c r="A331" s="359"/>
      <c r="B331" s="359"/>
      <c r="C331" s="359"/>
      <c r="D331" s="359"/>
      <c r="E331" s="359"/>
      <c r="F331" s="359"/>
      <c r="G331" s="359"/>
      <c r="H331" s="359"/>
      <c r="I331" s="359"/>
      <c r="J331" s="359"/>
      <c r="K331" s="359"/>
      <c r="L331" s="359"/>
      <c r="M331" s="359"/>
      <c r="N331" s="359"/>
      <c r="O331" s="359"/>
      <c r="P331" s="359"/>
      <c r="Q331" s="359"/>
      <c r="R331" s="359"/>
      <c r="S331" s="359"/>
      <c r="T331" s="359"/>
      <c r="U331" s="359"/>
      <c r="V331" s="359"/>
      <c r="W331" s="359"/>
      <c r="X331" s="359"/>
      <c r="Y331" s="359"/>
      <c r="Z331" s="359"/>
      <c r="AA331" s="359"/>
    </row>
    <row r="332" spans="1:27" ht="12" customHeight="1" x14ac:dyDescent="0.25">
      <c r="A332" s="359"/>
      <c r="B332" s="359"/>
      <c r="C332" s="359"/>
      <c r="D332" s="359"/>
      <c r="E332" s="359"/>
      <c r="F332" s="359"/>
      <c r="G332" s="359"/>
      <c r="H332" s="359"/>
      <c r="I332" s="359"/>
      <c r="J332" s="359"/>
      <c r="K332" s="359"/>
      <c r="L332" s="359"/>
      <c r="M332" s="359"/>
      <c r="N332" s="359"/>
      <c r="O332" s="359"/>
      <c r="P332" s="359"/>
      <c r="Q332" s="359"/>
      <c r="R332" s="359"/>
      <c r="S332" s="359"/>
      <c r="T332" s="359"/>
      <c r="U332" s="359"/>
      <c r="V332" s="359"/>
      <c r="W332" s="359"/>
      <c r="X332" s="359"/>
      <c r="Y332" s="359"/>
      <c r="Z332" s="359"/>
      <c r="AA332" s="359"/>
    </row>
    <row r="333" spans="1:27" ht="12" customHeight="1" x14ac:dyDescent="0.25">
      <c r="A333" s="359"/>
      <c r="B333" s="359"/>
      <c r="C333" s="359"/>
      <c r="D333" s="359"/>
      <c r="E333" s="359"/>
      <c r="F333" s="359"/>
      <c r="G333" s="359"/>
      <c r="H333" s="359"/>
      <c r="I333" s="359"/>
      <c r="J333" s="359"/>
      <c r="K333" s="359"/>
      <c r="L333" s="359"/>
      <c r="M333" s="359"/>
      <c r="N333" s="359"/>
      <c r="O333" s="359"/>
      <c r="P333" s="359"/>
      <c r="Q333" s="359"/>
      <c r="R333" s="359"/>
      <c r="S333" s="359"/>
      <c r="T333" s="359"/>
      <c r="U333" s="359"/>
      <c r="V333" s="359"/>
      <c r="W333" s="359"/>
      <c r="X333" s="359"/>
      <c r="Y333" s="359"/>
      <c r="Z333" s="359"/>
      <c r="AA333" s="359"/>
    </row>
    <row r="334" spans="1:27" ht="12" customHeight="1" x14ac:dyDescent="0.25">
      <c r="A334" s="359"/>
      <c r="B334" s="359"/>
      <c r="C334" s="359"/>
      <c r="D334" s="359"/>
      <c r="E334" s="359"/>
      <c r="F334" s="359"/>
      <c r="G334" s="359"/>
      <c r="H334" s="359"/>
      <c r="I334" s="359"/>
      <c r="J334" s="359"/>
      <c r="K334" s="359"/>
      <c r="L334" s="359"/>
      <c r="M334" s="359"/>
      <c r="N334" s="359"/>
      <c r="O334" s="359"/>
      <c r="P334" s="359"/>
      <c r="Q334" s="359"/>
      <c r="R334" s="359"/>
      <c r="S334" s="359"/>
      <c r="T334" s="359"/>
      <c r="U334" s="359"/>
      <c r="V334" s="359"/>
      <c r="W334" s="359"/>
      <c r="X334" s="359"/>
      <c r="Y334" s="359"/>
      <c r="Z334" s="359"/>
      <c r="AA334" s="359"/>
    </row>
    <row r="335" spans="1:27" ht="12" customHeight="1" x14ac:dyDescent="0.25">
      <c r="A335" s="359"/>
      <c r="B335" s="359"/>
      <c r="C335" s="359"/>
      <c r="D335" s="359"/>
      <c r="E335" s="359"/>
      <c r="F335" s="359"/>
      <c r="G335" s="359"/>
      <c r="H335" s="359"/>
      <c r="I335" s="359"/>
      <c r="J335" s="359"/>
      <c r="K335" s="359"/>
      <c r="L335" s="359"/>
      <c r="M335" s="359"/>
      <c r="N335" s="359"/>
      <c r="O335" s="359"/>
      <c r="P335" s="359"/>
      <c r="Q335" s="359"/>
      <c r="R335" s="359"/>
      <c r="S335" s="359"/>
      <c r="T335" s="359"/>
      <c r="U335" s="359"/>
      <c r="V335" s="359"/>
      <c r="W335" s="359"/>
      <c r="X335" s="359"/>
      <c r="Y335" s="359"/>
      <c r="Z335" s="359"/>
      <c r="AA335" s="359"/>
    </row>
    <row r="336" spans="1:27" ht="12" customHeight="1" x14ac:dyDescent="0.25">
      <c r="A336" s="359"/>
      <c r="B336" s="359"/>
      <c r="C336" s="359"/>
      <c r="D336" s="359"/>
      <c r="E336" s="359"/>
      <c r="F336" s="359"/>
      <c r="G336" s="359"/>
      <c r="H336" s="359"/>
      <c r="I336" s="359"/>
      <c r="J336" s="359"/>
      <c r="K336" s="359"/>
      <c r="L336" s="359"/>
      <c r="M336" s="359"/>
      <c r="N336" s="359"/>
      <c r="O336" s="359"/>
      <c r="P336" s="359"/>
      <c r="Q336" s="359"/>
      <c r="R336" s="359"/>
      <c r="S336" s="359"/>
      <c r="T336" s="359"/>
      <c r="U336" s="359"/>
      <c r="V336" s="359"/>
      <c r="W336" s="359"/>
      <c r="X336" s="359"/>
      <c r="Y336" s="359"/>
      <c r="Z336" s="359"/>
      <c r="AA336" s="359"/>
    </row>
    <row r="337" spans="1:27" ht="12" customHeight="1" x14ac:dyDescent="0.25">
      <c r="A337" s="359"/>
      <c r="B337" s="359"/>
      <c r="C337" s="359"/>
      <c r="D337" s="359"/>
      <c r="E337" s="359"/>
      <c r="F337" s="359"/>
      <c r="G337" s="359"/>
      <c r="H337" s="359"/>
      <c r="I337" s="359"/>
      <c r="J337" s="359"/>
      <c r="K337" s="359"/>
      <c r="L337" s="359"/>
      <c r="M337" s="359"/>
      <c r="N337" s="359"/>
      <c r="O337" s="359"/>
      <c r="P337" s="359"/>
      <c r="Q337" s="359"/>
      <c r="R337" s="359"/>
      <c r="S337" s="359"/>
      <c r="T337" s="359"/>
      <c r="U337" s="359"/>
      <c r="V337" s="359"/>
      <c r="W337" s="359"/>
      <c r="X337" s="359"/>
      <c r="Y337" s="359"/>
      <c r="Z337" s="359"/>
      <c r="AA337" s="359"/>
    </row>
    <row r="338" spans="1:27" ht="12" customHeight="1" x14ac:dyDescent="0.25">
      <c r="A338" s="359"/>
      <c r="B338" s="359"/>
      <c r="C338" s="359"/>
      <c r="D338" s="359"/>
      <c r="E338" s="359"/>
      <c r="F338" s="359"/>
      <c r="G338" s="359"/>
      <c r="H338" s="359"/>
      <c r="I338" s="359"/>
      <c r="J338" s="359"/>
      <c r="K338" s="359"/>
      <c r="L338" s="359"/>
      <c r="M338" s="359"/>
      <c r="N338" s="359"/>
      <c r="O338" s="359"/>
      <c r="P338" s="359"/>
      <c r="Q338" s="359"/>
      <c r="R338" s="359"/>
      <c r="S338" s="359"/>
      <c r="T338" s="359"/>
      <c r="U338" s="359"/>
      <c r="V338" s="359"/>
      <c r="W338" s="359"/>
      <c r="X338" s="359"/>
      <c r="Y338" s="359"/>
      <c r="Z338" s="359"/>
      <c r="AA338" s="359"/>
    </row>
    <row r="339" spans="1:27" ht="12" customHeight="1" x14ac:dyDescent="0.25">
      <c r="A339" s="359"/>
      <c r="B339" s="359"/>
      <c r="C339" s="359"/>
      <c r="D339" s="359"/>
      <c r="E339" s="359"/>
      <c r="F339" s="359"/>
      <c r="G339" s="359"/>
      <c r="H339" s="359"/>
      <c r="I339" s="359"/>
      <c r="J339" s="359"/>
      <c r="K339" s="359"/>
      <c r="L339" s="359"/>
      <c r="M339" s="359"/>
      <c r="N339" s="359"/>
      <c r="O339" s="359"/>
      <c r="P339" s="359"/>
      <c r="Q339" s="359"/>
      <c r="R339" s="359"/>
      <c r="S339" s="359"/>
      <c r="T339" s="359"/>
      <c r="U339" s="359"/>
      <c r="V339" s="359"/>
      <c r="W339" s="359"/>
      <c r="X339" s="359"/>
      <c r="Y339" s="359"/>
      <c r="Z339" s="359"/>
      <c r="AA339" s="359"/>
    </row>
    <row r="340" spans="1:27" ht="12" customHeight="1" x14ac:dyDescent="0.25">
      <c r="A340" s="359"/>
      <c r="B340" s="359"/>
      <c r="C340" s="359"/>
      <c r="D340" s="359"/>
      <c r="E340" s="359"/>
      <c r="F340" s="359"/>
      <c r="G340" s="359"/>
      <c r="H340" s="359"/>
      <c r="I340" s="359"/>
      <c r="J340" s="359"/>
      <c r="K340" s="359"/>
      <c r="L340" s="359"/>
      <c r="M340" s="359"/>
      <c r="N340" s="359"/>
      <c r="O340" s="359"/>
      <c r="P340" s="359"/>
      <c r="Q340" s="359"/>
      <c r="R340" s="359"/>
      <c r="S340" s="359"/>
      <c r="T340" s="359"/>
      <c r="U340" s="359"/>
      <c r="V340" s="359"/>
      <c r="W340" s="359"/>
      <c r="X340" s="359"/>
      <c r="Y340" s="359"/>
      <c r="Z340" s="359"/>
      <c r="AA340" s="359"/>
    </row>
    <row r="341" spans="1:27" ht="12" customHeight="1" x14ac:dyDescent="0.25">
      <c r="A341" s="359"/>
      <c r="B341" s="359"/>
      <c r="C341" s="359"/>
      <c r="D341" s="359"/>
      <c r="E341" s="359"/>
      <c r="F341" s="359"/>
      <c r="G341" s="359"/>
      <c r="H341" s="359"/>
      <c r="I341" s="359"/>
      <c r="J341" s="359"/>
      <c r="K341" s="359"/>
      <c r="L341" s="359"/>
      <c r="M341" s="359"/>
      <c r="N341" s="359"/>
      <c r="O341" s="359"/>
      <c r="P341" s="359"/>
      <c r="Q341" s="359"/>
      <c r="R341" s="359"/>
      <c r="S341" s="359"/>
      <c r="T341" s="359"/>
      <c r="U341" s="359"/>
      <c r="V341" s="359"/>
      <c r="W341" s="359"/>
      <c r="X341" s="359"/>
      <c r="Y341" s="359"/>
      <c r="Z341" s="359"/>
      <c r="AA341" s="359"/>
    </row>
    <row r="342" spans="1:27" ht="12" customHeight="1" x14ac:dyDescent="0.25">
      <c r="A342" s="359"/>
      <c r="B342" s="359"/>
      <c r="C342" s="359"/>
      <c r="D342" s="359"/>
      <c r="E342" s="359"/>
      <c r="F342" s="359"/>
      <c r="G342" s="359"/>
      <c r="H342" s="359"/>
      <c r="I342" s="359"/>
      <c r="J342" s="359"/>
      <c r="K342" s="359"/>
      <c r="L342" s="359"/>
      <c r="M342" s="359"/>
      <c r="N342" s="359"/>
      <c r="O342" s="359"/>
      <c r="P342" s="359"/>
      <c r="Q342" s="359"/>
      <c r="R342" s="359"/>
      <c r="S342" s="359"/>
      <c r="T342" s="359"/>
      <c r="U342" s="359"/>
      <c r="V342" s="359"/>
      <c r="W342" s="359"/>
      <c r="X342" s="359"/>
      <c r="Y342" s="359"/>
      <c r="Z342" s="359"/>
      <c r="AA342" s="359"/>
    </row>
    <row r="343" spans="1:27" ht="12" customHeight="1" x14ac:dyDescent="0.25">
      <c r="A343" s="359"/>
      <c r="B343" s="359"/>
      <c r="C343" s="359"/>
      <c r="D343" s="359"/>
      <c r="E343" s="359"/>
      <c r="F343" s="359"/>
      <c r="G343" s="359"/>
      <c r="H343" s="359"/>
      <c r="I343" s="359"/>
      <c r="J343" s="359"/>
      <c r="K343" s="359"/>
      <c r="L343" s="359"/>
      <c r="M343" s="359"/>
      <c r="N343" s="359"/>
      <c r="O343" s="359"/>
      <c r="P343" s="359"/>
      <c r="Q343" s="359"/>
      <c r="R343" s="359"/>
      <c r="S343" s="359"/>
      <c r="T343" s="359"/>
      <c r="U343" s="359"/>
      <c r="V343" s="359"/>
      <c r="W343" s="359"/>
      <c r="X343" s="359"/>
      <c r="Y343" s="359"/>
      <c r="Z343" s="359"/>
      <c r="AA343" s="359"/>
    </row>
    <row r="344" spans="1:27" ht="12" customHeight="1" x14ac:dyDescent="0.25">
      <c r="A344" s="359"/>
      <c r="B344" s="359"/>
      <c r="C344" s="359"/>
      <c r="D344" s="359"/>
      <c r="E344" s="359"/>
      <c r="F344" s="359"/>
      <c r="G344" s="359"/>
      <c r="H344" s="359"/>
      <c r="I344" s="359"/>
      <c r="J344" s="359"/>
      <c r="K344" s="359"/>
      <c r="L344" s="359"/>
      <c r="M344" s="359"/>
      <c r="N344" s="359"/>
      <c r="O344" s="359"/>
      <c r="P344" s="359"/>
      <c r="Q344" s="359"/>
      <c r="R344" s="359"/>
      <c r="S344" s="359"/>
      <c r="T344" s="359"/>
      <c r="U344" s="359"/>
      <c r="V344" s="359"/>
      <c r="W344" s="359"/>
      <c r="X344" s="359"/>
      <c r="Y344" s="359"/>
      <c r="Z344" s="359"/>
      <c r="AA344" s="359"/>
    </row>
    <row r="345" spans="1:27" ht="12" customHeight="1" x14ac:dyDescent="0.25">
      <c r="A345" s="359"/>
      <c r="B345" s="359"/>
      <c r="C345" s="359"/>
      <c r="D345" s="359"/>
      <c r="E345" s="359"/>
      <c r="F345" s="359"/>
      <c r="G345" s="359"/>
      <c r="H345" s="359"/>
      <c r="I345" s="359"/>
      <c r="J345" s="359"/>
      <c r="K345" s="359"/>
      <c r="L345" s="359"/>
      <c r="M345" s="359"/>
      <c r="N345" s="359"/>
      <c r="O345" s="359"/>
      <c r="P345" s="359"/>
      <c r="Q345" s="359"/>
      <c r="R345" s="359"/>
      <c r="S345" s="359"/>
      <c r="T345" s="359"/>
      <c r="U345" s="359"/>
      <c r="V345" s="359"/>
      <c r="W345" s="359"/>
      <c r="X345" s="359"/>
      <c r="Y345" s="359"/>
      <c r="Z345" s="359"/>
      <c r="AA345" s="359"/>
    </row>
    <row r="346" spans="1:27" ht="12" customHeight="1" x14ac:dyDescent="0.25">
      <c r="A346" s="359"/>
      <c r="B346" s="359"/>
      <c r="C346" s="359"/>
      <c r="D346" s="359"/>
      <c r="E346" s="359"/>
      <c r="F346" s="359"/>
      <c r="G346" s="359"/>
      <c r="H346" s="359"/>
      <c r="I346" s="359"/>
      <c r="J346" s="359"/>
      <c r="K346" s="359"/>
      <c r="L346" s="359"/>
      <c r="M346" s="359"/>
      <c r="N346" s="359"/>
      <c r="O346" s="359"/>
      <c r="P346" s="359"/>
      <c r="Q346" s="359"/>
      <c r="R346" s="359"/>
      <c r="S346" s="359"/>
      <c r="T346" s="359"/>
      <c r="U346" s="359"/>
      <c r="V346" s="359"/>
      <c r="W346" s="359"/>
      <c r="X346" s="359"/>
      <c r="Y346" s="359"/>
      <c r="Z346" s="359"/>
      <c r="AA346" s="359"/>
    </row>
    <row r="347" spans="1:27" ht="12" customHeight="1" x14ac:dyDescent="0.25">
      <c r="A347" s="359"/>
      <c r="B347" s="359"/>
      <c r="C347" s="359"/>
      <c r="D347" s="359"/>
      <c r="E347" s="359"/>
      <c r="F347" s="359"/>
      <c r="G347" s="359"/>
      <c r="H347" s="359"/>
      <c r="I347" s="359"/>
      <c r="J347" s="359"/>
      <c r="K347" s="359"/>
      <c r="L347" s="359"/>
      <c r="M347" s="359"/>
      <c r="N347" s="359"/>
      <c r="O347" s="359"/>
      <c r="P347" s="359"/>
      <c r="Q347" s="359"/>
      <c r="R347" s="359"/>
      <c r="S347" s="359"/>
      <c r="T347" s="359"/>
      <c r="U347" s="359"/>
      <c r="V347" s="359"/>
      <c r="W347" s="359"/>
      <c r="X347" s="359"/>
      <c r="Y347" s="359"/>
      <c r="Z347" s="359"/>
      <c r="AA347" s="359"/>
    </row>
    <row r="348" spans="1:27" ht="12" customHeight="1" x14ac:dyDescent="0.25">
      <c r="A348" s="359"/>
      <c r="B348" s="359"/>
      <c r="C348" s="359"/>
      <c r="D348" s="359"/>
      <c r="E348" s="359"/>
      <c r="F348" s="359"/>
      <c r="G348" s="359"/>
      <c r="H348" s="359"/>
      <c r="I348" s="359"/>
      <c r="J348" s="359"/>
      <c r="K348" s="359"/>
      <c r="L348" s="359"/>
      <c r="M348" s="359"/>
      <c r="N348" s="359"/>
      <c r="O348" s="359"/>
      <c r="P348" s="359"/>
      <c r="Q348" s="359"/>
      <c r="R348" s="359"/>
      <c r="S348" s="359"/>
      <c r="T348" s="359"/>
      <c r="U348" s="359"/>
      <c r="V348" s="359"/>
      <c r="W348" s="359"/>
      <c r="X348" s="359"/>
      <c r="Y348" s="359"/>
      <c r="Z348" s="359"/>
      <c r="AA348" s="359"/>
    </row>
    <row r="349" spans="1:27" ht="12" customHeight="1" x14ac:dyDescent="0.25">
      <c r="A349" s="359"/>
      <c r="B349" s="359"/>
      <c r="C349" s="359"/>
      <c r="D349" s="359"/>
      <c r="E349" s="359"/>
      <c r="F349" s="359"/>
      <c r="G349" s="359"/>
      <c r="H349" s="359"/>
      <c r="I349" s="359"/>
      <c r="J349" s="359"/>
      <c r="K349" s="359"/>
      <c r="L349" s="359"/>
      <c r="M349" s="359"/>
      <c r="N349" s="359"/>
      <c r="O349" s="359"/>
      <c r="P349" s="359"/>
      <c r="Q349" s="359"/>
      <c r="R349" s="359"/>
      <c r="S349" s="359"/>
      <c r="T349" s="359"/>
      <c r="U349" s="359"/>
      <c r="V349" s="359"/>
      <c r="W349" s="359"/>
      <c r="X349" s="359"/>
      <c r="Y349" s="359"/>
      <c r="Z349" s="359"/>
      <c r="AA349" s="359"/>
    </row>
    <row r="350" spans="1:27" ht="12" customHeight="1" x14ac:dyDescent="0.25">
      <c r="A350" s="359"/>
      <c r="B350" s="359"/>
      <c r="C350" s="359"/>
      <c r="D350" s="359"/>
      <c r="E350" s="359"/>
      <c r="F350" s="359"/>
      <c r="G350" s="359"/>
      <c r="H350" s="359"/>
      <c r="I350" s="359"/>
      <c r="J350" s="359"/>
      <c r="K350" s="359"/>
      <c r="L350" s="359"/>
      <c r="M350" s="359"/>
      <c r="N350" s="359"/>
      <c r="O350" s="359"/>
      <c r="P350" s="359"/>
      <c r="Q350" s="359"/>
      <c r="R350" s="359"/>
      <c r="S350" s="359"/>
      <c r="T350" s="359"/>
      <c r="U350" s="359"/>
      <c r="V350" s="359"/>
      <c r="W350" s="359"/>
      <c r="X350" s="359"/>
      <c r="Y350" s="359"/>
      <c r="Z350" s="359"/>
      <c r="AA350" s="359"/>
    </row>
    <row r="351" spans="1:27" ht="12" customHeight="1" x14ac:dyDescent="0.25">
      <c r="A351" s="359"/>
      <c r="B351" s="359"/>
      <c r="C351" s="359"/>
      <c r="D351" s="359"/>
      <c r="E351" s="359"/>
      <c r="F351" s="359"/>
      <c r="G351" s="359"/>
      <c r="H351" s="359"/>
      <c r="I351" s="359"/>
      <c r="J351" s="359"/>
      <c r="K351" s="359"/>
      <c r="L351" s="359"/>
      <c r="M351" s="359"/>
      <c r="N351" s="359"/>
      <c r="O351" s="359"/>
      <c r="P351" s="359"/>
      <c r="Q351" s="359"/>
      <c r="R351" s="359"/>
      <c r="S351" s="359"/>
      <c r="T351" s="359"/>
      <c r="U351" s="359"/>
      <c r="V351" s="359"/>
      <c r="W351" s="359"/>
      <c r="X351" s="359"/>
      <c r="Y351" s="359"/>
      <c r="Z351" s="359"/>
      <c r="AA351" s="359"/>
    </row>
    <row r="352" spans="1:27" ht="12" customHeight="1" x14ac:dyDescent="0.25">
      <c r="A352" s="359"/>
      <c r="B352" s="359"/>
      <c r="C352" s="359"/>
      <c r="D352" s="359"/>
      <c r="E352" s="359"/>
      <c r="F352" s="359"/>
      <c r="G352" s="359"/>
      <c r="H352" s="359"/>
      <c r="I352" s="359"/>
      <c r="J352" s="359"/>
      <c r="K352" s="359"/>
      <c r="L352" s="359"/>
      <c r="M352" s="359"/>
      <c r="N352" s="359"/>
      <c r="O352" s="359"/>
      <c r="P352" s="359"/>
      <c r="Q352" s="359"/>
      <c r="R352" s="359"/>
      <c r="S352" s="359"/>
      <c r="T352" s="359"/>
      <c r="U352" s="359"/>
      <c r="V352" s="359"/>
      <c r="W352" s="359"/>
      <c r="X352" s="359"/>
      <c r="Y352" s="359"/>
      <c r="Z352" s="359"/>
      <c r="AA352" s="359"/>
    </row>
    <row r="353" spans="1:27" ht="12" customHeight="1" x14ac:dyDescent="0.25">
      <c r="A353" s="359"/>
      <c r="B353" s="359"/>
      <c r="C353" s="359"/>
      <c r="D353" s="359"/>
      <c r="E353" s="359"/>
      <c r="F353" s="359"/>
      <c r="G353" s="359"/>
      <c r="H353" s="359"/>
      <c r="I353" s="359"/>
      <c r="J353" s="359"/>
      <c r="K353" s="359"/>
      <c r="L353" s="359"/>
      <c r="M353" s="359"/>
      <c r="N353" s="359"/>
      <c r="O353" s="359"/>
      <c r="P353" s="359"/>
      <c r="Q353" s="359"/>
      <c r="R353" s="359"/>
      <c r="S353" s="359"/>
      <c r="T353" s="359"/>
      <c r="U353" s="359"/>
      <c r="V353" s="359"/>
      <c r="W353" s="359"/>
      <c r="X353" s="359"/>
      <c r="Y353" s="359"/>
      <c r="Z353" s="359"/>
      <c r="AA353" s="359"/>
    </row>
    <row r="354" spans="1:27" ht="12" customHeight="1" x14ac:dyDescent="0.25">
      <c r="A354" s="359"/>
      <c r="B354" s="359"/>
      <c r="C354" s="359"/>
      <c r="D354" s="359"/>
      <c r="E354" s="359"/>
      <c r="F354" s="359"/>
      <c r="G354" s="359"/>
      <c r="H354" s="359"/>
      <c r="I354" s="359"/>
      <c r="J354" s="359"/>
      <c r="K354" s="359"/>
      <c r="L354" s="359"/>
      <c r="M354" s="359"/>
      <c r="N354" s="359"/>
      <c r="O354" s="359"/>
      <c r="P354" s="359"/>
      <c r="Q354" s="359"/>
      <c r="R354" s="359"/>
      <c r="S354" s="359"/>
      <c r="T354" s="359"/>
      <c r="U354" s="359"/>
      <c r="V354" s="359"/>
      <c r="W354" s="359"/>
      <c r="X354" s="359"/>
      <c r="Y354" s="359"/>
      <c r="Z354" s="359"/>
      <c r="AA354" s="359"/>
    </row>
    <row r="355" spans="1:27" ht="12" customHeight="1" x14ac:dyDescent="0.25">
      <c r="A355" s="359"/>
      <c r="B355" s="359"/>
      <c r="C355" s="359"/>
      <c r="D355" s="359"/>
      <c r="E355" s="359"/>
      <c r="F355" s="359"/>
      <c r="G355" s="359"/>
      <c r="H355" s="359"/>
      <c r="I355" s="359"/>
      <c r="J355" s="359"/>
      <c r="K355" s="359"/>
      <c r="L355" s="359"/>
      <c r="M355" s="359"/>
      <c r="N355" s="359"/>
      <c r="O355" s="359"/>
      <c r="P355" s="359"/>
      <c r="Q355" s="359"/>
      <c r="R355" s="359"/>
      <c r="S355" s="359"/>
      <c r="T355" s="359"/>
      <c r="U355" s="359"/>
      <c r="V355" s="359"/>
      <c r="W355" s="359"/>
      <c r="X355" s="359"/>
      <c r="Y355" s="359"/>
      <c r="Z355" s="359"/>
      <c r="AA355" s="359"/>
    </row>
    <row r="356" spans="1:27" ht="12" customHeight="1" x14ac:dyDescent="0.25">
      <c r="A356" s="359"/>
      <c r="B356" s="359"/>
      <c r="C356" s="359"/>
      <c r="D356" s="359"/>
      <c r="E356" s="359"/>
      <c r="F356" s="359"/>
      <c r="G356" s="359"/>
      <c r="H356" s="359"/>
      <c r="I356" s="359"/>
      <c r="J356" s="359"/>
      <c r="K356" s="359"/>
      <c r="L356" s="359"/>
      <c r="M356" s="359"/>
      <c r="N356" s="359"/>
      <c r="O356" s="359"/>
      <c r="P356" s="359"/>
      <c r="Q356" s="359"/>
      <c r="R356" s="359"/>
      <c r="S356" s="359"/>
      <c r="T356" s="359"/>
      <c r="U356" s="359"/>
      <c r="V356" s="359"/>
      <c r="W356" s="359"/>
      <c r="X356" s="359"/>
      <c r="Y356" s="359"/>
      <c r="Z356" s="359"/>
      <c r="AA356" s="359"/>
    </row>
    <row r="357" spans="1:27" ht="12" customHeight="1" x14ac:dyDescent="0.25">
      <c r="A357" s="359"/>
      <c r="B357" s="359"/>
      <c r="C357" s="359"/>
      <c r="D357" s="359"/>
      <c r="E357" s="359"/>
      <c r="F357" s="359"/>
      <c r="G357" s="359"/>
      <c r="H357" s="359"/>
      <c r="I357" s="359"/>
      <c r="J357" s="359"/>
      <c r="K357" s="359"/>
      <c r="L357" s="359"/>
      <c r="M357" s="359"/>
      <c r="N357" s="359"/>
      <c r="O357" s="359"/>
      <c r="P357" s="359"/>
      <c r="Q357" s="359"/>
      <c r="R357" s="359"/>
      <c r="S357" s="359"/>
      <c r="T357" s="359"/>
      <c r="U357" s="359"/>
      <c r="V357" s="359"/>
      <c r="W357" s="359"/>
      <c r="X357" s="359"/>
      <c r="Y357" s="359"/>
      <c r="Z357" s="359"/>
      <c r="AA357" s="359"/>
    </row>
    <row r="358" spans="1:27" ht="12" customHeight="1" x14ac:dyDescent="0.25">
      <c r="A358" s="359"/>
      <c r="B358" s="359"/>
      <c r="C358" s="359"/>
      <c r="D358" s="359"/>
      <c r="E358" s="359"/>
      <c r="F358" s="359"/>
      <c r="G358" s="359"/>
      <c r="H358" s="359"/>
      <c r="I358" s="359"/>
      <c r="J358" s="359"/>
      <c r="K358" s="359"/>
      <c r="L358" s="359"/>
      <c r="M358" s="359"/>
      <c r="N358" s="359"/>
      <c r="O358" s="359"/>
      <c r="P358" s="359"/>
      <c r="Q358" s="359"/>
      <c r="R358" s="359"/>
      <c r="S358" s="359"/>
      <c r="T358" s="359"/>
      <c r="U358" s="359"/>
      <c r="V358" s="359"/>
      <c r="W358" s="359"/>
      <c r="X358" s="359"/>
      <c r="Y358" s="359"/>
      <c r="Z358" s="359"/>
      <c r="AA358" s="359"/>
    </row>
    <row r="359" spans="1:27" ht="12" customHeight="1" x14ac:dyDescent="0.25">
      <c r="A359" s="359"/>
      <c r="B359" s="359"/>
      <c r="C359" s="359"/>
      <c r="D359" s="359"/>
      <c r="E359" s="359"/>
      <c r="F359" s="359"/>
      <c r="G359" s="359"/>
      <c r="H359" s="359"/>
      <c r="I359" s="359"/>
      <c r="J359" s="359"/>
      <c r="K359" s="359"/>
      <c r="L359" s="359"/>
      <c r="M359" s="359"/>
      <c r="N359" s="359"/>
      <c r="O359" s="359"/>
      <c r="P359" s="359"/>
      <c r="Q359" s="359"/>
      <c r="R359" s="359"/>
      <c r="S359" s="359"/>
      <c r="T359" s="359"/>
      <c r="U359" s="359"/>
      <c r="V359" s="359"/>
      <c r="W359" s="359"/>
      <c r="X359" s="359"/>
      <c r="Y359" s="359"/>
      <c r="Z359" s="359"/>
      <c r="AA359" s="359"/>
    </row>
    <row r="360" spans="1:27" ht="12" customHeight="1" x14ac:dyDescent="0.25">
      <c r="A360" s="359"/>
      <c r="B360" s="359"/>
      <c r="C360" s="359"/>
      <c r="D360" s="359"/>
      <c r="E360" s="359"/>
      <c r="F360" s="359"/>
      <c r="G360" s="359"/>
      <c r="H360" s="359"/>
      <c r="I360" s="359"/>
      <c r="J360" s="359"/>
      <c r="K360" s="359"/>
      <c r="L360" s="359"/>
      <c r="M360" s="359"/>
      <c r="N360" s="359"/>
      <c r="O360" s="359"/>
      <c r="P360" s="359"/>
      <c r="Q360" s="359"/>
      <c r="R360" s="359"/>
      <c r="S360" s="359"/>
      <c r="T360" s="359"/>
      <c r="U360" s="359"/>
      <c r="V360" s="359"/>
      <c r="W360" s="359"/>
      <c r="X360" s="359"/>
      <c r="Y360" s="359"/>
      <c r="Z360" s="359"/>
      <c r="AA360" s="359"/>
    </row>
    <row r="361" spans="1:27" ht="12" customHeight="1" x14ac:dyDescent="0.25">
      <c r="A361" s="359"/>
      <c r="B361" s="359"/>
      <c r="C361" s="359"/>
      <c r="D361" s="359"/>
      <c r="E361" s="359"/>
      <c r="F361" s="359"/>
      <c r="G361" s="359"/>
      <c r="H361" s="359"/>
      <c r="I361" s="359"/>
      <c r="J361" s="359"/>
      <c r="K361" s="359"/>
      <c r="L361" s="359"/>
      <c r="M361" s="359"/>
      <c r="N361" s="359"/>
      <c r="O361" s="359"/>
      <c r="P361" s="359"/>
      <c r="Q361" s="359"/>
      <c r="R361" s="359"/>
      <c r="S361" s="359"/>
      <c r="T361" s="359"/>
      <c r="U361" s="359"/>
      <c r="V361" s="359"/>
      <c r="W361" s="359"/>
      <c r="X361" s="359"/>
      <c r="Y361" s="359"/>
      <c r="Z361" s="359"/>
      <c r="AA361" s="359"/>
    </row>
    <row r="362" spans="1:27" ht="12" customHeight="1" x14ac:dyDescent="0.25">
      <c r="A362" s="359"/>
      <c r="B362" s="359"/>
      <c r="C362" s="359"/>
      <c r="D362" s="359"/>
      <c r="E362" s="359"/>
      <c r="F362" s="359"/>
      <c r="G362" s="359"/>
      <c r="H362" s="359"/>
      <c r="I362" s="359"/>
      <c r="J362" s="359"/>
      <c r="K362" s="359"/>
      <c r="L362" s="359"/>
      <c r="M362" s="359"/>
      <c r="N362" s="359"/>
      <c r="O362" s="359"/>
      <c r="P362" s="359"/>
      <c r="Q362" s="359"/>
      <c r="R362" s="359"/>
      <c r="S362" s="359"/>
      <c r="T362" s="359"/>
      <c r="U362" s="359"/>
      <c r="V362" s="359"/>
      <c r="W362" s="359"/>
      <c r="X362" s="359"/>
      <c r="Y362" s="359"/>
      <c r="Z362" s="359"/>
      <c r="AA362" s="359"/>
    </row>
    <row r="363" spans="1:27" ht="12" customHeight="1" x14ac:dyDescent="0.25">
      <c r="A363" s="359"/>
      <c r="B363" s="359"/>
      <c r="C363" s="359"/>
      <c r="D363" s="359"/>
      <c r="E363" s="359"/>
      <c r="F363" s="359"/>
      <c r="G363" s="359"/>
      <c r="H363" s="359"/>
      <c r="I363" s="359"/>
      <c r="J363" s="359"/>
      <c r="K363" s="359"/>
      <c r="L363" s="359"/>
      <c r="M363" s="359"/>
      <c r="N363" s="359"/>
      <c r="O363" s="359"/>
      <c r="P363" s="359"/>
      <c r="Q363" s="359"/>
      <c r="R363" s="359"/>
      <c r="S363" s="359"/>
      <c r="T363" s="359"/>
      <c r="U363" s="359"/>
      <c r="V363" s="359"/>
      <c r="W363" s="359"/>
      <c r="X363" s="359"/>
      <c r="Y363" s="359"/>
      <c r="Z363" s="359"/>
      <c r="AA363" s="359"/>
    </row>
    <row r="364" spans="1:27" ht="12" customHeight="1" x14ac:dyDescent="0.25">
      <c r="A364" s="359"/>
      <c r="B364" s="359"/>
      <c r="C364" s="359"/>
      <c r="D364" s="359"/>
      <c r="E364" s="359"/>
      <c r="F364" s="359"/>
      <c r="G364" s="359"/>
      <c r="H364" s="359"/>
      <c r="I364" s="359"/>
      <c r="J364" s="359"/>
      <c r="K364" s="359"/>
      <c r="L364" s="359"/>
      <c r="M364" s="359"/>
      <c r="N364" s="359"/>
      <c r="O364" s="359"/>
      <c r="P364" s="359"/>
      <c r="Q364" s="359"/>
      <c r="R364" s="359"/>
      <c r="S364" s="359"/>
      <c r="T364" s="359"/>
      <c r="U364" s="359"/>
      <c r="V364" s="359"/>
      <c r="W364" s="359"/>
      <c r="X364" s="359"/>
      <c r="Y364" s="359"/>
      <c r="Z364" s="359"/>
      <c r="AA364" s="359"/>
    </row>
    <row r="365" spans="1:27" ht="12" customHeight="1" x14ac:dyDescent="0.25">
      <c r="A365" s="359"/>
      <c r="B365" s="359"/>
      <c r="C365" s="359"/>
      <c r="D365" s="359"/>
      <c r="E365" s="359"/>
      <c r="F365" s="359"/>
      <c r="G365" s="359"/>
      <c r="H365" s="359"/>
      <c r="I365" s="359"/>
      <c r="J365" s="359"/>
      <c r="K365" s="359"/>
      <c r="L365" s="359"/>
      <c r="M365" s="359"/>
      <c r="N365" s="359"/>
      <c r="O365" s="359"/>
      <c r="P365" s="359"/>
      <c r="Q365" s="359"/>
      <c r="R365" s="359"/>
      <c r="S365" s="359"/>
      <c r="T365" s="359"/>
      <c r="U365" s="359"/>
      <c r="V365" s="359"/>
      <c r="W365" s="359"/>
      <c r="X365" s="359"/>
      <c r="Y365" s="359"/>
      <c r="Z365" s="359"/>
      <c r="AA365" s="359"/>
    </row>
    <row r="366" spans="1:27" ht="12" customHeight="1" x14ac:dyDescent="0.25">
      <c r="A366" s="359"/>
      <c r="B366" s="359"/>
      <c r="C366" s="359"/>
      <c r="D366" s="359"/>
      <c r="E366" s="359"/>
      <c r="F366" s="359"/>
      <c r="G366" s="359"/>
      <c r="H366" s="359"/>
      <c r="I366" s="359"/>
      <c r="J366" s="359"/>
      <c r="K366" s="359"/>
      <c r="L366" s="359"/>
      <c r="M366" s="359"/>
      <c r="N366" s="359"/>
      <c r="O366" s="359"/>
      <c r="P366" s="359"/>
      <c r="Q366" s="359"/>
      <c r="R366" s="359"/>
      <c r="S366" s="359"/>
      <c r="T366" s="359"/>
      <c r="U366" s="359"/>
      <c r="V366" s="359"/>
      <c r="W366" s="359"/>
      <c r="X366" s="359"/>
      <c r="Y366" s="359"/>
      <c r="Z366" s="359"/>
      <c r="AA366" s="359"/>
    </row>
    <row r="367" spans="1:27" ht="12" customHeight="1" x14ac:dyDescent="0.25">
      <c r="A367" s="359"/>
      <c r="B367" s="359"/>
      <c r="C367" s="359"/>
      <c r="D367" s="359"/>
      <c r="E367" s="359"/>
      <c r="F367" s="359"/>
      <c r="G367" s="359"/>
      <c r="H367" s="359"/>
      <c r="I367" s="359"/>
      <c r="J367" s="359"/>
      <c r="K367" s="359"/>
      <c r="L367" s="359"/>
      <c r="M367" s="359"/>
      <c r="N367" s="359"/>
      <c r="O367" s="359"/>
      <c r="P367" s="359"/>
      <c r="Q367" s="359"/>
      <c r="R367" s="359"/>
      <c r="S367" s="359"/>
      <c r="T367" s="359"/>
      <c r="U367" s="359"/>
      <c r="V367" s="359"/>
      <c r="W367" s="359"/>
      <c r="X367" s="359"/>
      <c r="Y367" s="359"/>
      <c r="Z367" s="359"/>
      <c r="AA367" s="359"/>
    </row>
    <row r="368" spans="1:27" ht="12" customHeight="1" x14ac:dyDescent="0.25">
      <c r="A368" s="359"/>
      <c r="B368" s="359"/>
      <c r="C368" s="359"/>
      <c r="D368" s="359"/>
      <c r="E368" s="359"/>
      <c r="F368" s="359"/>
      <c r="G368" s="359"/>
      <c r="H368" s="359"/>
      <c r="I368" s="359"/>
      <c r="J368" s="359"/>
      <c r="K368" s="359"/>
      <c r="L368" s="359"/>
      <c r="M368" s="359"/>
      <c r="N368" s="359"/>
      <c r="O368" s="359"/>
      <c r="P368" s="359"/>
      <c r="Q368" s="359"/>
      <c r="R368" s="359"/>
      <c r="S368" s="359"/>
      <c r="T368" s="359"/>
      <c r="U368" s="359"/>
      <c r="V368" s="359"/>
      <c r="W368" s="359"/>
      <c r="X368" s="359"/>
      <c r="Y368" s="359"/>
      <c r="Z368" s="359"/>
      <c r="AA368" s="359"/>
    </row>
    <row r="369" spans="1:27" ht="12" customHeight="1" x14ac:dyDescent="0.25">
      <c r="A369" s="359"/>
      <c r="B369" s="359"/>
      <c r="C369" s="359"/>
      <c r="D369" s="359"/>
      <c r="E369" s="359"/>
      <c r="F369" s="359"/>
      <c r="G369" s="359"/>
      <c r="H369" s="359"/>
      <c r="I369" s="359"/>
      <c r="J369" s="359"/>
      <c r="K369" s="359"/>
      <c r="L369" s="359"/>
      <c r="M369" s="359"/>
      <c r="N369" s="359"/>
      <c r="O369" s="359"/>
      <c r="P369" s="359"/>
      <c r="Q369" s="359"/>
      <c r="R369" s="359"/>
      <c r="S369" s="359"/>
      <c r="T369" s="359"/>
      <c r="U369" s="359"/>
      <c r="V369" s="359"/>
      <c r="W369" s="359"/>
      <c r="X369" s="359"/>
      <c r="Y369" s="359"/>
      <c r="Z369" s="359"/>
      <c r="AA369" s="359"/>
    </row>
    <row r="370" spans="1:27" ht="12" customHeight="1" x14ac:dyDescent="0.25">
      <c r="A370" s="359"/>
      <c r="B370" s="359"/>
      <c r="C370" s="359"/>
      <c r="D370" s="359"/>
      <c r="E370" s="359"/>
      <c r="F370" s="359"/>
      <c r="G370" s="359"/>
      <c r="H370" s="359"/>
      <c r="I370" s="359"/>
      <c r="J370" s="359"/>
      <c r="K370" s="359"/>
      <c r="L370" s="359"/>
      <c r="M370" s="359"/>
      <c r="N370" s="359"/>
      <c r="O370" s="359"/>
      <c r="P370" s="359"/>
      <c r="Q370" s="359"/>
      <c r="R370" s="359"/>
      <c r="S370" s="359"/>
      <c r="T370" s="359"/>
      <c r="U370" s="359"/>
      <c r="V370" s="359"/>
      <c r="W370" s="359"/>
      <c r="X370" s="359"/>
      <c r="Y370" s="359"/>
      <c r="Z370" s="359"/>
      <c r="AA370" s="359"/>
    </row>
    <row r="371" spans="1:27" ht="12" customHeight="1" x14ac:dyDescent="0.25">
      <c r="A371" s="359"/>
      <c r="B371" s="359"/>
      <c r="C371" s="359"/>
      <c r="D371" s="359"/>
      <c r="E371" s="359"/>
      <c r="F371" s="359"/>
      <c r="G371" s="359"/>
      <c r="H371" s="359"/>
      <c r="I371" s="359"/>
      <c r="J371" s="359"/>
      <c r="K371" s="359"/>
      <c r="L371" s="359"/>
      <c r="M371" s="359"/>
      <c r="N371" s="359"/>
      <c r="O371" s="359"/>
      <c r="P371" s="359"/>
      <c r="Q371" s="359"/>
      <c r="R371" s="359"/>
      <c r="S371" s="359"/>
      <c r="T371" s="359"/>
      <c r="U371" s="359"/>
      <c r="V371" s="359"/>
      <c r="W371" s="359"/>
      <c r="X371" s="359"/>
      <c r="Y371" s="359"/>
      <c r="Z371" s="359"/>
      <c r="AA371" s="359"/>
    </row>
    <row r="372" spans="1:27" ht="12" customHeight="1" x14ac:dyDescent="0.25">
      <c r="A372" s="359"/>
      <c r="B372" s="359"/>
      <c r="C372" s="359"/>
      <c r="D372" s="359"/>
      <c r="E372" s="359"/>
      <c r="F372" s="359"/>
      <c r="G372" s="359"/>
      <c r="H372" s="359"/>
      <c r="I372" s="359"/>
      <c r="J372" s="359"/>
      <c r="K372" s="359"/>
      <c r="L372" s="359"/>
      <c r="M372" s="359"/>
      <c r="N372" s="359"/>
      <c r="O372" s="359"/>
      <c r="P372" s="359"/>
      <c r="Q372" s="359"/>
      <c r="R372" s="359"/>
      <c r="S372" s="359"/>
      <c r="T372" s="359"/>
      <c r="U372" s="359"/>
      <c r="V372" s="359"/>
      <c r="W372" s="359"/>
      <c r="X372" s="359"/>
      <c r="Y372" s="359"/>
      <c r="Z372" s="359"/>
      <c r="AA372" s="359"/>
    </row>
    <row r="373" spans="1:27" ht="12" customHeight="1" x14ac:dyDescent="0.25">
      <c r="A373" s="359"/>
      <c r="B373" s="359"/>
      <c r="C373" s="359"/>
      <c r="D373" s="359"/>
      <c r="E373" s="359"/>
      <c r="F373" s="359"/>
      <c r="G373" s="359"/>
      <c r="H373" s="359"/>
      <c r="I373" s="359"/>
      <c r="J373" s="359"/>
      <c r="K373" s="359"/>
      <c r="L373" s="359"/>
      <c r="M373" s="359"/>
      <c r="N373" s="359"/>
      <c r="O373" s="359"/>
      <c r="P373" s="359"/>
      <c r="Q373" s="359"/>
      <c r="R373" s="359"/>
      <c r="S373" s="359"/>
      <c r="T373" s="359"/>
      <c r="U373" s="359"/>
      <c r="V373" s="359"/>
      <c r="W373" s="359"/>
      <c r="X373" s="359"/>
      <c r="Y373" s="359"/>
      <c r="Z373" s="359"/>
      <c r="AA373" s="359"/>
    </row>
    <row r="374" spans="1:27" ht="12" customHeight="1" x14ac:dyDescent="0.25">
      <c r="A374" s="359"/>
      <c r="B374" s="359"/>
      <c r="C374" s="359"/>
      <c r="D374" s="359"/>
      <c r="E374" s="359"/>
      <c r="F374" s="359"/>
      <c r="G374" s="359"/>
      <c r="H374" s="359"/>
      <c r="I374" s="359"/>
      <c r="J374" s="359"/>
      <c r="K374" s="359"/>
      <c r="L374" s="359"/>
      <c r="M374" s="359"/>
      <c r="N374" s="359"/>
      <c r="O374" s="359"/>
      <c r="P374" s="359"/>
      <c r="Q374" s="359"/>
      <c r="R374" s="359"/>
      <c r="S374" s="359"/>
      <c r="T374" s="359"/>
      <c r="U374" s="359"/>
      <c r="V374" s="359"/>
      <c r="W374" s="359"/>
      <c r="X374" s="359"/>
      <c r="Y374" s="359"/>
      <c r="Z374" s="359"/>
      <c r="AA374" s="359"/>
    </row>
    <row r="375" spans="1:27" ht="12" customHeight="1" x14ac:dyDescent="0.25">
      <c r="A375" s="359"/>
      <c r="B375" s="359"/>
      <c r="C375" s="359"/>
      <c r="D375" s="359"/>
      <c r="E375" s="359"/>
      <c r="F375" s="359"/>
      <c r="G375" s="359"/>
      <c r="H375" s="359"/>
      <c r="I375" s="359"/>
      <c r="J375" s="359"/>
      <c r="K375" s="359"/>
      <c r="L375" s="359"/>
      <c r="M375" s="359"/>
      <c r="N375" s="359"/>
      <c r="O375" s="359"/>
      <c r="P375" s="359"/>
      <c r="Q375" s="359"/>
      <c r="R375" s="359"/>
      <c r="S375" s="359"/>
      <c r="T375" s="359"/>
      <c r="U375" s="359"/>
      <c r="V375" s="359"/>
      <c r="W375" s="359"/>
      <c r="X375" s="359"/>
      <c r="Y375" s="359"/>
      <c r="Z375" s="359"/>
      <c r="AA375" s="359"/>
    </row>
    <row r="376" spans="1:27" ht="12" customHeight="1" x14ac:dyDescent="0.25">
      <c r="A376" s="359"/>
      <c r="B376" s="359"/>
      <c r="C376" s="359"/>
      <c r="D376" s="359"/>
      <c r="E376" s="359"/>
      <c r="F376" s="359"/>
      <c r="G376" s="359"/>
      <c r="H376" s="359"/>
      <c r="I376" s="359"/>
      <c r="J376" s="359"/>
      <c r="K376" s="359"/>
      <c r="L376" s="359"/>
      <c r="M376" s="359"/>
      <c r="N376" s="359"/>
      <c r="O376" s="359"/>
      <c r="P376" s="359"/>
      <c r="Q376" s="359"/>
      <c r="R376" s="359"/>
      <c r="S376" s="359"/>
      <c r="T376" s="359"/>
      <c r="U376" s="359"/>
      <c r="V376" s="359"/>
      <c r="W376" s="359"/>
      <c r="X376" s="359"/>
      <c r="Y376" s="359"/>
      <c r="Z376" s="359"/>
      <c r="AA376" s="359"/>
    </row>
    <row r="377" spans="1:27" ht="12" customHeight="1" x14ac:dyDescent="0.25">
      <c r="A377" s="359"/>
      <c r="B377" s="359"/>
      <c r="C377" s="359"/>
      <c r="D377" s="359"/>
      <c r="E377" s="359"/>
      <c r="F377" s="359"/>
      <c r="G377" s="359"/>
      <c r="H377" s="359"/>
      <c r="I377" s="359"/>
      <c r="J377" s="359"/>
      <c r="K377" s="359"/>
      <c r="L377" s="359"/>
      <c r="M377" s="359"/>
      <c r="N377" s="359"/>
      <c r="O377" s="359"/>
      <c r="P377" s="359"/>
      <c r="Q377" s="359"/>
      <c r="R377" s="359"/>
      <c r="S377" s="359"/>
      <c r="T377" s="359"/>
      <c r="U377" s="359"/>
      <c r="V377" s="359"/>
      <c r="W377" s="359"/>
      <c r="X377" s="359"/>
      <c r="Y377" s="359"/>
      <c r="Z377" s="359"/>
      <c r="AA377" s="359"/>
    </row>
    <row r="378" spans="1:27" ht="12" customHeight="1" x14ac:dyDescent="0.25">
      <c r="A378" s="359"/>
      <c r="B378" s="359"/>
      <c r="C378" s="359"/>
      <c r="D378" s="359"/>
      <c r="E378" s="359"/>
      <c r="F378" s="359"/>
      <c r="G378" s="359"/>
      <c r="H378" s="359"/>
      <c r="I378" s="359"/>
      <c r="J378" s="359"/>
      <c r="K378" s="359"/>
      <c r="L378" s="359"/>
      <c r="M378" s="359"/>
      <c r="N378" s="359"/>
      <c r="O378" s="359"/>
      <c r="P378" s="359"/>
      <c r="Q378" s="359"/>
      <c r="R378" s="359"/>
      <c r="S378" s="359"/>
      <c r="T378" s="359"/>
      <c r="U378" s="359"/>
      <c r="V378" s="359"/>
      <c r="W378" s="359"/>
      <c r="X378" s="359"/>
      <c r="Y378" s="359"/>
      <c r="Z378" s="359"/>
      <c r="AA378" s="359"/>
    </row>
    <row r="379" spans="1:27" ht="12" customHeight="1" x14ac:dyDescent="0.25">
      <c r="A379" s="359"/>
      <c r="B379" s="359"/>
      <c r="C379" s="359"/>
      <c r="D379" s="359"/>
      <c r="E379" s="359"/>
      <c r="F379" s="359"/>
      <c r="G379" s="359"/>
      <c r="H379" s="359"/>
      <c r="I379" s="359"/>
      <c r="J379" s="359"/>
      <c r="K379" s="359"/>
      <c r="L379" s="359"/>
      <c r="M379" s="359"/>
      <c r="N379" s="359"/>
      <c r="O379" s="359"/>
      <c r="P379" s="359"/>
      <c r="Q379" s="359"/>
      <c r="R379" s="359"/>
      <c r="S379" s="359"/>
      <c r="T379" s="359"/>
      <c r="U379" s="359"/>
      <c r="V379" s="359"/>
      <c r="W379" s="359"/>
      <c r="X379" s="359"/>
      <c r="Y379" s="359"/>
      <c r="Z379" s="359"/>
      <c r="AA379" s="359"/>
    </row>
    <row r="380" spans="1:27" ht="12" customHeight="1" x14ac:dyDescent="0.25">
      <c r="A380" s="359"/>
      <c r="B380" s="359"/>
      <c r="C380" s="359"/>
      <c r="D380" s="359"/>
      <c r="E380" s="359"/>
      <c r="F380" s="359"/>
      <c r="G380" s="359"/>
      <c r="H380" s="359"/>
      <c r="I380" s="359"/>
      <c r="J380" s="359"/>
      <c r="K380" s="359"/>
      <c r="L380" s="359"/>
      <c r="M380" s="359"/>
      <c r="N380" s="359"/>
      <c r="O380" s="359"/>
      <c r="P380" s="359"/>
      <c r="Q380" s="359"/>
      <c r="R380" s="359"/>
      <c r="S380" s="359"/>
      <c r="T380" s="359"/>
      <c r="U380" s="359"/>
      <c r="V380" s="359"/>
      <c r="W380" s="359"/>
      <c r="X380" s="359"/>
      <c r="Y380" s="359"/>
      <c r="Z380" s="359"/>
      <c r="AA380" s="359"/>
    </row>
    <row r="381" spans="1:27" ht="12" customHeight="1" x14ac:dyDescent="0.25">
      <c r="A381" s="359"/>
      <c r="B381" s="359"/>
      <c r="C381" s="359"/>
      <c r="D381" s="359"/>
      <c r="E381" s="359"/>
      <c r="F381" s="359"/>
      <c r="G381" s="359"/>
      <c r="H381" s="359"/>
      <c r="I381" s="359"/>
      <c r="J381" s="359"/>
      <c r="K381" s="359"/>
      <c r="L381" s="359"/>
      <c r="M381" s="359"/>
      <c r="N381" s="359"/>
      <c r="O381" s="359"/>
      <c r="P381" s="359"/>
      <c r="Q381" s="359"/>
      <c r="R381" s="359"/>
      <c r="S381" s="359"/>
      <c r="T381" s="359"/>
      <c r="U381" s="359"/>
      <c r="V381" s="359"/>
      <c r="W381" s="359"/>
      <c r="X381" s="359"/>
      <c r="Y381" s="359"/>
      <c r="Z381" s="359"/>
      <c r="AA381" s="359"/>
    </row>
    <row r="382" spans="1:27" ht="12" customHeight="1" x14ac:dyDescent="0.25">
      <c r="A382" s="359"/>
      <c r="B382" s="359"/>
      <c r="C382" s="359"/>
      <c r="D382" s="359"/>
      <c r="E382" s="359"/>
      <c r="F382" s="359"/>
      <c r="G382" s="359"/>
      <c r="H382" s="359"/>
      <c r="I382" s="359"/>
      <c r="J382" s="359"/>
      <c r="K382" s="359"/>
      <c r="L382" s="359"/>
      <c r="M382" s="359"/>
      <c r="N382" s="359"/>
      <c r="O382" s="359"/>
      <c r="P382" s="359"/>
      <c r="Q382" s="359"/>
      <c r="R382" s="359"/>
      <c r="S382" s="359"/>
      <c r="T382" s="359"/>
      <c r="U382" s="359"/>
      <c r="V382" s="359"/>
      <c r="W382" s="359"/>
      <c r="X382" s="359"/>
      <c r="Y382" s="359"/>
      <c r="Z382" s="359"/>
      <c r="AA382" s="359"/>
    </row>
    <row r="383" spans="1:27" ht="12" customHeight="1" x14ac:dyDescent="0.25">
      <c r="A383" s="359"/>
      <c r="B383" s="359"/>
      <c r="C383" s="359"/>
      <c r="D383" s="359"/>
      <c r="E383" s="359"/>
      <c r="F383" s="359"/>
      <c r="G383" s="359"/>
      <c r="H383" s="359"/>
      <c r="I383" s="359"/>
      <c r="J383" s="359"/>
      <c r="K383" s="359"/>
      <c r="L383" s="359"/>
      <c r="M383" s="359"/>
      <c r="N383" s="359"/>
      <c r="O383" s="359"/>
      <c r="P383" s="359"/>
      <c r="Q383" s="359"/>
      <c r="R383" s="359"/>
      <c r="S383" s="359"/>
      <c r="T383" s="359"/>
      <c r="U383" s="359"/>
      <c r="V383" s="359"/>
      <c r="W383" s="359"/>
      <c r="X383" s="359"/>
      <c r="Y383" s="359"/>
      <c r="Z383" s="359"/>
      <c r="AA383" s="359"/>
    </row>
    <row r="384" spans="1:27" ht="12" customHeight="1" x14ac:dyDescent="0.25">
      <c r="A384" s="359"/>
      <c r="B384" s="359"/>
      <c r="C384" s="359"/>
      <c r="D384" s="359"/>
      <c r="E384" s="359"/>
      <c r="F384" s="359"/>
      <c r="G384" s="359"/>
      <c r="H384" s="359"/>
      <c r="I384" s="359"/>
      <c r="J384" s="359"/>
      <c r="K384" s="359"/>
      <c r="L384" s="359"/>
      <c r="M384" s="359"/>
      <c r="N384" s="359"/>
      <c r="O384" s="359"/>
      <c r="P384" s="359"/>
      <c r="Q384" s="359"/>
      <c r="R384" s="359"/>
      <c r="S384" s="359"/>
      <c r="T384" s="359"/>
      <c r="U384" s="359"/>
      <c r="V384" s="359"/>
      <c r="W384" s="359"/>
      <c r="X384" s="359"/>
      <c r="Y384" s="359"/>
      <c r="Z384" s="359"/>
      <c r="AA384" s="359"/>
    </row>
    <row r="385" spans="1:27" ht="12" customHeight="1" x14ac:dyDescent="0.25">
      <c r="A385" s="359"/>
      <c r="B385" s="359"/>
      <c r="C385" s="359"/>
      <c r="D385" s="359"/>
      <c r="E385" s="359"/>
      <c r="F385" s="359"/>
      <c r="G385" s="359"/>
      <c r="H385" s="359"/>
      <c r="I385" s="359"/>
      <c r="J385" s="359"/>
      <c r="K385" s="359"/>
      <c r="L385" s="359"/>
      <c r="M385" s="359"/>
      <c r="N385" s="359"/>
      <c r="O385" s="359"/>
      <c r="P385" s="359"/>
      <c r="Q385" s="359"/>
      <c r="R385" s="359"/>
      <c r="S385" s="359"/>
      <c r="T385" s="359"/>
      <c r="U385" s="359"/>
      <c r="V385" s="359"/>
      <c r="W385" s="359"/>
      <c r="X385" s="359"/>
      <c r="Y385" s="359"/>
      <c r="Z385" s="359"/>
      <c r="AA385" s="359"/>
    </row>
    <row r="386" spans="1:27" ht="12" customHeight="1" x14ac:dyDescent="0.25">
      <c r="A386" s="359"/>
      <c r="B386" s="359"/>
      <c r="C386" s="359"/>
      <c r="D386" s="359"/>
      <c r="E386" s="359"/>
      <c r="F386" s="359"/>
      <c r="G386" s="359"/>
      <c r="H386" s="359"/>
      <c r="I386" s="359"/>
      <c r="J386" s="359"/>
      <c r="K386" s="359"/>
      <c r="L386" s="359"/>
      <c r="M386" s="359"/>
      <c r="N386" s="359"/>
      <c r="O386" s="359"/>
      <c r="P386" s="359"/>
      <c r="Q386" s="359"/>
      <c r="R386" s="359"/>
      <c r="S386" s="359"/>
      <c r="T386" s="359"/>
      <c r="U386" s="359"/>
      <c r="V386" s="359"/>
      <c r="W386" s="359"/>
      <c r="X386" s="359"/>
      <c r="Y386" s="359"/>
      <c r="Z386" s="359"/>
      <c r="AA386" s="359"/>
    </row>
    <row r="387" spans="1:27" ht="12" customHeight="1" x14ac:dyDescent="0.25">
      <c r="A387" s="359"/>
      <c r="B387" s="359"/>
      <c r="C387" s="359"/>
      <c r="D387" s="359"/>
      <c r="E387" s="359"/>
      <c r="F387" s="359"/>
      <c r="G387" s="359"/>
      <c r="H387" s="359"/>
      <c r="I387" s="359"/>
      <c r="J387" s="359"/>
      <c r="K387" s="359"/>
      <c r="L387" s="359"/>
      <c r="M387" s="359"/>
      <c r="N387" s="359"/>
      <c r="O387" s="359"/>
      <c r="P387" s="359"/>
      <c r="Q387" s="359"/>
      <c r="R387" s="359"/>
      <c r="S387" s="359"/>
      <c r="T387" s="359"/>
      <c r="U387" s="359"/>
      <c r="V387" s="359"/>
      <c r="W387" s="359"/>
      <c r="X387" s="359"/>
      <c r="Y387" s="359"/>
      <c r="Z387" s="359"/>
      <c r="AA387" s="359"/>
    </row>
    <row r="388" spans="1:27" ht="12" customHeight="1" x14ac:dyDescent="0.25">
      <c r="A388" s="359"/>
      <c r="B388" s="359"/>
      <c r="C388" s="359"/>
      <c r="D388" s="359"/>
      <c r="E388" s="359"/>
      <c r="F388" s="359"/>
      <c r="G388" s="359"/>
      <c r="H388" s="359"/>
      <c r="I388" s="359"/>
      <c r="J388" s="359"/>
      <c r="K388" s="359"/>
      <c r="L388" s="359"/>
      <c r="M388" s="359"/>
      <c r="N388" s="359"/>
      <c r="O388" s="359"/>
      <c r="P388" s="359"/>
      <c r="Q388" s="359"/>
      <c r="R388" s="359"/>
      <c r="S388" s="359"/>
      <c r="T388" s="359"/>
      <c r="U388" s="359"/>
      <c r="V388" s="359"/>
      <c r="W388" s="359"/>
      <c r="X388" s="359"/>
      <c r="Y388" s="359"/>
      <c r="Z388" s="359"/>
      <c r="AA388" s="359"/>
    </row>
    <row r="389" spans="1:27" ht="12" customHeight="1" x14ac:dyDescent="0.25">
      <c r="A389" s="359"/>
      <c r="B389" s="359"/>
      <c r="C389" s="359"/>
      <c r="D389" s="359"/>
      <c r="E389" s="359"/>
      <c r="F389" s="359"/>
      <c r="G389" s="359"/>
      <c r="H389" s="359"/>
      <c r="I389" s="359"/>
      <c r="J389" s="359"/>
      <c r="K389" s="359"/>
      <c r="L389" s="359"/>
      <c r="M389" s="359"/>
      <c r="N389" s="359"/>
      <c r="O389" s="359"/>
      <c r="P389" s="359"/>
      <c r="Q389" s="359"/>
      <c r="R389" s="359"/>
      <c r="S389" s="359"/>
      <c r="T389" s="359"/>
      <c r="U389" s="359"/>
      <c r="V389" s="359"/>
      <c r="W389" s="359"/>
      <c r="X389" s="359"/>
      <c r="Y389" s="359"/>
      <c r="Z389" s="359"/>
      <c r="AA389" s="359"/>
    </row>
    <row r="390" spans="1:27" ht="12" customHeight="1" x14ac:dyDescent="0.25">
      <c r="A390" s="359"/>
      <c r="B390" s="359"/>
      <c r="C390" s="359"/>
      <c r="D390" s="359"/>
      <c r="E390" s="359"/>
      <c r="F390" s="359"/>
      <c r="G390" s="359"/>
      <c r="H390" s="359"/>
      <c r="I390" s="359"/>
      <c r="J390" s="359"/>
      <c r="K390" s="359"/>
      <c r="L390" s="359"/>
      <c r="M390" s="359"/>
      <c r="N390" s="359"/>
      <c r="O390" s="359"/>
      <c r="P390" s="359"/>
      <c r="Q390" s="359"/>
      <c r="R390" s="359"/>
      <c r="S390" s="359"/>
      <c r="T390" s="359"/>
      <c r="U390" s="359"/>
      <c r="V390" s="359"/>
      <c r="W390" s="359"/>
      <c r="X390" s="359"/>
      <c r="Y390" s="359"/>
      <c r="Z390" s="359"/>
      <c r="AA390" s="359"/>
    </row>
    <row r="391" spans="1:27" ht="12" customHeight="1" x14ac:dyDescent="0.25">
      <c r="A391" s="359"/>
      <c r="B391" s="359"/>
      <c r="C391" s="359"/>
      <c r="D391" s="359"/>
      <c r="E391" s="359"/>
      <c r="F391" s="359"/>
      <c r="G391" s="359"/>
      <c r="H391" s="359"/>
      <c r="I391" s="359"/>
      <c r="J391" s="359"/>
      <c r="K391" s="359"/>
      <c r="L391" s="359"/>
      <c r="M391" s="359"/>
      <c r="N391" s="359"/>
      <c r="O391" s="359"/>
      <c r="P391" s="359"/>
      <c r="Q391" s="359"/>
      <c r="R391" s="359"/>
      <c r="S391" s="359"/>
      <c r="T391" s="359"/>
      <c r="U391" s="359"/>
      <c r="V391" s="359"/>
      <c r="W391" s="359"/>
      <c r="X391" s="359"/>
      <c r="Y391" s="359"/>
      <c r="Z391" s="359"/>
      <c r="AA391" s="359"/>
    </row>
    <row r="392" spans="1:27" ht="12" customHeight="1" x14ac:dyDescent="0.25">
      <c r="A392" s="359"/>
      <c r="B392" s="359"/>
      <c r="C392" s="359"/>
      <c r="D392" s="359"/>
      <c r="E392" s="359"/>
      <c r="F392" s="359"/>
      <c r="G392" s="359"/>
      <c r="H392" s="359"/>
      <c r="I392" s="359"/>
      <c r="J392" s="359"/>
      <c r="K392" s="359"/>
      <c r="L392" s="359"/>
      <c r="M392" s="359"/>
      <c r="N392" s="359"/>
      <c r="O392" s="359"/>
      <c r="P392" s="359"/>
      <c r="Q392" s="359"/>
      <c r="R392" s="359"/>
      <c r="S392" s="359"/>
      <c r="T392" s="359"/>
      <c r="U392" s="359"/>
      <c r="V392" s="359"/>
      <c r="W392" s="359"/>
      <c r="X392" s="359"/>
      <c r="Y392" s="359"/>
      <c r="Z392" s="359"/>
      <c r="AA392" s="359"/>
    </row>
    <row r="393" spans="1:27" ht="12" customHeight="1" x14ac:dyDescent="0.25">
      <c r="A393" s="359"/>
      <c r="B393" s="359"/>
      <c r="C393" s="359"/>
      <c r="D393" s="359"/>
      <c r="E393" s="359"/>
      <c r="F393" s="359"/>
      <c r="G393" s="359"/>
      <c r="H393" s="359"/>
      <c r="I393" s="359"/>
      <c r="J393" s="359"/>
      <c r="K393" s="359"/>
      <c r="L393" s="359"/>
      <c r="M393" s="359"/>
      <c r="N393" s="359"/>
      <c r="O393" s="359"/>
      <c r="P393" s="359"/>
      <c r="Q393" s="359"/>
      <c r="R393" s="359"/>
      <c r="S393" s="359"/>
      <c r="T393" s="359"/>
      <c r="U393" s="359"/>
      <c r="V393" s="359"/>
      <c r="W393" s="359"/>
      <c r="X393" s="359"/>
      <c r="Y393" s="359"/>
      <c r="Z393" s="359"/>
      <c r="AA393" s="359"/>
    </row>
    <row r="394" spans="1:27" ht="12" customHeight="1" x14ac:dyDescent="0.25">
      <c r="A394" s="359"/>
      <c r="B394" s="359"/>
      <c r="C394" s="359"/>
      <c r="D394" s="359"/>
      <c r="E394" s="359"/>
      <c r="F394" s="359"/>
      <c r="G394" s="359"/>
      <c r="H394" s="359"/>
      <c r="I394" s="359"/>
      <c r="J394" s="359"/>
      <c r="K394" s="359"/>
      <c r="L394" s="359"/>
      <c r="M394" s="359"/>
      <c r="N394" s="359"/>
      <c r="O394" s="359"/>
      <c r="P394" s="359"/>
      <c r="Q394" s="359"/>
      <c r="R394" s="359"/>
      <c r="S394" s="359"/>
      <c r="T394" s="359"/>
      <c r="U394" s="359"/>
      <c r="V394" s="359"/>
      <c r="W394" s="359"/>
      <c r="X394" s="359"/>
      <c r="Y394" s="359"/>
      <c r="Z394" s="359"/>
      <c r="AA394" s="359"/>
    </row>
    <row r="395" spans="1:27" ht="12" customHeight="1" x14ac:dyDescent="0.25">
      <c r="A395" s="359"/>
      <c r="B395" s="359"/>
      <c r="C395" s="359"/>
      <c r="D395" s="359"/>
      <c r="E395" s="359"/>
      <c r="F395" s="359"/>
      <c r="G395" s="359"/>
      <c r="H395" s="359"/>
      <c r="I395" s="359"/>
      <c r="J395" s="359"/>
      <c r="K395" s="359"/>
      <c r="L395" s="359"/>
      <c r="M395" s="359"/>
      <c r="N395" s="359"/>
      <c r="O395" s="359"/>
      <c r="P395" s="359"/>
      <c r="Q395" s="359"/>
      <c r="R395" s="359"/>
      <c r="S395" s="359"/>
      <c r="T395" s="359"/>
      <c r="U395" s="359"/>
      <c r="V395" s="359"/>
      <c r="W395" s="359"/>
      <c r="X395" s="359"/>
      <c r="Y395" s="359"/>
      <c r="Z395" s="359"/>
      <c r="AA395" s="359"/>
    </row>
    <row r="396" spans="1:27" ht="12" customHeight="1" x14ac:dyDescent="0.25">
      <c r="A396" s="359"/>
      <c r="B396" s="359"/>
      <c r="C396" s="359"/>
      <c r="D396" s="359"/>
      <c r="E396" s="359"/>
      <c r="F396" s="359"/>
      <c r="G396" s="359"/>
      <c r="H396" s="359"/>
      <c r="I396" s="359"/>
      <c r="J396" s="359"/>
      <c r="K396" s="359"/>
      <c r="L396" s="359"/>
      <c r="M396" s="359"/>
      <c r="N396" s="359"/>
      <c r="O396" s="359"/>
      <c r="P396" s="359"/>
      <c r="Q396" s="359"/>
      <c r="R396" s="359"/>
      <c r="S396" s="359"/>
      <c r="T396" s="359"/>
      <c r="U396" s="359"/>
      <c r="V396" s="359"/>
      <c r="W396" s="359"/>
      <c r="X396" s="359"/>
      <c r="Y396" s="359"/>
      <c r="Z396" s="359"/>
      <c r="AA396" s="359"/>
    </row>
    <row r="397" spans="1:27" ht="12" customHeight="1" x14ac:dyDescent="0.25">
      <c r="A397" s="359"/>
      <c r="B397" s="359"/>
      <c r="C397" s="359"/>
      <c r="D397" s="359"/>
      <c r="E397" s="359"/>
      <c r="F397" s="359"/>
      <c r="G397" s="359"/>
      <c r="H397" s="359"/>
      <c r="I397" s="359"/>
      <c r="J397" s="359"/>
      <c r="K397" s="359"/>
      <c r="L397" s="359"/>
      <c r="M397" s="359"/>
      <c r="N397" s="359"/>
      <c r="O397" s="359"/>
      <c r="P397" s="359"/>
      <c r="Q397" s="359"/>
      <c r="R397" s="359"/>
      <c r="S397" s="359"/>
      <c r="T397" s="359"/>
      <c r="U397" s="359"/>
      <c r="V397" s="359"/>
      <c r="W397" s="359"/>
      <c r="X397" s="359"/>
      <c r="Y397" s="359"/>
      <c r="Z397" s="359"/>
      <c r="AA397" s="359"/>
    </row>
    <row r="398" spans="1:27" ht="12" customHeight="1" x14ac:dyDescent="0.25">
      <c r="A398" s="359"/>
      <c r="B398" s="359"/>
      <c r="C398" s="359"/>
      <c r="D398" s="359"/>
      <c r="E398" s="359"/>
      <c r="F398" s="359"/>
      <c r="G398" s="359"/>
      <c r="H398" s="359"/>
      <c r="I398" s="359"/>
      <c r="J398" s="359"/>
      <c r="K398" s="359"/>
      <c r="L398" s="359"/>
      <c r="M398" s="359"/>
      <c r="N398" s="359"/>
      <c r="O398" s="359"/>
      <c r="P398" s="359"/>
      <c r="Q398" s="359"/>
      <c r="R398" s="359"/>
      <c r="S398" s="359"/>
      <c r="T398" s="359"/>
      <c r="U398" s="359"/>
      <c r="V398" s="359"/>
      <c r="W398" s="359"/>
      <c r="X398" s="359"/>
      <c r="Y398" s="359"/>
      <c r="Z398" s="359"/>
      <c r="AA398" s="359"/>
    </row>
    <row r="399" spans="1:27" ht="12" customHeight="1" x14ac:dyDescent="0.25">
      <c r="A399" s="359"/>
      <c r="B399" s="359"/>
      <c r="C399" s="359"/>
      <c r="D399" s="359"/>
      <c r="E399" s="359"/>
      <c r="F399" s="359"/>
      <c r="G399" s="359"/>
      <c r="H399" s="359"/>
      <c r="I399" s="359"/>
      <c r="J399" s="359"/>
      <c r="K399" s="359"/>
      <c r="L399" s="359"/>
      <c r="M399" s="359"/>
      <c r="N399" s="359"/>
      <c r="O399" s="359"/>
      <c r="P399" s="359"/>
      <c r="Q399" s="359"/>
      <c r="R399" s="359"/>
      <c r="S399" s="359"/>
      <c r="T399" s="359"/>
      <c r="U399" s="359"/>
      <c r="V399" s="359"/>
      <c r="W399" s="359"/>
      <c r="X399" s="359"/>
      <c r="Y399" s="359"/>
      <c r="Z399" s="359"/>
      <c r="AA399" s="359"/>
    </row>
    <row r="400" spans="1:27" ht="12" customHeight="1" x14ac:dyDescent="0.25">
      <c r="A400" s="359"/>
      <c r="B400" s="359"/>
      <c r="C400" s="359"/>
      <c r="D400" s="359"/>
      <c r="E400" s="359"/>
      <c r="F400" s="359"/>
      <c r="G400" s="359"/>
      <c r="H400" s="359"/>
      <c r="I400" s="359"/>
      <c r="J400" s="359"/>
      <c r="K400" s="359"/>
      <c r="L400" s="359"/>
      <c r="M400" s="359"/>
      <c r="N400" s="359"/>
      <c r="O400" s="359"/>
      <c r="P400" s="359"/>
      <c r="Q400" s="359"/>
      <c r="R400" s="359"/>
      <c r="S400" s="359"/>
      <c r="T400" s="359"/>
      <c r="U400" s="359"/>
      <c r="V400" s="359"/>
      <c r="W400" s="359"/>
      <c r="X400" s="359"/>
      <c r="Y400" s="359"/>
      <c r="Z400" s="359"/>
      <c r="AA400" s="359"/>
    </row>
    <row r="401" spans="1:27" ht="12" customHeight="1" x14ac:dyDescent="0.25">
      <c r="A401" s="359"/>
      <c r="B401" s="359"/>
      <c r="C401" s="359"/>
      <c r="D401" s="359"/>
      <c r="E401" s="359"/>
      <c r="F401" s="359"/>
      <c r="G401" s="359"/>
      <c r="H401" s="359"/>
      <c r="I401" s="359"/>
      <c r="J401" s="359"/>
      <c r="K401" s="359"/>
      <c r="L401" s="359"/>
      <c r="M401" s="359"/>
      <c r="N401" s="359"/>
      <c r="O401" s="359"/>
      <c r="P401" s="359"/>
      <c r="Q401" s="359"/>
      <c r="R401" s="359"/>
      <c r="S401" s="359"/>
      <c r="T401" s="359"/>
      <c r="U401" s="359"/>
      <c r="V401" s="359"/>
      <c r="W401" s="359"/>
      <c r="X401" s="359"/>
      <c r="Y401" s="359"/>
      <c r="Z401" s="359"/>
      <c r="AA401" s="359"/>
    </row>
    <row r="402" spans="1:27" ht="12" customHeight="1" x14ac:dyDescent="0.25">
      <c r="A402" s="359"/>
      <c r="B402" s="359"/>
      <c r="C402" s="359"/>
      <c r="D402" s="359"/>
      <c r="E402" s="359"/>
      <c r="F402" s="359"/>
      <c r="G402" s="359"/>
      <c r="H402" s="359"/>
      <c r="I402" s="359"/>
      <c r="J402" s="359"/>
      <c r="K402" s="359"/>
      <c r="L402" s="359"/>
      <c r="M402" s="359"/>
      <c r="N402" s="359"/>
      <c r="O402" s="359"/>
      <c r="P402" s="359"/>
      <c r="Q402" s="359"/>
      <c r="R402" s="359"/>
      <c r="S402" s="359"/>
      <c r="T402" s="359"/>
      <c r="U402" s="359"/>
      <c r="V402" s="359"/>
      <c r="W402" s="359"/>
      <c r="X402" s="359"/>
      <c r="Y402" s="359"/>
      <c r="Z402" s="359"/>
      <c r="AA402" s="359"/>
    </row>
    <row r="403" spans="1:27" ht="12" customHeight="1" x14ac:dyDescent="0.25">
      <c r="A403" s="359"/>
      <c r="B403" s="359"/>
      <c r="C403" s="359"/>
      <c r="D403" s="359"/>
      <c r="E403" s="359"/>
      <c r="F403" s="359"/>
      <c r="G403" s="359"/>
      <c r="H403" s="359"/>
      <c r="I403" s="359"/>
      <c r="J403" s="359"/>
      <c r="K403" s="359"/>
      <c r="L403" s="359"/>
      <c r="M403" s="359"/>
      <c r="N403" s="359"/>
      <c r="O403" s="359"/>
      <c r="P403" s="359"/>
      <c r="Q403" s="359"/>
      <c r="R403" s="359"/>
      <c r="S403" s="359"/>
      <c r="T403" s="359"/>
      <c r="U403" s="359"/>
      <c r="V403" s="359"/>
      <c r="W403" s="359"/>
      <c r="X403" s="359"/>
      <c r="Y403" s="359"/>
      <c r="Z403" s="359"/>
      <c r="AA403" s="359"/>
    </row>
    <row r="404" spans="1:27" ht="12" customHeight="1" x14ac:dyDescent="0.25">
      <c r="A404" s="359"/>
      <c r="B404" s="359"/>
      <c r="C404" s="359"/>
      <c r="D404" s="359"/>
      <c r="E404" s="359"/>
      <c r="F404" s="359"/>
      <c r="G404" s="359"/>
      <c r="H404" s="359"/>
      <c r="I404" s="359"/>
      <c r="J404" s="359"/>
      <c r="K404" s="359"/>
      <c r="L404" s="359"/>
      <c r="M404" s="359"/>
      <c r="N404" s="359"/>
      <c r="O404" s="359"/>
      <c r="P404" s="359"/>
      <c r="Q404" s="359"/>
      <c r="R404" s="359"/>
      <c r="S404" s="359"/>
      <c r="T404" s="359"/>
      <c r="U404" s="359"/>
      <c r="V404" s="359"/>
      <c r="W404" s="359"/>
      <c r="X404" s="359"/>
      <c r="Y404" s="359"/>
      <c r="Z404" s="359"/>
      <c r="AA404" s="359"/>
    </row>
    <row r="405" spans="1:27" ht="12" customHeight="1" x14ac:dyDescent="0.25">
      <c r="A405" s="359"/>
      <c r="B405" s="359"/>
      <c r="C405" s="359"/>
      <c r="D405" s="359"/>
      <c r="E405" s="359"/>
      <c r="F405" s="359"/>
      <c r="G405" s="359"/>
      <c r="H405" s="359"/>
      <c r="I405" s="359"/>
      <c r="J405" s="359"/>
      <c r="K405" s="359"/>
      <c r="L405" s="359"/>
      <c r="M405" s="359"/>
      <c r="N405" s="359"/>
      <c r="O405" s="359"/>
      <c r="P405" s="359"/>
      <c r="Q405" s="359"/>
      <c r="R405" s="359"/>
      <c r="S405" s="359"/>
      <c r="T405" s="359"/>
      <c r="U405" s="359"/>
      <c r="V405" s="359"/>
      <c r="W405" s="359"/>
      <c r="X405" s="359"/>
      <c r="Y405" s="359"/>
      <c r="Z405" s="359"/>
      <c r="AA405" s="359"/>
    </row>
    <row r="406" spans="1:27" ht="12" customHeight="1" x14ac:dyDescent="0.25">
      <c r="A406" s="359"/>
      <c r="B406" s="359"/>
      <c r="C406" s="359"/>
      <c r="D406" s="359"/>
      <c r="E406" s="359"/>
      <c r="F406" s="359"/>
      <c r="G406" s="359"/>
      <c r="H406" s="359"/>
      <c r="I406" s="359"/>
      <c r="J406" s="359"/>
      <c r="K406" s="359"/>
      <c r="L406" s="359"/>
      <c r="M406" s="359"/>
      <c r="N406" s="359"/>
      <c r="O406" s="359"/>
      <c r="P406" s="359"/>
      <c r="Q406" s="359"/>
      <c r="R406" s="359"/>
      <c r="S406" s="359"/>
      <c r="T406" s="359"/>
      <c r="U406" s="359"/>
      <c r="V406" s="359"/>
      <c r="W406" s="359"/>
      <c r="X406" s="359"/>
      <c r="Y406" s="359"/>
      <c r="Z406" s="359"/>
      <c r="AA406" s="359"/>
    </row>
    <row r="407" spans="1:27" ht="12" customHeight="1" x14ac:dyDescent="0.25">
      <c r="A407" s="359"/>
      <c r="B407" s="359"/>
      <c r="C407" s="359"/>
      <c r="D407" s="359"/>
      <c r="E407" s="359"/>
      <c r="F407" s="359"/>
      <c r="G407" s="359"/>
      <c r="H407" s="359"/>
      <c r="I407" s="359"/>
      <c r="J407" s="359"/>
      <c r="K407" s="359"/>
      <c r="L407" s="359"/>
      <c r="M407" s="359"/>
      <c r="N407" s="359"/>
      <c r="O407" s="359"/>
      <c r="P407" s="359"/>
      <c r="Q407" s="359"/>
      <c r="R407" s="359"/>
      <c r="S407" s="359"/>
      <c r="T407" s="359"/>
      <c r="U407" s="359"/>
      <c r="V407" s="359"/>
      <c r="W407" s="359"/>
      <c r="X407" s="359"/>
      <c r="Y407" s="359"/>
      <c r="Z407" s="359"/>
      <c r="AA407" s="359"/>
    </row>
    <row r="408" spans="1:27" ht="12" customHeight="1" x14ac:dyDescent="0.25">
      <c r="A408" s="359"/>
      <c r="B408" s="359"/>
      <c r="C408" s="359"/>
      <c r="D408" s="359"/>
      <c r="E408" s="359"/>
      <c r="F408" s="359"/>
      <c r="G408" s="359"/>
      <c r="H408" s="359"/>
      <c r="I408" s="359"/>
      <c r="J408" s="359"/>
      <c r="K408" s="359"/>
      <c r="L408" s="359"/>
      <c r="M408" s="359"/>
      <c r="N408" s="359"/>
      <c r="O408" s="359"/>
      <c r="P408" s="359"/>
      <c r="Q408" s="359"/>
      <c r="R408" s="359"/>
      <c r="S408" s="359"/>
      <c r="T408" s="359"/>
      <c r="U408" s="359"/>
      <c r="V408" s="359"/>
      <c r="W408" s="359"/>
      <c r="X408" s="359"/>
      <c r="Y408" s="359"/>
      <c r="Z408" s="359"/>
      <c r="AA408" s="359"/>
    </row>
    <row r="409" spans="1:27" ht="12" customHeight="1" x14ac:dyDescent="0.25">
      <c r="A409" s="359"/>
      <c r="B409" s="359"/>
      <c r="C409" s="359"/>
      <c r="D409" s="359"/>
      <c r="E409" s="359"/>
      <c r="F409" s="359"/>
      <c r="G409" s="359"/>
      <c r="H409" s="359"/>
      <c r="I409" s="359"/>
      <c r="J409" s="359"/>
      <c r="K409" s="359"/>
      <c r="L409" s="359"/>
      <c r="M409" s="359"/>
      <c r="N409" s="359"/>
      <c r="O409" s="359"/>
      <c r="P409" s="359"/>
      <c r="Q409" s="359"/>
      <c r="R409" s="359"/>
      <c r="S409" s="359"/>
      <c r="T409" s="359"/>
      <c r="U409" s="359"/>
      <c r="V409" s="359"/>
      <c r="W409" s="359"/>
      <c r="X409" s="359"/>
      <c r="Y409" s="359"/>
      <c r="Z409" s="359"/>
      <c r="AA409" s="359"/>
    </row>
    <row r="410" spans="1:27" ht="12" customHeight="1" x14ac:dyDescent="0.25">
      <c r="A410" s="359"/>
      <c r="B410" s="359"/>
      <c r="C410" s="359"/>
      <c r="D410" s="359"/>
      <c r="E410" s="359"/>
      <c r="F410" s="359"/>
      <c r="G410" s="359"/>
      <c r="H410" s="359"/>
      <c r="I410" s="359"/>
      <c r="J410" s="359"/>
      <c r="K410" s="359"/>
      <c r="L410" s="359"/>
      <c r="M410" s="359"/>
      <c r="N410" s="359"/>
      <c r="O410" s="359"/>
      <c r="P410" s="359"/>
      <c r="Q410" s="359"/>
      <c r="R410" s="359"/>
      <c r="S410" s="359"/>
      <c r="T410" s="359"/>
      <c r="U410" s="359"/>
      <c r="V410" s="359"/>
      <c r="W410" s="359"/>
      <c r="X410" s="359"/>
      <c r="Y410" s="359"/>
      <c r="Z410" s="359"/>
      <c r="AA410" s="359"/>
    </row>
    <row r="411" spans="1:27" ht="12" customHeight="1" x14ac:dyDescent="0.25">
      <c r="A411" s="359"/>
      <c r="B411" s="359"/>
      <c r="C411" s="359"/>
      <c r="D411" s="359"/>
      <c r="E411" s="359"/>
      <c r="F411" s="359"/>
      <c r="G411" s="359"/>
      <c r="H411" s="359"/>
      <c r="I411" s="359"/>
      <c r="J411" s="359"/>
      <c r="K411" s="359"/>
      <c r="L411" s="359"/>
      <c r="M411" s="359"/>
      <c r="N411" s="359"/>
      <c r="O411" s="359"/>
      <c r="P411" s="359"/>
      <c r="Q411" s="359"/>
      <c r="R411" s="359"/>
      <c r="S411" s="359"/>
      <c r="T411" s="359"/>
      <c r="U411" s="359"/>
      <c r="V411" s="359"/>
      <c r="W411" s="359"/>
      <c r="X411" s="359"/>
      <c r="Y411" s="359"/>
      <c r="Z411" s="359"/>
      <c r="AA411" s="359"/>
    </row>
    <row r="412" spans="1:27" ht="12" customHeight="1" x14ac:dyDescent="0.25">
      <c r="A412" s="359"/>
      <c r="B412" s="359"/>
      <c r="C412" s="359"/>
      <c r="D412" s="359"/>
      <c r="E412" s="359"/>
      <c r="F412" s="359"/>
      <c r="G412" s="359"/>
      <c r="H412" s="359"/>
      <c r="I412" s="359"/>
      <c r="J412" s="359"/>
      <c r="K412" s="359"/>
      <c r="L412" s="359"/>
      <c r="M412" s="359"/>
      <c r="N412" s="359"/>
      <c r="O412" s="359"/>
      <c r="P412" s="359"/>
      <c r="Q412" s="359"/>
      <c r="R412" s="359"/>
      <c r="S412" s="359"/>
      <c r="T412" s="359"/>
      <c r="U412" s="359"/>
      <c r="V412" s="359"/>
      <c r="W412" s="359"/>
      <c r="X412" s="359"/>
      <c r="Y412" s="359"/>
      <c r="Z412" s="359"/>
      <c r="AA412" s="359"/>
    </row>
    <row r="413" spans="1:27" ht="12" customHeight="1" x14ac:dyDescent="0.25">
      <c r="A413" s="359"/>
      <c r="B413" s="359"/>
      <c r="C413" s="359"/>
      <c r="D413" s="359"/>
      <c r="E413" s="359"/>
      <c r="F413" s="359"/>
      <c r="G413" s="359"/>
      <c r="H413" s="359"/>
      <c r="I413" s="359"/>
      <c r="J413" s="359"/>
      <c r="K413" s="359"/>
      <c r="L413" s="359"/>
      <c r="M413" s="359"/>
      <c r="N413" s="359"/>
      <c r="O413" s="359"/>
      <c r="P413" s="359"/>
      <c r="Q413" s="359"/>
      <c r="R413" s="359"/>
      <c r="S413" s="359"/>
      <c r="T413" s="359"/>
      <c r="U413" s="359"/>
      <c r="V413" s="359"/>
      <c r="W413" s="359"/>
      <c r="X413" s="359"/>
      <c r="Y413" s="359"/>
      <c r="Z413" s="359"/>
      <c r="AA413" s="359"/>
    </row>
    <row r="414" spans="1:27" ht="12" customHeight="1" x14ac:dyDescent="0.25">
      <c r="A414" s="359"/>
      <c r="B414" s="359"/>
      <c r="C414" s="359"/>
      <c r="D414" s="359"/>
      <c r="E414" s="359"/>
      <c r="F414" s="359"/>
      <c r="G414" s="359"/>
      <c r="H414" s="359"/>
      <c r="I414" s="359"/>
      <c r="J414" s="359"/>
      <c r="K414" s="359"/>
      <c r="L414" s="359"/>
      <c r="M414" s="359"/>
      <c r="N414" s="359"/>
      <c r="O414" s="359"/>
      <c r="P414" s="359"/>
      <c r="Q414" s="359"/>
      <c r="R414" s="359"/>
      <c r="S414" s="359"/>
      <c r="T414" s="359"/>
      <c r="U414" s="359"/>
      <c r="V414" s="359"/>
      <c r="W414" s="359"/>
      <c r="X414" s="359"/>
      <c r="Y414" s="359"/>
      <c r="Z414" s="359"/>
      <c r="AA414" s="359"/>
    </row>
    <row r="415" spans="1:27" ht="12" customHeight="1" x14ac:dyDescent="0.25">
      <c r="A415" s="359"/>
      <c r="B415" s="359"/>
      <c r="C415" s="359"/>
      <c r="D415" s="359"/>
      <c r="E415" s="359"/>
      <c r="F415" s="359"/>
      <c r="G415" s="359"/>
      <c r="H415" s="359"/>
      <c r="I415" s="359"/>
      <c r="J415" s="359"/>
      <c r="K415" s="359"/>
      <c r="L415" s="359"/>
      <c r="M415" s="359"/>
      <c r="N415" s="359"/>
      <c r="O415" s="359"/>
      <c r="P415" s="359"/>
      <c r="Q415" s="359"/>
      <c r="R415" s="359"/>
      <c r="S415" s="359"/>
      <c r="T415" s="359"/>
      <c r="U415" s="359"/>
      <c r="V415" s="359"/>
      <c r="W415" s="359"/>
      <c r="X415" s="359"/>
      <c r="Y415" s="359"/>
      <c r="Z415" s="359"/>
      <c r="AA415" s="359"/>
    </row>
    <row r="416" spans="1:27" ht="12" customHeight="1" x14ac:dyDescent="0.25">
      <c r="A416" s="359"/>
      <c r="B416" s="359"/>
      <c r="C416" s="359"/>
      <c r="D416" s="359"/>
      <c r="E416" s="359"/>
      <c r="F416" s="359"/>
      <c r="G416" s="359"/>
      <c r="H416" s="359"/>
      <c r="I416" s="359"/>
      <c r="J416" s="359"/>
      <c r="K416" s="359"/>
      <c r="L416" s="359"/>
      <c r="M416" s="359"/>
      <c r="N416" s="359"/>
      <c r="O416" s="359"/>
      <c r="P416" s="359"/>
      <c r="Q416" s="359"/>
      <c r="R416" s="359"/>
      <c r="S416" s="359"/>
      <c r="T416" s="359"/>
      <c r="U416" s="359"/>
      <c r="V416" s="359"/>
      <c r="W416" s="359"/>
      <c r="X416" s="359"/>
      <c r="Y416" s="359"/>
      <c r="Z416" s="359"/>
      <c r="AA416" s="359"/>
    </row>
    <row r="417" spans="1:27" ht="12" customHeight="1" x14ac:dyDescent="0.25">
      <c r="A417" s="359"/>
      <c r="B417" s="359"/>
      <c r="C417" s="359"/>
      <c r="D417" s="359"/>
      <c r="E417" s="359"/>
      <c r="F417" s="359"/>
      <c r="G417" s="359"/>
      <c r="H417" s="359"/>
      <c r="I417" s="359"/>
      <c r="J417" s="359"/>
      <c r="K417" s="359"/>
      <c r="L417" s="359"/>
      <c r="M417" s="359"/>
      <c r="N417" s="359"/>
      <c r="O417" s="359"/>
      <c r="P417" s="359"/>
      <c r="Q417" s="359"/>
      <c r="R417" s="359"/>
      <c r="S417" s="359"/>
      <c r="T417" s="359"/>
      <c r="U417" s="359"/>
      <c r="V417" s="359"/>
      <c r="W417" s="359"/>
      <c r="X417" s="359"/>
      <c r="Y417" s="359"/>
      <c r="Z417" s="359"/>
      <c r="AA417" s="359"/>
    </row>
    <row r="418" spans="1:27" ht="12" customHeight="1" x14ac:dyDescent="0.25">
      <c r="A418" s="359"/>
      <c r="B418" s="359"/>
      <c r="C418" s="359"/>
      <c r="D418" s="359"/>
      <c r="E418" s="359"/>
      <c r="F418" s="359"/>
      <c r="G418" s="359"/>
      <c r="H418" s="359"/>
      <c r="I418" s="359"/>
      <c r="J418" s="359"/>
      <c r="K418" s="359"/>
      <c r="L418" s="359"/>
      <c r="M418" s="359"/>
      <c r="N418" s="359"/>
      <c r="O418" s="359"/>
      <c r="P418" s="359"/>
      <c r="Q418" s="359"/>
      <c r="R418" s="359"/>
      <c r="S418" s="359"/>
      <c r="T418" s="359"/>
      <c r="U418" s="359"/>
      <c r="V418" s="359"/>
      <c r="W418" s="359"/>
      <c r="X418" s="359"/>
      <c r="Y418" s="359"/>
      <c r="Z418" s="359"/>
      <c r="AA418" s="359"/>
    </row>
    <row r="419" spans="1:27" ht="12" customHeight="1" x14ac:dyDescent="0.25">
      <c r="A419" s="359"/>
      <c r="B419" s="359"/>
      <c r="C419" s="359"/>
      <c r="D419" s="359"/>
      <c r="E419" s="359"/>
      <c r="F419" s="359"/>
      <c r="G419" s="359"/>
      <c r="H419" s="359"/>
      <c r="I419" s="359"/>
      <c r="J419" s="359"/>
      <c r="K419" s="359"/>
      <c r="L419" s="359"/>
      <c r="M419" s="359"/>
      <c r="N419" s="359"/>
      <c r="O419" s="359"/>
      <c r="P419" s="359"/>
      <c r="Q419" s="359"/>
      <c r="R419" s="359"/>
      <c r="S419" s="359"/>
      <c r="T419" s="359"/>
      <c r="U419" s="359"/>
      <c r="V419" s="359"/>
      <c r="W419" s="359"/>
      <c r="X419" s="359"/>
      <c r="Y419" s="359"/>
      <c r="Z419" s="359"/>
      <c r="AA419" s="359"/>
    </row>
    <row r="420" spans="1:27" ht="12" customHeight="1" x14ac:dyDescent="0.25">
      <c r="A420" s="359"/>
      <c r="B420" s="359"/>
      <c r="C420" s="359"/>
      <c r="D420" s="359"/>
      <c r="E420" s="359"/>
      <c r="F420" s="359"/>
      <c r="G420" s="359"/>
      <c r="H420" s="359"/>
      <c r="I420" s="359"/>
      <c r="J420" s="359"/>
      <c r="K420" s="359"/>
      <c r="L420" s="359"/>
      <c r="M420" s="359"/>
      <c r="N420" s="359"/>
      <c r="O420" s="359"/>
      <c r="P420" s="359"/>
      <c r="Q420" s="359"/>
      <c r="R420" s="359"/>
      <c r="S420" s="359"/>
      <c r="T420" s="359"/>
      <c r="U420" s="359"/>
      <c r="V420" s="359"/>
      <c r="W420" s="359"/>
      <c r="X420" s="359"/>
      <c r="Y420" s="359"/>
      <c r="Z420" s="359"/>
      <c r="AA420" s="359"/>
    </row>
    <row r="421" spans="1:27" ht="12" customHeight="1" x14ac:dyDescent="0.25">
      <c r="A421" s="359"/>
      <c r="B421" s="359"/>
      <c r="C421" s="359"/>
      <c r="D421" s="359"/>
      <c r="E421" s="359"/>
      <c r="F421" s="359"/>
      <c r="G421" s="359"/>
      <c r="H421" s="359"/>
      <c r="I421" s="359"/>
      <c r="J421" s="359"/>
      <c r="K421" s="359"/>
      <c r="L421" s="359"/>
      <c r="M421" s="359"/>
      <c r="N421" s="359"/>
      <c r="O421" s="359"/>
      <c r="P421" s="359"/>
      <c r="Q421" s="359"/>
      <c r="R421" s="359"/>
      <c r="S421" s="359"/>
      <c r="T421" s="359"/>
      <c r="U421" s="359"/>
      <c r="V421" s="359"/>
      <c r="W421" s="359"/>
      <c r="X421" s="359"/>
      <c r="Y421" s="359"/>
      <c r="Z421" s="359"/>
      <c r="AA421" s="359"/>
    </row>
    <row r="422" spans="1:27" ht="12" customHeight="1" x14ac:dyDescent="0.25">
      <c r="A422" s="359"/>
      <c r="B422" s="359"/>
      <c r="C422" s="359"/>
      <c r="D422" s="359"/>
      <c r="E422" s="359"/>
      <c r="F422" s="359"/>
      <c r="G422" s="359"/>
      <c r="H422" s="359"/>
      <c r="I422" s="359"/>
      <c r="J422" s="359"/>
      <c r="K422" s="359"/>
      <c r="L422" s="359"/>
      <c r="M422" s="359"/>
      <c r="N422" s="359"/>
      <c r="O422" s="359"/>
      <c r="P422" s="359"/>
      <c r="Q422" s="359"/>
      <c r="R422" s="359"/>
      <c r="S422" s="359"/>
      <c r="T422" s="359"/>
      <c r="U422" s="359"/>
      <c r="V422" s="359"/>
      <c r="W422" s="359"/>
      <c r="X422" s="359"/>
      <c r="Y422" s="359"/>
      <c r="Z422" s="359"/>
      <c r="AA422" s="359"/>
    </row>
    <row r="423" spans="1:27" ht="12" customHeight="1" x14ac:dyDescent="0.25">
      <c r="A423" s="359"/>
      <c r="B423" s="359"/>
      <c r="C423" s="359"/>
      <c r="D423" s="359"/>
      <c r="E423" s="359"/>
      <c r="F423" s="359"/>
      <c r="G423" s="359"/>
      <c r="H423" s="359"/>
      <c r="I423" s="359"/>
      <c r="J423" s="359"/>
      <c r="K423" s="359"/>
      <c r="L423" s="359"/>
      <c r="M423" s="359"/>
      <c r="N423" s="359"/>
      <c r="O423" s="359"/>
      <c r="P423" s="359"/>
      <c r="Q423" s="359"/>
      <c r="R423" s="359"/>
      <c r="S423" s="359"/>
      <c r="T423" s="359"/>
      <c r="U423" s="359"/>
      <c r="V423" s="359"/>
      <c r="W423" s="359"/>
      <c r="X423" s="359"/>
      <c r="Y423" s="359"/>
      <c r="Z423" s="359"/>
      <c r="AA423" s="359"/>
    </row>
    <row r="424" spans="1:27" ht="12" customHeight="1" x14ac:dyDescent="0.25">
      <c r="A424" s="359"/>
      <c r="B424" s="359"/>
      <c r="C424" s="359"/>
      <c r="D424" s="359"/>
      <c r="E424" s="359"/>
      <c r="F424" s="359"/>
      <c r="G424" s="359"/>
      <c r="H424" s="359"/>
      <c r="I424" s="359"/>
      <c r="J424" s="359"/>
      <c r="K424" s="359"/>
      <c r="L424" s="359"/>
      <c r="M424" s="359"/>
      <c r="N424" s="359"/>
      <c r="O424" s="359"/>
      <c r="P424" s="359"/>
      <c r="Q424" s="359"/>
      <c r="R424" s="359"/>
      <c r="S424" s="359"/>
      <c r="T424" s="359"/>
      <c r="U424" s="359"/>
      <c r="V424" s="359"/>
      <c r="W424" s="359"/>
      <c r="X424" s="359"/>
      <c r="Y424" s="359"/>
      <c r="Z424" s="359"/>
      <c r="AA424" s="359"/>
    </row>
    <row r="425" spans="1:27" ht="12" customHeight="1" x14ac:dyDescent="0.25">
      <c r="A425" s="359"/>
      <c r="B425" s="359"/>
      <c r="C425" s="359"/>
      <c r="D425" s="359"/>
      <c r="E425" s="359"/>
      <c r="F425" s="359"/>
      <c r="G425" s="359"/>
      <c r="H425" s="359"/>
      <c r="I425" s="359"/>
      <c r="J425" s="359"/>
      <c r="K425" s="359"/>
      <c r="L425" s="359"/>
      <c r="M425" s="359"/>
      <c r="N425" s="359"/>
      <c r="O425" s="359"/>
      <c r="P425" s="359"/>
      <c r="Q425" s="359"/>
      <c r="R425" s="359"/>
      <c r="S425" s="359"/>
      <c r="T425" s="359"/>
      <c r="U425" s="359"/>
      <c r="V425" s="359"/>
      <c r="W425" s="359"/>
      <c r="X425" s="359"/>
      <c r="Y425" s="359"/>
      <c r="Z425" s="359"/>
      <c r="AA425" s="359"/>
    </row>
    <row r="426" spans="1:27" ht="12" customHeight="1" x14ac:dyDescent="0.25">
      <c r="A426" s="359"/>
      <c r="B426" s="359"/>
      <c r="C426" s="359"/>
      <c r="D426" s="359"/>
      <c r="E426" s="359"/>
      <c r="F426" s="359"/>
      <c r="G426" s="359"/>
      <c r="H426" s="359"/>
      <c r="I426" s="359"/>
      <c r="J426" s="359"/>
      <c r="K426" s="359"/>
      <c r="L426" s="359"/>
      <c r="M426" s="359"/>
      <c r="N426" s="359"/>
      <c r="O426" s="359"/>
      <c r="P426" s="359"/>
      <c r="Q426" s="359"/>
      <c r="R426" s="359"/>
      <c r="S426" s="359"/>
      <c r="T426" s="359"/>
      <c r="U426" s="359"/>
      <c r="V426" s="359"/>
      <c r="W426" s="359"/>
      <c r="X426" s="359"/>
      <c r="Y426" s="359"/>
      <c r="Z426" s="359"/>
      <c r="AA426" s="359"/>
    </row>
    <row r="427" spans="1:27" ht="12" customHeight="1" x14ac:dyDescent="0.25">
      <c r="A427" s="359"/>
      <c r="B427" s="359"/>
      <c r="C427" s="359"/>
      <c r="D427" s="359"/>
      <c r="E427" s="359"/>
      <c r="F427" s="359"/>
      <c r="G427" s="359"/>
      <c r="H427" s="359"/>
      <c r="I427" s="359"/>
      <c r="J427" s="359"/>
      <c r="K427" s="359"/>
      <c r="L427" s="359"/>
      <c r="M427" s="359"/>
      <c r="N427" s="359"/>
      <c r="O427" s="359"/>
      <c r="P427" s="359"/>
      <c r="Q427" s="359"/>
      <c r="R427" s="359"/>
      <c r="S427" s="359"/>
      <c r="T427" s="359"/>
      <c r="U427" s="359"/>
      <c r="V427" s="359"/>
      <c r="W427" s="359"/>
      <c r="X427" s="359"/>
      <c r="Y427" s="359"/>
      <c r="Z427" s="359"/>
      <c r="AA427" s="359"/>
    </row>
    <row r="428" spans="1:27" ht="12" customHeight="1" x14ac:dyDescent="0.25">
      <c r="A428" s="359"/>
      <c r="B428" s="359"/>
      <c r="C428" s="359"/>
      <c r="D428" s="359"/>
      <c r="E428" s="359"/>
      <c r="F428" s="359"/>
      <c r="G428" s="359"/>
      <c r="H428" s="359"/>
      <c r="I428" s="359"/>
      <c r="J428" s="359"/>
      <c r="K428" s="359"/>
      <c r="L428" s="359"/>
      <c r="M428" s="359"/>
      <c r="N428" s="359"/>
      <c r="O428" s="359"/>
      <c r="P428" s="359"/>
      <c r="Q428" s="359"/>
      <c r="R428" s="359"/>
      <c r="S428" s="359"/>
      <c r="T428" s="359"/>
      <c r="U428" s="359"/>
      <c r="V428" s="359"/>
      <c r="W428" s="359"/>
      <c r="X428" s="359"/>
      <c r="Y428" s="359"/>
      <c r="Z428" s="359"/>
      <c r="AA428" s="359"/>
    </row>
    <row r="429" spans="1:27" ht="12" customHeight="1" x14ac:dyDescent="0.25">
      <c r="A429" s="359"/>
      <c r="B429" s="359"/>
      <c r="C429" s="359"/>
      <c r="D429" s="359"/>
      <c r="E429" s="359"/>
      <c r="F429" s="359"/>
      <c r="G429" s="359"/>
      <c r="H429" s="359"/>
      <c r="I429" s="359"/>
      <c r="J429" s="359"/>
      <c r="K429" s="359"/>
      <c r="L429" s="359"/>
      <c r="M429" s="359"/>
      <c r="N429" s="359"/>
      <c r="O429" s="359"/>
      <c r="P429" s="359"/>
      <c r="Q429" s="359"/>
      <c r="R429" s="359"/>
      <c r="S429" s="359"/>
      <c r="T429" s="359"/>
      <c r="U429" s="359"/>
      <c r="V429" s="359"/>
      <c r="W429" s="359"/>
      <c r="X429" s="359"/>
      <c r="Y429" s="359"/>
      <c r="Z429" s="359"/>
      <c r="AA429" s="359"/>
    </row>
    <row r="430" spans="1:27" ht="12" customHeight="1" x14ac:dyDescent="0.25">
      <c r="A430" s="359"/>
      <c r="B430" s="359"/>
      <c r="C430" s="359"/>
      <c r="D430" s="359"/>
      <c r="E430" s="359"/>
      <c r="F430" s="359"/>
      <c r="G430" s="359"/>
      <c r="H430" s="359"/>
      <c r="I430" s="359"/>
      <c r="J430" s="359"/>
      <c r="K430" s="359"/>
      <c r="L430" s="359"/>
      <c r="M430" s="359"/>
      <c r="N430" s="359"/>
      <c r="O430" s="359"/>
      <c r="P430" s="359"/>
      <c r="Q430" s="359"/>
      <c r="R430" s="359"/>
      <c r="S430" s="359"/>
      <c r="T430" s="359"/>
      <c r="U430" s="359"/>
      <c r="V430" s="359"/>
      <c r="W430" s="359"/>
      <c r="X430" s="359"/>
      <c r="Y430" s="359"/>
      <c r="Z430" s="359"/>
      <c r="AA430" s="359"/>
    </row>
    <row r="431" spans="1:27" ht="12" customHeight="1" x14ac:dyDescent="0.25">
      <c r="A431" s="359"/>
      <c r="B431" s="359"/>
      <c r="C431" s="359"/>
      <c r="D431" s="359"/>
      <c r="E431" s="359"/>
      <c r="F431" s="359"/>
      <c r="G431" s="359"/>
      <c r="H431" s="359"/>
      <c r="I431" s="359"/>
      <c r="J431" s="359"/>
      <c r="K431" s="359"/>
      <c r="L431" s="359"/>
      <c r="M431" s="359"/>
      <c r="N431" s="359"/>
      <c r="O431" s="359"/>
      <c r="P431" s="359"/>
      <c r="Q431" s="359"/>
      <c r="R431" s="359"/>
      <c r="S431" s="359"/>
      <c r="T431" s="359"/>
      <c r="U431" s="359"/>
      <c r="V431" s="359"/>
      <c r="W431" s="359"/>
      <c r="X431" s="359"/>
      <c r="Y431" s="359"/>
      <c r="Z431" s="359"/>
      <c r="AA431" s="359"/>
    </row>
    <row r="432" spans="1:27" ht="12" customHeight="1" x14ac:dyDescent="0.25">
      <c r="A432" s="359"/>
      <c r="B432" s="359"/>
      <c r="C432" s="359"/>
      <c r="D432" s="359"/>
      <c r="E432" s="359"/>
      <c r="F432" s="359"/>
      <c r="G432" s="359"/>
      <c r="H432" s="359"/>
      <c r="I432" s="359"/>
      <c r="J432" s="359"/>
      <c r="K432" s="359"/>
      <c r="L432" s="359"/>
      <c r="M432" s="359"/>
      <c r="N432" s="359"/>
      <c r="O432" s="359"/>
      <c r="P432" s="359"/>
      <c r="Q432" s="359"/>
      <c r="R432" s="359"/>
      <c r="S432" s="359"/>
      <c r="T432" s="359"/>
      <c r="U432" s="359"/>
      <c r="V432" s="359"/>
      <c r="W432" s="359"/>
      <c r="X432" s="359"/>
      <c r="Y432" s="359"/>
      <c r="Z432" s="359"/>
      <c r="AA432" s="359"/>
    </row>
    <row r="433" spans="1:27" ht="12" customHeight="1" x14ac:dyDescent="0.25">
      <c r="A433" s="359"/>
      <c r="B433" s="359"/>
      <c r="C433" s="359"/>
      <c r="D433" s="359"/>
      <c r="E433" s="359"/>
      <c r="F433" s="359"/>
      <c r="G433" s="359"/>
      <c r="H433" s="359"/>
      <c r="I433" s="359"/>
      <c r="J433" s="359"/>
      <c r="K433" s="359"/>
      <c r="L433" s="359"/>
      <c r="M433" s="359"/>
      <c r="N433" s="359"/>
      <c r="O433" s="359"/>
      <c r="P433" s="359"/>
      <c r="Q433" s="359"/>
      <c r="R433" s="359"/>
      <c r="S433" s="359"/>
      <c r="T433" s="359"/>
      <c r="U433" s="359"/>
      <c r="V433" s="359"/>
      <c r="W433" s="359"/>
      <c r="X433" s="359"/>
      <c r="Y433" s="359"/>
      <c r="Z433" s="359"/>
      <c r="AA433" s="359"/>
    </row>
    <row r="434" spans="1:27" ht="12" customHeight="1" x14ac:dyDescent="0.25">
      <c r="A434" s="359"/>
      <c r="B434" s="359"/>
      <c r="C434" s="359"/>
      <c r="D434" s="359"/>
      <c r="E434" s="359"/>
      <c r="F434" s="359"/>
      <c r="G434" s="359"/>
      <c r="H434" s="359"/>
      <c r="I434" s="359"/>
      <c r="J434" s="359"/>
      <c r="K434" s="359"/>
      <c r="L434" s="359"/>
      <c r="M434" s="359"/>
      <c r="N434" s="359"/>
      <c r="O434" s="359"/>
      <c r="P434" s="359"/>
      <c r="Q434" s="359"/>
      <c r="R434" s="359"/>
      <c r="S434" s="359"/>
      <c r="T434" s="359"/>
      <c r="U434" s="359"/>
      <c r="V434" s="359"/>
      <c r="W434" s="359"/>
      <c r="X434" s="359"/>
      <c r="Y434" s="359"/>
      <c r="Z434" s="359"/>
      <c r="AA434" s="359"/>
    </row>
    <row r="435" spans="1:27" ht="12" customHeight="1" x14ac:dyDescent="0.25">
      <c r="A435" s="359"/>
      <c r="B435" s="359"/>
      <c r="C435" s="359"/>
      <c r="D435" s="359"/>
      <c r="E435" s="359"/>
      <c r="F435" s="359"/>
      <c r="G435" s="359"/>
      <c r="H435" s="359"/>
      <c r="I435" s="359"/>
      <c r="J435" s="359"/>
      <c r="K435" s="359"/>
      <c r="L435" s="359"/>
      <c r="M435" s="359"/>
      <c r="N435" s="359"/>
      <c r="O435" s="359"/>
      <c r="P435" s="359"/>
      <c r="Q435" s="359"/>
      <c r="R435" s="359"/>
      <c r="S435" s="359"/>
      <c r="T435" s="359"/>
      <c r="U435" s="359"/>
      <c r="V435" s="359"/>
      <c r="W435" s="359"/>
      <c r="X435" s="359"/>
      <c r="Y435" s="359"/>
      <c r="Z435" s="359"/>
      <c r="AA435" s="359"/>
    </row>
    <row r="436" spans="1:27" ht="12" customHeight="1" x14ac:dyDescent="0.25">
      <c r="A436" s="359"/>
      <c r="B436" s="359"/>
      <c r="C436" s="359"/>
      <c r="D436" s="359"/>
      <c r="E436" s="359"/>
      <c r="F436" s="359"/>
      <c r="G436" s="359"/>
      <c r="H436" s="359"/>
      <c r="I436" s="359"/>
      <c r="J436" s="359"/>
      <c r="K436" s="359"/>
      <c r="L436" s="359"/>
      <c r="M436" s="359"/>
      <c r="N436" s="359"/>
      <c r="O436" s="359"/>
      <c r="P436" s="359"/>
      <c r="Q436" s="359"/>
      <c r="R436" s="359"/>
      <c r="S436" s="359"/>
      <c r="T436" s="359"/>
      <c r="U436" s="359"/>
      <c r="V436" s="359"/>
      <c r="W436" s="359"/>
      <c r="X436" s="359"/>
      <c r="Y436" s="359"/>
      <c r="Z436" s="359"/>
      <c r="AA436" s="359"/>
    </row>
    <row r="437" spans="1:27" ht="12" customHeight="1" x14ac:dyDescent="0.25">
      <c r="A437" s="359"/>
      <c r="B437" s="359"/>
      <c r="C437" s="359"/>
      <c r="D437" s="359"/>
      <c r="E437" s="359"/>
      <c r="F437" s="359"/>
      <c r="G437" s="359"/>
      <c r="H437" s="359"/>
      <c r="I437" s="359"/>
      <c r="J437" s="359"/>
      <c r="K437" s="359"/>
      <c r="L437" s="359"/>
      <c r="M437" s="359"/>
      <c r="N437" s="359"/>
      <c r="O437" s="359"/>
      <c r="P437" s="359"/>
      <c r="Q437" s="359"/>
      <c r="R437" s="359"/>
      <c r="S437" s="359"/>
      <c r="T437" s="359"/>
      <c r="U437" s="359"/>
      <c r="V437" s="359"/>
      <c r="W437" s="359"/>
      <c r="X437" s="359"/>
      <c r="Y437" s="359"/>
      <c r="Z437" s="359"/>
      <c r="AA437" s="359"/>
    </row>
    <row r="438" spans="1:27" ht="12" customHeight="1" x14ac:dyDescent="0.25">
      <c r="A438" s="359"/>
      <c r="B438" s="359"/>
      <c r="C438" s="359"/>
      <c r="D438" s="359"/>
      <c r="E438" s="359"/>
      <c r="F438" s="359"/>
      <c r="G438" s="359"/>
      <c r="H438" s="359"/>
      <c r="I438" s="359"/>
      <c r="J438" s="359"/>
      <c r="K438" s="359"/>
      <c r="L438" s="359"/>
      <c r="M438" s="359"/>
      <c r="N438" s="359"/>
      <c r="O438" s="359"/>
      <c r="P438" s="359"/>
      <c r="Q438" s="359"/>
      <c r="R438" s="359"/>
      <c r="S438" s="359"/>
      <c r="T438" s="359"/>
      <c r="U438" s="359"/>
      <c r="V438" s="359"/>
      <c r="W438" s="359"/>
      <c r="X438" s="359"/>
      <c r="Y438" s="359"/>
      <c r="Z438" s="359"/>
      <c r="AA438" s="359"/>
    </row>
    <row r="439" spans="1:27" ht="12" customHeight="1" x14ac:dyDescent="0.25">
      <c r="A439" s="359"/>
      <c r="B439" s="359"/>
      <c r="C439" s="359"/>
      <c r="D439" s="359"/>
      <c r="E439" s="359"/>
      <c r="F439" s="359"/>
      <c r="G439" s="359"/>
      <c r="H439" s="359"/>
      <c r="I439" s="359"/>
      <c r="J439" s="359"/>
      <c r="K439" s="359"/>
      <c r="L439" s="359"/>
      <c r="M439" s="359"/>
      <c r="N439" s="359"/>
      <c r="O439" s="359"/>
      <c r="P439" s="359"/>
      <c r="Q439" s="359"/>
      <c r="R439" s="359"/>
      <c r="S439" s="359"/>
      <c r="T439" s="359"/>
      <c r="U439" s="359"/>
      <c r="V439" s="359"/>
      <c r="W439" s="359"/>
      <c r="X439" s="359"/>
      <c r="Y439" s="359"/>
      <c r="Z439" s="359"/>
      <c r="AA439" s="359"/>
    </row>
    <row r="440" spans="1:27" ht="12" customHeight="1" x14ac:dyDescent="0.25">
      <c r="A440" s="359"/>
      <c r="B440" s="359"/>
      <c r="C440" s="359"/>
      <c r="D440" s="359"/>
      <c r="E440" s="359"/>
      <c r="F440" s="359"/>
      <c r="G440" s="359"/>
      <c r="H440" s="359"/>
      <c r="I440" s="359"/>
      <c r="J440" s="359"/>
      <c r="K440" s="359"/>
      <c r="L440" s="359"/>
      <c r="M440" s="359"/>
      <c r="N440" s="359"/>
      <c r="O440" s="359"/>
      <c r="P440" s="359"/>
      <c r="Q440" s="359"/>
      <c r="R440" s="359"/>
      <c r="S440" s="359"/>
      <c r="T440" s="359"/>
      <c r="U440" s="359"/>
      <c r="V440" s="359"/>
      <c r="W440" s="359"/>
      <c r="X440" s="359"/>
      <c r="Y440" s="359"/>
      <c r="Z440" s="359"/>
      <c r="AA440" s="359"/>
    </row>
    <row r="441" spans="1:27" ht="12" customHeight="1" x14ac:dyDescent="0.25">
      <c r="A441" s="359"/>
      <c r="B441" s="359"/>
      <c r="C441" s="359"/>
      <c r="D441" s="359"/>
      <c r="E441" s="359"/>
      <c r="F441" s="359"/>
      <c r="G441" s="359"/>
      <c r="H441" s="359"/>
      <c r="I441" s="359"/>
      <c r="J441" s="359"/>
      <c r="K441" s="359"/>
      <c r="L441" s="359"/>
      <c r="M441" s="359"/>
      <c r="N441" s="359"/>
      <c r="O441" s="359"/>
      <c r="P441" s="359"/>
      <c r="Q441" s="359"/>
      <c r="R441" s="359"/>
      <c r="S441" s="359"/>
      <c r="T441" s="359"/>
      <c r="U441" s="359"/>
      <c r="V441" s="359"/>
      <c r="W441" s="359"/>
      <c r="X441" s="359"/>
      <c r="Y441" s="359"/>
      <c r="Z441" s="359"/>
      <c r="AA441" s="359"/>
    </row>
    <row r="442" spans="1:27" ht="12" customHeight="1" x14ac:dyDescent="0.25">
      <c r="A442" s="359"/>
      <c r="B442" s="359"/>
      <c r="C442" s="359"/>
      <c r="D442" s="359"/>
      <c r="E442" s="359"/>
      <c r="F442" s="359"/>
      <c r="G442" s="359"/>
      <c r="H442" s="359"/>
      <c r="I442" s="359"/>
      <c r="J442" s="359"/>
      <c r="K442" s="359"/>
      <c r="L442" s="359"/>
      <c r="M442" s="359"/>
      <c r="N442" s="359"/>
      <c r="O442" s="359"/>
      <c r="P442" s="359"/>
      <c r="Q442" s="359"/>
      <c r="R442" s="359"/>
      <c r="S442" s="359"/>
      <c r="T442" s="359"/>
      <c r="U442" s="359"/>
      <c r="V442" s="359"/>
      <c r="W442" s="359"/>
      <c r="X442" s="359"/>
      <c r="Y442" s="359"/>
      <c r="Z442" s="359"/>
      <c r="AA442" s="359"/>
    </row>
    <row r="443" spans="1:27" ht="12" customHeight="1" x14ac:dyDescent="0.25">
      <c r="A443" s="359"/>
      <c r="B443" s="359"/>
      <c r="C443" s="359"/>
      <c r="D443" s="359"/>
      <c r="E443" s="359"/>
      <c r="F443" s="359"/>
      <c r="G443" s="359"/>
      <c r="H443" s="359"/>
      <c r="I443" s="359"/>
      <c r="J443" s="359"/>
      <c r="K443" s="359"/>
      <c r="L443" s="359"/>
      <c r="M443" s="359"/>
      <c r="N443" s="359"/>
      <c r="O443" s="359"/>
      <c r="P443" s="359"/>
      <c r="Q443" s="359"/>
      <c r="R443" s="359"/>
      <c r="S443" s="359"/>
      <c r="T443" s="359"/>
      <c r="U443" s="359"/>
      <c r="V443" s="359"/>
      <c r="W443" s="359"/>
      <c r="X443" s="359"/>
      <c r="Y443" s="359"/>
      <c r="Z443" s="359"/>
      <c r="AA443" s="359"/>
    </row>
    <row r="444" spans="1:27" ht="12" customHeight="1" x14ac:dyDescent="0.25">
      <c r="A444" s="359"/>
      <c r="B444" s="359"/>
      <c r="C444" s="359"/>
      <c r="D444" s="359"/>
      <c r="E444" s="359"/>
      <c r="F444" s="359"/>
      <c r="G444" s="359"/>
      <c r="H444" s="359"/>
      <c r="I444" s="359"/>
      <c r="J444" s="359"/>
      <c r="K444" s="359"/>
      <c r="L444" s="359"/>
      <c r="M444" s="359"/>
      <c r="N444" s="359"/>
      <c r="O444" s="359"/>
      <c r="P444" s="359"/>
      <c r="Q444" s="359"/>
      <c r="R444" s="359"/>
      <c r="S444" s="359"/>
      <c r="T444" s="359"/>
      <c r="U444" s="359"/>
      <c r="V444" s="359"/>
      <c r="W444" s="359"/>
      <c r="X444" s="359"/>
      <c r="Y444" s="359"/>
      <c r="Z444" s="359"/>
      <c r="AA444" s="359"/>
    </row>
    <row r="445" spans="1:27" ht="12" customHeight="1" x14ac:dyDescent="0.25">
      <c r="A445" s="359"/>
      <c r="B445" s="359"/>
      <c r="C445" s="359"/>
      <c r="D445" s="359"/>
      <c r="E445" s="359"/>
      <c r="F445" s="359"/>
      <c r="G445" s="359"/>
      <c r="H445" s="359"/>
      <c r="I445" s="359"/>
      <c r="J445" s="359"/>
      <c r="K445" s="359"/>
      <c r="L445" s="359"/>
      <c r="M445" s="359"/>
      <c r="N445" s="359"/>
      <c r="O445" s="359"/>
      <c r="P445" s="359"/>
      <c r="Q445" s="359"/>
      <c r="R445" s="359"/>
      <c r="S445" s="359"/>
      <c r="T445" s="359"/>
      <c r="U445" s="359"/>
      <c r="V445" s="359"/>
      <c r="W445" s="359"/>
      <c r="X445" s="359"/>
      <c r="Y445" s="359"/>
      <c r="Z445" s="359"/>
      <c r="AA445" s="359"/>
    </row>
    <row r="446" spans="1:27" ht="12" customHeight="1" x14ac:dyDescent="0.25">
      <c r="A446" s="359"/>
      <c r="B446" s="359"/>
      <c r="C446" s="359"/>
      <c r="D446" s="359"/>
      <c r="E446" s="359"/>
      <c r="F446" s="359"/>
      <c r="G446" s="359"/>
      <c r="H446" s="359"/>
      <c r="I446" s="359"/>
      <c r="J446" s="359"/>
      <c r="K446" s="359"/>
      <c r="L446" s="359"/>
      <c r="M446" s="359"/>
      <c r="N446" s="359"/>
      <c r="O446" s="359"/>
      <c r="P446" s="359"/>
      <c r="Q446" s="359"/>
      <c r="R446" s="359"/>
      <c r="S446" s="359"/>
      <c r="T446" s="359"/>
      <c r="U446" s="359"/>
      <c r="V446" s="359"/>
      <c r="W446" s="359"/>
      <c r="X446" s="359"/>
      <c r="Y446" s="359"/>
      <c r="Z446" s="359"/>
      <c r="AA446" s="359"/>
    </row>
    <row r="447" spans="1:27" ht="12" customHeight="1" x14ac:dyDescent="0.25">
      <c r="A447" s="359"/>
      <c r="B447" s="359"/>
      <c r="C447" s="359"/>
      <c r="D447" s="359"/>
      <c r="E447" s="359"/>
      <c r="F447" s="359"/>
      <c r="G447" s="359"/>
      <c r="H447" s="359"/>
      <c r="I447" s="359"/>
      <c r="J447" s="359"/>
      <c r="K447" s="359"/>
      <c r="L447" s="359"/>
      <c r="M447" s="359"/>
      <c r="N447" s="359"/>
      <c r="O447" s="359"/>
      <c r="P447" s="359"/>
      <c r="Q447" s="359"/>
      <c r="R447" s="359"/>
      <c r="S447" s="359"/>
      <c r="T447" s="359"/>
      <c r="U447" s="359"/>
      <c r="V447" s="359"/>
      <c r="W447" s="359"/>
      <c r="X447" s="359"/>
      <c r="Y447" s="359"/>
      <c r="Z447" s="359"/>
      <c r="AA447" s="359"/>
    </row>
    <row r="448" spans="1:27" ht="12" customHeight="1" x14ac:dyDescent="0.25">
      <c r="A448" s="359"/>
      <c r="B448" s="359"/>
      <c r="C448" s="359"/>
      <c r="D448" s="359"/>
      <c r="E448" s="359"/>
      <c r="F448" s="359"/>
      <c r="G448" s="359"/>
      <c r="H448" s="359"/>
      <c r="I448" s="359"/>
      <c r="J448" s="359"/>
      <c r="K448" s="359"/>
      <c r="L448" s="359"/>
      <c r="M448" s="359"/>
      <c r="N448" s="359"/>
      <c r="O448" s="359"/>
      <c r="P448" s="359"/>
      <c r="Q448" s="359"/>
      <c r="R448" s="359"/>
      <c r="S448" s="359"/>
      <c r="T448" s="359"/>
      <c r="U448" s="359"/>
      <c r="V448" s="359"/>
      <c r="W448" s="359"/>
      <c r="X448" s="359"/>
      <c r="Y448" s="359"/>
      <c r="Z448" s="359"/>
      <c r="AA448" s="359"/>
    </row>
    <row r="449" spans="1:27" ht="12" customHeight="1" x14ac:dyDescent="0.25">
      <c r="A449" s="359"/>
      <c r="B449" s="359"/>
      <c r="C449" s="359"/>
      <c r="D449" s="359"/>
      <c r="E449" s="359"/>
      <c r="F449" s="359"/>
      <c r="G449" s="359"/>
      <c r="H449" s="359"/>
      <c r="I449" s="359"/>
      <c r="J449" s="359"/>
      <c r="K449" s="359"/>
      <c r="L449" s="359"/>
      <c r="M449" s="359"/>
      <c r="N449" s="359"/>
      <c r="O449" s="359"/>
      <c r="P449" s="359"/>
      <c r="Q449" s="359"/>
      <c r="R449" s="359"/>
      <c r="S449" s="359"/>
      <c r="T449" s="359"/>
      <c r="U449" s="359"/>
      <c r="V449" s="359"/>
      <c r="W449" s="359"/>
      <c r="X449" s="359"/>
      <c r="Y449" s="359"/>
      <c r="Z449" s="359"/>
      <c r="AA449" s="359"/>
    </row>
    <row r="450" spans="1:27" ht="12" customHeight="1" x14ac:dyDescent="0.25">
      <c r="A450" s="359"/>
      <c r="B450" s="359"/>
      <c r="C450" s="359"/>
      <c r="D450" s="359"/>
      <c r="E450" s="359"/>
      <c r="F450" s="359"/>
      <c r="G450" s="359"/>
      <c r="H450" s="359"/>
      <c r="I450" s="359"/>
      <c r="J450" s="359"/>
      <c r="K450" s="359"/>
      <c r="L450" s="359"/>
      <c r="M450" s="359"/>
      <c r="N450" s="359"/>
      <c r="O450" s="359"/>
      <c r="P450" s="359"/>
      <c r="Q450" s="359"/>
      <c r="R450" s="359"/>
      <c r="S450" s="359"/>
      <c r="T450" s="359"/>
      <c r="U450" s="359"/>
      <c r="V450" s="359"/>
      <c r="W450" s="359"/>
      <c r="X450" s="359"/>
      <c r="Y450" s="359"/>
      <c r="Z450" s="359"/>
      <c r="AA450" s="359"/>
    </row>
    <row r="451" spans="1:27" ht="12" customHeight="1" x14ac:dyDescent="0.25">
      <c r="A451" s="359"/>
      <c r="B451" s="359"/>
      <c r="C451" s="359"/>
      <c r="D451" s="359"/>
      <c r="E451" s="359"/>
      <c r="F451" s="359"/>
      <c r="G451" s="359"/>
      <c r="H451" s="359"/>
      <c r="I451" s="359"/>
      <c r="J451" s="359"/>
      <c r="K451" s="359"/>
      <c r="L451" s="359"/>
      <c r="M451" s="359"/>
      <c r="N451" s="359"/>
      <c r="O451" s="359"/>
      <c r="P451" s="359"/>
      <c r="Q451" s="359"/>
      <c r="R451" s="359"/>
      <c r="S451" s="359"/>
      <c r="T451" s="359"/>
      <c r="U451" s="359"/>
      <c r="V451" s="359"/>
      <c r="W451" s="359"/>
      <c r="X451" s="359"/>
      <c r="Y451" s="359"/>
      <c r="Z451" s="359"/>
      <c r="AA451" s="359"/>
    </row>
    <row r="452" spans="1:27" ht="12" customHeight="1" x14ac:dyDescent="0.25">
      <c r="A452" s="359"/>
      <c r="B452" s="359"/>
      <c r="C452" s="359"/>
      <c r="D452" s="359"/>
      <c r="E452" s="359"/>
      <c r="F452" s="359"/>
      <c r="G452" s="359"/>
      <c r="H452" s="359"/>
      <c r="I452" s="359"/>
      <c r="J452" s="359"/>
      <c r="K452" s="359"/>
      <c r="L452" s="359"/>
      <c r="M452" s="359"/>
      <c r="N452" s="359"/>
      <c r="O452" s="359"/>
      <c r="P452" s="359"/>
      <c r="Q452" s="359"/>
      <c r="R452" s="359"/>
      <c r="S452" s="359"/>
      <c r="T452" s="359"/>
      <c r="U452" s="359"/>
      <c r="V452" s="359"/>
      <c r="W452" s="359"/>
      <c r="X452" s="359"/>
      <c r="Y452" s="359"/>
      <c r="Z452" s="359"/>
      <c r="AA452" s="359"/>
    </row>
    <row r="453" spans="1:27" ht="12" customHeight="1" x14ac:dyDescent="0.25">
      <c r="A453" s="359"/>
      <c r="B453" s="359"/>
      <c r="C453" s="359"/>
      <c r="D453" s="359"/>
      <c r="E453" s="359"/>
      <c r="F453" s="359"/>
      <c r="G453" s="359"/>
      <c r="H453" s="359"/>
      <c r="I453" s="359"/>
      <c r="J453" s="359"/>
      <c r="K453" s="359"/>
      <c r="L453" s="359"/>
      <c r="M453" s="359"/>
      <c r="N453" s="359"/>
      <c r="O453" s="359"/>
      <c r="P453" s="359"/>
      <c r="Q453" s="359"/>
      <c r="R453" s="359"/>
      <c r="S453" s="359"/>
      <c r="T453" s="359"/>
      <c r="U453" s="359"/>
      <c r="V453" s="359"/>
      <c r="W453" s="359"/>
      <c r="X453" s="359"/>
      <c r="Y453" s="359"/>
      <c r="Z453" s="359"/>
      <c r="AA453" s="359"/>
    </row>
    <row r="454" spans="1:27" ht="12" customHeight="1" x14ac:dyDescent="0.25">
      <c r="A454" s="359"/>
      <c r="B454" s="359"/>
      <c r="C454" s="359"/>
      <c r="D454" s="359"/>
      <c r="E454" s="359"/>
      <c r="F454" s="359"/>
      <c r="G454" s="359"/>
      <c r="H454" s="359"/>
      <c r="I454" s="359"/>
      <c r="J454" s="359"/>
      <c r="K454" s="359"/>
      <c r="L454" s="359"/>
      <c r="M454" s="359"/>
      <c r="N454" s="359"/>
      <c r="O454" s="359"/>
      <c r="P454" s="359"/>
      <c r="Q454" s="359"/>
      <c r="R454" s="359"/>
      <c r="S454" s="359"/>
      <c r="T454" s="359"/>
      <c r="U454" s="359"/>
      <c r="V454" s="359"/>
      <c r="W454" s="359"/>
      <c r="X454" s="359"/>
      <c r="Y454" s="359"/>
      <c r="Z454" s="359"/>
      <c r="AA454" s="359"/>
    </row>
    <row r="455" spans="1:27" ht="12" customHeight="1" x14ac:dyDescent="0.25">
      <c r="A455" s="359"/>
      <c r="B455" s="359"/>
      <c r="C455" s="359"/>
      <c r="D455" s="359"/>
      <c r="E455" s="359"/>
      <c r="F455" s="359"/>
      <c r="G455" s="359"/>
      <c r="H455" s="359"/>
      <c r="I455" s="359"/>
      <c r="J455" s="359"/>
      <c r="K455" s="359"/>
      <c r="L455" s="359"/>
      <c r="M455" s="359"/>
      <c r="N455" s="359"/>
      <c r="O455" s="359"/>
      <c r="P455" s="359"/>
      <c r="Q455" s="359"/>
      <c r="R455" s="359"/>
      <c r="S455" s="359"/>
      <c r="T455" s="359"/>
      <c r="U455" s="359"/>
      <c r="V455" s="359"/>
      <c r="W455" s="359"/>
      <c r="X455" s="359"/>
      <c r="Y455" s="359"/>
      <c r="Z455" s="359"/>
      <c r="AA455" s="359"/>
    </row>
    <row r="456" spans="1:27" ht="12" customHeight="1" x14ac:dyDescent="0.25">
      <c r="A456" s="359"/>
      <c r="B456" s="359"/>
      <c r="C456" s="359"/>
      <c r="D456" s="359"/>
      <c r="E456" s="359"/>
      <c r="F456" s="359"/>
      <c r="G456" s="359"/>
      <c r="H456" s="359"/>
      <c r="I456" s="359"/>
      <c r="J456" s="359"/>
      <c r="K456" s="359"/>
      <c r="L456" s="359"/>
      <c r="M456" s="359"/>
      <c r="N456" s="359"/>
      <c r="O456" s="359"/>
      <c r="P456" s="359"/>
      <c r="Q456" s="359"/>
      <c r="R456" s="359"/>
      <c r="S456" s="359"/>
      <c r="T456" s="359"/>
      <c r="U456" s="359"/>
      <c r="V456" s="359"/>
      <c r="W456" s="359"/>
      <c r="X456" s="359"/>
      <c r="Y456" s="359"/>
      <c r="Z456" s="359"/>
      <c r="AA456" s="359"/>
    </row>
    <row r="457" spans="1:27" ht="12" customHeight="1" x14ac:dyDescent="0.25">
      <c r="A457" s="359"/>
      <c r="B457" s="359"/>
      <c r="C457" s="359"/>
      <c r="D457" s="359"/>
      <c r="E457" s="359"/>
      <c r="F457" s="359"/>
      <c r="G457" s="359"/>
      <c r="H457" s="359"/>
      <c r="I457" s="359"/>
      <c r="J457" s="359"/>
      <c r="K457" s="359"/>
      <c r="L457" s="359"/>
      <c r="M457" s="359"/>
      <c r="N457" s="359"/>
      <c r="O457" s="359"/>
      <c r="P457" s="359"/>
      <c r="Q457" s="359"/>
      <c r="R457" s="359"/>
      <c r="S457" s="359"/>
      <c r="T457" s="359"/>
      <c r="U457" s="359"/>
      <c r="V457" s="359"/>
      <c r="W457" s="359"/>
      <c r="X457" s="359"/>
      <c r="Y457" s="359"/>
      <c r="Z457" s="359"/>
      <c r="AA457" s="359"/>
    </row>
    <row r="458" spans="1:27" ht="12" customHeight="1" x14ac:dyDescent="0.25">
      <c r="A458" s="359"/>
      <c r="B458" s="359"/>
      <c r="C458" s="359"/>
      <c r="D458" s="359"/>
      <c r="E458" s="359"/>
      <c r="F458" s="359"/>
      <c r="G458" s="359"/>
      <c r="H458" s="359"/>
      <c r="I458" s="359"/>
      <c r="J458" s="359"/>
      <c r="K458" s="359"/>
      <c r="L458" s="359"/>
      <c r="M458" s="359"/>
      <c r="N458" s="359"/>
      <c r="O458" s="359"/>
      <c r="P458" s="359"/>
      <c r="Q458" s="359"/>
      <c r="R458" s="359"/>
      <c r="S458" s="359"/>
      <c r="T458" s="359"/>
      <c r="U458" s="359"/>
      <c r="V458" s="359"/>
      <c r="W458" s="359"/>
      <c r="X458" s="359"/>
      <c r="Y458" s="359"/>
      <c r="Z458" s="359"/>
      <c r="AA458" s="359"/>
    </row>
    <row r="459" spans="1:27" ht="12" customHeight="1" x14ac:dyDescent="0.25">
      <c r="A459" s="359"/>
      <c r="B459" s="359"/>
      <c r="C459" s="359"/>
      <c r="D459" s="359"/>
      <c r="E459" s="359"/>
      <c r="F459" s="359"/>
      <c r="G459" s="359"/>
      <c r="H459" s="359"/>
      <c r="I459" s="359"/>
      <c r="J459" s="359"/>
      <c r="K459" s="359"/>
      <c r="L459" s="359"/>
      <c r="M459" s="359"/>
      <c r="N459" s="359"/>
      <c r="O459" s="359"/>
      <c r="P459" s="359"/>
      <c r="Q459" s="359"/>
      <c r="R459" s="359"/>
      <c r="S459" s="359"/>
      <c r="T459" s="359"/>
      <c r="U459" s="359"/>
      <c r="V459" s="359"/>
      <c r="W459" s="359"/>
      <c r="X459" s="359"/>
      <c r="Y459" s="359"/>
      <c r="Z459" s="359"/>
      <c r="AA459" s="359"/>
    </row>
    <row r="460" spans="1:27" ht="12" customHeight="1" x14ac:dyDescent="0.25">
      <c r="A460" s="359"/>
      <c r="B460" s="359"/>
      <c r="C460" s="359"/>
      <c r="D460" s="359"/>
      <c r="E460" s="359"/>
      <c r="F460" s="359"/>
      <c r="G460" s="359"/>
      <c r="H460" s="359"/>
      <c r="I460" s="359"/>
      <c r="J460" s="359"/>
      <c r="K460" s="359"/>
      <c r="L460" s="359"/>
      <c r="M460" s="359"/>
      <c r="N460" s="359"/>
      <c r="O460" s="359"/>
      <c r="P460" s="359"/>
      <c r="Q460" s="359"/>
      <c r="R460" s="359"/>
      <c r="S460" s="359"/>
      <c r="T460" s="359"/>
      <c r="U460" s="359"/>
      <c r="V460" s="359"/>
      <c r="W460" s="359"/>
      <c r="X460" s="359"/>
      <c r="Y460" s="359"/>
      <c r="Z460" s="359"/>
      <c r="AA460" s="359"/>
    </row>
    <row r="461" spans="1:27" ht="12" customHeight="1" x14ac:dyDescent="0.25">
      <c r="A461" s="359"/>
      <c r="B461" s="359"/>
      <c r="C461" s="359"/>
      <c r="D461" s="359"/>
      <c r="E461" s="359"/>
      <c r="F461" s="359"/>
      <c r="G461" s="359"/>
      <c r="H461" s="359"/>
      <c r="I461" s="359"/>
      <c r="J461" s="359"/>
      <c r="K461" s="359"/>
      <c r="L461" s="359"/>
      <c r="M461" s="359"/>
      <c r="N461" s="359"/>
      <c r="O461" s="359"/>
      <c r="P461" s="359"/>
      <c r="Q461" s="359"/>
      <c r="R461" s="359"/>
      <c r="S461" s="359"/>
      <c r="T461" s="359"/>
      <c r="U461" s="359"/>
      <c r="V461" s="359"/>
      <c r="W461" s="359"/>
      <c r="X461" s="359"/>
      <c r="Y461" s="359"/>
      <c r="Z461" s="359"/>
      <c r="AA461" s="359"/>
    </row>
    <row r="462" spans="1:27" ht="12" customHeight="1" x14ac:dyDescent="0.25">
      <c r="A462" s="359"/>
      <c r="B462" s="359"/>
      <c r="C462" s="359"/>
      <c r="D462" s="359"/>
      <c r="E462" s="359"/>
      <c r="F462" s="359"/>
      <c r="G462" s="359"/>
      <c r="H462" s="359"/>
      <c r="I462" s="359"/>
      <c r="J462" s="359"/>
      <c r="K462" s="359"/>
      <c r="L462" s="359"/>
      <c r="M462" s="359"/>
      <c r="N462" s="359"/>
      <c r="O462" s="359"/>
      <c r="P462" s="359"/>
      <c r="Q462" s="359"/>
      <c r="R462" s="359"/>
      <c r="S462" s="359"/>
      <c r="T462" s="359"/>
      <c r="U462" s="359"/>
      <c r="V462" s="359"/>
      <c r="W462" s="359"/>
      <c r="X462" s="359"/>
      <c r="Y462" s="359"/>
      <c r="Z462" s="359"/>
      <c r="AA462" s="359"/>
    </row>
    <row r="463" spans="1:27" ht="12" customHeight="1" x14ac:dyDescent="0.25">
      <c r="A463" s="359"/>
      <c r="B463" s="359"/>
      <c r="C463" s="359"/>
      <c r="D463" s="359"/>
      <c r="E463" s="359"/>
      <c r="F463" s="359"/>
      <c r="G463" s="359"/>
      <c r="H463" s="359"/>
      <c r="I463" s="359"/>
      <c r="J463" s="359"/>
      <c r="K463" s="359"/>
      <c r="L463" s="359"/>
      <c r="M463" s="359"/>
      <c r="N463" s="359"/>
      <c r="O463" s="359"/>
      <c r="P463" s="359"/>
      <c r="Q463" s="359"/>
      <c r="R463" s="359"/>
      <c r="S463" s="359"/>
      <c r="T463" s="359"/>
      <c r="U463" s="359"/>
      <c r="V463" s="359"/>
      <c r="W463" s="359"/>
      <c r="X463" s="359"/>
      <c r="Y463" s="359"/>
      <c r="Z463" s="359"/>
      <c r="AA463" s="359"/>
    </row>
    <row r="464" spans="1:27" ht="12" customHeight="1" x14ac:dyDescent="0.25">
      <c r="A464" s="359"/>
      <c r="B464" s="359"/>
      <c r="C464" s="359"/>
      <c r="D464" s="359"/>
      <c r="E464" s="359"/>
      <c r="F464" s="359"/>
      <c r="G464" s="359"/>
      <c r="H464" s="359"/>
      <c r="I464" s="359"/>
      <c r="J464" s="359"/>
      <c r="K464" s="359"/>
      <c r="L464" s="359"/>
      <c r="M464" s="359"/>
      <c r="N464" s="359"/>
      <c r="O464" s="359"/>
      <c r="P464" s="359"/>
      <c r="Q464" s="359"/>
      <c r="R464" s="359"/>
      <c r="S464" s="359"/>
      <c r="T464" s="359"/>
      <c r="U464" s="359"/>
      <c r="V464" s="359"/>
      <c r="W464" s="359"/>
      <c r="X464" s="359"/>
      <c r="Y464" s="359"/>
      <c r="Z464" s="359"/>
      <c r="AA464" s="359"/>
    </row>
    <row r="465" spans="1:27" ht="12" customHeight="1" x14ac:dyDescent="0.25">
      <c r="A465" s="359"/>
      <c r="B465" s="359"/>
      <c r="C465" s="359"/>
      <c r="D465" s="359"/>
      <c r="E465" s="359"/>
      <c r="F465" s="359"/>
      <c r="G465" s="359"/>
      <c r="H465" s="359"/>
      <c r="I465" s="359"/>
      <c r="J465" s="359"/>
      <c r="K465" s="359"/>
      <c r="L465" s="359"/>
      <c r="M465" s="359"/>
      <c r="N465" s="359"/>
      <c r="O465" s="359"/>
      <c r="P465" s="359"/>
      <c r="Q465" s="359"/>
      <c r="R465" s="359"/>
      <c r="S465" s="359"/>
      <c r="T465" s="359"/>
      <c r="U465" s="359"/>
      <c r="V465" s="359"/>
      <c r="W465" s="359"/>
      <c r="X465" s="359"/>
      <c r="Y465" s="359"/>
      <c r="Z465" s="359"/>
      <c r="AA465" s="359"/>
    </row>
    <row r="466" spans="1:27" ht="12" customHeight="1" x14ac:dyDescent="0.25">
      <c r="A466" s="359"/>
      <c r="B466" s="359"/>
      <c r="C466" s="359"/>
      <c r="D466" s="359"/>
      <c r="E466" s="359"/>
      <c r="F466" s="359"/>
      <c r="G466" s="359"/>
      <c r="H466" s="359"/>
      <c r="I466" s="359"/>
      <c r="J466" s="359"/>
      <c r="K466" s="359"/>
      <c r="L466" s="359"/>
      <c r="M466" s="359"/>
      <c r="N466" s="359"/>
      <c r="O466" s="359"/>
      <c r="P466" s="359"/>
      <c r="Q466" s="359"/>
      <c r="R466" s="359"/>
      <c r="S466" s="359"/>
      <c r="T466" s="359"/>
      <c r="U466" s="359"/>
      <c r="V466" s="359"/>
      <c r="W466" s="359"/>
      <c r="X466" s="359"/>
      <c r="Y466" s="359"/>
      <c r="Z466" s="359"/>
      <c r="AA466" s="359"/>
    </row>
    <row r="467" spans="1:27" ht="12" customHeight="1" x14ac:dyDescent="0.25">
      <c r="A467" s="359"/>
      <c r="B467" s="359"/>
      <c r="C467" s="359"/>
      <c r="D467" s="359"/>
      <c r="E467" s="359"/>
      <c r="F467" s="359"/>
      <c r="G467" s="359"/>
      <c r="H467" s="359"/>
      <c r="I467" s="359"/>
      <c r="J467" s="359"/>
      <c r="K467" s="359"/>
      <c r="L467" s="359"/>
      <c r="M467" s="359"/>
      <c r="N467" s="359"/>
      <c r="O467" s="359"/>
      <c r="P467" s="359"/>
      <c r="Q467" s="359"/>
      <c r="R467" s="359"/>
      <c r="S467" s="359"/>
      <c r="T467" s="359"/>
      <c r="U467" s="359"/>
      <c r="V467" s="359"/>
      <c r="W467" s="359"/>
      <c r="X467" s="359"/>
      <c r="Y467" s="359"/>
      <c r="Z467" s="359"/>
      <c r="AA467" s="359"/>
    </row>
    <row r="468" spans="1:27" ht="12" customHeight="1" x14ac:dyDescent="0.25">
      <c r="A468" s="359"/>
      <c r="B468" s="359"/>
      <c r="C468" s="359"/>
      <c r="D468" s="359"/>
      <c r="E468" s="359"/>
      <c r="F468" s="359"/>
      <c r="G468" s="359"/>
      <c r="H468" s="359"/>
      <c r="I468" s="359"/>
      <c r="J468" s="359"/>
      <c r="K468" s="359"/>
      <c r="L468" s="359"/>
      <c r="M468" s="359"/>
      <c r="N468" s="359"/>
      <c r="O468" s="359"/>
      <c r="P468" s="359"/>
      <c r="Q468" s="359"/>
      <c r="R468" s="359"/>
      <c r="S468" s="359"/>
      <c r="T468" s="359"/>
      <c r="U468" s="359"/>
      <c r="V468" s="359"/>
      <c r="W468" s="359"/>
      <c r="X468" s="359"/>
      <c r="Y468" s="359"/>
      <c r="Z468" s="359"/>
      <c r="AA468" s="359"/>
    </row>
    <row r="469" spans="1:27" ht="12" customHeight="1" x14ac:dyDescent="0.25">
      <c r="A469" s="359"/>
      <c r="B469" s="359"/>
      <c r="C469" s="359"/>
      <c r="D469" s="359"/>
      <c r="E469" s="359"/>
      <c r="F469" s="359"/>
      <c r="G469" s="359"/>
      <c r="H469" s="359"/>
      <c r="I469" s="359"/>
      <c r="J469" s="359"/>
      <c r="K469" s="359"/>
      <c r="L469" s="359"/>
      <c r="M469" s="359"/>
      <c r="N469" s="359"/>
      <c r="O469" s="359"/>
      <c r="P469" s="359"/>
      <c r="Q469" s="359"/>
      <c r="R469" s="359"/>
      <c r="S469" s="359"/>
      <c r="T469" s="359"/>
      <c r="U469" s="359"/>
      <c r="V469" s="359"/>
      <c r="W469" s="359"/>
      <c r="X469" s="359"/>
      <c r="Y469" s="359"/>
      <c r="Z469" s="359"/>
      <c r="AA469" s="359"/>
    </row>
    <row r="470" spans="1:27" ht="12" customHeight="1" x14ac:dyDescent="0.25">
      <c r="A470" s="359"/>
      <c r="B470" s="359"/>
      <c r="C470" s="359"/>
      <c r="D470" s="359"/>
      <c r="E470" s="359"/>
      <c r="F470" s="359"/>
      <c r="G470" s="359"/>
      <c r="H470" s="359"/>
      <c r="I470" s="359"/>
      <c r="J470" s="359"/>
      <c r="K470" s="359"/>
      <c r="L470" s="359"/>
      <c r="M470" s="359"/>
      <c r="N470" s="359"/>
      <c r="O470" s="359"/>
      <c r="P470" s="359"/>
      <c r="Q470" s="359"/>
      <c r="R470" s="359"/>
      <c r="S470" s="359"/>
      <c r="T470" s="359"/>
      <c r="U470" s="359"/>
      <c r="V470" s="359"/>
      <c r="W470" s="359"/>
      <c r="X470" s="359"/>
      <c r="Y470" s="359"/>
      <c r="Z470" s="359"/>
      <c r="AA470" s="359"/>
    </row>
    <row r="471" spans="1:27" ht="12" customHeight="1" x14ac:dyDescent="0.25">
      <c r="A471" s="359"/>
      <c r="B471" s="359"/>
      <c r="C471" s="359"/>
      <c r="D471" s="359"/>
      <c r="E471" s="359"/>
      <c r="F471" s="359"/>
      <c r="G471" s="359"/>
      <c r="H471" s="359"/>
      <c r="I471" s="359"/>
      <c r="J471" s="359"/>
      <c r="K471" s="359"/>
      <c r="L471" s="359"/>
      <c r="M471" s="359"/>
      <c r="N471" s="359"/>
      <c r="O471" s="359"/>
      <c r="P471" s="359"/>
      <c r="Q471" s="359"/>
      <c r="R471" s="359"/>
      <c r="S471" s="359"/>
      <c r="T471" s="359"/>
      <c r="U471" s="359"/>
      <c r="V471" s="359"/>
      <c r="W471" s="359"/>
      <c r="X471" s="359"/>
      <c r="Y471" s="359"/>
      <c r="Z471" s="359"/>
      <c r="AA471" s="359"/>
    </row>
    <row r="472" spans="1:27" ht="12" customHeight="1" x14ac:dyDescent="0.25">
      <c r="A472" s="359"/>
      <c r="B472" s="359"/>
      <c r="C472" s="359"/>
      <c r="D472" s="359"/>
      <c r="E472" s="359"/>
      <c r="F472" s="359"/>
      <c r="G472" s="359"/>
      <c r="H472" s="359"/>
      <c r="I472" s="359"/>
      <c r="J472" s="359"/>
      <c r="K472" s="359"/>
      <c r="L472" s="359"/>
      <c r="M472" s="359"/>
      <c r="N472" s="359"/>
      <c r="O472" s="359"/>
      <c r="P472" s="359"/>
      <c r="Q472" s="359"/>
      <c r="R472" s="359"/>
      <c r="S472" s="359"/>
      <c r="T472" s="359"/>
      <c r="U472" s="359"/>
      <c r="V472" s="359"/>
      <c r="W472" s="359"/>
      <c r="X472" s="359"/>
      <c r="Y472" s="359"/>
      <c r="Z472" s="359"/>
      <c r="AA472" s="359"/>
    </row>
    <row r="473" spans="1:27" ht="12" customHeight="1" x14ac:dyDescent="0.25">
      <c r="A473" s="359"/>
      <c r="B473" s="359"/>
      <c r="C473" s="359"/>
      <c r="D473" s="359"/>
      <c r="E473" s="359"/>
      <c r="F473" s="359"/>
      <c r="G473" s="359"/>
      <c r="H473" s="359"/>
      <c r="I473" s="359"/>
      <c r="J473" s="359"/>
      <c r="K473" s="359"/>
      <c r="L473" s="359"/>
      <c r="M473" s="359"/>
      <c r="N473" s="359"/>
      <c r="O473" s="359"/>
      <c r="P473" s="359"/>
      <c r="Q473" s="359"/>
      <c r="R473" s="359"/>
      <c r="S473" s="359"/>
      <c r="T473" s="359"/>
      <c r="U473" s="359"/>
      <c r="V473" s="359"/>
      <c r="W473" s="359"/>
      <c r="X473" s="359"/>
      <c r="Y473" s="359"/>
      <c r="Z473" s="359"/>
      <c r="AA473" s="359"/>
    </row>
    <row r="474" spans="1:27" ht="12" customHeight="1" x14ac:dyDescent="0.25">
      <c r="A474" s="359"/>
      <c r="B474" s="359"/>
      <c r="C474" s="359"/>
      <c r="D474" s="359"/>
      <c r="E474" s="359"/>
      <c r="F474" s="359"/>
      <c r="G474" s="359"/>
      <c r="H474" s="359"/>
      <c r="I474" s="359"/>
      <c r="J474" s="359"/>
      <c r="K474" s="359"/>
      <c r="L474" s="359"/>
      <c r="M474" s="359"/>
      <c r="N474" s="359"/>
      <c r="O474" s="359"/>
      <c r="P474" s="359"/>
      <c r="Q474" s="359"/>
      <c r="R474" s="359"/>
      <c r="S474" s="359"/>
      <c r="T474" s="359"/>
      <c r="U474" s="359"/>
      <c r="V474" s="359"/>
      <c r="W474" s="359"/>
      <c r="X474" s="359"/>
      <c r="Y474" s="359"/>
      <c r="Z474" s="359"/>
      <c r="AA474" s="359"/>
    </row>
    <row r="475" spans="1:27" ht="12" customHeight="1" x14ac:dyDescent="0.25">
      <c r="A475" s="359"/>
      <c r="B475" s="359"/>
      <c r="C475" s="359"/>
      <c r="D475" s="359"/>
      <c r="E475" s="359"/>
      <c r="F475" s="359"/>
      <c r="G475" s="359"/>
      <c r="H475" s="359"/>
      <c r="I475" s="359"/>
      <c r="J475" s="359"/>
      <c r="K475" s="359"/>
      <c r="L475" s="359"/>
      <c r="M475" s="359"/>
      <c r="N475" s="359"/>
      <c r="O475" s="359"/>
      <c r="P475" s="359"/>
      <c r="Q475" s="359"/>
      <c r="R475" s="359"/>
      <c r="S475" s="359"/>
      <c r="T475" s="359"/>
      <c r="U475" s="359"/>
      <c r="V475" s="359"/>
      <c r="W475" s="359"/>
      <c r="X475" s="359"/>
      <c r="Y475" s="359"/>
      <c r="Z475" s="359"/>
      <c r="AA475" s="359"/>
    </row>
    <row r="476" spans="1:27" ht="12" customHeight="1" x14ac:dyDescent="0.25">
      <c r="A476" s="359"/>
      <c r="B476" s="359"/>
      <c r="C476" s="359"/>
      <c r="D476" s="359"/>
      <c r="E476" s="359"/>
      <c r="F476" s="359"/>
      <c r="G476" s="359"/>
      <c r="H476" s="359"/>
      <c r="I476" s="359"/>
      <c r="J476" s="359"/>
      <c r="K476" s="359"/>
      <c r="L476" s="359"/>
      <c r="M476" s="359"/>
      <c r="N476" s="359"/>
      <c r="O476" s="359"/>
      <c r="P476" s="359"/>
      <c r="Q476" s="359"/>
      <c r="R476" s="359"/>
      <c r="S476" s="359"/>
      <c r="T476" s="359"/>
      <c r="U476" s="359"/>
      <c r="V476" s="359"/>
      <c r="W476" s="359"/>
      <c r="X476" s="359"/>
      <c r="Y476" s="359"/>
      <c r="Z476" s="359"/>
      <c r="AA476" s="359"/>
    </row>
    <row r="477" spans="1:27" ht="12" customHeight="1" x14ac:dyDescent="0.25">
      <c r="A477" s="359"/>
      <c r="B477" s="359"/>
      <c r="C477" s="359"/>
      <c r="D477" s="359"/>
      <c r="E477" s="359"/>
      <c r="F477" s="359"/>
      <c r="G477" s="359"/>
      <c r="H477" s="359"/>
      <c r="I477" s="359"/>
      <c r="J477" s="359"/>
      <c r="K477" s="359"/>
      <c r="L477" s="359"/>
      <c r="M477" s="359"/>
      <c r="N477" s="359"/>
      <c r="O477" s="359"/>
      <c r="P477" s="359"/>
      <c r="Q477" s="359"/>
      <c r="R477" s="359"/>
      <c r="S477" s="359"/>
      <c r="T477" s="359"/>
      <c r="U477" s="359"/>
      <c r="V477" s="359"/>
      <c r="W477" s="359"/>
      <c r="X477" s="359"/>
      <c r="Y477" s="359"/>
      <c r="Z477" s="359"/>
      <c r="AA477" s="359"/>
    </row>
    <row r="478" spans="1:27" ht="12" customHeight="1" x14ac:dyDescent="0.25">
      <c r="A478" s="359"/>
      <c r="B478" s="359"/>
      <c r="C478" s="359"/>
      <c r="D478" s="359"/>
      <c r="E478" s="359"/>
      <c r="F478" s="359"/>
      <c r="G478" s="359"/>
      <c r="H478" s="359"/>
      <c r="I478" s="359"/>
      <c r="J478" s="359"/>
      <c r="K478" s="359"/>
      <c r="L478" s="359"/>
      <c r="M478" s="359"/>
      <c r="N478" s="359"/>
      <c r="O478" s="359"/>
      <c r="P478" s="359"/>
      <c r="Q478" s="359"/>
      <c r="R478" s="359"/>
      <c r="S478" s="359"/>
      <c r="T478" s="359"/>
      <c r="U478" s="359"/>
      <c r="V478" s="359"/>
      <c r="W478" s="359"/>
      <c r="X478" s="359"/>
      <c r="Y478" s="359"/>
      <c r="Z478" s="359"/>
      <c r="AA478" s="359"/>
    </row>
    <row r="479" spans="1:27" ht="12" customHeight="1" x14ac:dyDescent="0.25">
      <c r="A479" s="359"/>
      <c r="B479" s="359"/>
      <c r="C479" s="359"/>
      <c r="D479" s="359"/>
      <c r="E479" s="359"/>
      <c r="F479" s="359"/>
      <c r="G479" s="359"/>
      <c r="H479" s="359"/>
      <c r="I479" s="359"/>
      <c r="J479" s="359"/>
      <c r="K479" s="359"/>
      <c r="L479" s="359"/>
      <c r="M479" s="359"/>
      <c r="N479" s="359"/>
      <c r="O479" s="359"/>
      <c r="P479" s="359"/>
      <c r="Q479" s="359"/>
      <c r="R479" s="359"/>
      <c r="S479" s="359"/>
      <c r="T479" s="359"/>
      <c r="U479" s="359"/>
      <c r="V479" s="359"/>
      <c r="W479" s="359"/>
      <c r="X479" s="359"/>
      <c r="Y479" s="359"/>
      <c r="Z479" s="359"/>
      <c r="AA479" s="359"/>
    </row>
    <row r="480" spans="1:27" ht="12" customHeight="1" x14ac:dyDescent="0.25">
      <c r="A480" s="359"/>
      <c r="B480" s="359"/>
      <c r="C480" s="359"/>
      <c r="D480" s="359"/>
      <c r="E480" s="359"/>
      <c r="F480" s="359"/>
      <c r="G480" s="359"/>
      <c r="H480" s="359"/>
      <c r="I480" s="359"/>
      <c r="J480" s="359"/>
      <c r="K480" s="359"/>
      <c r="L480" s="359"/>
      <c r="M480" s="359"/>
      <c r="N480" s="359"/>
      <c r="O480" s="359"/>
      <c r="P480" s="359"/>
      <c r="Q480" s="359"/>
      <c r="R480" s="359"/>
      <c r="S480" s="359"/>
      <c r="T480" s="359"/>
      <c r="U480" s="359"/>
      <c r="V480" s="359"/>
      <c r="W480" s="359"/>
      <c r="X480" s="359"/>
      <c r="Y480" s="359"/>
      <c r="Z480" s="359"/>
      <c r="AA480" s="359"/>
    </row>
    <row r="481" spans="1:27" ht="12" customHeight="1" x14ac:dyDescent="0.25">
      <c r="A481" s="359"/>
      <c r="B481" s="359"/>
      <c r="C481" s="359"/>
      <c r="D481" s="359"/>
      <c r="E481" s="359"/>
      <c r="F481" s="359"/>
      <c r="G481" s="359"/>
      <c r="H481" s="359"/>
      <c r="I481" s="359"/>
      <c r="J481" s="359"/>
      <c r="K481" s="359"/>
      <c r="L481" s="359"/>
      <c r="M481" s="359"/>
      <c r="N481" s="359"/>
      <c r="O481" s="359"/>
      <c r="P481" s="359"/>
      <c r="Q481" s="359"/>
      <c r="R481" s="359"/>
      <c r="S481" s="359"/>
      <c r="T481" s="359"/>
      <c r="U481" s="359"/>
      <c r="V481" s="359"/>
      <c r="W481" s="359"/>
      <c r="X481" s="359"/>
      <c r="Y481" s="359"/>
      <c r="Z481" s="359"/>
      <c r="AA481" s="359"/>
    </row>
    <row r="482" spans="1:27" ht="12" customHeight="1" x14ac:dyDescent="0.25">
      <c r="A482" s="359"/>
      <c r="B482" s="359"/>
      <c r="C482" s="359"/>
      <c r="D482" s="359"/>
      <c r="E482" s="359"/>
      <c r="F482" s="359"/>
      <c r="G482" s="359"/>
      <c r="H482" s="359"/>
      <c r="I482" s="359"/>
      <c r="J482" s="359"/>
      <c r="K482" s="359"/>
      <c r="L482" s="359"/>
      <c r="M482" s="359"/>
      <c r="N482" s="359"/>
      <c r="O482" s="359"/>
      <c r="P482" s="359"/>
      <c r="Q482" s="359"/>
      <c r="R482" s="359"/>
      <c r="S482" s="359"/>
      <c r="T482" s="359"/>
      <c r="U482" s="359"/>
      <c r="V482" s="359"/>
      <c r="W482" s="359"/>
      <c r="X482" s="359"/>
      <c r="Y482" s="359"/>
      <c r="Z482" s="359"/>
      <c r="AA482" s="359"/>
    </row>
    <row r="483" spans="1:27" ht="12" customHeight="1" x14ac:dyDescent="0.25">
      <c r="A483" s="359"/>
      <c r="B483" s="359"/>
      <c r="C483" s="359"/>
      <c r="D483" s="359"/>
      <c r="E483" s="359"/>
      <c r="F483" s="359"/>
      <c r="G483" s="359"/>
      <c r="H483" s="359"/>
      <c r="I483" s="359"/>
      <c r="J483" s="359"/>
      <c r="K483" s="359"/>
      <c r="L483" s="359"/>
      <c r="M483" s="359"/>
      <c r="N483" s="359"/>
      <c r="O483" s="359"/>
      <c r="P483" s="359"/>
      <c r="Q483" s="359"/>
      <c r="R483" s="359"/>
      <c r="S483" s="359"/>
      <c r="T483" s="359"/>
      <c r="U483" s="359"/>
      <c r="V483" s="359"/>
      <c r="W483" s="359"/>
      <c r="X483" s="359"/>
      <c r="Y483" s="359"/>
      <c r="Z483" s="359"/>
      <c r="AA483" s="359"/>
    </row>
    <row r="484" spans="1:27" ht="12" customHeight="1" x14ac:dyDescent="0.25">
      <c r="A484" s="359"/>
      <c r="B484" s="359"/>
      <c r="C484" s="359"/>
      <c r="D484" s="359"/>
      <c r="E484" s="359"/>
      <c r="F484" s="359"/>
      <c r="G484" s="359"/>
      <c r="H484" s="359"/>
      <c r="I484" s="359"/>
      <c r="J484" s="359"/>
      <c r="K484" s="359"/>
      <c r="L484" s="359"/>
      <c r="M484" s="359"/>
      <c r="N484" s="359"/>
      <c r="O484" s="359"/>
      <c r="P484" s="359"/>
      <c r="Q484" s="359"/>
      <c r="R484" s="359"/>
      <c r="S484" s="359"/>
      <c r="T484" s="359"/>
      <c r="U484" s="359"/>
      <c r="V484" s="359"/>
      <c r="W484" s="359"/>
      <c r="X484" s="359"/>
      <c r="Y484" s="359"/>
      <c r="Z484" s="359"/>
      <c r="AA484" s="359"/>
    </row>
    <row r="485" spans="1:27" ht="12" customHeight="1" x14ac:dyDescent="0.25">
      <c r="A485" s="359"/>
      <c r="B485" s="359"/>
      <c r="C485" s="359"/>
      <c r="D485" s="359"/>
      <c r="E485" s="359"/>
      <c r="F485" s="359"/>
      <c r="G485" s="359"/>
      <c r="H485" s="359"/>
      <c r="I485" s="359"/>
      <c r="J485" s="359"/>
      <c r="K485" s="359"/>
      <c r="L485" s="359"/>
      <c r="M485" s="359"/>
      <c r="N485" s="359"/>
      <c r="O485" s="359"/>
      <c r="P485" s="359"/>
      <c r="Q485" s="359"/>
      <c r="R485" s="359"/>
      <c r="S485" s="359"/>
      <c r="T485" s="359"/>
      <c r="U485" s="359"/>
      <c r="V485" s="359"/>
      <c r="W485" s="359"/>
      <c r="X485" s="359"/>
      <c r="Y485" s="359"/>
      <c r="Z485" s="359"/>
      <c r="AA485" s="359"/>
    </row>
    <row r="486" spans="1:27" ht="12" customHeight="1" x14ac:dyDescent="0.25">
      <c r="A486" s="359"/>
      <c r="B486" s="359"/>
      <c r="C486" s="359"/>
      <c r="D486" s="359"/>
      <c r="E486" s="359"/>
      <c r="F486" s="359"/>
      <c r="G486" s="359"/>
      <c r="H486" s="359"/>
      <c r="I486" s="359"/>
      <c r="J486" s="359"/>
      <c r="K486" s="359"/>
      <c r="L486" s="359"/>
      <c r="M486" s="359"/>
      <c r="N486" s="359"/>
      <c r="O486" s="359"/>
      <c r="P486" s="359"/>
      <c r="Q486" s="359"/>
      <c r="R486" s="359"/>
      <c r="S486" s="359"/>
      <c r="T486" s="359"/>
      <c r="U486" s="359"/>
      <c r="V486" s="359"/>
      <c r="W486" s="359"/>
      <c r="X486" s="359"/>
      <c r="Y486" s="359"/>
      <c r="Z486" s="359"/>
      <c r="AA486" s="359"/>
    </row>
    <row r="487" spans="1:27" ht="12" customHeight="1" x14ac:dyDescent="0.25">
      <c r="A487" s="359"/>
      <c r="B487" s="359"/>
      <c r="C487" s="359"/>
      <c r="D487" s="359"/>
      <c r="E487" s="359"/>
      <c r="F487" s="359"/>
      <c r="G487" s="359"/>
      <c r="H487" s="359"/>
      <c r="I487" s="359"/>
      <c r="J487" s="359"/>
      <c r="K487" s="359"/>
      <c r="L487" s="359"/>
      <c r="M487" s="359"/>
      <c r="N487" s="359"/>
      <c r="O487" s="359"/>
      <c r="P487" s="359"/>
      <c r="Q487" s="359"/>
      <c r="R487" s="359"/>
      <c r="S487" s="359"/>
      <c r="T487" s="359"/>
      <c r="U487" s="359"/>
      <c r="V487" s="359"/>
      <c r="W487" s="359"/>
      <c r="X487" s="359"/>
      <c r="Y487" s="359"/>
      <c r="Z487" s="359"/>
      <c r="AA487" s="359"/>
    </row>
    <row r="488" spans="1:27" ht="12" customHeight="1" x14ac:dyDescent="0.25">
      <c r="A488" s="359"/>
      <c r="B488" s="359"/>
      <c r="C488" s="359"/>
      <c r="D488" s="359"/>
      <c r="E488" s="359"/>
      <c r="F488" s="359"/>
      <c r="G488" s="359"/>
      <c r="H488" s="359"/>
      <c r="I488" s="359"/>
      <c r="J488" s="359"/>
      <c r="K488" s="359"/>
      <c r="L488" s="359"/>
      <c r="M488" s="359"/>
      <c r="N488" s="359"/>
      <c r="O488" s="359"/>
      <c r="P488" s="359"/>
      <c r="Q488" s="359"/>
      <c r="R488" s="359"/>
      <c r="S488" s="359"/>
      <c r="T488" s="359"/>
      <c r="U488" s="359"/>
      <c r="V488" s="359"/>
      <c r="W488" s="359"/>
      <c r="X488" s="359"/>
      <c r="Y488" s="359"/>
      <c r="Z488" s="359"/>
      <c r="AA488" s="359"/>
    </row>
    <row r="489" spans="1:27" ht="12" customHeight="1" x14ac:dyDescent="0.25">
      <c r="A489" s="359"/>
      <c r="B489" s="359"/>
      <c r="C489" s="359"/>
      <c r="D489" s="359"/>
      <c r="E489" s="359"/>
      <c r="F489" s="359"/>
      <c r="G489" s="359"/>
      <c r="H489" s="359"/>
      <c r="I489" s="359"/>
      <c r="J489" s="359"/>
      <c r="K489" s="359"/>
      <c r="L489" s="359"/>
      <c r="M489" s="359"/>
      <c r="N489" s="359"/>
      <c r="O489" s="359"/>
      <c r="P489" s="359"/>
      <c r="Q489" s="359"/>
      <c r="R489" s="359"/>
      <c r="S489" s="359"/>
      <c r="T489" s="359"/>
      <c r="U489" s="359"/>
      <c r="V489" s="359"/>
      <c r="W489" s="359"/>
      <c r="X489" s="359"/>
      <c r="Y489" s="359"/>
      <c r="Z489" s="359"/>
      <c r="AA489" s="359"/>
    </row>
    <row r="490" spans="1:27" ht="12" customHeight="1" x14ac:dyDescent="0.25">
      <c r="A490" s="359"/>
      <c r="B490" s="359"/>
      <c r="C490" s="359"/>
      <c r="D490" s="359"/>
      <c r="E490" s="359"/>
      <c r="F490" s="359"/>
      <c r="G490" s="359"/>
      <c r="H490" s="359"/>
      <c r="I490" s="359"/>
      <c r="J490" s="359"/>
      <c r="K490" s="359"/>
      <c r="L490" s="359"/>
      <c r="M490" s="359"/>
      <c r="N490" s="359"/>
      <c r="O490" s="359"/>
      <c r="P490" s="359"/>
      <c r="Q490" s="359"/>
      <c r="R490" s="359"/>
      <c r="S490" s="359"/>
      <c r="T490" s="359"/>
      <c r="U490" s="359"/>
      <c r="V490" s="359"/>
      <c r="W490" s="359"/>
      <c r="X490" s="359"/>
      <c r="Y490" s="359"/>
      <c r="Z490" s="359"/>
      <c r="AA490" s="359"/>
    </row>
    <row r="491" spans="1:27" ht="12" customHeight="1" x14ac:dyDescent="0.25">
      <c r="A491" s="359"/>
      <c r="B491" s="359"/>
      <c r="C491" s="359"/>
      <c r="D491" s="359"/>
      <c r="E491" s="359"/>
      <c r="F491" s="359"/>
      <c r="G491" s="359"/>
      <c r="H491" s="359"/>
      <c r="I491" s="359"/>
      <c r="J491" s="359"/>
      <c r="K491" s="359"/>
      <c r="L491" s="359"/>
      <c r="M491" s="359"/>
      <c r="N491" s="359"/>
      <c r="O491" s="359"/>
      <c r="P491" s="359"/>
      <c r="Q491" s="359"/>
      <c r="R491" s="359"/>
      <c r="S491" s="359"/>
      <c r="T491" s="359"/>
      <c r="U491" s="359"/>
      <c r="V491" s="359"/>
      <c r="W491" s="359"/>
      <c r="X491" s="359"/>
      <c r="Y491" s="359"/>
      <c r="Z491" s="359"/>
      <c r="AA491" s="359"/>
    </row>
    <row r="492" spans="1:27" ht="12" customHeight="1" x14ac:dyDescent="0.25">
      <c r="A492" s="359"/>
      <c r="B492" s="359"/>
      <c r="C492" s="359"/>
      <c r="D492" s="359"/>
      <c r="E492" s="359"/>
      <c r="F492" s="359"/>
      <c r="G492" s="359"/>
      <c r="H492" s="359"/>
      <c r="I492" s="359"/>
      <c r="J492" s="359"/>
      <c r="K492" s="359"/>
      <c r="L492" s="359"/>
      <c r="M492" s="359"/>
      <c r="N492" s="359"/>
      <c r="O492" s="359"/>
      <c r="P492" s="359"/>
      <c r="Q492" s="359"/>
      <c r="R492" s="359"/>
      <c r="S492" s="359"/>
      <c r="T492" s="359"/>
      <c r="U492" s="359"/>
      <c r="V492" s="359"/>
      <c r="W492" s="359"/>
      <c r="X492" s="359"/>
      <c r="Y492" s="359"/>
      <c r="Z492" s="359"/>
      <c r="AA492" s="359"/>
    </row>
    <row r="493" spans="1:27" ht="12" customHeight="1" x14ac:dyDescent="0.25">
      <c r="A493" s="359"/>
      <c r="B493" s="359"/>
      <c r="C493" s="359"/>
      <c r="D493" s="359"/>
      <c r="E493" s="359"/>
      <c r="F493" s="359"/>
      <c r="G493" s="359"/>
      <c r="H493" s="359"/>
      <c r="I493" s="359"/>
      <c r="J493" s="359"/>
      <c r="K493" s="359"/>
      <c r="L493" s="359"/>
      <c r="M493" s="359"/>
      <c r="N493" s="359"/>
      <c r="O493" s="359"/>
      <c r="P493" s="359"/>
      <c r="Q493" s="359"/>
      <c r="R493" s="359"/>
      <c r="S493" s="359"/>
      <c r="T493" s="359"/>
      <c r="U493" s="359"/>
      <c r="V493" s="359"/>
      <c r="W493" s="359"/>
      <c r="X493" s="359"/>
      <c r="Y493" s="359"/>
      <c r="Z493" s="359"/>
      <c r="AA493" s="359"/>
    </row>
    <row r="494" spans="1:27" ht="12" customHeight="1" x14ac:dyDescent="0.25">
      <c r="A494" s="359"/>
      <c r="B494" s="359"/>
      <c r="C494" s="359"/>
      <c r="D494" s="359"/>
      <c r="E494" s="359"/>
      <c r="F494" s="359"/>
      <c r="G494" s="359"/>
      <c r="H494" s="359"/>
      <c r="I494" s="359"/>
      <c r="J494" s="359"/>
      <c r="K494" s="359"/>
      <c r="L494" s="359"/>
      <c r="M494" s="359"/>
      <c r="N494" s="359"/>
      <c r="O494" s="359"/>
      <c r="P494" s="359"/>
      <c r="Q494" s="359"/>
      <c r="R494" s="359"/>
      <c r="S494" s="359"/>
      <c r="T494" s="359"/>
      <c r="U494" s="359"/>
      <c r="V494" s="359"/>
      <c r="W494" s="359"/>
      <c r="X494" s="359"/>
      <c r="Y494" s="359"/>
      <c r="Z494" s="359"/>
      <c r="AA494" s="359"/>
    </row>
    <row r="495" spans="1:27" ht="12" customHeight="1" x14ac:dyDescent="0.25">
      <c r="A495" s="359"/>
      <c r="B495" s="359"/>
      <c r="C495" s="359"/>
      <c r="D495" s="359"/>
      <c r="E495" s="359"/>
      <c r="F495" s="359"/>
      <c r="G495" s="359"/>
      <c r="H495" s="359"/>
      <c r="I495" s="359"/>
      <c r="J495" s="359"/>
      <c r="K495" s="359"/>
      <c r="L495" s="359"/>
      <c r="M495" s="359"/>
      <c r="N495" s="359"/>
      <c r="O495" s="359"/>
      <c r="P495" s="359"/>
      <c r="Q495" s="359"/>
      <c r="R495" s="359"/>
      <c r="S495" s="359"/>
      <c r="T495" s="359"/>
      <c r="U495" s="359"/>
      <c r="V495" s="359"/>
      <c r="W495" s="359"/>
      <c r="X495" s="359"/>
      <c r="Y495" s="359"/>
      <c r="Z495" s="359"/>
      <c r="AA495" s="359"/>
    </row>
    <row r="496" spans="1:27" ht="12" customHeight="1" x14ac:dyDescent="0.25">
      <c r="A496" s="359"/>
      <c r="B496" s="359"/>
      <c r="C496" s="359"/>
      <c r="D496" s="359"/>
      <c r="E496" s="359"/>
      <c r="F496" s="359"/>
      <c r="G496" s="359"/>
      <c r="H496" s="359"/>
      <c r="I496" s="359"/>
      <c r="J496" s="359"/>
      <c r="K496" s="359"/>
      <c r="L496" s="359"/>
      <c r="M496" s="359"/>
      <c r="N496" s="359"/>
      <c r="O496" s="359"/>
      <c r="P496" s="359"/>
      <c r="Q496" s="359"/>
      <c r="R496" s="359"/>
      <c r="S496" s="359"/>
      <c r="T496" s="359"/>
      <c r="U496" s="359"/>
      <c r="V496" s="359"/>
      <c r="W496" s="359"/>
      <c r="X496" s="359"/>
      <c r="Y496" s="359"/>
      <c r="Z496" s="359"/>
      <c r="AA496" s="359"/>
    </row>
    <row r="497" spans="1:27" ht="12" customHeight="1" x14ac:dyDescent="0.25">
      <c r="A497" s="359"/>
      <c r="B497" s="359"/>
      <c r="C497" s="359"/>
      <c r="D497" s="359"/>
      <c r="E497" s="359"/>
      <c r="F497" s="359"/>
      <c r="G497" s="359"/>
      <c r="H497" s="359"/>
      <c r="I497" s="359"/>
      <c r="J497" s="359"/>
      <c r="K497" s="359"/>
      <c r="L497" s="359"/>
      <c r="M497" s="359"/>
      <c r="N497" s="359"/>
      <c r="O497" s="359"/>
      <c r="P497" s="359"/>
      <c r="Q497" s="359"/>
      <c r="R497" s="359"/>
      <c r="S497" s="359"/>
      <c r="T497" s="359"/>
      <c r="U497" s="359"/>
      <c r="V497" s="359"/>
      <c r="W497" s="359"/>
      <c r="X497" s="359"/>
      <c r="Y497" s="359"/>
      <c r="Z497" s="359"/>
      <c r="AA497" s="359"/>
    </row>
    <row r="498" spans="1:27" ht="12" customHeight="1" x14ac:dyDescent="0.25">
      <c r="A498" s="359"/>
      <c r="B498" s="359"/>
      <c r="C498" s="359"/>
      <c r="D498" s="359"/>
      <c r="E498" s="359"/>
      <c r="F498" s="359"/>
      <c r="G498" s="359"/>
      <c r="H498" s="359"/>
      <c r="I498" s="359"/>
      <c r="J498" s="359"/>
      <c r="K498" s="359"/>
      <c r="L498" s="359"/>
      <c r="M498" s="359"/>
      <c r="N498" s="359"/>
      <c r="O498" s="359"/>
      <c r="P498" s="359"/>
      <c r="Q498" s="359"/>
      <c r="R498" s="359"/>
      <c r="S498" s="359"/>
      <c r="T498" s="359"/>
      <c r="U498" s="359"/>
      <c r="V498" s="359"/>
      <c r="W498" s="359"/>
      <c r="X498" s="359"/>
      <c r="Y498" s="359"/>
      <c r="Z498" s="359"/>
      <c r="AA498" s="359"/>
    </row>
    <row r="499" spans="1:27" ht="12" customHeight="1" x14ac:dyDescent="0.25">
      <c r="A499" s="359"/>
      <c r="B499" s="359"/>
      <c r="C499" s="359"/>
      <c r="D499" s="359"/>
      <c r="E499" s="359"/>
      <c r="F499" s="359"/>
      <c r="G499" s="359"/>
      <c r="H499" s="359"/>
      <c r="I499" s="359"/>
      <c r="J499" s="359"/>
      <c r="K499" s="359"/>
      <c r="L499" s="359"/>
      <c r="M499" s="359"/>
      <c r="N499" s="359"/>
      <c r="O499" s="359"/>
      <c r="P499" s="359"/>
      <c r="Q499" s="359"/>
      <c r="R499" s="359"/>
      <c r="S499" s="359"/>
      <c r="T499" s="359"/>
      <c r="U499" s="359"/>
      <c r="V499" s="359"/>
      <c r="W499" s="359"/>
      <c r="X499" s="359"/>
      <c r="Y499" s="359"/>
      <c r="Z499" s="359"/>
      <c r="AA499" s="359"/>
    </row>
    <row r="500" spans="1:27" ht="12" customHeight="1" x14ac:dyDescent="0.25">
      <c r="A500" s="359"/>
      <c r="B500" s="359"/>
      <c r="C500" s="359"/>
      <c r="D500" s="359"/>
      <c r="E500" s="359"/>
      <c r="F500" s="359"/>
      <c r="G500" s="359"/>
      <c r="H500" s="359"/>
      <c r="I500" s="359"/>
      <c r="J500" s="359"/>
      <c r="K500" s="359"/>
      <c r="L500" s="359"/>
      <c r="M500" s="359"/>
      <c r="N500" s="359"/>
      <c r="O500" s="359"/>
      <c r="P500" s="359"/>
      <c r="Q500" s="359"/>
      <c r="R500" s="359"/>
      <c r="S500" s="359"/>
      <c r="T500" s="359"/>
      <c r="U500" s="359"/>
      <c r="V500" s="359"/>
      <c r="W500" s="359"/>
      <c r="X500" s="359"/>
      <c r="Y500" s="359"/>
      <c r="Z500" s="359"/>
      <c r="AA500" s="359"/>
    </row>
    <row r="501" spans="1:27" ht="12" customHeight="1" x14ac:dyDescent="0.25">
      <c r="A501" s="359"/>
      <c r="B501" s="359"/>
      <c r="C501" s="359"/>
      <c r="D501" s="359"/>
      <c r="E501" s="359"/>
      <c r="F501" s="359"/>
      <c r="G501" s="359"/>
      <c r="H501" s="359"/>
      <c r="I501" s="359"/>
      <c r="J501" s="359"/>
      <c r="K501" s="359"/>
      <c r="L501" s="359"/>
      <c r="M501" s="359"/>
      <c r="N501" s="359"/>
      <c r="O501" s="359"/>
      <c r="P501" s="359"/>
      <c r="Q501" s="359"/>
      <c r="R501" s="359"/>
      <c r="S501" s="359"/>
      <c r="T501" s="359"/>
      <c r="U501" s="359"/>
      <c r="V501" s="359"/>
      <c r="W501" s="359"/>
      <c r="X501" s="359"/>
      <c r="Y501" s="359"/>
      <c r="Z501" s="359"/>
      <c r="AA501" s="359"/>
    </row>
    <row r="502" spans="1:27" ht="12" customHeight="1" x14ac:dyDescent="0.25">
      <c r="A502" s="359"/>
      <c r="B502" s="359"/>
      <c r="C502" s="359"/>
      <c r="D502" s="359"/>
      <c r="E502" s="359"/>
      <c r="F502" s="359"/>
      <c r="G502" s="359"/>
      <c r="H502" s="359"/>
      <c r="I502" s="359"/>
      <c r="J502" s="359"/>
      <c r="K502" s="359"/>
      <c r="L502" s="359"/>
      <c r="M502" s="359"/>
      <c r="N502" s="359"/>
      <c r="O502" s="359"/>
      <c r="P502" s="359"/>
      <c r="Q502" s="359"/>
      <c r="R502" s="359"/>
      <c r="S502" s="359"/>
      <c r="T502" s="359"/>
      <c r="U502" s="359"/>
      <c r="V502" s="359"/>
      <c r="W502" s="359"/>
      <c r="X502" s="359"/>
      <c r="Y502" s="359"/>
      <c r="Z502" s="359"/>
      <c r="AA502" s="359"/>
    </row>
    <row r="503" spans="1:27" ht="12" customHeight="1" x14ac:dyDescent="0.25">
      <c r="A503" s="359"/>
      <c r="B503" s="359"/>
      <c r="C503" s="359"/>
      <c r="D503" s="359"/>
      <c r="E503" s="359"/>
      <c r="F503" s="359"/>
      <c r="G503" s="359"/>
      <c r="H503" s="359"/>
      <c r="I503" s="359"/>
      <c r="J503" s="359"/>
      <c r="K503" s="359"/>
      <c r="L503" s="359"/>
      <c r="M503" s="359"/>
      <c r="N503" s="359"/>
      <c r="O503" s="359"/>
      <c r="P503" s="359"/>
      <c r="Q503" s="359"/>
      <c r="R503" s="359"/>
      <c r="S503" s="359"/>
      <c r="T503" s="359"/>
      <c r="U503" s="359"/>
      <c r="V503" s="359"/>
      <c r="W503" s="359"/>
      <c r="X503" s="359"/>
      <c r="Y503" s="359"/>
      <c r="Z503" s="359"/>
      <c r="AA503" s="359"/>
    </row>
    <row r="504" spans="1:27" ht="12" customHeight="1" x14ac:dyDescent="0.25">
      <c r="A504" s="359"/>
      <c r="B504" s="359"/>
      <c r="C504" s="359"/>
      <c r="D504" s="359"/>
      <c r="E504" s="359"/>
      <c r="F504" s="359"/>
      <c r="G504" s="359"/>
      <c r="H504" s="359"/>
      <c r="I504" s="359"/>
      <c r="J504" s="359"/>
      <c r="K504" s="359"/>
      <c r="L504" s="359"/>
      <c r="M504" s="359"/>
      <c r="N504" s="359"/>
      <c r="O504" s="359"/>
      <c r="P504" s="359"/>
      <c r="Q504" s="359"/>
      <c r="R504" s="359"/>
      <c r="S504" s="359"/>
      <c r="T504" s="359"/>
      <c r="U504" s="359"/>
      <c r="V504" s="359"/>
      <c r="W504" s="359"/>
      <c r="X504" s="359"/>
      <c r="Y504" s="359"/>
      <c r="Z504" s="359"/>
      <c r="AA504" s="359"/>
    </row>
    <row r="505" spans="1:27" ht="12" customHeight="1" x14ac:dyDescent="0.25">
      <c r="A505" s="359"/>
      <c r="B505" s="359"/>
      <c r="C505" s="359"/>
      <c r="D505" s="359"/>
      <c r="E505" s="359"/>
      <c r="F505" s="359"/>
      <c r="G505" s="359"/>
      <c r="H505" s="359"/>
      <c r="I505" s="359"/>
      <c r="J505" s="359"/>
      <c r="K505" s="359"/>
      <c r="L505" s="359"/>
      <c r="M505" s="359"/>
      <c r="N505" s="359"/>
      <c r="O505" s="359"/>
      <c r="P505" s="359"/>
      <c r="Q505" s="359"/>
      <c r="R505" s="359"/>
      <c r="S505" s="359"/>
      <c r="T505" s="359"/>
      <c r="U505" s="359"/>
      <c r="V505" s="359"/>
      <c r="W505" s="359"/>
      <c r="X505" s="359"/>
      <c r="Y505" s="359"/>
      <c r="Z505" s="359"/>
      <c r="AA505" s="359"/>
    </row>
    <row r="506" spans="1:27" ht="12" customHeight="1" x14ac:dyDescent="0.25">
      <c r="A506" s="359"/>
      <c r="B506" s="359"/>
      <c r="C506" s="359"/>
      <c r="D506" s="359"/>
      <c r="E506" s="359"/>
      <c r="F506" s="359"/>
      <c r="G506" s="359"/>
      <c r="H506" s="359"/>
      <c r="I506" s="359"/>
      <c r="J506" s="359"/>
      <c r="K506" s="359"/>
      <c r="L506" s="359"/>
      <c r="M506" s="359"/>
      <c r="N506" s="359"/>
      <c r="O506" s="359"/>
      <c r="P506" s="359"/>
      <c r="Q506" s="359"/>
      <c r="R506" s="359"/>
      <c r="S506" s="359"/>
      <c r="T506" s="359"/>
      <c r="U506" s="359"/>
      <c r="V506" s="359"/>
      <c r="W506" s="359"/>
      <c r="X506" s="359"/>
      <c r="Y506" s="359"/>
      <c r="Z506" s="359"/>
      <c r="AA506" s="359"/>
    </row>
    <row r="507" spans="1:27" ht="12" customHeight="1" x14ac:dyDescent="0.25">
      <c r="A507" s="359"/>
      <c r="B507" s="359"/>
      <c r="C507" s="359"/>
      <c r="D507" s="359"/>
      <c r="E507" s="359"/>
      <c r="F507" s="359"/>
      <c r="G507" s="359"/>
      <c r="H507" s="359"/>
      <c r="I507" s="359"/>
      <c r="J507" s="359"/>
      <c r="K507" s="359"/>
      <c r="L507" s="359"/>
      <c r="M507" s="359"/>
      <c r="N507" s="359"/>
      <c r="O507" s="359"/>
      <c r="P507" s="359"/>
      <c r="Q507" s="359"/>
      <c r="R507" s="359"/>
      <c r="S507" s="359"/>
      <c r="T507" s="359"/>
      <c r="U507" s="359"/>
      <c r="V507" s="359"/>
      <c r="W507" s="359"/>
      <c r="X507" s="359"/>
      <c r="Y507" s="359"/>
      <c r="Z507" s="359"/>
      <c r="AA507" s="359"/>
    </row>
    <row r="508" spans="1:27" ht="12" customHeight="1" x14ac:dyDescent="0.25">
      <c r="A508" s="359"/>
      <c r="B508" s="359"/>
      <c r="C508" s="359"/>
      <c r="D508" s="359"/>
      <c r="E508" s="359"/>
      <c r="F508" s="359"/>
      <c r="G508" s="359"/>
      <c r="H508" s="359"/>
      <c r="I508" s="359"/>
      <c r="J508" s="359"/>
      <c r="K508" s="359"/>
      <c r="L508" s="359"/>
      <c r="M508" s="359"/>
      <c r="N508" s="359"/>
      <c r="O508" s="359"/>
      <c r="P508" s="359"/>
      <c r="Q508" s="359"/>
      <c r="R508" s="359"/>
      <c r="S508" s="359"/>
      <c r="T508" s="359"/>
      <c r="U508" s="359"/>
      <c r="V508" s="359"/>
      <c r="W508" s="359"/>
      <c r="X508" s="359"/>
      <c r="Y508" s="359"/>
      <c r="Z508" s="359"/>
      <c r="AA508" s="359"/>
    </row>
    <row r="509" spans="1:27" ht="12" customHeight="1" x14ac:dyDescent="0.25">
      <c r="A509" s="359"/>
      <c r="B509" s="359"/>
      <c r="C509" s="359"/>
      <c r="D509" s="359"/>
      <c r="E509" s="359"/>
      <c r="F509" s="359"/>
      <c r="G509" s="359"/>
      <c r="H509" s="359"/>
      <c r="I509" s="359"/>
      <c r="J509" s="359"/>
      <c r="K509" s="359"/>
      <c r="L509" s="359"/>
      <c r="M509" s="359"/>
      <c r="N509" s="359"/>
      <c r="O509" s="359"/>
      <c r="P509" s="359"/>
      <c r="Q509" s="359"/>
      <c r="R509" s="359"/>
      <c r="S509" s="359"/>
      <c r="T509" s="359"/>
      <c r="U509" s="359"/>
      <c r="V509" s="359"/>
      <c r="W509" s="359"/>
      <c r="X509" s="359"/>
      <c r="Y509" s="359"/>
      <c r="Z509" s="359"/>
      <c r="AA509" s="359"/>
    </row>
    <row r="510" spans="1:27" ht="12" customHeight="1" x14ac:dyDescent="0.25">
      <c r="A510" s="359"/>
      <c r="B510" s="359"/>
      <c r="C510" s="359"/>
      <c r="D510" s="359"/>
      <c r="E510" s="359"/>
      <c r="F510" s="359"/>
      <c r="G510" s="359"/>
      <c r="H510" s="359"/>
      <c r="I510" s="359"/>
      <c r="J510" s="359"/>
      <c r="K510" s="359"/>
      <c r="L510" s="359"/>
      <c r="M510" s="359"/>
      <c r="N510" s="359"/>
      <c r="O510" s="359"/>
      <c r="P510" s="359"/>
      <c r="Q510" s="359"/>
      <c r="R510" s="359"/>
      <c r="S510" s="359"/>
      <c r="T510" s="359"/>
      <c r="U510" s="359"/>
      <c r="V510" s="359"/>
      <c r="W510" s="359"/>
      <c r="X510" s="359"/>
      <c r="Y510" s="359"/>
      <c r="Z510" s="359"/>
      <c r="AA510" s="359"/>
    </row>
    <row r="511" spans="1:27" ht="12" customHeight="1" x14ac:dyDescent="0.25">
      <c r="A511" s="359"/>
      <c r="B511" s="359"/>
      <c r="C511" s="359"/>
      <c r="D511" s="359"/>
      <c r="E511" s="359"/>
      <c r="F511" s="359"/>
      <c r="G511" s="359"/>
      <c r="H511" s="359"/>
      <c r="I511" s="359"/>
      <c r="J511" s="359"/>
      <c r="K511" s="359"/>
      <c r="L511" s="359"/>
      <c r="M511" s="359"/>
      <c r="N511" s="359"/>
      <c r="O511" s="359"/>
      <c r="P511" s="359"/>
      <c r="Q511" s="359"/>
      <c r="R511" s="359"/>
      <c r="S511" s="359"/>
      <c r="T511" s="359"/>
      <c r="U511" s="359"/>
      <c r="V511" s="359"/>
      <c r="W511" s="359"/>
      <c r="X511" s="359"/>
      <c r="Y511" s="359"/>
      <c r="Z511" s="359"/>
      <c r="AA511" s="359"/>
    </row>
    <row r="512" spans="1:27" ht="12" customHeight="1" x14ac:dyDescent="0.25">
      <c r="A512" s="359"/>
      <c r="B512" s="359"/>
      <c r="C512" s="359"/>
      <c r="D512" s="359"/>
      <c r="E512" s="359"/>
      <c r="F512" s="359"/>
      <c r="G512" s="359"/>
      <c r="H512" s="359"/>
      <c r="I512" s="359"/>
      <c r="J512" s="359"/>
      <c r="K512" s="359"/>
      <c r="L512" s="359"/>
      <c r="M512" s="359"/>
      <c r="N512" s="359"/>
      <c r="O512" s="359"/>
      <c r="P512" s="359"/>
      <c r="Q512" s="359"/>
      <c r="R512" s="359"/>
      <c r="S512" s="359"/>
      <c r="T512" s="359"/>
      <c r="U512" s="359"/>
      <c r="V512" s="359"/>
      <c r="W512" s="359"/>
      <c r="X512" s="359"/>
      <c r="Y512" s="359"/>
      <c r="Z512" s="359"/>
      <c r="AA512" s="359"/>
    </row>
    <row r="513" spans="1:27" ht="12" customHeight="1" x14ac:dyDescent="0.25">
      <c r="A513" s="359"/>
      <c r="B513" s="359"/>
      <c r="C513" s="359"/>
      <c r="D513" s="359"/>
      <c r="E513" s="359"/>
      <c r="F513" s="359"/>
      <c r="G513" s="359"/>
      <c r="H513" s="359"/>
      <c r="I513" s="359"/>
      <c r="J513" s="359"/>
      <c r="K513" s="359"/>
      <c r="L513" s="359"/>
      <c r="M513" s="359"/>
      <c r="N513" s="359"/>
      <c r="O513" s="359"/>
      <c r="P513" s="359"/>
      <c r="Q513" s="359"/>
      <c r="R513" s="359"/>
      <c r="S513" s="359"/>
      <c r="T513" s="359"/>
      <c r="U513" s="359"/>
      <c r="V513" s="359"/>
      <c r="W513" s="359"/>
      <c r="X513" s="359"/>
      <c r="Y513" s="359"/>
      <c r="Z513" s="359"/>
      <c r="AA513" s="359"/>
    </row>
    <row r="514" spans="1:27" ht="12" customHeight="1" x14ac:dyDescent="0.25">
      <c r="A514" s="359"/>
      <c r="B514" s="359"/>
      <c r="C514" s="359"/>
      <c r="D514" s="359"/>
      <c r="E514" s="359"/>
      <c r="F514" s="359"/>
      <c r="G514" s="359"/>
      <c r="H514" s="359"/>
      <c r="I514" s="359"/>
      <c r="J514" s="359"/>
      <c r="K514" s="359"/>
      <c r="L514" s="359"/>
      <c r="M514" s="359"/>
      <c r="N514" s="359"/>
      <c r="O514" s="359"/>
      <c r="P514" s="359"/>
      <c r="Q514" s="359"/>
      <c r="R514" s="359"/>
      <c r="S514" s="359"/>
      <c r="T514" s="359"/>
      <c r="U514" s="359"/>
      <c r="V514" s="359"/>
      <c r="W514" s="359"/>
      <c r="X514" s="359"/>
      <c r="Y514" s="359"/>
      <c r="Z514" s="359"/>
      <c r="AA514" s="359"/>
    </row>
    <row r="515" spans="1:27" ht="12" customHeight="1" x14ac:dyDescent="0.25">
      <c r="A515" s="359"/>
      <c r="B515" s="359"/>
      <c r="C515" s="359"/>
      <c r="D515" s="359"/>
      <c r="E515" s="359"/>
      <c r="F515" s="359"/>
      <c r="G515" s="359"/>
      <c r="H515" s="359"/>
      <c r="I515" s="359"/>
      <c r="J515" s="359"/>
      <c r="K515" s="359"/>
      <c r="L515" s="359"/>
      <c r="M515" s="359"/>
      <c r="N515" s="359"/>
      <c r="O515" s="359"/>
      <c r="P515" s="359"/>
      <c r="Q515" s="359"/>
      <c r="R515" s="359"/>
      <c r="S515" s="359"/>
      <c r="T515" s="359"/>
      <c r="U515" s="359"/>
      <c r="V515" s="359"/>
      <c r="W515" s="359"/>
      <c r="X515" s="359"/>
      <c r="Y515" s="359"/>
      <c r="Z515" s="359"/>
      <c r="AA515" s="359"/>
    </row>
    <row r="516" spans="1:27" ht="12" customHeight="1" x14ac:dyDescent="0.25">
      <c r="A516" s="359"/>
      <c r="B516" s="359"/>
      <c r="C516" s="359"/>
      <c r="D516" s="359"/>
      <c r="E516" s="359"/>
      <c r="F516" s="359"/>
      <c r="G516" s="359"/>
      <c r="H516" s="359"/>
      <c r="I516" s="359"/>
      <c r="J516" s="359"/>
      <c r="K516" s="359"/>
      <c r="L516" s="359"/>
      <c r="M516" s="359"/>
      <c r="N516" s="359"/>
      <c r="O516" s="359"/>
      <c r="P516" s="359"/>
      <c r="Q516" s="359"/>
      <c r="R516" s="359"/>
      <c r="S516" s="359"/>
      <c r="T516" s="359"/>
      <c r="U516" s="359"/>
      <c r="V516" s="359"/>
      <c r="W516" s="359"/>
      <c r="X516" s="359"/>
      <c r="Y516" s="359"/>
      <c r="Z516" s="359"/>
      <c r="AA516" s="359"/>
    </row>
    <row r="517" spans="1:27" ht="12" customHeight="1" x14ac:dyDescent="0.25">
      <c r="A517" s="359"/>
      <c r="B517" s="359"/>
      <c r="C517" s="359"/>
      <c r="D517" s="359"/>
      <c r="E517" s="359"/>
      <c r="F517" s="359"/>
      <c r="G517" s="359"/>
      <c r="H517" s="359"/>
      <c r="I517" s="359"/>
      <c r="J517" s="359"/>
      <c r="K517" s="359"/>
      <c r="L517" s="359"/>
      <c r="M517" s="359"/>
      <c r="N517" s="359"/>
      <c r="O517" s="359"/>
      <c r="P517" s="359"/>
      <c r="Q517" s="359"/>
      <c r="R517" s="359"/>
      <c r="S517" s="359"/>
      <c r="T517" s="359"/>
      <c r="U517" s="359"/>
      <c r="V517" s="359"/>
      <c r="W517" s="359"/>
      <c r="X517" s="359"/>
      <c r="Y517" s="359"/>
      <c r="Z517" s="359"/>
      <c r="AA517" s="359"/>
    </row>
    <row r="518" spans="1:27" ht="12" customHeight="1" x14ac:dyDescent="0.25">
      <c r="A518" s="359"/>
      <c r="B518" s="359"/>
      <c r="C518" s="359"/>
      <c r="D518" s="359"/>
      <c r="E518" s="359"/>
      <c r="F518" s="359"/>
      <c r="G518" s="359"/>
      <c r="H518" s="359"/>
      <c r="I518" s="359"/>
      <c r="J518" s="359"/>
      <c r="K518" s="359"/>
      <c r="L518" s="359"/>
      <c r="M518" s="359"/>
      <c r="N518" s="359"/>
      <c r="O518" s="359"/>
      <c r="P518" s="359"/>
      <c r="Q518" s="359"/>
      <c r="R518" s="359"/>
      <c r="S518" s="359"/>
      <c r="T518" s="359"/>
      <c r="U518" s="359"/>
      <c r="V518" s="359"/>
      <c r="W518" s="359"/>
      <c r="X518" s="359"/>
      <c r="Y518" s="359"/>
      <c r="Z518" s="359"/>
      <c r="AA518" s="359"/>
    </row>
    <row r="519" spans="1:27" ht="12" customHeight="1" x14ac:dyDescent="0.25">
      <c r="A519" s="359"/>
      <c r="B519" s="359"/>
      <c r="C519" s="359"/>
      <c r="D519" s="359"/>
      <c r="E519" s="359"/>
      <c r="F519" s="359"/>
      <c r="G519" s="359"/>
      <c r="H519" s="359"/>
      <c r="I519" s="359"/>
      <c r="J519" s="359"/>
      <c r="K519" s="359"/>
      <c r="L519" s="359"/>
      <c r="M519" s="359"/>
      <c r="N519" s="359"/>
      <c r="O519" s="359"/>
      <c r="P519" s="359"/>
      <c r="Q519" s="359"/>
      <c r="R519" s="359"/>
      <c r="S519" s="359"/>
      <c r="T519" s="359"/>
      <c r="U519" s="359"/>
      <c r="V519" s="359"/>
      <c r="W519" s="359"/>
      <c r="X519" s="359"/>
      <c r="Y519" s="359"/>
      <c r="Z519" s="359"/>
      <c r="AA519" s="359"/>
    </row>
    <row r="520" spans="1:27" ht="12" customHeight="1" x14ac:dyDescent="0.25">
      <c r="A520" s="359"/>
      <c r="B520" s="359"/>
      <c r="C520" s="359"/>
      <c r="D520" s="359"/>
      <c r="E520" s="359"/>
      <c r="F520" s="359"/>
      <c r="G520" s="359"/>
      <c r="H520" s="359"/>
      <c r="I520" s="359"/>
      <c r="J520" s="359"/>
      <c r="K520" s="359"/>
      <c r="L520" s="359"/>
      <c r="M520" s="359"/>
      <c r="N520" s="359"/>
      <c r="O520" s="359"/>
      <c r="P520" s="359"/>
      <c r="Q520" s="359"/>
      <c r="R520" s="359"/>
      <c r="S520" s="359"/>
      <c r="T520" s="359"/>
      <c r="U520" s="359"/>
      <c r="V520" s="359"/>
      <c r="W520" s="359"/>
      <c r="X520" s="359"/>
      <c r="Y520" s="359"/>
      <c r="Z520" s="359"/>
      <c r="AA520" s="359"/>
    </row>
    <row r="521" spans="1:27" ht="12" customHeight="1" x14ac:dyDescent="0.25">
      <c r="A521" s="359"/>
      <c r="B521" s="359"/>
      <c r="C521" s="359"/>
      <c r="D521" s="359"/>
      <c r="E521" s="359"/>
      <c r="F521" s="359"/>
      <c r="G521" s="359"/>
      <c r="H521" s="359"/>
      <c r="I521" s="359"/>
      <c r="J521" s="359"/>
      <c r="K521" s="359"/>
      <c r="L521" s="359"/>
      <c r="M521" s="359"/>
      <c r="N521" s="359"/>
      <c r="O521" s="359"/>
      <c r="P521" s="359"/>
      <c r="Q521" s="359"/>
      <c r="R521" s="359"/>
      <c r="S521" s="359"/>
      <c r="T521" s="359"/>
      <c r="U521" s="359"/>
      <c r="V521" s="359"/>
      <c r="W521" s="359"/>
      <c r="X521" s="359"/>
      <c r="Y521" s="359"/>
      <c r="Z521" s="359"/>
      <c r="AA521" s="359"/>
    </row>
    <row r="522" spans="1:27" ht="12" customHeight="1" x14ac:dyDescent="0.25">
      <c r="A522" s="359"/>
      <c r="B522" s="359"/>
      <c r="C522" s="359"/>
      <c r="D522" s="359"/>
      <c r="E522" s="359"/>
      <c r="F522" s="359"/>
      <c r="G522" s="359"/>
      <c r="H522" s="359"/>
      <c r="I522" s="359"/>
      <c r="J522" s="359"/>
      <c r="K522" s="359"/>
      <c r="L522" s="359"/>
      <c r="M522" s="359"/>
      <c r="N522" s="359"/>
      <c r="O522" s="359"/>
      <c r="P522" s="359"/>
      <c r="Q522" s="359"/>
      <c r="R522" s="359"/>
      <c r="S522" s="359"/>
      <c r="T522" s="359"/>
      <c r="U522" s="359"/>
      <c r="V522" s="359"/>
      <c r="W522" s="359"/>
      <c r="X522" s="359"/>
      <c r="Y522" s="359"/>
      <c r="Z522" s="359"/>
      <c r="AA522" s="359"/>
    </row>
    <row r="523" spans="1:27" ht="12" customHeight="1" x14ac:dyDescent="0.25">
      <c r="A523" s="359"/>
      <c r="B523" s="359"/>
      <c r="C523" s="359"/>
      <c r="D523" s="359"/>
      <c r="E523" s="359"/>
      <c r="F523" s="359"/>
      <c r="G523" s="359"/>
      <c r="H523" s="359"/>
      <c r="I523" s="359"/>
      <c r="J523" s="359"/>
      <c r="K523" s="359"/>
      <c r="L523" s="359"/>
      <c r="M523" s="359"/>
      <c r="N523" s="359"/>
      <c r="O523" s="359"/>
      <c r="P523" s="359"/>
      <c r="Q523" s="359"/>
      <c r="R523" s="359"/>
      <c r="S523" s="359"/>
      <c r="T523" s="359"/>
      <c r="U523" s="359"/>
      <c r="V523" s="359"/>
      <c r="W523" s="359"/>
      <c r="X523" s="359"/>
      <c r="Y523" s="359"/>
      <c r="Z523" s="359"/>
      <c r="AA523" s="359"/>
    </row>
    <row r="524" spans="1:27" ht="12" customHeight="1" x14ac:dyDescent="0.25">
      <c r="A524" s="359"/>
      <c r="B524" s="359"/>
      <c r="C524" s="359"/>
      <c r="D524" s="359"/>
      <c r="E524" s="359"/>
      <c r="F524" s="359"/>
      <c r="G524" s="359"/>
      <c r="H524" s="359"/>
      <c r="I524" s="359"/>
      <c r="J524" s="359"/>
      <c r="K524" s="359"/>
      <c r="L524" s="359"/>
      <c r="M524" s="359"/>
      <c r="N524" s="359"/>
      <c r="O524" s="359"/>
      <c r="P524" s="359"/>
      <c r="Q524" s="359"/>
      <c r="R524" s="359"/>
      <c r="S524" s="359"/>
      <c r="T524" s="359"/>
      <c r="U524" s="359"/>
      <c r="V524" s="359"/>
      <c r="W524" s="359"/>
      <c r="X524" s="359"/>
      <c r="Y524" s="359"/>
      <c r="Z524" s="359"/>
      <c r="AA524" s="359"/>
    </row>
    <row r="525" spans="1:27" ht="12" customHeight="1" x14ac:dyDescent="0.25">
      <c r="A525" s="359"/>
      <c r="B525" s="359"/>
      <c r="C525" s="359"/>
      <c r="D525" s="359"/>
      <c r="E525" s="359"/>
      <c r="F525" s="359"/>
      <c r="G525" s="359"/>
      <c r="H525" s="359"/>
      <c r="I525" s="359"/>
      <c r="J525" s="359"/>
      <c r="K525" s="359"/>
      <c r="L525" s="359"/>
      <c r="M525" s="359"/>
      <c r="N525" s="359"/>
      <c r="O525" s="359"/>
      <c r="P525" s="359"/>
      <c r="Q525" s="359"/>
      <c r="R525" s="359"/>
      <c r="S525" s="359"/>
      <c r="T525" s="359"/>
      <c r="U525" s="359"/>
      <c r="V525" s="359"/>
      <c r="W525" s="359"/>
      <c r="X525" s="359"/>
      <c r="Y525" s="359"/>
      <c r="Z525" s="359"/>
      <c r="AA525" s="359"/>
    </row>
    <row r="526" spans="1:27" ht="12" customHeight="1" x14ac:dyDescent="0.25">
      <c r="A526" s="359"/>
      <c r="B526" s="359"/>
      <c r="C526" s="359"/>
      <c r="D526" s="359"/>
      <c r="E526" s="359"/>
      <c r="F526" s="359"/>
      <c r="G526" s="359"/>
      <c r="H526" s="359"/>
      <c r="I526" s="359"/>
      <c r="J526" s="359"/>
      <c r="K526" s="359"/>
      <c r="L526" s="359"/>
      <c r="M526" s="359"/>
      <c r="N526" s="359"/>
      <c r="O526" s="359"/>
      <c r="P526" s="359"/>
      <c r="Q526" s="359"/>
      <c r="R526" s="359"/>
      <c r="S526" s="359"/>
      <c r="T526" s="359"/>
      <c r="U526" s="359"/>
      <c r="V526" s="359"/>
      <c r="W526" s="359"/>
      <c r="X526" s="359"/>
      <c r="Y526" s="359"/>
      <c r="Z526" s="359"/>
      <c r="AA526" s="359"/>
    </row>
    <row r="527" spans="1:27" ht="12" customHeight="1" x14ac:dyDescent="0.25">
      <c r="A527" s="359"/>
      <c r="B527" s="359"/>
      <c r="C527" s="359"/>
      <c r="D527" s="359"/>
      <c r="E527" s="359"/>
      <c r="F527" s="359"/>
      <c r="G527" s="359"/>
      <c r="H527" s="359"/>
      <c r="I527" s="359"/>
      <c r="J527" s="359"/>
      <c r="K527" s="359"/>
      <c r="L527" s="359"/>
      <c r="M527" s="359"/>
      <c r="N527" s="359"/>
      <c r="O527" s="359"/>
      <c r="P527" s="359"/>
      <c r="Q527" s="359"/>
      <c r="R527" s="359"/>
      <c r="S527" s="359"/>
      <c r="T527" s="359"/>
      <c r="U527" s="359"/>
      <c r="V527" s="359"/>
      <c r="W527" s="359"/>
      <c r="X527" s="359"/>
      <c r="Y527" s="359"/>
      <c r="Z527" s="359"/>
      <c r="AA527" s="359"/>
    </row>
    <row r="528" spans="1:27" ht="12" customHeight="1" x14ac:dyDescent="0.25">
      <c r="A528" s="359"/>
      <c r="B528" s="359"/>
      <c r="C528" s="359"/>
      <c r="D528" s="359"/>
      <c r="E528" s="359"/>
      <c r="F528" s="359"/>
      <c r="G528" s="359"/>
      <c r="H528" s="359"/>
      <c r="I528" s="359"/>
      <c r="J528" s="359"/>
      <c r="K528" s="359"/>
      <c r="L528" s="359"/>
      <c r="M528" s="359"/>
      <c r="N528" s="359"/>
      <c r="O528" s="359"/>
      <c r="P528" s="359"/>
      <c r="Q528" s="359"/>
      <c r="R528" s="359"/>
      <c r="S528" s="359"/>
      <c r="T528" s="359"/>
      <c r="U528" s="359"/>
      <c r="V528" s="359"/>
      <c r="W528" s="359"/>
      <c r="X528" s="359"/>
      <c r="Y528" s="359"/>
      <c r="Z528" s="359"/>
      <c r="AA528" s="359"/>
    </row>
    <row r="529" spans="1:27" ht="12" customHeight="1" x14ac:dyDescent="0.25">
      <c r="A529" s="359"/>
      <c r="B529" s="359"/>
      <c r="C529" s="359"/>
      <c r="D529" s="359"/>
      <c r="E529" s="359"/>
      <c r="F529" s="359"/>
      <c r="G529" s="359"/>
      <c r="H529" s="359"/>
      <c r="I529" s="359"/>
      <c r="J529" s="359"/>
      <c r="K529" s="359"/>
      <c r="L529" s="359"/>
      <c r="M529" s="359"/>
      <c r="N529" s="359"/>
      <c r="O529" s="359"/>
      <c r="P529" s="359"/>
      <c r="Q529" s="359"/>
      <c r="R529" s="359"/>
      <c r="S529" s="359"/>
      <c r="T529" s="359"/>
      <c r="U529" s="359"/>
      <c r="V529" s="359"/>
      <c r="W529" s="359"/>
      <c r="X529" s="359"/>
      <c r="Y529" s="359"/>
      <c r="Z529" s="359"/>
      <c r="AA529" s="359"/>
    </row>
    <row r="530" spans="1:27" ht="12" customHeight="1" x14ac:dyDescent="0.25">
      <c r="A530" s="359"/>
      <c r="B530" s="359"/>
      <c r="C530" s="359"/>
      <c r="D530" s="359"/>
      <c r="E530" s="359"/>
      <c r="F530" s="359"/>
      <c r="G530" s="359"/>
      <c r="H530" s="359"/>
      <c r="I530" s="359"/>
      <c r="J530" s="359"/>
      <c r="K530" s="359"/>
      <c r="L530" s="359"/>
      <c r="M530" s="359"/>
      <c r="N530" s="359"/>
      <c r="O530" s="359"/>
      <c r="P530" s="359"/>
      <c r="Q530" s="359"/>
      <c r="R530" s="359"/>
      <c r="S530" s="359"/>
      <c r="T530" s="359"/>
      <c r="U530" s="359"/>
      <c r="V530" s="359"/>
      <c r="W530" s="359"/>
      <c r="X530" s="359"/>
      <c r="Y530" s="359"/>
      <c r="Z530" s="359"/>
      <c r="AA530" s="359"/>
    </row>
    <row r="531" spans="1:27" ht="12" customHeight="1" x14ac:dyDescent="0.25">
      <c r="A531" s="359"/>
      <c r="B531" s="359"/>
      <c r="C531" s="359"/>
      <c r="D531" s="359"/>
      <c r="E531" s="359"/>
      <c r="F531" s="359"/>
      <c r="G531" s="359"/>
      <c r="H531" s="359"/>
      <c r="I531" s="359"/>
      <c r="J531" s="359"/>
      <c r="K531" s="359"/>
      <c r="L531" s="359"/>
      <c r="M531" s="359"/>
      <c r="N531" s="359"/>
      <c r="O531" s="359"/>
      <c r="P531" s="359"/>
      <c r="Q531" s="359"/>
      <c r="R531" s="359"/>
      <c r="S531" s="359"/>
      <c r="T531" s="359"/>
      <c r="U531" s="359"/>
      <c r="V531" s="359"/>
      <c r="W531" s="359"/>
      <c r="X531" s="359"/>
      <c r="Y531" s="359"/>
      <c r="Z531" s="359"/>
      <c r="AA531" s="359"/>
    </row>
    <row r="532" spans="1:27" ht="12" customHeight="1" x14ac:dyDescent="0.25">
      <c r="A532" s="359"/>
      <c r="B532" s="359"/>
      <c r="C532" s="359"/>
      <c r="D532" s="359"/>
      <c r="E532" s="359"/>
      <c r="F532" s="359"/>
      <c r="G532" s="359"/>
      <c r="H532" s="359"/>
      <c r="I532" s="359"/>
      <c r="J532" s="359"/>
      <c r="K532" s="359"/>
      <c r="L532" s="359"/>
      <c r="M532" s="359"/>
      <c r="N532" s="359"/>
      <c r="O532" s="359"/>
      <c r="P532" s="359"/>
      <c r="Q532" s="359"/>
      <c r="R532" s="359"/>
      <c r="S532" s="359"/>
      <c r="T532" s="359"/>
      <c r="U532" s="359"/>
      <c r="V532" s="359"/>
      <c r="W532" s="359"/>
      <c r="X532" s="359"/>
      <c r="Y532" s="359"/>
      <c r="Z532" s="359"/>
      <c r="AA532" s="359"/>
    </row>
    <row r="533" spans="1:27" ht="12" customHeight="1" x14ac:dyDescent="0.25">
      <c r="A533" s="359"/>
      <c r="B533" s="359"/>
      <c r="C533" s="359"/>
      <c r="D533" s="359"/>
      <c r="E533" s="359"/>
      <c r="F533" s="359"/>
      <c r="G533" s="359"/>
      <c r="H533" s="359"/>
      <c r="I533" s="359"/>
      <c r="J533" s="359"/>
      <c r="K533" s="359"/>
      <c r="L533" s="359"/>
      <c r="M533" s="359"/>
      <c r="N533" s="359"/>
      <c r="O533" s="359"/>
      <c r="P533" s="359"/>
      <c r="Q533" s="359"/>
      <c r="R533" s="359"/>
      <c r="S533" s="359"/>
      <c r="T533" s="359"/>
      <c r="U533" s="359"/>
      <c r="V533" s="359"/>
      <c r="W533" s="359"/>
      <c r="X533" s="359"/>
      <c r="Y533" s="359"/>
      <c r="Z533" s="359"/>
      <c r="AA533" s="359"/>
    </row>
    <row r="534" spans="1:27" ht="12" customHeight="1" x14ac:dyDescent="0.25">
      <c r="A534" s="359"/>
      <c r="B534" s="359"/>
      <c r="C534" s="359"/>
      <c r="D534" s="359"/>
      <c r="E534" s="359"/>
      <c r="F534" s="359"/>
      <c r="G534" s="359"/>
      <c r="H534" s="359"/>
      <c r="I534" s="359"/>
      <c r="J534" s="359"/>
      <c r="K534" s="359"/>
      <c r="L534" s="359"/>
      <c r="M534" s="359"/>
      <c r="N534" s="359"/>
      <c r="O534" s="359"/>
      <c r="P534" s="359"/>
      <c r="Q534" s="359"/>
      <c r="R534" s="359"/>
      <c r="S534" s="359"/>
      <c r="T534" s="359"/>
      <c r="U534" s="359"/>
      <c r="V534" s="359"/>
      <c r="W534" s="359"/>
      <c r="X534" s="359"/>
      <c r="Y534" s="359"/>
      <c r="Z534" s="359"/>
      <c r="AA534" s="359"/>
    </row>
    <row r="535" spans="1:27" ht="12" customHeight="1" x14ac:dyDescent="0.25">
      <c r="A535" s="359"/>
      <c r="B535" s="359"/>
      <c r="C535" s="359"/>
      <c r="D535" s="359"/>
      <c r="E535" s="359"/>
      <c r="F535" s="359"/>
      <c r="G535" s="359"/>
      <c r="H535" s="359"/>
      <c r="I535" s="359"/>
      <c r="J535" s="359"/>
      <c r="K535" s="359"/>
      <c r="L535" s="359"/>
      <c r="M535" s="359"/>
      <c r="N535" s="359"/>
      <c r="O535" s="359"/>
      <c r="P535" s="359"/>
      <c r="Q535" s="359"/>
      <c r="R535" s="359"/>
      <c r="S535" s="359"/>
      <c r="T535" s="359"/>
      <c r="U535" s="359"/>
      <c r="V535" s="359"/>
      <c r="W535" s="359"/>
      <c r="X535" s="359"/>
      <c r="Y535" s="359"/>
      <c r="Z535" s="359"/>
      <c r="AA535" s="359"/>
    </row>
    <row r="536" spans="1:27" ht="12" customHeight="1" x14ac:dyDescent="0.25">
      <c r="A536" s="359"/>
      <c r="B536" s="359"/>
      <c r="C536" s="359"/>
      <c r="D536" s="359"/>
      <c r="E536" s="359"/>
      <c r="F536" s="359"/>
      <c r="G536" s="359"/>
      <c r="H536" s="359"/>
      <c r="I536" s="359"/>
      <c r="J536" s="359"/>
      <c r="K536" s="359"/>
      <c r="L536" s="359"/>
      <c r="M536" s="359"/>
      <c r="N536" s="359"/>
      <c r="O536" s="359"/>
      <c r="P536" s="359"/>
      <c r="Q536" s="359"/>
      <c r="R536" s="359"/>
      <c r="S536" s="359"/>
      <c r="T536" s="359"/>
      <c r="U536" s="359"/>
      <c r="V536" s="359"/>
      <c r="W536" s="359"/>
      <c r="X536" s="359"/>
      <c r="Y536" s="359"/>
      <c r="Z536" s="359"/>
      <c r="AA536" s="359"/>
    </row>
    <row r="537" spans="1:27" ht="12" customHeight="1" x14ac:dyDescent="0.25">
      <c r="A537" s="359"/>
      <c r="B537" s="359"/>
      <c r="C537" s="359"/>
      <c r="D537" s="359"/>
      <c r="E537" s="359"/>
      <c r="F537" s="359"/>
      <c r="G537" s="359"/>
      <c r="H537" s="359"/>
      <c r="I537" s="359"/>
      <c r="J537" s="359"/>
      <c r="K537" s="359"/>
      <c r="L537" s="359"/>
      <c r="M537" s="359"/>
      <c r="N537" s="359"/>
      <c r="O537" s="359"/>
      <c r="P537" s="359"/>
      <c r="Q537" s="359"/>
      <c r="R537" s="359"/>
      <c r="S537" s="359"/>
      <c r="T537" s="359"/>
      <c r="U537" s="359"/>
      <c r="V537" s="359"/>
      <c r="W537" s="359"/>
      <c r="X537" s="359"/>
      <c r="Y537" s="359"/>
      <c r="Z537" s="359"/>
      <c r="AA537" s="359"/>
    </row>
    <row r="538" spans="1:27" ht="12" customHeight="1" x14ac:dyDescent="0.25">
      <c r="A538" s="359"/>
      <c r="B538" s="359"/>
      <c r="C538" s="359"/>
      <c r="D538" s="359"/>
      <c r="E538" s="359"/>
      <c r="F538" s="359"/>
      <c r="G538" s="359"/>
      <c r="H538" s="359"/>
      <c r="I538" s="359"/>
      <c r="J538" s="359"/>
      <c r="K538" s="359"/>
      <c r="L538" s="359"/>
      <c r="M538" s="359"/>
      <c r="N538" s="359"/>
      <c r="O538" s="359"/>
      <c r="P538" s="359"/>
      <c r="Q538" s="359"/>
      <c r="R538" s="359"/>
      <c r="S538" s="359"/>
      <c r="T538" s="359"/>
      <c r="U538" s="359"/>
      <c r="V538" s="359"/>
      <c r="W538" s="359"/>
      <c r="X538" s="359"/>
      <c r="Y538" s="359"/>
      <c r="Z538" s="359"/>
      <c r="AA538" s="359"/>
    </row>
    <row r="539" spans="1:27" ht="12" customHeight="1" x14ac:dyDescent="0.25">
      <c r="A539" s="359"/>
      <c r="B539" s="359"/>
      <c r="C539" s="359"/>
      <c r="D539" s="359"/>
      <c r="E539" s="359"/>
      <c r="F539" s="359"/>
      <c r="G539" s="359"/>
      <c r="H539" s="359"/>
      <c r="I539" s="359"/>
      <c r="J539" s="359"/>
      <c r="K539" s="359"/>
      <c r="L539" s="359"/>
      <c r="M539" s="359"/>
      <c r="N539" s="359"/>
      <c r="O539" s="359"/>
      <c r="P539" s="359"/>
      <c r="Q539" s="359"/>
      <c r="R539" s="359"/>
      <c r="S539" s="359"/>
      <c r="T539" s="359"/>
      <c r="U539" s="359"/>
      <c r="V539" s="359"/>
      <c r="W539" s="359"/>
      <c r="X539" s="359"/>
      <c r="Y539" s="359"/>
      <c r="Z539" s="359"/>
      <c r="AA539" s="359"/>
    </row>
    <row r="540" spans="1:27" ht="12" customHeight="1" x14ac:dyDescent="0.25">
      <c r="A540" s="359"/>
      <c r="B540" s="359"/>
      <c r="C540" s="359"/>
      <c r="D540" s="359"/>
      <c r="E540" s="359"/>
      <c r="F540" s="359"/>
      <c r="G540" s="359"/>
      <c r="H540" s="359"/>
      <c r="I540" s="359"/>
      <c r="J540" s="359"/>
      <c r="K540" s="359"/>
      <c r="L540" s="359"/>
      <c r="M540" s="359"/>
      <c r="N540" s="359"/>
      <c r="O540" s="359"/>
      <c r="P540" s="359"/>
      <c r="Q540" s="359"/>
      <c r="R540" s="359"/>
      <c r="S540" s="359"/>
      <c r="T540" s="359"/>
      <c r="U540" s="359"/>
      <c r="V540" s="359"/>
      <c r="W540" s="359"/>
      <c r="X540" s="359"/>
      <c r="Y540" s="359"/>
      <c r="Z540" s="359"/>
      <c r="AA540" s="359"/>
    </row>
    <row r="541" spans="1:27" ht="12" customHeight="1" x14ac:dyDescent="0.25">
      <c r="A541" s="359"/>
      <c r="B541" s="359"/>
      <c r="C541" s="359"/>
      <c r="D541" s="359"/>
      <c r="E541" s="359"/>
      <c r="F541" s="359"/>
      <c r="G541" s="359"/>
      <c r="H541" s="359"/>
      <c r="I541" s="359"/>
      <c r="J541" s="359"/>
      <c r="K541" s="359"/>
      <c r="L541" s="359"/>
      <c r="M541" s="359"/>
      <c r="N541" s="359"/>
      <c r="O541" s="359"/>
      <c r="P541" s="359"/>
      <c r="Q541" s="359"/>
      <c r="R541" s="359"/>
      <c r="S541" s="359"/>
      <c r="T541" s="359"/>
      <c r="U541" s="359"/>
      <c r="V541" s="359"/>
      <c r="W541" s="359"/>
      <c r="X541" s="359"/>
      <c r="Y541" s="359"/>
      <c r="Z541" s="359"/>
      <c r="AA541" s="359"/>
    </row>
    <row r="542" spans="1:27" ht="12" customHeight="1" x14ac:dyDescent="0.25">
      <c r="A542" s="359"/>
      <c r="B542" s="359"/>
      <c r="C542" s="359"/>
      <c r="D542" s="359"/>
      <c r="E542" s="359"/>
      <c r="F542" s="359"/>
      <c r="G542" s="359"/>
      <c r="H542" s="359"/>
      <c r="I542" s="359"/>
      <c r="J542" s="359"/>
      <c r="K542" s="359"/>
      <c r="L542" s="359"/>
      <c r="M542" s="359"/>
      <c r="N542" s="359"/>
      <c r="O542" s="359"/>
      <c r="P542" s="359"/>
      <c r="Q542" s="359"/>
      <c r="R542" s="359"/>
      <c r="S542" s="359"/>
      <c r="T542" s="359"/>
      <c r="U542" s="359"/>
      <c r="V542" s="359"/>
      <c r="W542" s="359"/>
      <c r="X542" s="359"/>
      <c r="Y542" s="359"/>
      <c r="Z542" s="359"/>
      <c r="AA542" s="359"/>
    </row>
    <row r="543" spans="1:27" ht="12" customHeight="1" x14ac:dyDescent="0.25">
      <c r="A543" s="359"/>
      <c r="B543" s="359"/>
      <c r="C543" s="359"/>
      <c r="D543" s="359"/>
      <c r="E543" s="359"/>
      <c r="F543" s="359"/>
      <c r="G543" s="359"/>
      <c r="H543" s="359"/>
      <c r="I543" s="359"/>
      <c r="J543" s="359"/>
      <c r="K543" s="359"/>
      <c r="L543" s="359"/>
      <c r="M543" s="359"/>
      <c r="N543" s="359"/>
      <c r="O543" s="359"/>
      <c r="P543" s="359"/>
      <c r="Q543" s="359"/>
      <c r="R543" s="359"/>
      <c r="S543" s="359"/>
      <c r="T543" s="359"/>
      <c r="U543" s="359"/>
      <c r="V543" s="359"/>
      <c r="W543" s="359"/>
      <c r="X543" s="359"/>
      <c r="Y543" s="359"/>
      <c r="Z543" s="359"/>
      <c r="AA543" s="359"/>
    </row>
    <row r="544" spans="1:27" ht="12" customHeight="1" x14ac:dyDescent="0.25">
      <c r="A544" s="359"/>
      <c r="B544" s="359"/>
      <c r="C544" s="359"/>
      <c r="D544" s="359"/>
      <c r="E544" s="359"/>
      <c r="F544" s="359"/>
      <c r="G544" s="359"/>
      <c r="H544" s="359"/>
      <c r="I544" s="359"/>
      <c r="J544" s="359"/>
      <c r="K544" s="359"/>
      <c r="L544" s="359"/>
      <c r="M544" s="359"/>
      <c r="N544" s="359"/>
      <c r="O544" s="359"/>
      <c r="P544" s="359"/>
      <c r="Q544" s="359"/>
      <c r="R544" s="359"/>
      <c r="S544" s="359"/>
      <c r="T544" s="359"/>
      <c r="U544" s="359"/>
      <c r="V544" s="359"/>
      <c r="W544" s="359"/>
      <c r="X544" s="359"/>
      <c r="Y544" s="359"/>
      <c r="Z544" s="359"/>
      <c r="AA544" s="359"/>
    </row>
    <row r="545" spans="1:27" ht="12" customHeight="1" x14ac:dyDescent="0.25">
      <c r="A545" s="359"/>
      <c r="B545" s="359"/>
      <c r="C545" s="359"/>
      <c r="D545" s="359"/>
      <c r="E545" s="359"/>
      <c r="F545" s="359"/>
      <c r="G545" s="359"/>
      <c r="H545" s="359"/>
      <c r="I545" s="359"/>
      <c r="J545" s="359"/>
      <c r="K545" s="359"/>
      <c r="L545" s="359"/>
      <c r="M545" s="359"/>
      <c r="N545" s="359"/>
      <c r="O545" s="359"/>
      <c r="P545" s="359"/>
      <c r="Q545" s="359"/>
      <c r="R545" s="359"/>
      <c r="S545" s="359"/>
      <c r="T545" s="359"/>
      <c r="U545" s="359"/>
      <c r="V545" s="359"/>
      <c r="W545" s="359"/>
      <c r="X545" s="359"/>
      <c r="Y545" s="359"/>
      <c r="Z545" s="359"/>
      <c r="AA545" s="359"/>
    </row>
    <row r="546" spans="1:27" ht="12" customHeight="1" x14ac:dyDescent="0.25">
      <c r="A546" s="359"/>
      <c r="B546" s="359"/>
      <c r="C546" s="359"/>
      <c r="D546" s="359"/>
      <c r="E546" s="359"/>
      <c r="F546" s="359"/>
      <c r="G546" s="359"/>
      <c r="H546" s="359"/>
      <c r="I546" s="359"/>
      <c r="J546" s="359"/>
      <c r="K546" s="359"/>
      <c r="L546" s="359"/>
      <c r="M546" s="359"/>
      <c r="N546" s="359"/>
      <c r="O546" s="359"/>
      <c r="P546" s="359"/>
      <c r="Q546" s="359"/>
      <c r="R546" s="359"/>
      <c r="S546" s="359"/>
      <c r="T546" s="359"/>
      <c r="U546" s="359"/>
      <c r="V546" s="359"/>
      <c r="W546" s="359"/>
      <c r="X546" s="359"/>
      <c r="Y546" s="359"/>
      <c r="Z546" s="359"/>
      <c r="AA546" s="359"/>
    </row>
    <row r="547" spans="1:27" ht="12" customHeight="1" x14ac:dyDescent="0.25">
      <c r="A547" s="359"/>
      <c r="B547" s="359"/>
      <c r="C547" s="359"/>
      <c r="D547" s="359"/>
      <c r="E547" s="359"/>
      <c r="F547" s="359"/>
      <c r="G547" s="359"/>
      <c r="H547" s="359"/>
      <c r="I547" s="359"/>
      <c r="J547" s="359"/>
      <c r="K547" s="359"/>
      <c r="L547" s="359"/>
      <c r="M547" s="359"/>
      <c r="N547" s="359"/>
      <c r="O547" s="359"/>
      <c r="P547" s="359"/>
      <c r="Q547" s="359"/>
      <c r="R547" s="359"/>
      <c r="S547" s="359"/>
      <c r="T547" s="359"/>
      <c r="U547" s="359"/>
      <c r="V547" s="359"/>
      <c r="W547" s="359"/>
      <c r="X547" s="359"/>
      <c r="Y547" s="359"/>
      <c r="Z547" s="359"/>
      <c r="AA547" s="359"/>
    </row>
    <row r="548" spans="1:27" ht="12" customHeight="1" x14ac:dyDescent="0.25">
      <c r="A548" s="359"/>
      <c r="B548" s="359"/>
      <c r="C548" s="359"/>
      <c r="D548" s="359"/>
      <c r="E548" s="359"/>
      <c r="F548" s="359"/>
      <c r="G548" s="359"/>
      <c r="H548" s="359"/>
      <c r="I548" s="359"/>
      <c r="J548" s="359"/>
      <c r="K548" s="359"/>
      <c r="L548" s="359"/>
      <c r="M548" s="359"/>
      <c r="N548" s="359"/>
      <c r="O548" s="359"/>
      <c r="P548" s="359"/>
      <c r="Q548" s="359"/>
      <c r="R548" s="359"/>
      <c r="S548" s="359"/>
      <c r="T548" s="359"/>
      <c r="U548" s="359"/>
      <c r="V548" s="359"/>
      <c r="W548" s="359"/>
      <c r="X548" s="359"/>
      <c r="Y548" s="359"/>
      <c r="Z548" s="359"/>
      <c r="AA548" s="359"/>
    </row>
    <row r="549" spans="1:27" ht="12" customHeight="1" x14ac:dyDescent="0.25">
      <c r="A549" s="359"/>
      <c r="B549" s="359"/>
      <c r="C549" s="359"/>
      <c r="D549" s="359"/>
      <c r="E549" s="359"/>
      <c r="F549" s="359"/>
      <c r="G549" s="359"/>
      <c r="H549" s="359"/>
      <c r="I549" s="359"/>
      <c r="J549" s="359"/>
      <c r="K549" s="359"/>
      <c r="L549" s="359"/>
      <c r="M549" s="359"/>
      <c r="N549" s="359"/>
      <c r="O549" s="359"/>
      <c r="P549" s="359"/>
      <c r="Q549" s="359"/>
      <c r="R549" s="359"/>
      <c r="S549" s="359"/>
      <c r="T549" s="359"/>
      <c r="U549" s="359"/>
      <c r="V549" s="359"/>
      <c r="W549" s="359"/>
      <c r="X549" s="359"/>
      <c r="Y549" s="359"/>
      <c r="Z549" s="359"/>
      <c r="AA549" s="359"/>
    </row>
    <row r="550" spans="1:27" ht="12" customHeight="1" x14ac:dyDescent="0.25">
      <c r="A550" s="359"/>
      <c r="B550" s="359"/>
      <c r="C550" s="359"/>
      <c r="D550" s="359"/>
      <c r="E550" s="359"/>
      <c r="F550" s="359"/>
      <c r="G550" s="359"/>
      <c r="H550" s="359"/>
      <c r="I550" s="359"/>
      <c r="J550" s="359"/>
      <c r="K550" s="359"/>
      <c r="L550" s="359"/>
      <c r="M550" s="359"/>
      <c r="N550" s="359"/>
      <c r="O550" s="359"/>
      <c r="P550" s="359"/>
      <c r="Q550" s="359"/>
      <c r="R550" s="359"/>
      <c r="S550" s="359"/>
      <c r="T550" s="359"/>
      <c r="U550" s="359"/>
      <c r="V550" s="359"/>
      <c r="W550" s="359"/>
      <c r="X550" s="359"/>
      <c r="Y550" s="359"/>
      <c r="Z550" s="359"/>
      <c r="AA550" s="359"/>
    </row>
    <row r="551" spans="1:27" ht="12" customHeight="1" x14ac:dyDescent="0.25">
      <c r="A551" s="359"/>
      <c r="B551" s="359"/>
      <c r="C551" s="359"/>
      <c r="D551" s="359"/>
      <c r="E551" s="359"/>
      <c r="F551" s="359"/>
      <c r="G551" s="359"/>
      <c r="H551" s="359"/>
      <c r="I551" s="359"/>
      <c r="J551" s="359"/>
      <c r="K551" s="359"/>
      <c r="L551" s="359"/>
      <c r="M551" s="359"/>
      <c r="N551" s="359"/>
      <c r="O551" s="359"/>
      <c r="P551" s="359"/>
      <c r="Q551" s="359"/>
      <c r="R551" s="359"/>
      <c r="S551" s="359"/>
      <c r="T551" s="359"/>
      <c r="U551" s="359"/>
      <c r="V551" s="359"/>
      <c r="W551" s="359"/>
      <c r="X551" s="359"/>
      <c r="Y551" s="359"/>
      <c r="Z551" s="359"/>
      <c r="AA551" s="359"/>
    </row>
    <row r="552" spans="1:27" ht="12" customHeight="1" x14ac:dyDescent="0.25">
      <c r="A552" s="359"/>
      <c r="B552" s="359"/>
      <c r="C552" s="359"/>
      <c r="D552" s="359"/>
      <c r="E552" s="359"/>
      <c r="F552" s="359"/>
      <c r="G552" s="359"/>
      <c r="H552" s="359"/>
      <c r="I552" s="359"/>
      <c r="J552" s="359"/>
      <c r="K552" s="359"/>
      <c r="L552" s="359"/>
      <c r="M552" s="359"/>
      <c r="N552" s="359"/>
      <c r="O552" s="359"/>
      <c r="P552" s="359"/>
      <c r="Q552" s="359"/>
      <c r="R552" s="359"/>
      <c r="S552" s="359"/>
      <c r="T552" s="359"/>
      <c r="U552" s="359"/>
      <c r="V552" s="359"/>
      <c r="W552" s="359"/>
      <c r="X552" s="359"/>
      <c r="Y552" s="359"/>
      <c r="Z552" s="359"/>
      <c r="AA552" s="359"/>
    </row>
    <row r="553" spans="1:27" ht="12" customHeight="1" x14ac:dyDescent="0.25">
      <c r="A553" s="359"/>
      <c r="B553" s="359"/>
      <c r="C553" s="359"/>
      <c r="D553" s="359"/>
      <c r="E553" s="359"/>
      <c r="F553" s="359"/>
      <c r="G553" s="359"/>
      <c r="H553" s="359"/>
      <c r="I553" s="359"/>
      <c r="J553" s="359"/>
      <c r="K553" s="359"/>
      <c r="L553" s="359"/>
      <c r="M553" s="359"/>
      <c r="N553" s="359"/>
      <c r="O553" s="359"/>
      <c r="P553" s="359"/>
      <c r="Q553" s="359"/>
      <c r="R553" s="359"/>
      <c r="S553" s="359"/>
      <c r="T553" s="359"/>
      <c r="U553" s="359"/>
      <c r="V553" s="359"/>
      <c r="W553" s="359"/>
      <c r="X553" s="359"/>
      <c r="Y553" s="359"/>
      <c r="Z553" s="359"/>
      <c r="AA553" s="359"/>
    </row>
    <row r="554" spans="1:27" ht="12" customHeight="1" x14ac:dyDescent="0.25">
      <c r="A554" s="359"/>
      <c r="B554" s="359"/>
      <c r="C554" s="359"/>
      <c r="D554" s="359"/>
      <c r="E554" s="359"/>
      <c r="F554" s="359"/>
      <c r="G554" s="359"/>
      <c r="H554" s="359"/>
      <c r="I554" s="359"/>
      <c r="J554" s="359"/>
      <c r="K554" s="359"/>
      <c r="L554" s="359"/>
      <c r="M554" s="359"/>
      <c r="N554" s="359"/>
      <c r="O554" s="359"/>
      <c r="P554" s="359"/>
      <c r="Q554" s="359"/>
      <c r="R554" s="359"/>
      <c r="S554" s="359"/>
      <c r="T554" s="359"/>
      <c r="U554" s="359"/>
      <c r="V554" s="359"/>
      <c r="W554" s="359"/>
      <c r="X554" s="359"/>
      <c r="Y554" s="359"/>
      <c r="Z554" s="359"/>
      <c r="AA554" s="359"/>
    </row>
    <row r="555" spans="1:27" ht="12" customHeight="1" x14ac:dyDescent="0.25">
      <c r="A555" s="359"/>
      <c r="B555" s="359"/>
      <c r="C555" s="359"/>
      <c r="D555" s="359"/>
      <c r="E555" s="359"/>
      <c r="F555" s="359"/>
      <c r="G555" s="359"/>
      <c r="H555" s="359"/>
      <c r="I555" s="359"/>
      <c r="J555" s="359"/>
      <c r="K555" s="359"/>
      <c r="L555" s="359"/>
      <c r="M555" s="359"/>
      <c r="N555" s="359"/>
      <c r="O555" s="359"/>
      <c r="P555" s="359"/>
      <c r="Q555" s="359"/>
      <c r="R555" s="359"/>
      <c r="S555" s="359"/>
      <c r="T555" s="359"/>
      <c r="U555" s="359"/>
      <c r="V555" s="359"/>
      <c r="W555" s="359"/>
      <c r="X555" s="359"/>
      <c r="Y555" s="359"/>
      <c r="Z555" s="359"/>
      <c r="AA555" s="359"/>
    </row>
    <row r="556" spans="1:27" ht="12" customHeight="1" x14ac:dyDescent="0.25">
      <c r="A556" s="359"/>
      <c r="B556" s="359"/>
      <c r="C556" s="359"/>
      <c r="D556" s="359"/>
      <c r="E556" s="359"/>
      <c r="F556" s="359"/>
      <c r="G556" s="359"/>
      <c r="H556" s="359"/>
      <c r="I556" s="359"/>
      <c r="J556" s="359"/>
      <c r="K556" s="359"/>
      <c r="L556" s="359"/>
      <c r="M556" s="359"/>
      <c r="N556" s="359"/>
      <c r="O556" s="359"/>
      <c r="P556" s="359"/>
      <c r="Q556" s="359"/>
      <c r="R556" s="359"/>
      <c r="S556" s="359"/>
      <c r="T556" s="359"/>
      <c r="U556" s="359"/>
      <c r="V556" s="359"/>
      <c r="W556" s="359"/>
      <c r="X556" s="359"/>
      <c r="Y556" s="359"/>
      <c r="Z556" s="359"/>
      <c r="AA556" s="359"/>
    </row>
    <row r="557" spans="1:27" ht="12" customHeight="1" x14ac:dyDescent="0.25">
      <c r="A557" s="359"/>
      <c r="B557" s="359"/>
      <c r="C557" s="359"/>
      <c r="D557" s="359"/>
      <c r="E557" s="359"/>
      <c r="F557" s="359"/>
      <c r="G557" s="359"/>
      <c r="H557" s="359"/>
      <c r="I557" s="359"/>
      <c r="J557" s="359"/>
      <c r="K557" s="359"/>
      <c r="L557" s="359"/>
      <c r="M557" s="359"/>
      <c r="N557" s="359"/>
      <c r="O557" s="359"/>
      <c r="P557" s="359"/>
      <c r="Q557" s="359"/>
      <c r="R557" s="359"/>
      <c r="S557" s="359"/>
      <c r="T557" s="359"/>
      <c r="U557" s="359"/>
      <c r="V557" s="359"/>
      <c r="W557" s="359"/>
      <c r="X557" s="359"/>
      <c r="Y557" s="359"/>
      <c r="Z557" s="359"/>
      <c r="AA557" s="359"/>
    </row>
    <row r="558" spans="1:27" ht="12" customHeight="1" x14ac:dyDescent="0.25">
      <c r="A558" s="359"/>
      <c r="B558" s="359"/>
      <c r="C558" s="359"/>
      <c r="D558" s="359"/>
      <c r="E558" s="359"/>
      <c r="F558" s="359"/>
      <c r="G558" s="359"/>
      <c r="H558" s="359"/>
      <c r="I558" s="359"/>
      <c r="J558" s="359"/>
      <c r="K558" s="359"/>
      <c r="L558" s="359"/>
      <c r="M558" s="359"/>
      <c r="N558" s="359"/>
      <c r="O558" s="359"/>
      <c r="P558" s="359"/>
      <c r="Q558" s="359"/>
      <c r="R558" s="359"/>
      <c r="S558" s="359"/>
      <c r="T558" s="359"/>
      <c r="U558" s="359"/>
      <c r="V558" s="359"/>
      <c r="W558" s="359"/>
      <c r="X558" s="359"/>
      <c r="Y558" s="359"/>
      <c r="Z558" s="359"/>
      <c r="AA558" s="359"/>
    </row>
    <row r="559" spans="1:27" ht="12" customHeight="1" x14ac:dyDescent="0.25">
      <c r="A559" s="359"/>
      <c r="B559" s="359"/>
      <c r="C559" s="359"/>
      <c r="D559" s="359"/>
      <c r="E559" s="359"/>
      <c r="F559" s="359"/>
      <c r="G559" s="359"/>
      <c r="H559" s="359"/>
      <c r="I559" s="359"/>
      <c r="J559" s="359"/>
      <c r="K559" s="359"/>
      <c r="L559" s="359"/>
      <c r="M559" s="359"/>
      <c r="N559" s="359"/>
      <c r="O559" s="359"/>
      <c r="P559" s="359"/>
      <c r="Q559" s="359"/>
      <c r="R559" s="359"/>
      <c r="S559" s="359"/>
      <c r="T559" s="359"/>
      <c r="U559" s="359"/>
      <c r="V559" s="359"/>
      <c r="W559" s="359"/>
      <c r="X559" s="359"/>
      <c r="Y559" s="359"/>
      <c r="Z559" s="359"/>
      <c r="AA559" s="359"/>
    </row>
    <row r="560" spans="1:27" ht="12" customHeight="1" x14ac:dyDescent="0.25">
      <c r="A560" s="359"/>
      <c r="B560" s="359"/>
      <c r="C560" s="359"/>
      <c r="D560" s="359"/>
      <c r="E560" s="359"/>
      <c r="F560" s="359"/>
      <c r="G560" s="359"/>
      <c r="H560" s="359"/>
      <c r="I560" s="359"/>
      <c r="J560" s="359"/>
      <c r="K560" s="359"/>
      <c r="L560" s="359"/>
      <c r="M560" s="359"/>
      <c r="N560" s="359"/>
      <c r="O560" s="359"/>
      <c r="P560" s="359"/>
      <c r="Q560" s="359"/>
      <c r="R560" s="359"/>
      <c r="S560" s="359"/>
      <c r="T560" s="359"/>
      <c r="U560" s="359"/>
      <c r="V560" s="359"/>
      <c r="W560" s="359"/>
      <c r="X560" s="359"/>
      <c r="Y560" s="359"/>
      <c r="Z560" s="359"/>
      <c r="AA560" s="359"/>
    </row>
    <row r="561" spans="1:27" ht="12" customHeight="1" x14ac:dyDescent="0.25">
      <c r="A561" s="359"/>
      <c r="B561" s="359"/>
      <c r="C561" s="359"/>
      <c r="D561" s="359"/>
      <c r="E561" s="359"/>
      <c r="F561" s="359"/>
      <c r="G561" s="359"/>
      <c r="H561" s="359"/>
      <c r="I561" s="359"/>
      <c r="J561" s="359"/>
      <c r="K561" s="359"/>
      <c r="L561" s="359"/>
      <c r="M561" s="359"/>
      <c r="N561" s="359"/>
      <c r="O561" s="359"/>
      <c r="P561" s="359"/>
      <c r="Q561" s="359"/>
      <c r="R561" s="359"/>
      <c r="S561" s="359"/>
      <c r="T561" s="359"/>
      <c r="U561" s="359"/>
      <c r="V561" s="359"/>
      <c r="W561" s="359"/>
      <c r="X561" s="359"/>
      <c r="Y561" s="359"/>
      <c r="Z561" s="359"/>
      <c r="AA561" s="359"/>
    </row>
    <row r="562" spans="1:27" ht="12" customHeight="1" x14ac:dyDescent="0.25">
      <c r="A562" s="359"/>
      <c r="B562" s="359"/>
      <c r="C562" s="359"/>
      <c r="D562" s="359"/>
      <c r="E562" s="359"/>
      <c r="F562" s="359"/>
      <c r="G562" s="359"/>
      <c r="H562" s="359"/>
      <c r="I562" s="359"/>
      <c r="J562" s="359"/>
      <c r="K562" s="359"/>
      <c r="L562" s="359"/>
      <c r="M562" s="359"/>
      <c r="N562" s="359"/>
      <c r="O562" s="359"/>
      <c r="P562" s="359"/>
      <c r="Q562" s="359"/>
      <c r="R562" s="359"/>
      <c r="S562" s="359"/>
      <c r="T562" s="359"/>
      <c r="U562" s="359"/>
      <c r="V562" s="359"/>
      <c r="W562" s="359"/>
      <c r="X562" s="359"/>
      <c r="Y562" s="359"/>
      <c r="Z562" s="359"/>
      <c r="AA562" s="359"/>
    </row>
    <row r="563" spans="1:27" ht="12" customHeight="1" x14ac:dyDescent="0.25">
      <c r="A563" s="359"/>
      <c r="B563" s="359"/>
      <c r="C563" s="359"/>
      <c r="D563" s="359"/>
      <c r="E563" s="359"/>
      <c r="F563" s="359"/>
      <c r="G563" s="359"/>
      <c r="H563" s="359"/>
      <c r="I563" s="359"/>
      <c r="J563" s="359"/>
      <c r="K563" s="359"/>
      <c r="L563" s="359"/>
      <c r="M563" s="359"/>
      <c r="N563" s="359"/>
      <c r="O563" s="359"/>
      <c r="P563" s="359"/>
      <c r="Q563" s="359"/>
      <c r="R563" s="359"/>
      <c r="S563" s="359"/>
      <c r="T563" s="359"/>
      <c r="U563" s="359"/>
      <c r="V563" s="359"/>
      <c r="W563" s="359"/>
      <c r="X563" s="359"/>
      <c r="Y563" s="359"/>
      <c r="Z563" s="359"/>
      <c r="AA563" s="359"/>
    </row>
    <row r="564" spans="1:27" ht="12" customHeight="1" x14ac:dyDescent="0.25">
      <c r="A564" s="359"/>
      <c r="B564" s="359"/>
      <c r="C564" s="359"/>
      <c r="D564" s="359"/>
      <c r="E564" s="359"/>
      <c r="F564" s="359"/>
      <c r="G564" s="359"/>
      <c r="H564" s="359"/>
      <c r="I564" s="359"/>
      <c r="J564" s="359"/>
      <c r="K564" s="359"/>
      <c r="L564" s="359"/>
      <c r="M564" s="359"/>
      <c r="N564" s="359"/>
      <c r="O564" s="359"/>
      <c r="P564" s="359"/>
      <c r="Q564" s="359"/>
      <c r="R564" s="359"/>
      <c r="S564" s="359"/>
      <c r="T564" s="359"/>
      <c r="U564" s="359"/>
      <c r="V564" s="359"/>
      <c r="W564" s="359"/>
      <c r="X564" s="359"/>
      <c r="Y564" s="359"/>
      <c r="Z564" s="359"/>
      <c r="AA564" s="359"/>
    </row>
    <row r="565" spans="1:27" ht="12" customHeight="1" x14ac:dyDescent="0.25">
      <c r="A565" s="359"/>
      <c r="B565" s="359"/>
      <c r="C565" s="359"/>
      <c r="D565" s="359"/>
      <c r="E565" s="359"/>
      <c r="F565" s="359"/>
      <c r="G565" s="359"/>
      <c r="H565" s="359"/>
      <c r="I565" s="359"/>
      <c r="J565" s="359"/>
      <c r="K565" s="359"/>
      <c r="L565" s="359"/>
      <c r="M565" s="359"/>
      <c r="N565" s="359"/>
      <c r="O565" s="359"/>
      <c r="P565" s="359"/>
      <c r="Q565" s="359"/>
      <c r="R565" s="359"/>
      <c r="S565" s="359"/>
      <c r="T565" s="359"/>
      <c r="U565" s="359"/>
      <c r="V565" s="359"/>
      <c r="W565" s="359"/>
      <c r="X565" s="359"/>
      <c r="Y565" s="359"/>
      <c r="Z565" s="359"/>
      <c r="AA565" s="359"/>
    </row>
    <row r="566" spans="1:27" ht="12" customHeight="1" x14ac:dyDescent="0.25">
      <c r="A566" s="359"/>
      <c r="B566" s="359"/>
      <c r="C566" s="359"/>
      <c r="D566" s="359"/>
      <c r="E566" s="359"/>
      <c r="F566" s="359"/>
      <c r="G566" s="359"/>
      <c r="H566" s="359"/>
      <c r="I566" s="359"/>
      <c r="J566" s="359"/>
      <c r="K566" s="359"/>
      <c r="L566" s="359"/>
      <c r="M566" s="359"/>
      <c r="N566" s="359"/>
      <c r="O566" s="359"/>
      <c r="P566" s="359"/>
      <c r="Q566" s="359"/>
      <c r="R566" s="359"/>
      <c r="S566" s="359"/>
      <c r="T566" s="359"/>
      <c r="U566" s="359"/>
      <c r="V566" s="359"/>
      <c r="W566" s="359"/>
      <c r="X566" s="359"/>
      <c r="Y566" s="359"/>
      <c r="Z566" s="359"/>
      <c r="AA566" s="359"/>
    </row>
    <row r="567" spans="1:27" ht="12" customHeight="1" x14ac:dyDescent="0.25">
      <c r="A567" s="359"/>
      <c r="B567" s="359"/>
      <c r="C567" s="359"/>
      <c r="D567" s="359"/>
      <c r="E567" s="359"/>
      <c r="F567" s="359"/>
      <c r="G567" s="359"/>
      <c r="H567" s="359"/>
      <c r="I567" s="359"/>
      <c r="J567" s="359"/>
      <c r="K567" s="359"/>
      <c r="L567" s="359"/>
      <c r="M567" s="359"/>
      <c r="N567" s="359"/>
      <c r="O567" s="359"/>
      <c r="P567" s="359"/>
      <c r="Q567" s="359"/>
      <c r="R567" s="359"/>
      <c r="S567" s="359"/>
      <c r="T567" s="359"/>
      <c r="U567" s="359"/>
      <c r="V567" s="359"/>
      <c r="W567" s="359"/>
      <c r="X567" s="359"/>
      <c r="Y567" s="359"/>
      <c r="Z567" s="359"/>
      <c r="AA567" s="359"/>
    </row>
    <row r="568" spans="1:27" ht="12" customHeight="1" x14ac:dyDescent="0.25">
      <c r="A568" s="359"/>
      <c r="B568" s="359"/>
      <c r="C568" s="359"/>
      <c r="D568" s="359"/>
      <c r="E568" s="359"/>
      <c r="F568" s="359"/>
      <c r="G568" s="359"/>
      <c r="H568" s="359"/>
      <c r="I568" s="359"/>
      <c r="J568" s="359"/>
      <c r="K568" s="359"/>
      <c r="L568" s="359"/>
      <c r="M568" s="359"/>
      <c r="N568" s="359"/>
      <c r="O568" s="359"/>
      <c r="P568" s="359"/>
      <c r="Q568" s="359"/>
      <c r="R568" s="359"/>
      <c r="S568" s="359"/>
      <c r="T568" s="359"/>
      <c r="U568" s="359"/>
      <c r="V568" s="359"/>
      <c r="W568" s="359"/>
      <c r="X568" s="359"/>
      <c r="Y568" s="359"/>
      <c r="Z568" s="359"/>
      <c r="AA568" s="359"/>
    </row>
    <row r="569" spans="1:27" ht="12" customHeight="1" x14ac:dyDescent="0.25">
      <c r="A569" s="359"/>
      <c r="B569" s="359"/>
      <c r="C569" s="359"/>
      <c r="D569" s="359"/>
      <c r="E569" s="359"/>
      <c r="F569" s="359"/>
      <c r="G569" s="359"/>
      <c r="H569" s="359"/>
      <c r="I569" s="359"/>
      <c r="J569" s="359"/>
      <c r="K569" s="359"/>
      <c r="L569" s="359"/>
      <c r="M569" s="359"/>
      <c r="N569" s="359"/>
      <c r="O569" s="359"/>
      <c r="P569" s="359"/>
      <c r="Q569" s="359"/>
      <c r="R569" s="359"/>
      <c r="S569" s="359"/>
      <c r="T569" s="359"/>
      <c r="U569" s="359"/>
      <c r="V569" s="359"/>
      <c r="W569" s="359"/>
      <c r="X569" s="359"/>
      <c r="Y569" s="359"/>
      <c r="Z569" s="359"/>
      <c r="AA569" s="359"/>
    </row>
    <row r="570" spans="1:27" ht="12" customHeight="1" x14ac:dyDescent="0.25">
      <c r="A570" s="359"/>
      <c r="B570" s="359"/>
      <c r="C570" s="359"/>
      <c r="D570" s="359"/>
      <c r="E570" s="359"/>
      <c r="F570" s="359"/>
      <c r="G570" s="359"/>
      <c r="H570" s="359"/>
      <c r="I570" s="359"/>
      <c r="J570" s="359"/>
      <c r="K570" s="359"/>
      <c r="L570" s="359"/>
      <c r="M570" s="359"/>
      <c r="N570" s="359"/>
      <c r="O570" s="359"/>
      <c r="P570" s="359"/>
      <c r="Q570" s="359"/>
      <c r="R570" s="359"/>
      <c r="S570" s="359"/>
      <c r="T570" s="359"/>
      <c r="U570" s="359"/>
      <c r="V570" s="359"/>
      <c r="W570" s="359"/>
      <c r="X570" s="359"/>
      <c r="Y570" s="359"/>
      <c r="Z570" s="359"/>
      <c r="AA570" s="359"/>
    </row>
    <row r="571" spans="1:27" ht="12" customHeight="1" x14ac:dyDescent="0.25">
      <c r="A571" s="359"/>
      <c r="B571" s="359"/>
      <c r="C571" s="359"/>
      <c r="D571" s="359"/>
      <c r="E571" s="359"/>
      <c r="F571" s="359"/>
      <c r="G571" s="359"/>
      <c r="H571" s="359"/>
      <c r="I571" s="359"/>
      <c r="J571" s="359"/>
      <c r="K571" s="359"/>
      <c r="L571" s="359"/>
      <c r="M571" s="359"/>
      <c r="N571" s="359"/>
      <c r="O571" s="359"/>
      <c r="P571" s="359"/>
      <c r="Q571" s="359"/>
      <c r="R571" s="359"/>
      <c r="S571" s="359"/>
      <c r="T571" s="359"/>
      <c r="U571" s="359"/>
      <c r="V571" s="359"/>
      <c r="W571" s="359"/>
      <c r="X571" s="359"/>
      <c r="Y571" s="359"/>
      <c r="Z571" s="359"/>
      <c r="AA571" s="359"/>
    </row>
    <row r="572" spans="1:27" ht="12" customHeight="1" x14ac:dyDescent="0.25">
      <c r="A572" s="359"/>
      <c r="B572" s="359"/>
      <c r="C572" s="359"/>
      <c r="D572" s="359"/>
      <c r="E572" s="359"/>
      <c r="F572" s="359"/>
      <c r="G572" s="359"/>
      <c r="H572" s="359"/>
      <c r="I572" s="359"/>
      <c r="J572" s="359"/>
      <c r="K572" s="359"/>
      <c r="L572" s="359"/>
      <c r="M572" s="359"/>
      <c r="N572" s="359"/>
      <c r="O572" s="359"/>
      <c r="P572" s="359"/>
      <c r="Q572" s="359"/>
      <c r="R572" s="359"/>
      <c r="S572" s="359"/>
      <c r="T572" s="359"/>
      <c r="U572" s="359"/>
      <c r="V572" s="359"/>
      <c r="W572" s="359"/>
      <c r="X572" s="359"/>
      <c r="Y572" s="359"/>
      <c r="Z572" s="359"/>
      <c r="AA572" s="359"/>
    </row>
    <row r="573" spans="1:27" ht="12" customHeight="1" x14ac:dyDescent="0.25">
      <c r="A573" s="359"/>
      <c r="B573" s="359"/>
      <c r="C573" s="359"/>
      <c r="D573" s="359"/>
      <c r="E573" s="359"/>
      <c r="F573" s="359"/>
      <c r="G573" s="359"/>
      <c r="H573" s="359"/>
      <c r="I573" s="359"/>
      <c r="J573" s="359"/>
      <c r="K573" s="359"/>
      <c r="L573" s="359"/>
      <c r="M573" s="359"/>
      <c r="N573" s="359"/>
      <c r="O573" s="359"/>
      <c r="P573" s="359"/>
      <c r="Q573" s="359"/>
      <c r="R573" s="359"/>
      <c r="S573" s="359"/>
      <c r="T573" s="359"/>
      <c r="U573" s="359"/>
      <c r="V573" s="359"/>
      <c r="W573" s="359"/>
      <c r="X573" s="359"/>
      <c r="Y573" s="359"/>
      <c r="Z573" s="359"/>
      <c r="AA573" s="359"/>
    </row>
    <row r="574" spans="1:27" ht="12" customHeight="1" x14ac:dyDescent="0.25">
      <c r="A574" s="359"/>
      <c r="B574" s="359"/>
      <c r="C574" s="359"/>
      <c r="D574" s="359"/>
      <c r="E574" s="359"/>
      <c r="F574" s="359"/>
      <c r="G574" s="359"/>
      <c r="H574" s="359"/>
      <c r="I574" s="359"/>
      <c r="J574" s="359"/>
      <c r="K574" s="359"/>
      <c r="L574" s="359"/>
      <c r="M574" s="359"/>
      <c r="N574" s="359"/>
      <c r="O574" s="359"/>
      <c r="P574" s="359"/>
      <c r="Q574" s="359"/>
      <c r="R574" s="359"/>
      <c r="S574" s="359"/>
      <c r="T574" s="359"/>
      <c r="U574" s="359"/>
      <c r="V574" s="359"/>
      <c r="W574" s="359"/>
      <c r="X574" s="359"/>
      <c r="Y574" s="359"/>
      <c r="Z574" s="359"/>
      <c r="AA574" s="359"/>
    </row>
    <row r="575" spans="1:27" ht="12" customHeight="1" x14ac:dyDescent="0.25">
      <c r="A575" s="359"/>
      <c r="B575" s="359"/>
      <c r="C575" s="359"/>
      <c r="D575" s="359"/>
      <c r="E575" s="359"/>
      <c r="F575" s="359"/>
      <c r="G575" s="359"/>
      <c r="H575" s="359"/>
      <c r="I575" s="359"/>
      <c r="J575" s="359"/>
      <c r="K575" s="359"/>
      <c r="L575" s="359"/>
      <c r="M575" s="359"/>
      <c r="N575" s="359"/>
      <c r="O575" s="359"/>
      <c r="P575" s="359"/>
      <c r="Q575" s="359"/>
      <c r="R575" s="359"/>
      <c r="S575" s="359"/>
      <c r="T575" s="359"/>
      <c r="U575" s="359"/>
      <c r="V575" s="359"/>
      <c r="W575" s="359"/>
      <c r="X575" s="359"/>
      <c r="Y575" s="359"/>
      <c r="Z575" s="359"/>
      <c r="AA575" s="359"/>
    </row>
    <row r="576" spans="1:27" ht="12" customHeight="1" x14ac:dyDescent="0.25">
      <c r="A576" s="359"/>
      <c r="B576" s="359"/>
      <c r="C576" s="359"/>
      <c r="D576" s="359"/>
      <c r="E576" s="359"/>
      <c r="F576" s="359"/>
      <c r="G576" s="359"/>
      <c r="H576" s="359"/>
      <c r="I576" s="359"/>
      <c r="J576" s="359"/>
      <c r="K576" s="359"/>
      <c r="L576" s="359"/>
      <c r="M576" s="359"/>
      <c r="N576" s="359"/>
      <c r="O576" s="359"/>
      <c r="P576" s="359"/>
      <c r="Q576" s="359"/>
      <c r="R576" s="359"/>
      <c r="S576" s="359"/>
      <c r="T576" s="359"/>
      <c r="U576" s="359"/>
      <c r="V576" s="359"/>
      <c r="W576" s="359"/>
      <c r="X576" s="359"/>
      <c r="Y576" s="359"/>
      <c r="Z576" s="359"/>
      <c r="AA576" s="359"/>
    </row>
    <row r="577" spans="1:27" ht="12" customHeight="1" x14ac:dyDescent="0.25">
      <c r="A577" s="359"/>
      <c r="B577" s="359"/>
      <c r="C577" s="359"/>
      <c r="D577" s="359"/>
      <c r="E577" s="359"/>
      <c r="F577" s="359"/>
      <c r="G577" s="359"/>
      <c r="H577" s="359"/>
      <c r="I577" s="359"/>
      <c r="J577" s="359"/>
      <c r="K577" s="359"/>
      <c r="L577" s="359"/>
      <c r="M577" s="359"/>
      <c r="N577" s="359"/>
      <c r="O577" s="359"/>
      <c r="P577" s="359"/>
      <c r="Q577" s="359"/>
      <c r="R577" s="359"/>
      <c r="S577" s="359"/>
      <c r="T577" s="359"/>
      <c r="U577" s="359"/>
      <c r="V577" s="359"/>
      <c r="W577" s="359"/>
      <c r="X577" s="359"/>
      <c r="Y577" s="359"/>
      <c r="Z577" s="359"/>
      <c r="AA577" s="359"/>
    </row>
    <row r="578" spans="1:27" ht="12" customHeight="1" x14ac:dyDescent="0.25">
      <c r="A578" s="359"/>
      <c r="B578" s="359"/>
      <c r="C578" s="359"/>
      <c r="D578" s="359"/>
      <c r="E578" s="359"/>
      <c r="F578" s="359"/>
      <c r="G578" s="359"/>
      <c r="H578" s="359"/>
      <c r="I578" s="359"/>
      <c r="J578" s="359"/>
      <c r="K578" s="359"/>
      <c r="L578" s="359"/>
      <c r="M578" s="359"/>
      <c r="N578" s="359"/>
      <c r="O578" s="359"/>
      <c r="P578" s="359"/>
      <c r="Q578" s="359"/>
      <c r="R578" s="359"/>
      <c r="S578" s="359"/>
      <c r="T578" s="359"/>
      <c r="U578" s="359"/>
      <c r="V578" s="359"/>
      <c r="W578" s="359"/>
      <c r="X578" s="359"/>
      <c r="Y578" s="359"/>
      <c r="Z578" s="359"/>
      <c r="AA578" s="359"/>
    </row>
    <row r="579" spans="1:27" ht="12" customHeight="1" x14ac:dyDescent="0.25">
      <c r="A579" s="359"/>
      <c r="B579" s="359"/>
      <c r="C579" s="359"/>
      <c r="D579" s="359"/>
      <c r="E579" s="359"/>
      <c r="F579" s="359"/>
      <c r="G579" s="359"/>
      <c r="H579" s="359"/>
      <c r="I579" s="359"/>
      <c r="J579" s="359"/>
      <c r="K579" s="359"/>
      <c r="L579" s="359"/>
      <c r="M579" s="359"/>
      <c r="N579" s="359"/>
      <c r="O579" s="359"/>
      <c r="P579" s="359"/>
      <c r="Q579" s="359"/>
      <c r="R579" s="359"/>
      <c r="S579" s="359"/>
      <c r="T579" s="359"/>
      <c r="U579" s="359"/>
      <c r="V579" s="359"/>
      <c r="W579" s="359"/>
      <c r="X579" s="359"/>
      <c r="Y579" s="359"/>
      <c r="Z579" s="359"/>
      <c r="AA579" s="359"/>
    </row>
    <row r="580" spans="1:27" ht="12" customHeight="1" x14ac:dyDescent="0.25">
      <c r="A580" s="359"/>
      <c r="B580" s="359"/>
      <c r="C580" s="359"/>
      <c r="D580" s="359"/>
      <c r="E580" s="359"/>
      <c r="F580" s="359"/>
      <c r="G580" s="359"/>
      <c r="H580" s="359"/>
      <c r="I580" s="359"/>
      <c r="J580" s="359"/>
      <c r="K580" s="359"/>
      <c r="L580" s="359"/>
      <c r="M580" s="359"/>
      <c r="N580" s="359"/>
      <c r="O580" s="359"/>
      <c r="P580" s="359"/>
      <c r="Q580" s="359"/>
      <c r="R580" s="359"/>
      <c r="S580" s="359"/>
      <c r="T580" s="359"/>
      <c r="U580" s="359"/>
      <c r="V580" s="359"/>
      <c r="W580" s="359"/>
      <c r="X580" s="359"/>
      <c r="Y580" s="359"/>
      <c r="Z580" s="359"/>
      <c r="AA580" s="359"/>
    </row>
    <row r="581" spans="1:27" ht="12" customHeight="1" x14ac:dyDescent="0.25">
      <c r="A581" s="359"/>
      <c r="B581" s="359"/>
      <c r="C581" s="359"/>
      <c r="D581" s="359"/>
      <c r="E581" s="359"/>
      <c r="F581" s="359"/>
      <c r="G581" s="359"/>
      <c r="H581" s="359"/>
      <c r="I581" s="359"/>
      <c r="J581" s="359"/>
      <c r="K581" s="359"/>
      <c r="L581" s="359"/>
      <c r="M581" s="359"/>
      <c r="N581" s="359"/>
      <c r="O581" s="359"/>
      <c r="P581" s="359"/>
      <c r="Q581" s="359"/>
      <c r="R581" s="359"/>
      <c r="S581" s="359"/>
      <c r="T581" s="359"/>
      <c r="U581" s="359"/>
      <c r="V581" s="359"/>
      <c r="W581" s="359"/>
      <c r="X581" s="359"/>
      <c r="Y581" s="359"/>
      <c r="Z581" s="359"/>
      <c r="AA581" s="359"/>
    </row>
    <row r="582" spans="1:27" ht="12" customHeight="1" x14ac:dyDescent="0.25">
      <c r="A582" s="359"/>
      <c r="B582" s="359"/>
      <c r="C582" s="359"/>
      <c r="D582" s="359"/>
      <c r="E582" s="359"/>
      <c r="F582" s="359"/>
      <c r="G582" s="359"/>
      <c r="H582" s="359"/>
      <c r="I582" s="359"/>
      <c r="J582" s="359"/>
      <c r="K582" s="359"/>
      <c r="L582" s="359"/>
      <c r="M582" s="359"/>
      <c r="N582" s="359"/>
      <c r="O582" s="359"/>
      <c r="P582" s="359"/>
      <c r="Q582" s="359"/>
      <c r="R582" s="359"/>
      <c r="S582" s="359"/>
      <c r="T582" s="359"/>
      <c r="U582" s="359"/>
      <c r="V582" s="359"/>
      <c r="W582" s="359"/>
      <c r="X582" s="359"/>
      <c r="Y582" s="359"/>
      <c r="Z582" s="359"/>
      <c r="AA582" s="359"/>
    </row>
    <row r="583" spans="1:27" ht="12" customHeight="1" x14ac:dyDescent="0.25">
      <c r="A583" s="359"/>
      <c r="B583" s="359"/>
      <c r="C583" s="359"/>
      <c r="D583" s="359"/>
      <c r="E583" s="359"/>
      <c r="F583" s="359"/>
      <c r="G583" s="359"/>
      <c r="H583" s="359"/>
      <c r="I583" s="359"/>
      <c r="J583" s="359"/>
      <c r="K583" s="359"/>
      <c r="L583" s="359"/>
      <c r="M583" s="359"/>
      <c r="N583" s="359"/>
      <c r="O583" s="359"/>
      <c r="P583" s="359"/>
      <c r="Q583" s="359"/>
      <c r="R583" s="359"/>
      <c r="S583" s="359"/>
      <c r="T583" s="359"/>
      <c r="U583" s="359"/>
      <c r="V583" s="359"/>
      <c r="W583" s="359"/>
      <c r="X583" s="359"/>
      <c r="Y583" s="359"/>
      <c r="Z583" s="359"/>
      <c r="AA583" s="359"/>
    </row>
    <row r="584" spans="1:27" ht="12" customHeight="1" x14ac:dyDescent="0.25">
      <c r="A584" s="359"/>
      <c r="B584" s="359"/>
      <c r="C584" s="359"/>
      <c r="D584" s="359"/>
      <c r="E584" s="359"/>
      <c r="F584" s="359"/>
      <c r="G584" s="359"/>
      <c r="H584" s="359"/>
      <c r="I584" s="359"/>
      <c r="J584" s="359"/>
      <c r="K584" s="359"/>
      <c r="L584" s="359"/>
      <c r="M584" s="359"/>
      <c r="N584" s="359"/>
      <c r="O584" s="359"/>
      <c r="P584" s="359"/>
      <c r="Q584" s="359"/>
      <c r="R584" s="359"/>
      <c r="S584" s="359"/>
      <c r="T584" s="359"/>
      <c r="U584" s="359"/>
      <c r="V584" s="359"/>
      <c r="W584" s="359"/>
      <c r="X584" s="359"/>
      <c r="Y584" s="359"/>
      <c r="Z584" s="359"/>
      <c r="AA584" s="359"/>
    </row>
    <row r="585" spans="1:27" ht="12" customHeight="1" x14ac:dyDescent="0.25">
      <c r="A585" s="359"/>
      <c r="B585" s="359"/>
      <c r="C585" s="359"/>
      <c r="D585" s="359"/>
      <c r="E585" s="359"/>
      <c r="F585" s="359"/>
      <c r="G585" s="359"/>
      <c r="H585" s="359"/>
      <c r="I585" s="359"/>
      <c r="J585" s="359"/>
      <c r="K585" s="359"/>
      <c r="L585" s="359"/>
      <c r="M585" s="359"/>
      <c r="N585" s="359"/>
      <c r="O585" s="359"/>
      <c r="P585" s="359"/>
      <c r="Q585" s="359"/>
      <c r="R585" s="359"/>
      <c r="S585" s="359"/>
      <c r="T585" s="359"/>
      <c r="U585" s="359"/>
      <c r="V585" s="359"/>
      <c r="W585" s="359"/>
      <c r="X585" s="359"/>
      <c r="Y585" s="359"/>
      <c r="Z585" s="359"/>
      <c r="AA585" s="359"/>
    </row>
    <row r="586" spans="1:27" ht="12" customHeight="1" x14ac:dyDescent="0.25">
      <c r="A586" s="359"/>
      <c r="B586" s="359"/>
      <c r="C586" s="359"/>
      <c r="D586" s="359"/>
      <c r="E586" s="359"/>
      <c r="F586" s="359"/>
      <c r="G586" s="359"/>
      <c r="H586" s="359"/>
      <c r="I586" s="359"/>
      <c r="J586" s="359"/>
      <c r="K586" s="359"/>
      <c r="L586" s="359"/>
      <c r="M586" s="359"/>
      <c r="N586" s="359"/>
      <c r="O586" s="359"/>
      <c r="P586" s="359"/>
      <c r="Q586" s="359"/>
      <c r="R586" s="359"/>
      <c r="S586" s="359"/>
      <c r="T586" s="359"/>
      <c r="U586" s="359"/>
      <c r="V586" s="359"/>
      <c r="W586" s="359"/>
      <c r="X586" s="359"/>
      <c r="Y586" s="359"/>
      <c r="Z586" s="359"/>
      <c r="AA586" s="359"/>
    </row>
    <row r="587" spans="1:27" ht="12" customHeight="1" x14ac:dyDescent="0.25">
      <c r="A587" s="359"/>
      <c r="B587" s="359"/>
      <c r="C587" s="359"/>
      <c r="D587" s="359"/>
      <c r="E587" s="359"/>
      <c r="F587" s="359"/>
      <c r="G587" s="359"/>
      <c r="H587" s="359"/>
      <c r="I587" s="359"/>
      <c r="J587" s="359"/>
      <c r="K587" s="359"/>
      <c r="L587" s="359"/>
      <c r="M587" s="359"/>
      <c r="N587" s="359"/>
      <c r="O587" s="359"/>
      <c r="P587" s="359"/>
      <c r="Q587" s="359"/>
      <c r="R587" s="359"/>
      <c r="S587" s="359"/>
      <c r="T587" s="359"/>
      <c r="U587" s="359"/>
      <c r="V587" s="359"/>
      <c r="W587" s="359"/>
      <c r="X587" s="359"/>
      <c r="Y587" s="359"/>
      <c r="Z587" s="359"/>
      <c r="AA587" s="359"/>
    </row>
    <row r="588" spans="1:27" ht="12" customHeight="1" x14ac:dyDescent="0.25">
      <c r="A588" s="359"/>
      <c r="B588" s="359"/>
      <c r="C588" s="359"/>
      <c r="D588" s="359"/>
      <c r="E588" s="359"/>
      <c r="F588" s="359"/>
      <c r="G588" s="359"/>
      <c r="H588" s="359"/>
      <c r="I588" s="359"/>
      <c r="J588" s="359"/>
      <c r="K588" s="359"/>
      <c r="L588" s="359"/>
      <c r="M588" s="359"/>
      <c r="N588" s="359"/>
      <c r="O588" s="359"/>
      <c r="P588" s="359"/>
      <c r="Q588" s="359"/>
      <c r="R588" s="359"/>
      <c r="S588" s="359"/>
      <c r="T588" s="359"/>
      <c r="U588" s="359"/>
      <c r="V588" s="359"/>
      <c r="W588" s="359"/>
      <c r="X588" s="359"/>
      <c r="Y588" s="359"/>
      <c r="Z588" s="359"/>
      <c r="AA588" s="359"/>
    </row>
    <row r="589" spans="1:27" ht="12" customHeight="1" x14ac:dyDescent="0.25">
      <c r="A589" s="359"/>
      <c r="B589" s="359"/>
      <c r="C589" s="359"/>
      <c r="D589" s="359"/>
      <c r="E589" s="359"/>
      <c r="F589" s="359"/>
      <c r="G589" s="359"/>
      <c r="H589" s="359"/>
      <c r="I589" s="359"/>
      <c r="J589" s="359"/>
      <c r="K589" s="359"/>
      <c r="L589" s="359"/>
      <c r="M589" s="359"/>
      <c r="N589" s="359"/>
      <c r="O589" s="359"/>
      <c r="P589" s="359"/>
      <c r="Q589" s="359"/>
      <c r="R589" s="359"/>
      <c r="S589" s="359"/>
      <c r="T589" s="359"/>
      <c r="U589" s="359"/>
      <c r="V589" s="359"/>
      <c r="W589" s="359"/>
      <c r="X589" s="359"/>
      <c r="Y589" s="359"/>
      <c r="Z589" s="359"/>
      <c r="AA589" s="359"/>
    </row>
    <row r="590" spans="1:27" ht="12" customHeight="1" x14ac:dyDescent="0.25">
      <c r="A590" s="359"/>
      <c r="B590" s="359"/>
      <c r="C590" s="359"/>
      <c r="D590" s="359"/>
      <c r="E590" s="359"/>
      <c r="F590" s="359"/>
      <c r="G590" s="359"/>
      <c r="H590" s="359"/>
      <c r="I590" s="359"/>
      <c r="J590" s="359"/>
      <c r="K590" s="359"/>
      <c r="L590" s="359"/>
      <c r="M590" s="359"/>
      <c r="N590" s="359"/>
      <c r="O590" s="359"/>
      <c r="P590" s="359"/>
      <c r="Q590" s="359"/>
      <c r="R590" s="359"/>
      <c r="S590" s="359"/>
      <c r="T590" s="359"/>
      <c r="U590" s="359"/>
      <c r="V590" s="359"/>
      <c r="W590" s="359"/>
      <c r="X590" s="359"/>
      <c r="Y590" s="359"/>
      <c r="Z590" s="359"/>
      <c r="AA590" s="359"/>
    </row>
    <row r="591" spans="1:27" ht="12" customHeight="1" x14ac:dyDescent="0.25">
      <c r="A591" s="359"/>
      <c r="B591" s="359"/>
      <c r="C591" s="359"/>
      <c r="D591" s="359"/>
      <c r="E591" s="359"/>
      <c r="F591" s="359"/>
      <c r="G591" s="359"/>
      <c r="H591" s="359"/>
      <c r="I591" s="359"/>
      <c r="J591" s="359"/>
      <c r="K591" s="359"/>
      <c r="L591" s="359"/>
      <c r="M591" s="359"/>
      <c r="N591" s="359"/>
      <c r="O591" s="359"/>
      <c r="P591" s="359"/>
      <c r="Q591" s="359"/>
      <c r="R591" s="359"/>
      <c r="S591" s="359"/>
      <c r="T591" s="359"/>
      <c r="U591" s="359"/>
      <c r="V591" s="359"/>
      <c r="W591" s="359"/>
      <c r="X591" s="359"/>
      <c r="Y591" s="359"/>
      <c r="Z591" s="359"/>
      <c r="AA591" s="359"/>
    </row>
    <row r="592" spans="1:27" ht="12" customHeight="1" x14ac:dyDescent="0.25">
      <c r="A592" s="359"/>
      <c r="B592" s="359"/>
      <c r="C592" s="359"/>
      <c r="D592" s="359"/>
      <c r="E592" s="359"/>
      <c r="F592" s="359"/>
      <c r="G592" s="359"/>
      <c r="H592" s="359"/>
      <c r="I592" s="359"/>
      <c r="J592" s="359"/>
      <c r="K592" s="359"/>
      <c r="L592" s="359"/>
      <c r="M592" s="359"/>
      <c r="N592" s="359"/>
      <c r="O592" s="359"/>
      <c r="P592" s="359"/>
      <c r="Q592" s="359"/>
      <c r="R592" s="359"/>
      <c r="S592" s="359"/>
      <c r="T592" s="359"/>
      <c r="U592" s="359"/>
      <c r="V592" s="359"/>
      <c r="W592" s="359"/>
      <c r="X592" s="359"/>
      <c r="Y592" s="359"/>
      <c r="Z592" s="359"/>
      <c r="AA592" s="359"/>
    </row>
    <row r="593" spans="1:27" ht="12" customHeight="1" x14ac:dyDescent="0.25">
      <c r="A593" s="359"/>
      <c r="B593" s="359"/>
      <c r="C593" s="359"/>
      <c r="D593" s="359"/>
      <c r="E593" s="359"/>
      <c r="F593" s="359"/>
      <c r="G593" s="359"/>
      <c r="H593" s="359"/>
      <c r="I593" s="359"/>
      <c r="J593" s="359"/>
      <c r="K593" s="359"/>
      <c r="L593" s="359"/>
      <c r="M593" s="359"/>
      <c r="N593" s="359"/>
      <c r="O593" s="359"/>
      <c r="P593" s="359"/>
      <c r="Q593" s="359"/>
      <c r="R593" s="359"/>
      <c r="S593" s="359"/>
      <c r="T593" s="359"/>
      <c r="U593" s="359"/>
      <c r="V593" s="359"/>
      <c r="W593" s="359"/>
      <c r="X593" s="359"/>
      <c r="Y593" s="359"/>
      <c r="Z593" s="359"/>
      <c r="AA593" s="359"/>
    </row>
    <row r="594" spans="1:27" ht="12" customHeight="1" x14ac:dyDescent="0.25">
      <c r="A594" s="359"/>
      <c r="B594" s="359"/>
      <c r="C594" s="359"/>
      <c r="D594" s="359"/>
      <c r="E594" s="359"/>
      <c r="F594" s="359"/>
      <c r="G594" s="359"/>
      <c r="H594" s="359"/>
      <c r="I594" s="359"/>
      <c r="J594" s="359"/>
      <c r="K594" s="359"/>
      <c r="L594" s="359"/>
      <c r="M594" s="359"/>
      <c r="N594" s="359"/>
      <c r="O594" s="359"/>
      <c r="P594" s="359"/>
      <c r="Q594" s="359"/>
      <c r="R594" s="359"/>
      <c r="S594" s="359"/>
      <c r="T594" s="359"/>
      <c r="U594" s="359"/>
      <c r="V594" s="359"/>
      <c r="W594" s="359"/>
      <c r="X594" s="359"/>
      <c r="Y594" s="359"/>
      <c r="Z594" s="359"/>
      <c r="AA594" s="359"/>
    </row>
    <row r="595" spans="1:27" ht="12" customHeight="1" x14ac:dyDescent="0.25">
      <c r="A595" s="359"/>
      <c r="B595" s="359"/>
      <c r="C595" s="359"/>
      <c r="D595" s="359"/>
      <c r="E595" s="359"/>
      <c r="F595" s="359"/>
      <c r="G595" s="359"/>
      <c r="H595" s="359"/>
      <c r="I595" s="359"/>
      <c r="J595" s="359"/>
      <c r="K595" s="359"/>
      <c r="L595" s="359"/>
      <c r="M595" s="359"/>
      <c r="N595" s="359"/>
      <c r="O595" s="359"/>
      <c r="P595" s="359"/>
      <c r="Q595" s="359"/>
      <c r="R595" s="359"/>
      <c r="S595" s="359"/>
      <c r="T595" s="359"/>
      <c r="U595" s="359"/>
      <c r="V595" s="359"/>
      <c r="W595" s="359"/>
      <c r="X595" s="359"/>
      <c r="Y595" s="359"/>
      <c r="Z595" s="359"/>
      <c r="AA595" s="359"/>
    </row>
    <row r="596" spans="1:27" ht="12" customHeight="1" x14ac:dyDescent="0.25">
      <c r="A596" s="359"/>
      <c r="B596" s="359"/>
      <c r="C596" s="359"/>
      <c r="D596" s="359"/>
      <c r="E596" s="359"/>
      <c r="F596" s="359"/>
      <c r="G596" s="359"/>
      <c r="H596" s="359"/>
      <c r="I596" s="359"/>
      <c r="J596" s="359"/>
      <c r="K596" s="359"/>
      <c r="L596" s="359"/>
      <c r="M596" s="359"/>
      <c r="N596" s="359"/>
      <c r="O596" s="359"/>
      <c r="P596" s="359"/>
      <c r="Q596" s="359"/>
      <c r="R596" s="359"/>
      <c r="S596" s="359"/>
      <c r="T596" s="359"/>
      <c r="U596" s="359"/>
      <c r="V596" s="359"/>
      <c r="W596" s="359"/>
      <c r="X596" s="359"/>
      <c r="Y596" s="359"/>
      <c r="Z596" s="359"/>
      <c r="AA596" s="359"/>
    </row>
    <row r="597" spans="1:27" ht="12" customHeight="1" x14ac:dyDescent="0.25">
      <c r="A597" s="359"/>
      <c r="B597" s="359"/>
      <c r="C597" s="359"/>
      <c r="D597" s="359"/>
      <c r="E597" s="359"/>
      <c r="F597" s="359"/>
      <c r="G597" s="359"/>
      <c r="H597" s="359"/>
      <c r="I597" s="359"/>
      <c r="J597" s="359"/>
      <c r="K597" s="359"/>
      <c r="L597" s="359"/>
      <c r="M597" s="359"/>
      <c r="N597" s="359"/>
      <c r="O597" s="359"/>
      <c r="P597" s="359"/>
      <c r="Q597" s="359"/>
      <c r="R597" s="359"/>
      <c r="S597" s="359"/>
      <c r="T597" s="359"/>
      <c r="U597" s="359"/>
      <c r="V597" s="359"/>
      <c r="W597" s="359"/>
      <c r="X597" s="359"/>
      <c r="Y597" s="359"/>
      <c r="Z597" s="359"/>
      <c r="AA597" s="359"/>
    </row>
    <row r="598" spans="1:27" ht="12" customHeight="1" x14ac:dyDescent="0.25">
      <c r="A598" s="359"/>
      <c r="B598" s="359"/>
      <c r="C598" s="359"/>
      <c r="D598" s="359"/>
      <c r="E598" s="359"/>
      <c r="F598" s="359"/>
      <c r="G598" s="359"/>
      <c r="H598" s="359"/>
      <c r="I598" s="359"/>
      <c r="J598" s="359"/>
      <c r="K598" s="359"/>
      <c r="L598" s="359"/>
      <c r="M598" s="359"/>
      <c r="N598" s="359"/>
      <c r="O598" s="359"/>
      <c r="P598" s="359"/>
      <c r="Q598" s="359"/>
      <c r="R598" s="359"/>
      <c r="S598" s="359"/>
      <c r="T598" s="359"/>
      <c r="U598" s="359"/>
      <c r="V598" s="359"/>
      <c r="W598" s="359"/>
      <c r="X598" s="359"/>
      <c r="Y598" s="359"/>
      <c r="Z598" s="359"/>
      <c r="AA598" s="359"/>
    </row>
    <row r="599" spans="1:27" ht="12" customHeight="1" x14ac:dyDescent="0.25">
      <c r="A599" s="359"/>
      <c r="B599" s="359"/>
      <c r="C599" s="359"/>
      <c r="D599" s="359"/>
      <c r="E599" s="359"/>
      <c r="F599" s="359"/>
      <c r="G599" s="359"/>
      <c r="H599" s="359"/>
      <c r="I599" s="359"/>
      <c r="J599" s="359"/>
      <c r="K599" s="359"/>
      <c r="L599" s="359"/>
      <c r="M599" s="359"/>
      <c r="N599" s="359"/>
      <c r="O599" s="359"/>
      <c r="P599" s="359"/>
      <c r="Q599" s="359"/>
      <c r="R599" s="359"/>
      <c r="S599" s="359"/>
      <c r="T599" s="359"/>
      <c r="U599" s="359"/>
      <c r="V599" s="359"/>
      <c r="W599" s="359"/>
      <c r="X599" s="359"/>
      <c r="Y599" s="359"/>
      <c r="Z599" s="359"/>
      <c r="AA599" s="359"/>
    </row>
    <row r="600" spans="1:27" ht="12" customHeight="1" x14ac:dyDescent="0.25">
      <c r="A600" s="359"/>
      <c r="B600" s="359"/>
      <c r="C600" s="359"/>
      <c r="D600" s="359"/>
      <c r="E600" s="359"/>
      <c r="F600" s="359"/>
      <c r="G600" s="359"/>
      <c r="H600" s="359"/>
      <c r="I600" s="359"/>
      <c r="J600" s="359"/>
      <c r="K600" s="359"/>
      <c r="L600" s="359"/>
      <c r="M600" s="359"/>
      <c r="N600" s="359"/>
      <c r="O600" s="359"/>
      <c r="P600" s="359"/>
      <c r="Q600" s="359"/>
      <c r="R600" s="359"/>
      <c r="S600" s="359"/>
      <c r="T600" s="359"/>
      <c r="U600" s="359"/>
      <c r="V600" s="359"/>
      <c r="W600" s="359"/>
      <c r="X600" s="359"/>
      <c r="Y600" s="359"/>
      <c r="Z600" s="359"/>
      <c r="AA600" s="359"/>
    </row>
    <row r="601" spans="1:27" ht="12" customHeight="1" x14ac:dyDescent="0.25">
      <c r="A601" s="359"/>
      <c r="B601" s="359"/>
      <c r="C601" s="359"/>
      <c r="D601" s="359"/>
      <c r="E601" s="359"/>
      <c r="F601" s="359"/>
      <c r="G601" s="359"/>
      <c r="H601" s="359"/>
      <c r="I601" s="359"/>
      <c r="J601" s="359"/>
      <c r="K601" s="359"/>
      <c r="L601" s="359"/>
      <c r="M601" s="359"/>
      <c r="N601" s="359"/>
      <c r="O601" s="359"/>
      <c r="P601" s="359"/>
      <c r="Q601" s="359"/>
      <c r="R601" s="359"/>
      <c r="S601" s="359"/>
      <c r="T601" s="359"/>
      <c r="U601" s="359"/>
      <c r="V601" s="359"/>
      <c r="W601" s="359"/>
      <c r="X601" s="359"/>
      <c r="Y601" s="359"/>
      <c r="Z601" s="359"/>
      <c r="AA601" s="359"/>
    </row>
    <row r="602" spans="1:27" ht="12" customHeight="1" x14ac:dyDescent="0.25">
      <c r="A602" s="359"/>
      <c r="B602" s="359"/>
      <c r="C602" s="359"/>
      <c r="D602" s="359"/>
      <c r="E602" s="359"/>
      <c r="F602" s="359"/>
      <c r="G602" s="359"/>
      <c r="H602" s="359"/>
      <c r="I602" s="359"/>
      <c r="J602" s="359"/>
      <c r="K602" s="359"/>
      <c r="L602" s="359"/>
      <c r="M602" s="359"/>
      <c r="N602" s="359"/>
      <c r="O602" s="359"/>
      <c r="P602" s="359"/>
      <c r="Q602" s="359"/>
      <c r="R602" s="359"/>
      <c r="S602" s="359"/>
      <c r="T602" s="359"/>
      <c r="U602" s="359"/>
      <c r="V602" s="359"/>
      <c r="W602" s="359"/>
      <c r="X602" s="359"/>
      <c r="Y602" s="359"/>
      <c r="Z602" s="359"/>
      <c r="AA602" s="359"/>
    </row>
    <row r="603" spans="1:27" ht="12" customHeight="1" x14ac:dyDescent="0.25">
      <c r="A603" s="359"/>
      <c r="B603" s="359"/>
      <c r="C603" s="359"/>
      <c r="D603" s="359"/>
      <c r="E603" s="359"/>
      <c r="F603" s="359"/>
      <c r="G603" s="359"/>
      <c r="H603" s="359"/>
      <c r="I603" s="359"/>
      <c r="J603" s="359"/>
      <c r="K603" s="359"/>
      <c r="L603" s="359"/>
      <c r="M603" s="359"/>
      <c r="N603" s="359"/>
      <c r="O603" s="359"/>
      <c r="P603" s="359"/>
      <c r="Q603" s="359"/>
      <c r="R603" s="359"/>
      <c r="S603" s="359"/>
      <c r="T603" s="359"/>
      <c r="U603" s="359"/>
      <c r="V603" s="359"/>
      <c r="W603" s="359"/>
      <c r="X603" s="359"/>
      <c r="Y603" s="359"/>
      <c r="Z603" s="359"/>
      <c r="AA603" s="359"/>
    </row>
    <row r="604" spans="1:27" ht="12" customHeight="1" x14ac:dyDescent="0.25">
      <c r="A604" s="359"/>
      <c r="B604" s="359"/>
      <c r="C604" s="359"/>
      <c r="D604" s="359"/>
      <c r="E604" s="359"/>
      <c r="F604" s="359"/>
      <c r="G604" s="359"/>
      <c r="H604" s="359"/>
      <c r="I604" s="359"/>
      <c r="J604" s="359"/>
      <c r="K604" s="359"/>
      <c r="L604" s="359"/>
      <c r="M604" s="359"/>
      <c r="N604" s="359"/>
      <c r="O604" s="359"/>
      <c r="P604" s="359"/>
      <c r="Q604" s="359"/>
      <c r="R604" s="359"/>
      <c r="S604" s="359"/>
      <c r="T604" s="359"/>
      <c r="U604" s="359"/>
      <c r="V604" s="359"/>
      <c r="W604" s="359"/>
      <c r="X604" s="359"/>
      <c r="Y604" s="359"/>
      <c r="Z604" s="359"/>
      <c r="AA604" s="359"/>
    </row>
    <row r="605" spans="1:27" ht="12" customHeight="1" x14ac:dyDescent="0.25">
      <c r="A605" s="359"/>
      <c r="B605" s="359"/>
      <c r="C605" s="359"/>
      <c r="D605" s="359"/>
      <c r="E605" s="359"/>
      <c r="F605" s="359"/>
      <c r="G605" s="359"/>
      <c r="H605" s="359"/>
      <c r="I605" s="359"/>
      <c r="J605" s="359"/>
      <c r="K605" s="359"/>
      <c r="L605" s="359"/>
      <c r="M605" s="359"/>
      <c r="N605" s="359"/>
      <c r="O605" s="359"/>
      <c r="P605" s="359"/>
      <c r="Q605" s="359"/>
      <c r="R605" s="359"/>
      <c r="S605" s="359"/>
      <c r="T605" s="359"/>
      <c r="U605" s="359"/>
      <c r="V605" s="359"/>
      <c r="W605" s="359"/>
      <c r="X605" s="359"/>
      <c r="Y605" s="359"/>
      <c r="Z605" s="359"/>
      <c r="AA605" s="359"/>
    </row>
    <row r="606" spans="1:27" ht="12" customHeight="1" x14ac:dyDescent="0.25">
      <c r="A606" s="359"/>
      <c r="B606" s="359"/>
      <c r="C606" s="359"/>
      <c r="D606" s="359"/>
      <c r="E606" s="359"/>
      <c r="F606" s="359"/>
      <c r="G606" s="359"/>
      <c r="H606" s="359"/>
      <c r="I606" s="359"/>
      <c r="J606" s="359"/>
      <c r="K606" s="359"/>
      <c r="L606" s="359"/>
      <c r="M606" s="359"/>
      <c r="N606" s="359"/>
      <c r="O606" s="359"/>
      <c r="P606" s="359"/>
      <c r="Q606" s="359"/>
      <c r="R606" s="359"/>
      <c r="S606" s="359"/>
      <c r="T606" s="359"/>
      <c r="U606" s="359"/>
      <c r="V606" s="359"/>
      <c r="W606" s="359"/>
      <c r="X606" s="359"/>
      <c r="Y606" s="359"/>
      <c r="Z606" s="359"/>
      <c r="AA606" s="359"/>
    </row>
    <row r="607" spans="1:27" ht="12" customHeight="1" x14ac:dyDescent="0.25">
      <c r="A607" s="359"/>
      <c r="B607" s="359"/>
      <c r="C607" s="359"/>
      <c r="D607" s="359"/>
      <c r="E607" s="359"/>
      <c r="F607" s="359"/>
      <c r="G607" s="359"/>
      <c r="H607" s="359"/>
      <c r="I607" s="359"/>
      <c r="J607" s="359"/>
      <c r="K607" s="359"/>
      <c r="L607" s="359"/>
      <c r="M607" s="359"/>
      <c r="N607" s="359"/>
      <c r="O607" s="359"/>
      <c r="P607" s="359"/>
      <c r="Q607" s="359"/>
      <c r="R607" s="359"/>
      <c r="S607" s="359"/>
      <c r="T607" s="359"/>
      <c r="U607" s="359"/>
      <c r="V607" s="359"/>
      <c r="W607" s="359"/>
      <c r="X607" s="359"/>
      <c r="Y607" s="359"/>
      <c r="Z607" s="359"/>
      <c r="AA607" s="359"/>
    </row>
    <row r="608" spans="1:27" ht="12" customHeight="1" x14ac:dyDescent="0.25">
      <c r="A608" s="359"/>
      <c r="B608" s="359"/>
      <c r="C608" s="359"/>
      <c r="D608" s="359"/>
      <c r="E608" s="359"/>
      <c r="F608" s="359"/>
      <c r="G608" s="359"/>
      <c r="H608" s="359"/>
      <c r="I608" s="359"/>
      <c r="J608" s="359"/>
      <c r="K608" s="359"/>
      <c r="L608" s="359"/>
      <c r="M608" s="359"/>
      <c r="N608" s="359"/>
      <c r="O608" s="359"/>
      <c r="P608" s="359"/>
      <c r="Q608" s="359"/>
      <c r="R608" s="359"/>
      <c r="S608" s="359"/>
      <c r="T608" s="359"/>
      <c r="U608" s="359"/>
      <c r="V608" s="359"/>
      <c r="W608" s="359"/>
      <c r="X608" s="359"/>
      <c r="Y608" s="359"/>
      <c r="Z608" s="359"/>
      <c r="AA608" s="359"/>
    </row>
    <row r="609" spans="1:27" ht="12" customHeight="1" x14ac:dyDescent="0.25">
      <c r="A609" s="359"/>
      <c r="B609" s="359"/>
      <c r="C609" s="359"/>
      <c r="D609" s="359"/>
      <c r="E609" s="359"/>
      <c r="F609" s="359"/>
      <c r="G609" s="359"/>
      <c r="H609" s="359"/>
      <c r="I609" s="359"/>
      <c r="J609" s="359"/>
      <c r="K609" s="359"/>
      <c r="L609" s="359"/>
      <c r="M609" s="359"/>
      <c r="N609" s="359"/>
      <c r="O609" s="359"/>
      <c r="P609" s="359"/>
      <c r="Q609" s="359"/>
      <c r="R609" s="359"/>
      <c r="S609" s="359"/>
      <c r="T609" s="359"/>
      <c r="U609" s="359"/>
      <c r="V609" s="359"/>
      <c r="W609" s="359"/>
      <c r="X609" s="359"/>
      <c r="Y609" s="359"/>
      <c r="Z609" s="359"/>
      <c r="AA609" s="359"/>
    </row>
    <row r="610" spans="1:27" ht="12" customHeight="1" x14ac:dyDescent="0.25">
      <c r="A610" s="359"/>
      <c r="B610" s="359"/>
      <c r="C610" s="359"/>
      <c r="D610" s="359"/>
      <c r="E610" s="359"/>
      <c r="F610" s="359"/>
      <c r="G610" s="359"/>
      <c r="H610" s="359"/>
      <c r="I610" s="359"/>
      <c r="J610" s="359"/>
      <c r="K610" s="359"/>
      <c r="L610" s="359"/>
      <c r="M610" s="359"/>
      <c r="N610" s="359"/>
      <c r="O610" s="359"/>
      <c r="P610" s="359"/>
      <c r="Q610" s="359"/>
      <c r="R610" s="359"/>
      <c r="S610" s="359"/>
      <c r="T610" s="359"/>
      <c r="U610" s="359"/>
      <c r="V610" s="359"/>
      <c r="W610" s="359"/>
      <c r="X610" s="359"/>
      <c r="Y610" s="359"/>
      <c r="Z610" s="359"/>
      <c r="AA610" s="359"/>
    </row>
    <row r="611" spans="1:27" ht="12" customHeight="1" x14ac:dyDescent="0.25">
      <c r="A611" s="359"/>
      <c r="B611" s="359"/>
      <c r="C611" s="359"/>
      <c r="D611" s="359"/>
      <c r="E611" s="359"/>
      <c r="F611" s="359"/>
      <c r="G611" s="359"/>
      <c r="H611" s="359"/>
      <c r="I611" s="359"/>
      <c r="J611" s="359"/>
      <c r="K611" s="359"/>
      <c r="L611" s="359"/>
      <c r="M611" s="359"/>
      <c r="N611" s="359"/>
      <c r="O611" s="359"/>
      <c r="P611" s="359"/>
      <c r="Q611" s="359"/>
      <c r="R611" s="359"/>
      <c r="S611" s="359"/>
      <c r="T611" s="359"/>
      <c r="U611" s="359"/>
      <c r="V611" s="359"/>
      <c r="W611" s="359"/>
      <c r="X611" s="359"/>
      <c r="Y611" s="359"/>
      <c r="Z611" s="359"/>
      <c r="AA611" s="359"/>
    </row>
    <row r="612" spans="1:27" ht="12" customHeight="1" x14ac:dyDescent="0.25">
      <c r="A612" s="359"/>
      <c r="B612" s="359"/>
      <c r="C612" s="359"/>
      <c r="D612" s="359"/>
      <c r="E612" s="359"/>
      <c r="F612" s="359"/>
      <c r="G612" s="359"/>
      <c r="H612" s="359"/>
      <c r="I612" s="359"/>
      <c r="J612" s="359"/>
      <c r="K612" s="359"/>
      <c r="L612" s="359"/>
      <c r="M612" s="359"/>
      <c r="N612" s="359"/>
      <c r="O612" s="359"/>
      <c r="P612" s="359"/>
      <c r="Q612" s="359"/>
      <c r="R612" s="359"/>
      <c r="S612" s="359"/>
      <c r="T612" s="359"/>
      <c r="U612" s="359"/>
      <c r="V612" s="359"/>
      <c r="W612" s="359"/>
      <c r="X612" s="359"/>
      <c r="Y612" s="359"/>
      <c r="Z612" s="359"/>
      <c r="AA612" s="359"/>
    </row>
    <row r="613" spans="1:27" ht="12" customHeight="1" x14ac:dyDescent="0.25">
      <c r="A613" s="359"/>
      <c r="B613" s="359"/>
      <c r="C613" s="359"/>
      <c r="D613" s="359"/>
      <c r="E613" s="359"/>
      <c r="F613" s="359"/>
      <c r="G613" s="359"/>
      <c r="H613" s="359"/>
      <c r="I613" s="359"/>
      <c r="J613" s="359"/>
      <c r="K613" s="359"/>
      <c r="L613" s="359"/>
      <c r="M613" s="359"/>
      <c r="N613" s="359"/>
      <c r="O613" s="359"/>
      <c r="P613" s="359"/>
      <c r="Q613" s="359"/>
      <c r="R613" s="359"/>
      <c r="S613" s="359"/>
      <c r="T613" s="359"/>
      <c r="U613" s="359"/>
      <c r="V613" s="359"/>
      <c r="W613" s="359"/>
      <c r="X613" s="359"/>
      <c r="Y613" s="359"/>
      <c r="Z613" s="359"/>
      <c r="AA613" s="359"/>
    </row>
    <row r="614" spans="1:27" ht="12" customHeight="1" x14ac:dyDescent="0.25">
      <c r="A614" s="359"/>
      <c r="B614" s="359"/>
      <c r="C614" s="359"/>
      <c r="D614" s="359"/>
      <c r="E614" s="359"/>
      <c r="F614" s="359"/>
      <c r="G614" s="359"/>
      <c r="H614" s="359"/>
      <c r="I614" s="359"/>
      <c r="J614" s="359"/>
      <c r="K614" s="359"/>
      <c r="L614" s="359"/>
      <c r="M614" s="359"/>
      <c r="N614" s="359"/>
      <c r="O614" s="359"/>
      <c r="P614" s="359"/>
      <c r="Q614" s="359"/>
      <c r="R614" s="359"/>
      <c r="S614" s="359"/>
      <c r="T614" s="359"/>
      <c r="U614" s="359"/>
      <c r="V614" s="359"/>
      <c r="W614" s="359"/>
      <c r="X614" s="359"/>
      <c r="Y614" s="359"/>
      <c r="Z614" s="359"/>
      <c r="AA614" s="359"/>
    </row>
    <row r="615" spans="1:27" ht="12" customHeight="1" x14ac:dyDescent="0.25">
      <c r="A615" s="359"/>
      <c r="B615" s="359"/>
      <c r="C615" s="359"/>
      <c r="D615" s="359"/>
      <c r="E615" s="359"/>
      <c r="F615" s="359"/>
      <c r="G615" s="359"/>
      <c r="H615" s="359"/>
      <c r="I615" s="359"/>
      <c r="J615" s="359"/>
      <c r="K615" s="359"/>
      <c r="L615" s="359"/>
      <c r="M615" s="359"/>
      <c r="N615" s="359"/>
      <c r="O615" s="359"/>
      <c r="P615" s="359"/>
      <c r="Q615" s="359"/>
      <c r="R615" s="359"/>
      <c r="S615" s="359"/>
      <c r="T615" s="359"/>
      <c r="U615" s="359"/>
      <c r="V615" s="359"/>
      <c r="W615" s="359"/>
      <c r="X615" s="359"/>
      <c r="Y615" s="359"/>
      <c r="Z615" s="359"/>
      <c r="AA615" s="359"/>
    </row>
    <row r="616" spans="1:27" ht="12" customHeight="1" x14ac:dyDescent="0.25">
      <c r="A616" s="359"/>
      <c r="B616" s="359"/>
      <c r="C616" s="359"/>
      <c r="D616" s="359"/>
      <c r="E616" s="359"/>
      <c r="F616" s="359"/>
      <c r="G616" s="359"/>
      <c r="H616" s="359"/>
      <c r="I616" s="359"/>
      <c r="J616" s="359"/>
      <c r="K616" s="359"/>
      <c r="L616" s="359"/>
      <c r="M616" s="359"/>
      <c r="N616" s="359"/>
      <c r="O616" s="359"/>
      <c r="P616" s="359"/>
      <c r="Q616" s="359"/>
      <c r="R616" s="359"/>
      <c r="S616" s="359"/>
      <c r="T616" s="359"/>
      <c r="U616" s="359"/>
      <c r="V616" s="359"/>
      <c r="W616" s="359"/>
      <c r="X616" s="359"/>
      <c r="Y616" s="359"/>
      <c r="Z616" s="359"/>
      <c r="AA616" s="359"/>
    </row>
    <row r="617" spans="1:27" ht="12" customHeight="1" x14ac:dyDescent="0.25">
      <c r="A617" s="359"/>
      <c r="B617" s="359"/>
      <c r="C617" s="359"/>
      <c r="D617" s="359"/>
      <c r="E617" s="359"/>
      <c r="F617" s="359"/>
      <c r="G617" s="359"/>
      <c r="H617" s="359"/>
      <c r="I617" s="359"/>
      <c r="J617" s="359"/>
      <c r="K617" s="359"/>
      <c r="L617" s="359"/>
      <c r="M617" s="359"/>
      <c r="N617" s="359"/>
      <c r="O617" s="359"/>
      <c r="P617" s="359"/>
      <c r="Q617" s="359"/>
      <c r="R617" s="359"/>
      <c r="S617" s="359"/>
      <c r="T617" s="359"/>
      <c r="U617" s="359"/>
      <c r="V617" s="359"/>
      <c r="W617" s="359"/>
      <c r="X617" s="359"/>
      <c r="Y617" s="359"/>
      <c r="Z617" s="359"/>
      <c r="AA617" s="359"/>
    </row>
    <row r="618" spans="1:27" ht="12" customHeight="1" x14ac:dyDescent="0.25">
      <c r="A618" s="359"/>
      <c r="B618" s="359"/>
      <c r="C618" s="359"/>
      <c r="D618" s="359"/>
      <c r="E618" s="359"/>
      <c r="F618" s="359"/>
      <c r="G618" s="359"/>
      <c r="H618" s="359"/>
      <c r="I618" s="359"/>
      <c r="J618" s="359"/>
      <c r="K618" s="359"/>
      <c r="L618" s="359"/>
      <c r="M618" s="359"/>
      <c r="N618" s="359"/>
      <c r="O618" s="359"/>
      <c r="P618" s="359"/>
      <c r="Q618" s="359"/>
      <c r="R618" s="359"/>
      <c r="S618" s="359"/>
      <c r="T618" s="359"/>
      <c r="U618" s="359"/>
      <c r="V618" s="359"/>
      <c r="W618" s="359"/>
      <c r="X618" s="359"/>
      <c r="Y618" s="359"/>
      <c r="Z618" s="359"/>
      <c r="AA618" s="359"/>
    </row>
    <row r="619" spans="1:27" ht="12" customHeight="1" x14ac:dyDescent="0.25">
      <c r="A619" s="359"/>
      <c r="B619" s="359"/>
      <c r="C619" s="359"/>
      <c r="D619" s="359"/>
      <c r="E619" s="359"/>
      <c r="F619" s="359"/>
      <c r="G619" s="359"/>
      <c r="H619" s="359"/>
      <c r="I619" s="359"/>
      <c r="J619" s="359"/>
      <c r="K619" s="359"/>
      <c r="L619" s="359"/>
      <c r="M619" s="359"/>
      <c r="N619" s="359"/>
      <c r="O619" s="359"/>
      <c r="P619" s="359"/>
      <c r="Q619" s="359"/>
      <c r="R619" s="359"/>
      <c r="S619" s="359"/>
      <c r="T619" s="359"/>
      <c r="U619" s="359"/>
      <c r="V619" s="359"/>
      <c r="W619" s="359"/>
      <c r="X619" s="359"/>
      <c r="Y619" s="359"/>
      <c r="Z619" s="359"/>
      <c r="AA619" s="359"/>
    </row>
    <row r="620" spans="1:27" ht="12" customHeight="1" x14ac:dyDescent="0.25">
      <c r="A620" s="359"/>
      <c r="B620" s="359"/>
      <c r="C620" s="359"/>
      <c r="D620" s="359"/>
      <c r="E620" s="359"/>
      <c r="F620" s="359"/>
      <c r="G620" s="359"/>
      <c r="H620" s="359"/>
      <c r="I620" s="359"/>
      <c r="J620" s="359"/>
      <c r="K620" s="359"/>
      <c r="L620" s="359"/>
      <c r="M620" s="359"/>
      <c r="N620" s="359"/>
      <c r="O620" s="359"/>
      <c r="P620" s="359"/>
      <c r="Q620" s="359"/>
      <c r="R620" s="359"/>
      <c r="S620" s="359"/>
      <c r="T620" s="359"/>
      <c r="U620" s="359"/>
      <c r="V620" s="359"/>
      <c r="W620" s="359"/>
      <c r="X620" s="359"/>
      <c r="Y620" s="359"/>
      <c r="Z620" s="359"/>
      <c r="AA620" s="359"/>
    </row>
    <row r="621" spans="1:27" ht="12" customHeight="1" x14ac:dyDescent="0.25">
      <c r="A621" s="359"/>
      <c r="B621" s="359"/>
      <c r="C621" s="359"/>
      <c r="D621" s="359"/>
      <c r="E621" s="359"/>
      <c r="F621" s="359"/>
      <c r="G621" s="359"/>
      <c r="H621" s="359"/>
      <c r="I621" s="359"/>
      <c r="J621" s="359"/>
      <c r="K621" s="359"/>
      <c r="L621" s="359"/>
      <c r="M621" s="359"/>
      <c r="N621" s="359"/>
      <c r="O621" s="359"/>
      <c r="P621" s="359"/>
      <c r="Q621" s="359"/>
      <c r="R621" s="359"/>
      <c r="S621" s="359"/>
      <c r="T621" s="359"/>
      <c r="U621" s="359"/>
      <c r="V621" s="359"/>
      <c r="W621" s="359"/>
      <c r="X621" s="359"/>
      <c r="Y621" s="359"/>
      <c r="Z621" s="359"/>
      <c r="AA621" s="359"/>
    </row>
    <row r="622" spans="1:27" ht="12" customHeight="1" x14ac:dyDescent="0.25">
      <c r="A622" s="359"/>
      <c r="B622" s="359"/>
      <c r="C622" s="359"/>
      <c r="D622" s="359"/>
      <c r="E622" s="359"/>
      <c r="F622" s="359"/>
      <c r="G622" s="359"/>
      <c r="H622" s="359"/>
      <c r="I622" s="359"/>
      <c r="J622" s="359"/>
      <c r="K622" s="359"/>
      <c r="L622" s="359"/>
      <c r="M622" s="359"/>
      <c r="N622" s="359"/>
      <c r="O622" s="359"/>
      <c r="P622" s="359"/>
      <c r="Q622" s="359"/>
      <c r="R622" s="359"/>
      <c r="S622" s="359"/>
      <c r="T622" s="359"/>
      <c r="U622" s="359"/>
      <c r="V622" s="359"/>
      <c r="W622" s="359"/>
      <c r="X622" s="359"/>
      <c r="Y622" s="359"/>
      <c r="Z622" s="359"/>
      <c r="AA622" s="359"/>
    </row>
    <row r="623" spans="1:27" ht="12" customHeight="1" x14ac:dyDescent="0.25">
      <c r="A623" s="359"/>
      <c r="B623" s="359"/>
      <c r="C623" s="359"/>
      <c r="D623" s="359"/>
      <c r="E623" s="359"/>
      <c r="F623" s="359"/>
      <c r="G623" s="359"/>
      <c r="H623" s="359"/>
      <c r="I623" s="359"/>
      <c r="J623" s="359"/>
      <c r="K623" s="359"/>
      <c r="L623" s="359"/>
      <c r="M623" s="359"/>
      <c r="N623" s="359"/>
      <c r="O623" s="359"/>
      <c r="P623" s="359"/>
      <c r="Q623" s="359"/>
      <c r="R623" s="359"/>
      <c r="S623" s="359"/>
      <c r="T623" s="359"/>
      <c r="U623" s="359"/>
      <c r="V623" s="359"/>
      <c r="W623" s="359"/>
      <c r="X623" s="359"/>
      <c r="Y623" s="359"/>
      <c r="Z623" s="359"/>
      <c r="AA623" s="359"/>
    </row>
    <row r="624" spans="1:27" ht="12" customHeight="1" x14ac:dyDescent="0.25">
      <c r="A624" s="359"/>
      <c r="B624" s="359"/>
      <c r="C624" s="359"/>
      <c r="D624" s="359"/>
      <c r="E624" s="359"/>
      <c r="F624" s="359"/>
      <c r="G624" s="359"/>
      <c r="H624" s="359"/>
      <c r="I624" s="359"/>
      <c r="J624" s="359"/>
      <c r="K624" s="359"/>
      <c r="L624" s="359"/>
      <c r="M624" s="359"/>
      <c r="N624" s="359"/>
      <c r="O624" s="359"/>
      <c r="P624" s="359"/>
      <c r="Q624" s="359"/>
      <c r="R624" s="359"/>
      <c r="S624" s="359"/>
      <c r="T624" s="359"/>
      <c r="U624" s="359"/>
      <c r="V624" s="359"/>
      <c r="W624" s="359"/>
      <c r="X624" s="359"/>
      <c r="Y624" s="359"/>
      <c r="Z624" s="359"/>
      <c r="AA624" s="359"/>
    </row>
    <row r="625" spans="1:27" ht="12" customHeight="1" x14ac:dyDescent="0.25">
      <c r="A625" s="359"/>
      <c r="B625" s="359"/>
      <c r="C625" s="359"/>
      <c r="D625" s="359"/>
      <c r="E625" s="359"/>
      <c r="F625" s="359"/>
      <c r="G625" s="359"/>
      <c r="H625" s="359"/>
      <c r="I625" s="359"/>
      <c r="J625" s="359"/>
      <c r="K625" s="359"/>
      <c r="L625" s="359"/>
      <c r="M625" s="359"/>
      <c r="N625" s="359"/>
      <c r="O625" s="359"/>
      <c r="P625" s="359"/>
      <c r="Q625" s="359"/>
      <c r="R625" s="359"/>
      <c r="S625" s="359"/>
      <c r="T625" s="359"/>
      <c r="U625" s="359"/>
      <c r="V625" s="359"/>
      <c r="W625" s="359"/>
      <c r="X625" s="359"/>
      <c r="Y625" s="359"/>
      <c r="Z625" s="359"/>
      <c r="AA625" s="359"/>
    </row>
    <row r="626" spans="1:27" ht="12" customHeight="1" x14ac:dyDescent="0.25">
      <c r="A626" s="359"/>
      <c r="B626" s="359"/>
      <c r="C626" s="359"/>
      <c r="D626" s="359"/>
      <c r="E626" s="359"/>
      <c r="F626" s="359"/>
      <c r="G626" s="359"/>
      <c r="H626" s="359"/>
      <c r="I626" s="359"/>
      <c r="J626" s="359"/>
      <c r="K626" s="359"/>
      <c r="L626" s="359"/>
      <c r="M626" s="359"/>
      <c r="N626" s="359"/>
      <c r="O626" s="359"/>
      <c r="P626" s="359"/>
      <c r="Q626" s="359"/>
      <c r="R626" s="359"/>
      <c r="S626" s="359"/>
      <c r="T626" s="359"/>
      <c r="U626" s="359"/>
      <c r="V626" s="359"/>
      <c r="W626" s="359"/>
      <c r="X626" s="359"/>
      <c r="Y626" s="359"/>
      <c r="Z626" s="359"/>
      <c r="AA626" s="359"/>
    </row>
    <row r="627" spans="1:27" ht="12" customHeight="1" x14ac:dyDescent="0.25">
      <c r="A627" s="359"/>
      <c r="B627" s="359"/>
      <c r="C627" s="359"/>
      <c r="D627" s="359"/>
      <c r="E627" s="359"/>
      <c r="F627" s="359"/>
      <c r="G627" s="359"/>
      <c r="H627" s="359"/>
      <c r="I627" s="359"/>
      <c r="J627" s="359"/>
      <c r="K627" s="359"/>
      <c r="L627" s="359"/>
      <c r="M627" s="359"/>
      <c r="N627" s="359"/>
      <c r="O627" s="359"/>
      <c r="P627" s="359"/>
      <c r="Q627" s="359"/>
      <c r="R627" s="359"/>
      <c r="S627" s="359"/>
      <c r="T627" s="359"/>
      <c r="U627" s="359"/>
      <c r="V627" s="359"/>
      <c r="W627" s="359"/>
      <c r="X627" s="359"/>
      <c r="Y627" s="359"/>
      <c r="Z627" s="359"/>
      <c r="AA627" s="359"/>
    </row>
    <row r="628" spans="1:27" ht="12" customHeight="1" x14ac:dyDescent="0.25">
      <c r="A628" s="359"/>
      <c r="B628" s="359"/>
      <c r="C628" s="359"/>
      <c r="D628" s="359"/>
      <c r="E628" s="359"/>
      <c r="F628" s="359"/>
      <c r="G628" s="359"/>
      <c r="H628" s="359"/>
      <c r="I628" s="359"/>
      <c r="J628" s="359"/>
      <c r="K628" s="359"/>
      <c r="L628" s="359"/>
      <c r="M628" s="359"/>
      <c r="N628" s="359"/>
      <c r="O628" s="359"/>
      <c r="P628" s="359"/>
      <c r="Q628" s="359"/>
      <c r="R628" s="359"/>
      <c r="S628" s="359"/>
      <c r="T628" s="359"/>
      <c r="U628" s="359"/>
      <c r="V628" s="359"/>
      <c r="W628" s="359"/>
      <c r="X628" s="359"/>
      <c r="Y628" s="359"/>
      <c r="Z628" s="359"/>
      <c r="AA628" s="359"/>
    </row>
    <row r="629" spans="1:27" ht="12" customHeight="1" x14ac:dyDescent="0.25">
      <c r="A629" s="359"/>
      <c r="B629" s="359"/>
      <c r="C629" s="359"/>
      <c r="D629" s="359"/>
      <c r="E629" s="359"/>
      <c r="F629" s="359"/>
      <c r="G629" s="359"/>
      <c r="H629" s="359"/>
      <c r="I629" s="359"/>
      <c r="J629" s="359"/>
      <c r="K629" s="359"/>
      <c r="L629" s="359"/>
      <c r="M629" s="359"/>
      <c r="N629" s="359"/>
      <c r="O629" s="359"/>
      <c r="P629" s="359"/>
      <c r="Q629" s="359"/>
      <c r="R629" s="359"/>
      <c r="S629" s="359"/>
      <c r="T629" s="359"/>
      <c r="U629" s="359"/>
      <c r="V629" s="359"/>
      <c r="W629" s="359"/>
      <c r="X629" s="359"/>
      <c r="Y629" s="359"/>
      <c r="Z629" s="359"/>
      <c r="AA629" s="359"/>
    </row>
    <row r="630" spans="1:27" ht="12" customHeight="1" x14ac:dyDescent="0.25">
      <c r="A630" s="359"/>
      <c r="B630" s="359"/>
      <c r="C630" s="359"/>
      <c r="D630" s="359"/>
      <c r="E630" s="359"/>
      <c r="F630" s="359"/>
      <c r="G630" s="359"/>
      <c r="H630" s="359"/>
      <c r="I630" s="359"/>
      <c r="J630" s="359"/>
      <c r="K630" s="359"/>
      <c r="L630" s="359"/>
      <c r="M630" s="359"/>
      <c r="N630" s="359"/>
      <c r="O630" s="359"/>
      <c r="P630" s="359"/>
      <c r="Q630" s="359"/>
      <c r="R630" s="359"/>
      <c r="S630" s="359"/>
      <c r="T630" s="359"/>
      <c r="U630" s="359"/>
      <c r="V630" s="359"/>
      <c r="W630" s="359"/>
      <c r="X630" s="359"/>
      <c r="Y630" s="359"/>
      <c r="Z630" s="359"/>
      <c r="AA630" s="359"/>
    </row>
    <row r="631" spans="1:27" ht="12" customHeight="1" x14ac:dyDescent="0.25">
      <c r="A631" s="359"/>
      <c r="B631" s="359"/>
      <c r="C631" s="359"/>
      <c r="D631" s="359"/>
      <c r="E631" s="359"/>
      <c r="F631" s="359"/>
      <c r="G631" s="359"/>
      <c r="H631" s="359"/>
      <c r="I631" s="359"/>
      <c r="J631" s="359"/>
      <c r="K631" s="359"/>
      <c r="L631" s="359"/>
      <c r="M631" s="359"/>
      <c r="N631" s="359"/>
      <c r="O631" s="359"/>
      <c r="P631" s="359"/>
      <c r="Q631" s="359"/>
      <c r="R631" s="359"/>
      <c r="S631" s="359"/>
      <c r="T631" s="359"/>
      <c r="U631" s="359"/>
      <c r="V631" s="359"/>
      <c r="W631" s="359"/>
      <c r="X631" s="359"/>
      <c r="Y631" s="359"/>
      <c r="Z631" s="359"/>
      <c r="AA631" s="359"/>
    </row>
    <row r="632" spans="1:27" ht="12" customHeight="1" x14ac:dyDescent="0.25">
      <c r="A632" s="359"/>
      <c r="B632" s="359"/>
      <c r="C632" s="359"/>
      <c r="D632" s="359"/>
      <c r="E632" s="359"/>
      <c r="F632" s="359"/>
      <c r="G632" s="359"/>
      <c r="H632" s="359"/>
      <c r="I632" s="359"/>
      <c r="J632" s="359"/>
      <c r="K632" s="359"/>
      <c r="L632" s="359"/>
      <c r="M632" s="359"/>
      <c r="N632" s="359"/>
      <c r="O632" s="359"/>
      <c r="P632" s="359"/>
      <c r="Q632" s="359"/>
      <c r="R632" s="359"/>
      <c r="S632" s="359"/>
      <c r="T632" s="359"/>
      <c r="U632" s="359"/>
      <c r="V632" s="359"/>
      <c r="W632" s="359"/>
      <c r="X632" s="359"/>
      <c r="Y632" s="359"/>
      <c r="Z632" s="359"/>
      <c r="AA632" s="359"/>
    </row>
    <row r="633" spans="1:27" ht="12" customHeight="1" x14ac:dyDescent="0.25">
      <c r="A633" s="359"/>
      <c r="B633" s="359"/>
      <c r="C633" s="359"/>
      <c r="D633" s="359"/>
      <c r="E633" s="359"/>
      <c r="F633" s="359"/>
      <c r="G633" s="359"/>
      <c r="H633" s="359"/>
      <c r="I633" s="359"/>
      <c r="J633" s="359"/>
      <c r="K633" s="359"/>
      <c r="L633" s="359"/>
      <c r="M633" s="359"/>
      <c r="N633" s="359"/>
      <c r="O633" s="359"/>
      <c r="P633" s="359"/>
      <c r="Q633" s="359"/>
      <c r="R633" s="359"/>
      <c r="S633" s="359"/>
      <c r="T633" s="359"/>
      <c r="U633" s="359"/>
      <c r="V633" s="359"/>
      <c r="W633" s="359"/>
      <c r="X633" s="359"/>
      <c r="Y633" s="359"/>
      <c r="Z633" s="359"/>
      <c r="AA633" s="359"/>
    </row>
    <row r="634" spans="1:27" ht="12" customHeight="1" x14ac:dyDescent="0.25">
      <c r="A634" s="359"/>
      <c r="B634" s="359"/>
      <c r="C634" s="359"/>
      <c r="D634" s="359"/>
      <c r="E634" s="359"/>
      <c r="F634" s="359"/>
      <c r="G634" s="359"/>
      <c r="H634" s="359"/>
      <c r="I634" s="359"/>
      <c r="J634" s="359"/>
      <c r="K634" s="359"/>
      <c r="L634" s="359"/>
      <c r="M634" s="359"/>
      <c r="N634" s="359"/>
      <c r="O634" s="359"/>
      <c r="P634" s="359"/>
      <c r="Q634" s="359"/>
      <c r="R634" s="359"/>
      <c r="S634" s="359"/>
      <c r="T634" s="359"/>
      <c r="U634" s="359"/>
      <c r="V634" s="359"/>
      <c r="W634" s="359"/>
      <c r="X634" s="359"/>
      <c r="Y634" s="359"/>
      <c r="Z634" s="359"/>
      <c r="AA634" s="359"/>
    </row>
    <row r="635" spans="1:27" ht="12" customHeight="1" x14ac:dyDescent="0.25">
      <c r="A635" s="359"/>
      <c r="B635" s="359"/>
      <c r="C635" s="359"/>
      <c r="D635" s="359"/>
      <c r="E635" s="359"/>
      <c r="F635" s="359"/>
      <c r="G635" s="359"/>
      <c r="H635" s="359"/>
      <c r="I635" s="359"/>
      <c r="J635" s="359"/>
      <c r="K635" s="359"/>
      <c r="L635" s="359"/>
      <c r="M635" s="359"/>
      <c r="N635" s="359"/>
      <c r="O635" s="359"/>
      <c r="P635" s="359"/>
      <c r="Q635" s="359"/>
      <c r="R635" s="359"/>
      <c r="S635" s="359"/>
      <c r="T635" s="359"/>
      <c r="U635" s="359"/>
      <c r="V635" s="359"/>
      <c r="W635" s="359"/>
      <c r="X635" s="359"/>
      <c r="Y635" s="359"/>
      <c r="Z635" s="359"/>
      <c r="AA635" s="359"/>
    </row>
    <row r="636" spans="1:27" ht="12" customHeight="1" x14ac:dyDescent="0.25">
      <c r="A636" s="359"/>
      <c r="B636" s="359"/>
      <c r="C636" s="359"/>
      <c r="D636" s="359"/>
      <c r="E636" s="359"/>
      <c r="F636" s="359"/>
      <c r="G636" s="359"/>
      <c r="H636" s="359"/>
      <c r="I636" s="359"/>
      <c r="J636" s="359"/>
      <c r="K636" s="359"/>
      <c r="L636" s="359"/>
      <c r="M636" s="359"/>
      <c r="N636" s="359"/>
      <c r="O636" s="359"/>
      <c r="P636" s="359"/>
      <c r="Q636" s="359"/>
      <c r="R636" s="359"/>
      <c r="S636" s="359"/>
      <c r="T636" s="359"/>
      <c r="U636" s="359"/>
      <c r="V636" s="359"/>
      <c r="W636" s="359"/>
      <c r="X636" s="359"/>
      <c r="Y636" s="359"/>
      <c r="Z636" s="359"/>
      <c r="AA636" s="359"/>
    </row>
    <row r="637" spans="1:27" ht="12" customHeight="1" x14ac:dyDescent="0.25">
      <c r="A637" s="359"/>
      <c r="B637" s="359"/>
      <c r="C637" s="359"/>
      <c r="D637" s="359"/>
      <c r="E637" s="359"/>
      <c r="F637" s="359"/>
      <c r="G637" s="359"/>
      <c r="H637" s="359"/>
      <c r="I637" s="359"/>
      <c r="J637" s="359"/>
      <c r="K637" s="359"/>
      <c r="L637" s="359"/>
      <c r="M637" s="359"/>
      <c r="N637" s="359"/>
      <c r="O637" s="359"/>
      <c r="P637" s="359"/>
      <c r="Q637" s="359"/>
      <c r="R637" s="359"/>
      <c r="S637" s="359"/>
      <c r="T637" s="359"/>
      <c r="U637" s="359"/>
      <c r="V637" s="359"/>
      <c r="W637" s="359"/>
      <c r="X637" s="359"/>
      <c r="Y637" s="359"/>
      <c r="Z637" s="359"/>
      <c r="AA637" s="359"/>
    </row>
    <row r="638" spans="1:27" ht="12" customHeight="1" x14ac:dyDescent="0.25">
      <c r="A638" s="359"/>
      <c r="B638" s="359"/>
      <c r="C638" s="359"/>
      <c r="D638" s="359"/>
      <c r="E638" s="359"/>
      <c r="F638" s="359"/>
      <c r="G638" s="359"/>
      <c r="H638" s="359"/>
      <c r="I638" s="359"/>
      <c r="J638" s="359"/>
      <c r="K638" s="359"/>
      <c r="L638" s="359"/>
      <c r="M638" s="359"/>
      <c r="N638" s="359"/>
      <c r="O638" s="359"/>
      <c r="P638" s="359"/>
      <c r="Q638" s="359"/>
      <c r="R638" s="359"/>
      <c r="S638" s="359"/>
      <c r="T638" s="359"/>
      <c r="U638" s="359"/>
      <c r="V638" s="359"/>
      <c r="W638" s="359"/>
      <c r="X638" s="359"/>
      <c r="Y638" s="359"/>
      <c r="Z638" s="359"/>
      <c r="AA638" s="359"/>
    </row>
    <row r="639" spans="1:27" ht="12" customHeight="1" x14ac:dyDescent="0.25">
      <c r="A639" s="359"/>
      <c r="B639" s="359"/>
      <c r="C639" s="359"/>
      <c r="D639" s="359"/>
      <c r="E639" s="359"/>
      <c r="F639" s="359"/>
      <c r="G639" s="359"/>
      <c r="H639" s="359"/>
      <c r="I639" s="359"/>
      <c r="J639" s="359"/>
      <c r="K639" s="359"/>
      <c r="L639" s="359"/>
      <c r="M639" s="359"/>
      <c r="N639" s="359"/>
      <c r="O639" s="359"/>
      <c r="P639" s="359"/>
      <c r="Q639" s="359"/>
      <c r="R639" s="359"/>
      <c r="S639" s="359"/>
      <c r="T639" s="359"/>
      <c r="U639" s="359"/>
      <c r="V639" s="359"/>
      <c r="W639" s="359"/>
      <c r="X639" s="359"/>
      <c r="Y639" s="359"/>
      <c r="Z639" s="359"/>
      <c r="AA639" s="359"/>
    </row>
    <row r="640" spans="1:27" ht="12" customHeight="1" x14ac:dyDescent="0.25">
      <c r="A640" s="359"/>
      <c r="B640" s="359"/>
      <c r="C640" s="359"/>
      <c r="D640" s="359"/>
      <c r="E640" s="359"/>
      <c r="F640" s="359"/>
      <c r="G640" s="359"/>
      <c r="H640" s="359"/>
      <c r="I640" s="359"/>
      <c r="J640" s="359"/>
      <c r="K640" s="359"/>
      <c r="L640" s="359"/>
      <c r="M640" s="359"/>
      <c r="N640" s="359"/>
      <c r="O640" s="359"/>
      <c r="P640" s="359"/>
      <c r="Q640" s="359"/>
      <c r="R640" s="359"/>
      <c r="S640" s="359"/>
      <c r="T640" s="359"/>
      <c r="U640" s="359"/>
      <c r="V640" s="359"/>
      <c r="W640" s="359"/>
      <c r="X640" s="359"/>
      <c r="Y640" s="359"/>
      <c r="Z640" s="359"/>
      <c r="AA640" s="359"/>
    </row>
    <row r="641" spans="1:27" ht="12" customHeight="1" x14ac:dyDescent="0.25">
      <c r="A641" s="359"/>
      <c r="B641" s="359"/>
      <c r="C641" s="359"/>
      <c r="D641" s="359"/>
      <c r="E641" s="359"/>
      <c r="F641" s="359"/>
      <c r="G641" s="359"/>
      <c r="H641" s="359"/>
      <c r="I641" s="359"/>
      <c r="J641" s="359"/>
      <c r="K641" s="359"/>
      <c r="L641" s="359"/>
      <c r="M641" s="359"/>
      <c r="N641" s="359"/>
      <c r="O641" s="359"/>
      <c r="P641" s="359"/>
      <c r="Q641" s="359"/>
      <c r="R641" s="359"/>
      <c r="S641" s="359"/>
      <c r="T641" s="359"/>
      <c r="U641" s="359"/>
      <c r="V641" s="359"/>
      <c r="W641" s="359"/>
      <c r="X641" s="359"/>
      <c r="Y641" s="359"/>
      <c r="Z641" s="359"/>
      <c r="AA641" s="359"/>
    </row>
    <row r="642" spans="1:27" ht="12" customHeight="1" x14ac:dyDescent="0.25">
      <c r="A642" s="359"/>
      <c r="B642" s="359"/>
      <c r="C642" s="359"/>
      <c r="D642" s="359"/>
      <c r="E642" s="359"/>
      <c r="F642" s="359"/>
      <c r="G642" s="359"/>
      <c r="H642" s="359"/>
      <c r="I642" s="359"/>
      <c r="J642" s="359"/>
      <c r="K642" s="359"/>
      <c r="L642" s="359"/>
      <c r="M642" s="359"/>
      <c r="N642" s="359"/>
      <c r="O642" s="359"/>
      <c r="P642" s="359"/>
      <c r="Q642" s="359"/>
      <c r="R642" s="359"/>
      <c r="S642" s="359"/>
      <c r="T642" s="359"/>
      <c r="U642" s="359"/>
      <c r="V642" s="359"/>
      <c r="W642" s="359"/>
      <c r="X642" s="359"/>
      <c r="Y642" s="359"/>
      <c r="Z642" s="359"/>
      <c r="AA642" s="359"/>
    </row>
    <row r="643" spans="1:27" ht="12" customHeight="1" x14ac:dyDescent="0.25">
      <c r="A643" s="359"/>
      <c r="B643" s="359"/>
      <c r="C643" s="359"/>
      <c r="D643" s="359"/>
      <c r="E643" s="359"/>
      <c r="F643" s="359"/>
      <c r="G643" s="359"/>
      <c r="H643" s="359"/>
      <c r="I643" s="359"/>
      <c r="J643" s="359"/>
      <c r="K643" s="359"/>
      <c r="L643" s="359"/>
      <c r="M643" s="359"/>
      <c r="N643" s="359"/>
      <c r="O643" s="359"/>
      <c r="P643" s="359"/>
      <c r="Q643" s="359"/>
      <c r="R643" s="359"/>
      <c r="S643" s="359"/>
      <c r="T643" s="359"/>
      <c r="U643" s="359"/>
      <c r="V643" s="359"/>
      <c r="W643" s="359"/>
      <c r="X643" s="359"/>
      <c r="Y643" s="359"/>
      <c r="Z643" s="359"/>
      <c r="AA643" s="359"/>
    </row>
    <row r="644" spans="1:27" ht="12" customHeight="1" x14ac:dyDescent="0.25">
      <c r="A644" s="359"/>
      <c r="B644" s="359"/>
      <c r="C644" s="359"/>
      <c r="D644" s="359"/>
      <c r="E644" s="359"/>
      <c r="F644" s="359"/>
      <c r="G644" s="359"/>
      <c r="H644" s="359"/>
      <c r="I644" s="359"/>
      <c r="J644" s="359"/>
      <c r="K644" s="359"/>
      <c r="L644" s="359"/>
      <c r="M644" s="359"/>
      <c r="N644" s="359"/>
      <c r="O644" s="359"/>
      <c r="P644" s="359"/>
      <c r="Q644" s="359"/>
      <c r="R644" s="359"/>
      <c r="S644" s="359"/>
      <c r="T644" s="359"/>
      <c r="U644" s="359"/>
      <c r="V644" s="359"/>
      <c r="W644" s="359"/>
      <c r="X644" s="359"/>
      <c r="Y644" s="359"/>
      <c r="Z644" s="359"/>
      <c r="AA644" s="359"/>
    </row>
    <row r="645" spans="1:27" ht="12" customHeight="1" x14ac:dyDescent="0.25">
      <c r="A645" s="359"/>
      <c r="B645" s="359"/>
      <c r="C645" s="359"/>
      <c r="D645" s="359"/>
      <c r="E645" s="359"/>
      <c r="F645" s="359"/>
      <c r="G645" s="359"/>
      <c r="H645" s="359"/>
      <c r="I645" s="359"/>
      <c r="J645" s="359"/>
      <c r="K645" s="359"/>
      <c r="L645" s="359"/>
      <c r="M645" s="359"/>
      <c r="N645" s="359"/>
      <c r="O645" s="359"/>
      <c r="P645" s="359"/>
      <c r="Q645" s="359"/>
      <c r="R645" s="359"/>
      <c r="S645" s="359"/>
      <c r="T645" s="359"/>
      <c r="U645" s="359"/>
      <c r="V645" s="359"/>
      <c r="W645" s="359"/>
      <c r="X645" s="359"/>
      <c r="Y645" s="359"/>
      <c r="Z645" s="359"/>
      <c r="AA645" s="359"/>
    </row>
    <row r="646" spans="1:27" ht="12" customHeight="1" x14ac:dyDescent="0.25">
      <c r="A646" s="359"/>
      <c r="B646" s="359"/>
      <c r="C646" s="359"/>
      <c r="D646" s="359"/>
      <c r="E646" s="359"/>
      <c r="F646" s="359"/>
      <c r="G646" s="359"/>
      <c r="H646" s="359"/>
      <c r="I646" s="359"/>
      <c r="J646" s="359"/>
      <c r="K646" s="359"/>
      <c r="L646" s="359"/>
      <c r="M646" s="359"/>
      <c r="N646" s="359"/>
      <c r="O646" s="359"/>
      <c r="P646" s="359"/>
      <c r="Q646" s="359"/>
      <c r="R646" s="359"/>
      <c r="S646" s="359"/>
      <c r="T646" s="359"/>
      <c r="U646" s="359"/>
      <c r="V646" s="359"/>
      <c r="W646" s="359"/>
      <c r="X646" s="359"/>
      <c r="Y646" s="359"/>
      <c r="Z646" s="359"/>
      <c r="AA646" s="359"/>
    </row>
    <row r="647" spans="1:27" ht="12" customHeight="1" x14ac:dyDescent="0.25">
      <c r="A647" s="359"/>
      <c r="B647" s="359"/>
      <c r="C647" s="359"/>
      <c r="D647" s="359"/>
      <c r="E647" s="359"/>
      <c r="F647" s="359"/>
      <c r="G647" s="359"/>
      <c r="H647" s="359"/>
      <c r="I647" s="359"/>
      <c r="J647" s="359"/>
      <c r="K647" s="359"/>
      <c r="L647" s="359"/>
      <c r="M647" s="359"/>
      <c r="N647" s="359"/>
      <c r="O647" s="359"/>
      <c r="P647" s="359"/>
      <c r="Q647" s="359"/>
      <c r="R647" s="359"/>
      <c r="S647" s="359"/>
      <c r="T647" s="359"/>
      <c r="U647" s="359"/>
      <c r="V647" s="359"/>
      <c r="W647" s="359"/>
      <c r="X647" s="359"/>
      <c r="Y647" s="359"/>
      <c r="Z647" s="359"/>
      <c r="AA647" s="359"/>
    </row>
    <row r="648" spans="1:27" ht="12" customHeight="1" x14ac:dyDescent="0.25">
      <c r="A648" s="359"/>
      <c r="B648" s="359"/>
      <c r="C648" s="359"/>
      <c r="D648" s="359"/>
      <c r="E648" s="359"/>
      <c r="F648" s="359"/>
      <c r="G648" s="359"/>
      <c r="H648" s="359"/>
      <c r="I648" s="359"/>
      <c r="J648" s="359"/>
      <c r="K648" s="359"/>
      <c r="L648" s="359"/>
      <c r="M648" s="359"/>
      <c r="N648" s="359"/>
      <c r="O648" s="359"/>
      <c r="P648" s="359"/>
      <c r="Q648" s="359"/>
      <c r="R648" s="359"/>
      <c r="S648" s="359"/>
      <c r="T648" s="359"/>
      <c r="U648" s="359"/>
      <c r="V648" s="359"/>
      <c r="W648" s="359"/>
      <c r="X648" s="359"/>
      <c r="Y648" s="359"/>
      <c r="Z648" s="359"/>
      <c r="AA648" s="359"/>
    </row>
    <row r="649" spans="1:27" ht="12" customHeight="1" x14ac:dyDescent="0.25">
      <c r="A649" s="359"/>
      <c r="B649" s="359"/>
      <c r="C649" s="359"/>
      <c r="D649" s="359"/>
      <c r="E649" s="359"/>
      <c r="F649" s="359"/>
      <c r="G649" s="359"/>
      <c r="H649" s="359"/>
      <c r="I649" s="359"/>
      <c r="J649" s="359"/>
      <c r="K649" s="359"/>
      <c r="L649" s="359"/>
      <c r="M649" s="359"/>
      <c r="N649" s="359"/>
      <c r="O649" s="359"/>
      <c r="P649" s="359"/>
      <c r="Q649" s="359"/>
      <c r="R649" s="359"/>
      <c r="S649" s="359"/>
      <c r="T649" s="359"/>
      <c r="U649" s="359"/>
      <c r="V649" s="359"/>
      <c r="W649" s="359"/>
      <c r="X649" s="359"/>
      <c r="Y649" s="359"/>
      <c r="Z649" s="359"/>
      <c r="AA649" s="359"/>
    </row>
    <row r="650" spans="1:27" ht="12" customHeight="1" x14ac:dyDescent="0.25">
      <c r="A650" s="359"/>
      <c r="B650" s="359"/>
      <c r="C650" s="359"/>
      <c r="D650" s="359"/>
      <c r="E650" s="359"/>
      <c r="F650" s="359"/>
      <c r="G650" s="359"/>
      <c r="H650" s="359"/>
      <c r="I650" s="359"/>
      <c r="J650" s="359"/>
      <c r="K650" s="359"/>
      <c r="L650" s="359"/>
      <c r="M650" s="359"/>
      <c r="N650" s="359"/>
      <c r="O650" s="359"/>
      <c r="P650" s="359"/>
      <c r="Q650" s="359"/>
      <c r="R650" s="359"/>
      <c r="S650" s="359"/>
      <c r="T650" s="359"/>
      <c r="U650" s="359"/>
      <c r="V650" s="359"/>
      <c r="W650" s="359"/>
      <c r="X650" s="359"/>
      <c r="Y650" s="359"/>
      <c r="Z650" s="359"/>
      <c r="AA650" s="359"/>
    </row>
    <row r="651" spans="1:27" ht="12" customHeight="1" x14ac:dyDescent="0.25">
      <c r="A651" s="359"/>
      <c r="B651" s="359"/>
      <c r="C651" s="359"/>
      <c r="D651" s="359"/>
      <c r="E651" s="359"/>
      <c r="F651" s="359"/>
      <c r="G651" s="359"/>
      <c r="H651" s="359"/>
      <c r="I651" s="359"/>
      <c r="J651" s="359"/>
      <c r="K651" s="359"/>
      <c r="L651" s="359"/>
      <c r="M651" s="359"/>
      <c r="N651" s="359"/>
      <c r="O651" s="359"/>
      <c r="P651" s="359"/>
      <c r="Q651" s="359"/>
      <c r="R651" s="359"/>
      <c r="S651" s="359"/>
      <c r="T651" s="359"/>
      <c r="U651" s="359"/>
      <c r="V651" s="359"/>
      <c r="W651" s="359"/>
      <c r="X651" s="359"/>
      <c r="Y651" s="359"/>
      <c r="Z651" s="359"/>
      <c r="AA651" s="359"/>
    </row>
    <row r="652" spans="1:27" ht="12" customHeight="1" x14ac:dyDescent="0.25">
      <c r="A652" s="359"/>
      <c r="B652" s="359"/>
      <c r="C652" s="359"/>
      <c r="D652" s="359"/>
      <c r="E652" s="359"/>
      <c r="F652" s="359"/>
      <c r="G652" s="359"/>
      <c r="H652" s="359"/>
      <c r="I652" s="359"/>
      <c r="J652" s="359"/>
      <c r="K652" s="359"/>
      <c r="L652" s="359"/>
      <c r="M652" s="359"/>
      <c r="N652" s="359"/>
      <c r="O652" s="359"/>
      <c r="P652" s="359"/>
      <c r="Q652" s="359"/>
      <c r="R652" s="359"/>
      <c r="S652" s="359"/>
      <c r="T652" s="359"/>
      <c r="U652" s="359"/>
      <c r="V652" s="359"/>
      <c r="W652" s="359"/>
      <c r="X652" s="359"/>
      <c r="Y652" s="359"/>
      <c r="Z652" s="359"/>
      <c r="AA652" s="359"/>
    </row>
    <row r="653" spans="1:27" ht="12" customHeight="1" x14ac:dyDescent="0.25">
      <c r="A653" s="359"/>
      <c r="B653" s="359"/>
      <c r="C653" s="359"/>
      <c r="D653" s="359"/>
      <c r="E653" s="359"/>
      <c r="F653" s="359"/>
      <c r="G653" s="359"/>
      <c r="H653" s="359"/>
      <c r="I653" s="359"/>
      <c r="J653" s="359"/>
      <c r="K653" s="359"/>
      <c r="L653" s="359"/>
      <c r="M653" s="359"/>
      <c r="N653" s="359"/>
      <c r="O653" s="359"/>
      <c r="P653" s="359"/>
      <c r="Q653" s="359"/>
      <c r="R653" s="359"/>
      <c r="S653" s="359"/>
      <c r="T653" s="359"/>
      <c r="U653" s="359"/>
      <c r="V653" s="359"/>
      <c r="W653" s="359"/>
      <c r="X653" s="359"/>
      <c r="Y653" s="359"/>
      <c r="Z653" s="359"/>
      <c r="AA653" s="359"/>
    </row>
    <row r="654" spans="1:27" ht="12" customHeight="1" x14ac:dyDescent="0.25">
      <c r="A654" s="359"/>
      <c r="B654" s="359"/>
      <c r="C654" s="359"/>
      <c r="D654" s="359"/>
      <c r="E654" s="359"/>
      <c r="F654" s="359"/>
      <c r="G654" s="359"/>
      <c r="H654" s="359"/>
      <c r="I654" s="359"/>
      <c r="J654" s="359"/>
      <c r="K654" s="359"/>
      <c r="L654" s="359"/>
      <c r="M654" s="359"/>
      <c r="N654" s="359"/>
      <c r="O654" s="359"/>
      <c r="P654" s="359"/>
      <c r="Q654" s="359"/>
      <c r="R654" s="359"/>
      <c r="S654" s="359"/>
      <c r="T654" s="359"/>
      <c r="U654" s="359"/>
      <c r="V654" s="359"/>
      <c r="W654" s="359"/>
      <c r="X654" s="359"/>
      <c r="Y654" s="359"/>
      <c r="Z654" s="359"/>
      <c r="AA654" s="359"/>
    </row>
    <row r="655" spans="1:27" ht="12" customHeight="1" x14ac:dyDescent="0.25">
      <c r="A655" s="359"/>
      <c r="B655" s="359"/>
      <c r="C655" s="359"/>
      <c r="D655" s="359"/>
      <c r="E655" s="359"/>
      <c r="F655" s="359"/>
      <c r="G655" s="359"/>
      <c r="H655" s="359"/>
      <c r="I655" s="359"/>
      <c r="J655" s="359"/>
      <c r="K655" s="359"/>
      <c r="L655" s="359"/>
      <c r="M655" s="359"/>
      <c r="N655" s="359"/>
      <c r="O655" s="359"/>
      <c r="P655" s="359"/>
      <c r="Q655" s="359"/>
      <c r="R655" s="359"/>
      <c r="S655" s="359"/>
      <c r="T655" s="359"/>
      <c r="U655" s="359"/>
      <c r="V655" s="359"/>
      <c r="W655" s="359"/>
      <c r="X655" s="359"/>
      <c r="Y655" s="359"/>
      <c r="Z655" s="359"/>
      <c r="AA655" s="359"/>
    </row>
    <row r="656" spans="1:27" ht="12" customHeight="1" x14ac:dyDescent="0.25">
      <c r="A656" s="359"/>
      <c r="B656" s="359"/>
      <c r="C656" s="359"/>
      <c r="D656" s="359"/>
      <c r="E656" s="359"/>
      <c r="F656" s="359"/>
      <c r="G656" s="359"/>
      <c r="H656" s="359"/>
      <c r="I656" s="359"/>
      <c r="J656" s="359"/>
      <c r="K656" s="359"/>
      <c r="L656" s="359"/>
      <c r="M656" s="359"/>
      <c r="N656" s="359"/>
      <c r="O656" s="359"/>
      <c r="P656" s="359"/>
      <c r="Q656" s="359"/>
      <c r="R656" s="359"/>
      <c r="S656" s="359"/>
      <c r="T656" s="359"/>
      <c r="U656" s="359"/>
      <c r="V656" s="359"/>
      <c r="W656" s="359"/>
      <c r="X656" s="359"/>
      <c r="Y656" s="359"/>
      <c r="Z656" s="359"/>
      <c r="AA656" s="359"/>
    </row>
    <row r="657" spans="1:27" ht="12" customHeight="1" x14ac:dyDescent="0.25">
      <c r="A657" s="359"/>
      <c r="B657" s="359"/>
      <c r="C657" s="359"/>
      <c r="D657" s="359"/>
      <c r="E657" s="359"/>
      <c r="F657" s="359"/>
      <c r="G657" s="359"/>
      <c r="H657" s="359"/>
      <c r="I657" s="359"/>
      <c r="J657" s="359"/>
      <c r="K657" s="359"/>
      <c r="L657" s="359"/>
      <c r="M657" s="359"/>
      <c r="N657" s="359"/>
      <c r="O657" s="359"/>
      <c r="P657" s="359"/>
      <c r="Q657" s="359"/>
      <c r="R657" s="359"/>
      <c r="S657" s="359"/>
      <c r="T657" s="359"/>
      <c r="U657" s="359"/>
      <c r="V657" s="359"/>
      <c r="W657" s="359"/>
      <c r="X657" s="359"/>
      <c r="Y657" s="359"/>
      <c r="Z657" s="359"/>
      <c r="AA657" s="359"/>
    </row>
    <row r="658" spans="1:27" ht="12" customHeight="1" x14ac:dyDescent="0.25">
      <c r="A658" s="359"/>
      <c r="B658" s="359"/>
      <c r="C658" s="359"/>
      <c r="D658" s="359"/>
      <c r="E658" s="359"/>
      <c r="F658" s="359"/>
      <c r="G658" s="359"/>
      <c r="H658" s="359"/>
      <c r="I658" s="359"/>
      <c r="J658" s="359"/>
      <c r="K658" s="359"/>
      <c r="L658" s="359"/>
      <c r="M658" s="359"/>
      <c r="N658" s="359"/>
      <c r="O658" s="359"/>
      <c r="P658" s="359"/>
      <c r="Q658" s="359"/>
      <c r="R658" s="359"/>
      <c r="S658" s="359"/>
      <c r="T658" s="359"/>
      <c r="U658" s="359"/>
      <c r="V658" s="359"/>
      <c r="W658" s="359"/>
      <c r="X658" s="359"/>
      <c r="Y658" s="359"/>
      <c r="Z658" s="359"/>
      <c r="AA658" s="359"/>
    </row>
    <row r="659" spans="1:27" ht="12" customHeight="1" x14ac:dyDescent="0.25">
      <c r="A659" s="359"/>
      <c r="B659" s="359"/>
      <c r="C659" s="359"/>
      <c r="D659" s="359"/>
      <c r="E659" s="359"/>
      <c r="F659" s="359"/>
      <c r="G659" s="359"/>
      <c r="H659" s="359"/>
      <c r="I659" s="359"/>
      <c r="J659" s="359"/>
      <c r="K659" s="359"/>
      <c r="L659" s="359"/>
      <c r="M659" s="359"/>
      <c r="N659" s="359"/>
      <c r="O659" s="359"/>
      <c r="P659" s="359"/>
      <c r="Q659" s="359"/>
      <c r="R659" s="359"/>
      <c r="S659" s="359"/>
      <c r="T659" s="359"/>
      <c r="U659" s="359"/>
      <c r="V659" s="359"/>
      <c r="W659" s="359"/>
      <c r="X659" s="359"/>
      <c r="Y659" s="359"/>
      <c r="Z659" s="359"/>
      <c r="AA659" s="359"/>
    </row>
    <row r="660" spans="1:27" ht="12" customHeight="1" x14ac:dyDescent="0.25">
      <c r="A660" s="359"/>
      <c r="B660" s="359"/>
      <c r="C660" s="359"/>
      <c r="D660" s="359"/>
      <c r="E660" s="359"/>
      <c r="F660" s="359"/>
      <c r="G660" s="359"/>
      <c r="H660" s="359"/>
      <c r="I660" s="359"/>
      <c r="J660" s="359"/>
      <c r="K660" s="359"/>
      <c r="L660" s="359"/>
      <c r="M660" s="359"/>
      <c r="N660" s="359"/>
      <c r="O660" s="359"/>
      <c r="P660" s="359"/>
      <c r="Q660" s="359"/>
      <c r="R660" s="359"/>
      <c r="S660" s="359"/>
      <c r="T660" s="359"/>
      <c r="U660" s="359"/>
      <c r="V660" s="359"/>
      <c r="W660" s="359"/>
      <c r="X660" s="359"/>
      <c r="Y660" s="359"/>
      <c r="Z660" s="359"/>
      <c r="AA660" s="359"/>
    </row>
    <row r="661" spans="1:27" ht="12" customHeight="1" x14ac:dyDescent="0.25">
      <c r="A661" s="359"/>
      <c r="B661" s="359"/>
      <c r="C661" s="359"/>
      <c r="D661" s="359"/>
      <c r="E661" s="359"/>
      <c r="F661" s="359"/>
      <c r="G661" s="359"/>
      <c r="H661" s="359"/>
      <c r="I661" s="359"/>
      <c r="J661" s="359"/>
      <c r="K661" s="359"/>
      <c r="L661" s="359"/>
      <c r="M661" s="359"/>
      <c r="N661" s="359"/>
      <c r="O661" s="359"/>
      <c r="P661" s="359"/>
      <c r="Q661" s="359"/>
      <c r="R661" s="359"/>
      <c r="S661" s="359"/>
      <c r="T661" s="359"/>
      <c r="U661" s="359"/>
      <c r="V661" s="359"/>
      <c r="W661" s="359"/>
      <c r="X661" s="359"/>
      <c r="Y661" s="359"/>
      <c r="Z661" s="359"/>
      <c r="AA661" s="359"/>
    </row>
    <row r="662" spans="1:27" ht="12" customHeight="1" x14ac:dyDescent="0.25">
      <c r="A662" s="359"/>
      <c r="B662" s="359"/>
      <c r="C662" s="359"/>
      <c r="D662" s="359"/>
      <c r="E662" s="359"/>
      <c r="F662" s="359"/>
      <c r="G662" s="359"/>
      <c r="H662" s="359"/>
      <c r="I662" s="359"/>
      <c r="J662" s="359"/>
      <c r="K662" s="359"/>
      <c r="L662" s="359"/>
      <c r="M662" s="359"/>
      <c r="N662" s="359"/>
      <c r="O662" s="359"/>
      <c r="P662" s="359"/>
      <c r="Q662" s="359"/>
      <c r="R662" s="359"/>
      <c r="S662" s="359"/>
      <c r="T662" s="359"/>
      <c r="U662" s="359"/>
      <c r="V662" s="359"/>
      <c r="W662" s="359"/>
      <c r="X662" s="359"/>
      <c r="Y662" s="359"/>
      <c r="Z662" s="359"/>
      <c r="AA662" s="359"/>
    </row>
    <row r="663" spans="1:27" ht="12" customHeight="1" x14ac:dyDescent="0.25">
      <c r="A663" s="359"/>
      <c r="B663" s="359"/>
      <c r="C663" s="359"/>
      <c r="D663" s="359"/>
      <c r="E663" s="359"/>
      <c r="F663" s="359"/>
      <c r="G663" s="359"/>
      <c r="H663" s="359"/>
      <c r="I663" s="359"/>
      <c r="J663" s="359"/>
      <c r="K663" s="359"/>
      <c r="L663" s="359"/>
      <c r="M663" s="359"/>
      <c r="N663" s="359"/>
      <c r="O663" s="359"/>
      <c r="P663" s="359"/>
      <c r="Q663" s="359"/>
      <c r="R663" s="359"/>
      <c r="S663" s="359"/>
      <c r="T663" s="359"/>
      <c r="U663" s="359"/>
      <c r="V663" s="359"/>
      <c r="W663" s="359"/>
      <c r="X663" s="359"/>
      <c r="Y663" s="359"/>
      <c r="Z663" s="359"/>
      <c r="AA663" s="359"/>
    </row>
    <row r="664" spans="1:27" ht="12" customHeight="1" x14ac:dyDescent="0.25">
      <c r="A664" s="359"/>
      <c r="B664" s="359"/>
      <c r="C664" s="359"/>
      <c r="D664" s="359"/>
      <c r="E664" s="359"/>
      <c r="F664" s="359"/>
      <c r="G664" s="359"/>
      <c r="H664" s="359"/>
      <c r="I664" s="359"/>
      <c r="J664" s="359"/>
      <c r="K664" s="359"/>
      <c r="L664" s="359"/>
      <c r="M664" s="359"/>
      <c r="N664" s="359"/>
      <c r="O664" s="359"/>
      <c r="P664" s="359"/>
      <c r="Q664" s="359"/>
      <c r="R664" s="359"/>
      <c r="S664" s="359"/>
      <c r="T664" s="359"/>
      <c r="U664" s="359"/>
      <c r="V664" s="359"/>
      <c r="W664" s="359"/>
      <c r="X664" s="359"/>
      <c r="Y664" s="359"/>
      <c r="Z664" s="359"/>
      <c r="AA664" s="359"/>
    </row>
    <row r="665" spans="1:27" ht="12" customHeight="1" x14ac:dyDescent="0.25">
      <c r="A665" s="359"/>
      <c r="B665" s="359"/>
      <c r="C665" s="359"/>
      <c r="D665" s="359"/>
      <c r="E665" s="359"/>
      <c r="F665" s="359"/>
      <c r="G665" s="359"/>
      <c r="H665" s="359"/>
      <c r="I665" s="359"/>
      <c r="J665" s="359"/>
      <c r="K665" s="359"/>
      <c r="L665" s="359"/>
      <c r="M665" s="359"/>
      <c r="N665" s="359"/>
      <c r="O665" s="359"/>
      <c r="P665" s="359"/>
      <c r="Q665" s="359"/>
      <c r="R665" s="359"/>
      <c r="S665" s="359"/>
      <c r="T665" s="359"/>
      <c r="U665" s="359"/>
      <c r="V665" s="359"/>
      <c r="W665" s="359"/>
      <c r="X665" s="359"/>
      <c r="Y665" s="359"/>
      <c r="Z665" s="359"/>
      <c r="AA665" s="359"/>
    </row>
    <row r="666" spans="1:27" ht="12" customHeight="1" x14ac:dyDescent="0.25">
      <c r="A666" s="359"/>
      <c r="B666" s="359"/>
      <c r="C666" s="359"/>
      <c r="D666" s="359"/>
      <c r="E666" s="359"/>
      <c r="F666" s="359"/>
      <c r="G666" s="359"/>
      <c r="H666" s="359"/>
      <c r="I666" s="359"/>
      <c r="J666" s="359"/>
      <c r="K666" s="359"/>
      <c r="L666" s="359"/>
      <c r="M666" s="359"/>
      <c r="N666" s="359"/>
      <c r="O666" s="359"/>
      <c r="P666" s="359"/>
      <c r="Q666" s="359"/>
      <c r="R666" s="359"/>
      <c r="S666" s="359"/>
      <c r="T666" s="359"/>
      <c r="U666" s="359"/>
      <c r="V666" s="359"/>
      <c r="W666" s="359"/>
      <c r="X666" s="359"/>
      <c r="Y666" s="359"/>
      <c r="Z666" s="359"/>
      <c r="AA666" s="359"/>
    </row>
    <row r="667" spans="1:27" ht="12" customHeight="1" x14ac:dyDescent="0.25">
      <c r="A667" s="359"/>
      <c r="B667" s="359"/>
      <c r="C667" s="359"/>
      <c r="D667" s="359"/>
      <c r="E667" s="359"/>
      <c r="F667" s="359"/>
      <c r="G667" s="359"/>
      <c r="H667" s="359"/>
      <c r="I667" s="359"/>
      <c r="J667" s="359"/>
      <c r="K667" s="359"/>
      <c r="L667" s="359"/>
      <c r="M667" s="359"/>
      <c r="N667" s="359"/>
      <c r="O667" s="359"/>
      <c r="P667" s="359"/>
      <c r="Q667" s="359"/>
      <c r="R667" s="359"/>
      <c r="S667" s="359"/>
      <c r="T667" s="359"/>
      <c r="U667" s="359"/>
      <c r="V667" s="359"/>
      <c r="W667" s="359"/>
      <c r="X667" s="359"/>
      <c r="Y667" s="359"/>
      <c r="Z667" s="359"/>
      <c r="AA667" s="359"/>
    </row>
    <row r="668" spans="1:27" ht="12" customHeight="1" x14ac:dyDescent="0.25">
      <c r="A668" s="359"/>
      <c r="B668" s="359"/>
      <c r="C668" s="359"/>
      <c r="D668" s="359"/>
      <c r="E668" s="359"/>
      <c r="F668" s="359"/>
      <c r="G668" s="359"/>
      <c r="H668" s="359"/>
      <c r="I668" s="359"/>
      <c r="J668" s="359"/>
      <c r="K668" s="359"/>
      <c r="L668" s="359"/>
      <c r="M668" s="359"/>
      <c r="N668" s="359"/>
      <c r="O668" s="359"/>
      <c r="P668" s="359"/>
      <c r="Q668" s="359"/>
      <c r="R668" s="359"/>
      <c r="S668" s="359"/>
      <c r="T668" s="359"/>
      <c r="U668" s="359"/>
      <c r="V668" s="359"/>
      <c r="W668" s="359"/>
      <c r="X668" s="359"/>
      <c r="Y668" s="359"/>
      <c r="Z668" s="359"/>
      <c r="AA668" s="359"/>
    </row>
    <row r="669" spans="1:27" ht="12" customHeight="1" x14ac:dyDescent="0.25">
      <c r="A669" s="359"/>
      <c r="B669" s="359"/>
      <c r="C669" s="359"/>
      <c r="D669" s="359"/>
      <c r="E669" s="359"/>
      <c r="F669" s="359"/>
      <c r="G669" s="359"/>
      <c r="H669" s="359"/>
      <c r="I669" s="359"/>
      <c r="J669" s="359"/>
      <c r="K669" s="359"/>
      <c r="L669" s="359"/>
      <c r="M669" s="359"/>
      <c r="N669" s="359"/>
      <c r="O669" s="359"/>
      <c r="P669" s="359"/>
      <c r="Q669" s="359"/>
      <c r="R669" s="359"/>
      <c r="S669" s="359"/>
      <c r="T669" s="359"/>
      <c r="U669" s="359"/>
      <c r="V669" s="359"/>
      <c r="W669" s="359"/>
      <c r="X669" s="359"/>
      <c r="Y669" s="359"/>
      <c r="Z669" s="359"/>
      <c r="AA669" s="359"/>
    </row>
    <row r="670" spans="1:27" ht="12" customHeight="1" x14ac:dyDescent="0.25">
      <c r="A670" s="359"/>
      <c r="B670" s="359"/>
      <c r="C670" s="359"/>
      <c r="D670" s="359"/>
      <c r="E670" s="359"/>
      <c r="F670" s="359"/>
      <c r="G670" s="359"/>
      <c r="H670" s="359"/>
      <c r="I670" s="359"/>
      <c r="J670" s="359"/>
      <c r="K670" s="359"/>
      <c r="L670" s="359"/>
      <c r="M670" s="359"/>
      <c r="N670" s="359"/>
      <c r="O670" s="359"/>
      <c r="P670" s="359"/>
      <c r="Q670" s="359"/>
      <c r="R670" s="359"/>
      <c r="S670" s="359"/>
      <c r="T670" s="359"/>
      <c r="U670" s="359"/>
      <c r="V670" s="359"/>
      <c r="W670" s="359"/>
      <c r="X670" s="359"/>
      <c r="Y670" s="359"/>
      <c r="Z670" s="359"/>
      <c r="AA670" s="359"/>
    </row>
    <row r="671" spans="1:27" ht="12" customHeight="1" x14ac:dyDescent="0.25">
      <c r="A671" s="359"/>
      <c r="B671" s="359"/>
      <c r="C671" s="359"/>
      <c r="D671" s="359"/>
      <c r="E671" s="359"/>
      <c r="F671" s="359"/>
      <c r="G671" s="359"/>
      <c r="H671" s="359"/>
      <c r="I671" s="359"/>
      <c r="J671" s="359"/>
      <c r="K671" s="359"/>
      <c r="L671" s="359"/>
      <c r="M671" s="359"/>
      <c r="N671" s="359"/>
      <c r="O671" s="359"/>
      <c r="P671" s="359"/>
      <c r="Q671" s="359"/>
      <c r="R671" s="359"/>
      <c r="S671" s="359"/>
      <c r="T671" s="359"/>
      <c r="U671" s="359"/>
      <c r="V671" s="359"/>
      <c r="W671" s="359"/>
      <c r="X671" s="359"/>
      <c r="Y671" s="359"/>
      <c r="Z671" s="359"/>
      <c r="AA671" s="359"/>
    </row>
    <row r="672" spans="1:27" ht="12" customHeight="1" x14ac:dyDescent="0.25">
      <c r="A672" s="359"/>
      <c r="B672" s="359"/>
      <c r="C672" s="359"/>
      <c r="D672" s="359"/>
      <c r="E672" s="359"/>
      <c r="F672" s="359"/>
      <c r="G672" s="359"/>
      <c r="H672" s="359"/>
      <c r="I672" s="359"/>
      <c r="J672" s="359"/>
      <c r="K672" s="359"/>
      <c r="L672" s="359"/>
      <c r="M672" s="359"/>
      <c r="N672" s="359"/>
      <c r="O672" s="359"/>
      <c r="P672" s="359"/>
      <c r="Q672" s="359"/>
      <c r="R672" s="359"/>
      <c r="S672" s="359"/>
      <c r="T672" s="359"/>
      <c r="U672" s="359"/>
      <c r="V672" s="359"/>
      <c r="W672" s="359"/>
      <c r="X672" s="359"/>
      <c r="Y672" s="359"/>
      <c r="Z672" s="359"/>
      <c r="AA672" s="359"/>
    </row>
    <row r="673" spans="1:27" ht="12" customHeight="1" x14ac:dyDescent="0.25">
      <c r="A673" s="359"/>
      <c r="B673" s="359"/>
      <c r="C673" s="359"/>
      <c r="D673" s="359"/>
      <c r="E673" s="359"/>
      <c r="F673" s="359"/>
      <c r="G673" s="359"/>
      <c r="H673" s="359"/>
      <c r="I673" s="359"/>
      <c r="J673" s="359"/>
      <c r="K673" s="359"/>
      <c r="L673" s="359"/>
      <c r="M673" s="359"/>
      <c r="N673" s="359"/>
      <c r="O673" s="359"/>
      <c r="P673" s="359"/>
      <c r="Q673" s="359"/>
      <c r="R673" s="359"/>
      <c r="S673" s="359"/>
      <c r="T673" s="359"/>
      <c r="U673" s="359"/>
      <c r="V673" s="359"/>
      <c r="W673" s="359"/>
      <c r="X673" s="359"/>
      <c r="Y673" s="359"/>
      <c r="Z673" s="359"/>
      <c r="AA673" s="359"/>
    </row>
    <row r="674" spans="1:27" ht="12" customHeight="1" x14ac:dyDescent="0.25">
      <c r="A674" s="359"/>
      <c r="B674" s="359"/>
      <c r="C674" s="359"/>
      <c r="D674" s="359"/>
      <c r="E674" s="359"/>
      <c r="F674" s="359"/>
      <c r="G674" s="359"/>
      <c r="H674" s="359"/>
      <c r="I674" s="359"/>
      <c r="J674" s="359"/>
      <c r="K674" s="359"/>
      <c r="L674" s="359"/>
      <c r="M674" s="359"/>
      <c r="N674" s="359"/>
      <c r="O674" s="359"/>
      <c r="P674" s="359"/>
      <c r="Q674" s="359"/>
      <c r="R674" s="359"/>
      <c r="S674" s="359"/>
      <c r="T674" s="359"/>
      <c r="U674" s="359"/>
      <c r="V674" s="359"/>
      <c r="W674" s="359"/>
      <c r="X674" s="359"/>
      <c r="Y674" s="359"/>
      <c r="Z674" s="359"/>
      <c r="AA674" s="359"/>
    </row>
    <row r="675" spans="1:27" ht="12" customHeight="1" x14ac:dyDescent="0.25">
      <c r="A675" s="359"/>
      <c r="B675" s="359"/>
      <c r="C675" s="359"/>
      <c r="D675" s="359"/>
      <c r="E675" s="359"/>
      <c r="F675" s="359"/>
      <c r="G675" s="359"/>
      <c r="H675" s="359"/>
      <c r="I675" s="359"/>
      <c r="J675" s="359"/>
      <c r="K675" s="359"/>
      <c r="L675" s="359"/>
      <c r="M675" s="359"/>
      <c r="N675" s="359"/>
      <c r="O675" s="359"/>
      <c r="P675" s="359"/>
      <c r="Q675" s="359"/>
      <c r="R675" s="359"/>
      <c r="S675" s="359"/>
      <c r="T675" s="359"/>
      <c r="U675" s="359"/>
      <c r="V675" s="359"/>
      <c r="W675" s="359"/>
      <c r="X675" s="359"/>
      <c r="Y675" s="359"/>
      <c r="Z675" s="359"/>
      <c r="AA675" s="359"/>
    </row>
    <row r="676" spans="1:27" ht="12" customHeight="1" x14ac:dyDescent="0.25">
      <c r="A676" s="359"/>
      <c r="B676" s="359"/>
      <c r="C676" s="359"/>
      <c r="D676" s="359"/>
      <c r="E676" s="359"/>
      <c r="F676" s="359"/>
      <c r="G676" s="359"/>
      <c r="H676" s="359"/>
      <c r="I676" s="359"/>
      <c r="J676" s="359"/>
      <c r="K676" s="359"/>
      <c r="L676" s="359"/>
      <c r="M676" s="359"/>
      <c r="N676" s="359"/>
      <c r="O676" s="359"/>
      <c r="P676" s="359"/>
      <c r="Q676" s="359"/>
      <c r="R676" s="359"/>
      <c r="S676" s="359"/>
      <c r="T676" s="359"/>
      <c r="U676" s="359"/>
      <c r="V676" s="359"/>
      <c r="W676" s="359"/>
      <c r="X676" s="359"/>
      <c r="Y676" s="359"/>
      <c r="Z676" s="359"/>
      <c r="AA676" s="359"/>
    </row>
    <row r="677" spans="1:27" ht="12" customHeight="1" x14ac:dyDescent="0.25">
      <c r="A677" s="359"/>
      <c r="B677" s="359"/>
      <c r="C677" s="359"/>
      <c r="D677" s="359"/>
      <c r="E677" s="359"/>
      <c r="F677" s="359"/>
      <c r="G677" s="359"/>
      <c r="H677" s="359"/>
      <c r="I677" s="359"/>
      <c r="J677" s="359"/>
      <c r="K677" s="359"/>
      <c r="L677" s="359"/>
      <c r="M677" s="359"/>
      <c r="N677" s="359"/>
      <c r="O677" s="359"/>
      <c r="P677" s="359"/>
      <c r="Q677" s="359"/>
      <c r="R677" s="359"/>
      <c r="S677" s="359"/>
      <c r="T677" s="359"/>
      <c r="U677" s="359"/>
      <c r="V677" s="359"/>
      <c r="W677" s="359"/>
      <c r="X677" s="359"/>
      <c r="Y677" s="359"/>
      <c r="Z677" s="359"/>
      <c r="AA677" s="359"/>
    </row>
    <row r="678" spans="1:27" ht="12" customHeight="1" x14ac:dyDescent="0.25">
      <c r="A678" s="359"/>
      <c r="B678" s="359"/>
      <c r="C678" s="359"/>
      <c r="D678" s="359"/>
      <c r="E678" s="359"/>
      <c r="F678" s="359"/>
      <c r="G678" s="359"/>
      <c r="H678" s="359"/>
      <c r="I678" s="359"/>
      <c r="J678" s="359"/>
      <c r="K678" s="359"/>
      <c r="L678" s="359"/>
      <c r="M678" s="359"/>
      <c r="N678" s="359"/>
      <c r="O678" s="359"/>
      <c r="P678" s="359"/>
      <c r="Q678" s="359"/>
      <c r="R678" s="359"/>
      <c r="S678" s="359"/>
      <c r="T678" s="359"/>
      <c r="U678" s="359"/>
      <c r="V678" s="359"/>
      <c r="W678" s="359"/>
      <c r="X678" s="359"/>
      <c r="Y678" s="359"/>
      <c r="Z678" s="359"/>
      <c r="AA678" s="359"/>
    </row>
    <row r="679" spans="1:27" ht="12" customHeight="1" x14ac:dyDescent="0.25">
      <c r="A679" s="359"/>
      <c r="B679" s="359"/>
      <c r="C679" s="359"/>
      <c r="D679" s="359"/>
      <c r="E679" s="359"/>
      <c r="F679" s="359"/>
      <c r="G679" s="359"/>
      <c r="H679" s="359"/>
      <c r="I679" s="359"/>
      <c r="J679" s="359"/>
      <c r="K679" s="359"/>
      <c r="L679" s="359"/>
      <c r="M679" s="359"/>
      <c r="N679" s="359"/>
      <c r="O679" s="359"/>
      <c r="P679" s="359"/>
      <c r="Q679" s="359"/>
      <c r="R679" s="359"/>
      <c r="S679" s="359"/>
      <c r="T679" s="359"/>
      <c r="U679" s="359"/>
      <c r="V679" s="359"/>
      <c r="W679" s="359"/>
      <c r="X679" s="359"/>
      <c r="Y679" s="359"/>
      <c r="Z679" s="359"/>
      <c r="AA679" s="359"/>
    </row>
    <row r="680" spans="1:27" ht="12" customHeight="1" x14ac:dyDescent="0.25">
      <c r="A680" s="359"/>
      <c r="B680" s="359"/>
      <c r="C680" s="359"/>
      <c r="D680" s="359"/>
      <c r="E680" s="359"/>
      <c r="F680" s="359"/>
      <c r="G680" s="359"/>
      <c r="H680" s="359"/>
      <c r="I680" s="359"/>
      <c r="J680" s="359"/>
      <c r="K680" s="359"/>
      <c r="L680" s="359"/>
      <c r="M680" s="359"/>
      <c r="N680" s="359"/>
      <c r="O680" s="359"/>
      <c r="P680" s="359"/>
      <c r="Q680" s="359"/>
      <c r="R680" s="359"/>
      <c r="S680" s="359"/>
      <c r="T680" s="359"/>
      <c r="U680" s="359"/>
      <c r="V680" s="359"/>
      <c r="W680" s="359"/>
      <c r="X680" s="359"/>
      <c r="Y680" s="359"/>
      <c r="Z680" s="359"/>
      <c r="AA680" s="359"/>
    </row>
    <row r="681" spans="1:27" ht="12" customHeight="1" x14ac:dyDescent="0.25">
      <c r="A681" s="359"/>
      <c r="B681" s="359"/>
      <c r="C681" s="359"/>
      <c r="D681" s="359"/>
      <c r="E681" s="359"/>
      <c r="F681" s="359"/>
      <c r="G681" s="359"/>
      <c r="H681" s="359"/>
      <c r="I681" s="359"/>
      <c r="J681" s="359"/>
      <c r="K681" s="359"/>
      <c r="L681" s="359"/>
      <c r="M681" s="359"/>
      <c r="N681" s="359"/>
      <c r="O681" s="359"/>
      <c r="P681" s="359"/>
      <c r="Q681" s="359"/>
      <c r="R681" s="359"/>
      <c r="S681" s="359"/>
      <c r="T681" s="359"/>
      <c r="U681" s="359"/>
      <c r="V681" s="359"/>
      <c r="W681" s="359"/>
      <c r="X681" s="359"/>
      <c r="Y681" s="359"/>
      <c r="Z681" s="359"/>
      <c r="AA681" s="359"/>
    </row>
    <row r="682" spans="1:27" ht="12" customHeight="1" x14ac:dyDescent="0.25">
      <c r="A682" s="359"/>
      <c r="B682" s="359"/>
      <c r="C682" s="359"/>
      <c r="D682" s="359"/>
      <c r="E682" s="359"/>
      <c r="F682" s="359"/>
      <c r="G682" s="359"/>
      <c r="H682" s="359"/>
      <c r="I682" s="359"/>
      <c r="J682" s="359"/>
      <c r="K682" s="359"/>
      <c r="L682" s="359"/>
      <c r="M682" s="359"/>
      <c r="N682" s="359"/>
      <c r="O682" s="359"/>
      <c r="P682" s="359"/>
      <c r="Q682" s="359"/>
      <c r="R682" s="359"/>
      <c r="S682" s="359"/>
      <c r="T682" s="359"/>
      <c r="U682" s="359"/>
      <c r="V682" s="359"/>
      <c r="W682" s="359"/>
      <c r="X682" s="359"/>
      <c r="Y682" s="359"/>
      <c r="Z682" s="359"/>
      <c r="AA682" s="359"/>
    </row>
    <row r="683" spans="1:27" ht="12" customHeight="1" x14ac:dyDescent="0.25">
      <c r="A683" s="359"/>
      <c r="B683" s="359"/>
      <c r="C683" s="359"/>
      <c r="D683" s="359"/>
      <c r="E683" s="359"/>
      <c r="F683" s="359"/>
      <c r="G683" s="359"/>
      <c r="H683" s="359"/>
      <c r="I683" s="359"/>
      <c r="J683" s="359"/>
      <c r="K683" s="359"/>
      <c r="L683" s="359"/>
      <c r="M683" s="359"/>
      <c r="N683" s="359"/>
      <c r="O683" s="359"/>
      <c r="P683" s="359"/>
      <c r="Q683" s="359"/>
      <c r="R683" s="359"/>
      <c r="S683" s="359"/>
      <c r="T683" s="359"/>
      <c r="U683" s="359"/>
      <c r="V683" s="359"/>
      <c r="W683" s="359"/>
      <c r="X683" s="359"/>
      <c r="Y683" s="359"/>
      <c r="Z683" s="359"/>
      <c r="AA683" s="359"/>
    </row>
    <row r="684" spans="1:27" ht="12" customHeight="1" x14ac:dyDescent="0.25">
      <c r="A684" s="359"/>
      <c r="B684" s="359"/>
      <c r="C684" s="359"/>
      <c r="D684" s="359"/>
      <c r="E684" s="359"/>
      <c r="F684" s="359"/>
      <c r="G684" s="359"/>
      <c r="H684" s="359"/>
      <c r="I684" s="359"/>
      <c r="J684" s="359"/>
      <c r="K684" s="359"/>
      <c r="L684" s="359"/>
      <c r="M684" s="359"/>
      <c r="N684" s="359"/>
      <c r="O684" s="359"/>
      <c r="P684" s="359"/>
      <c r="Q684" s="359"/>
      <c r="R684" s="359"/>
      <c r="S684" s="359"/>
      <c r="T684" s="359"/>
      <c r="U684" s="359"/>
      <c r="V684" s="359"/>
      <c r="W684" s="359"/>
      <c r="X684" s="359"/>
      <c r="Y684" s="359"/>
      <c r="Z684" s="359"/>
      <c r="AA684" s="359"/>
    </row>
    <row r="685" spans="1:27" ht="12" customHeight="1" x14ac:dyDescent="0.25">
      <c r="A685" s="359"/>
      <c r="B685" s="359"/>
      <c r="C685" s="359"/>
      <c r="D685" s="359"/>
      <c r="E685" s="359"/>
      <c r="F685" s="359"/>
      <c r="G685" s="359"/>
      <c r="H685" s="359"/>
      <c r="I685" s="359"/>
      <c r="J685" s="359"/>
      <c r="K685" s="359"/>
      <c r="L685" s="359"/>
      <c r="M685" s="359"/>
      <c r="N685" s="359"/>
      <c r="O685" s="359"/>
      <c r="P685" s="359"/>
      <c r="Q685" s="359"/>
      <c r="R685" s="359"/>
      <c r="S685" s="359"/>
      <c r="T685" s="359"/>
      <c r="U685" s="359"/>
      <c r="V685" s="359"/>
      <c r="W685" s="359"/>
      <c r="X685" s="359"/>
      <c r="Y685" s="359"/>
      <c r="Z685" s="359"/>
      <c r="AA685" s="359"/>
    </row>
    <row r="686" spans="1:27" ht="12" customHeight="1" x14ac:dyDescent="0.25">
      <c r="A686" s="359"/>
      <c r="B686" s="359"/>
      <c r="C686" s="359"/>
      <c r="D686" s="359"/>
      <c r="E686" s="359"/>
      <c r="F686" s="359"/>
      <c r="G686" s="359"/>
      <c r="H686" s="359"/>
      <c r="I686" s="359"/>
      <c r="J686" s="359"/>
      <c r="K686" s="359"/>
      <c r="L686" s="359"/>
      <c r="M686" s="359"/>
      <c r="N686" s="359"/>
      <c r="O686" s="359"/>
      <c r="P686" s="359"/>
      <c r="Q686" s="359"/>
      <c r="R686" s="359"/>
      <c r="S686" s="359"/>
      <c r="T686" s="359"/>
      <c r="U686" s="359"/>
      <c r="V686" s="359"/>
      <c r="W686" s="359"/>
      <c r="X686" s="359"/>
      <c r="Y686" s="359"/>
      <c r="Z686" s="359"/>
      <c r="AA686" s="359"/>
    </row>
    <row r="687" spans="1:27" ht="12" customHeight="1" x14ac:dyDescent="0.25">
      <c r="A687" s="359"/>
      <c r="B687" s="359"/>
      <c r="C687" s="359"/>
      <c r="D687" s="359"/>
      <c r="E687" s="359"/>
      <c r="F687" s="359"/>
      <c r="G687" s="359"/>
      <c r="H687" s="359"/>
      <c r="I687" s="359"/>
      <c r="J687" s="359"/>
      <c r="K687" s="359"/>
      <c r="L687" s="359"/>
      <c r="M687" s="359"/>
      <c r="N687" s="359"/>
      <c r="O687" s="359"/>
      <c r="P687" s="359"/>
      <c r="Q687" s="359"/>
      <c r="R687" s="359"/>
      <c r="S687" s="359"/>
      <c r="T687" s="359"/>
      <c r="U687" s="359"/>
      <c r="V687" s="359"/>
      <c r="W687" s="359"/>
      <c r="X687" s="359"/>
      <c r="Y687" s="359"/>
      <c r="Z687" s="359"/>
      <c r="AA687" s="359"/>
    </row>
    <row r="688" spans="1:27" ht="12" customHeight="1" x14ac:dyDescent="0.25">
      <c r="A688" s="359"/>
      <c r="B688" s="359"/>
      <c r="C688" s="359"/>
      <c r="D688" s="359"/>
      <c r="E688" s="359"/>
      <c r="F688" s="359"/>
      <c r="G688" s="359"/>
      <c r="H688" s="359"/>
      <c r="I688" s="359"/>
      <c r="J688" s="359"/>
      <c r="K688" s="359"/>
      <c r="L688" s="359"/>
      <c r="M688" s="359"/>
      <c r="N688" s="359"/>
      <c r="O688" s="359"/>
      <c r="P688" s="359"/>
      <c r="Q688" s="359"/>
      <c r="R688" s="359"/>
      <c r="S688" s="359"/>
      <c r="T688" s="359"/>
      <c r="U688" s="359"/>
      <c r="V688" s="359"/>
      <c r="W688" s="359"/>
      <c r="X688" s="359"/>
      <c r="Y688" s="359"/>
      <c r="Z688" s="359"/>
      <c r="AA688" s="359"/>
    </row>
    <row r="689" spans="1:27" ht="12" customHeight="1" x14ac:dyDescent="0.25">
      <c r="A689" s="359"/>
      <c r="B689" s="359"/>
      <c r="C689" s="359"/>
      <c r="D689" s="359"/>
      <c r="E689" s="359"/>
      <c r="F689" s="359"/>
      <c r="G689" s="359"/>
      <c r="H689" s="359"/>
      <c r="I689" s="359"/>
      <c r="J689" s="359"/>
      <c r="K689" s="359"/>
      <c r="L689" s="359"/>
      <c r="M689" s="359"/>
      <c r="N689" s="359"/>
      <c r="O689" s="359"/>
      <c r="P689" s="359"/>
      <c r="Q689" s="359"/>
      <c r="R689" s="359"/>
      <c r="S689" s="359"/>
      <c r="T689" s="359"/>
      <c r="U689" s="359"/>
      <c r="V689" s="359"/>
      <c r="W689" s="359"/>
      <c r="X689" s="359"/>
      <c r="Y689" s="359"/>
      <c r="Z689" s="359"/>
      <c r="AA689" s="359"/>
    </row>
    <row r="690" spans="1:27" ht="12" customHeight="1" x14ac:dyDescent="0.25">
      <c r="A690" s="359"/>
      <c r="B690" s="359"/>
      <c r="C690" s="359"/>
      <c r="D690" s="359"/>
      <c r="E690" s="359"/>
      <c r="F690" s="359"/>
      <c r="G690" s="359"/>
      <c r="H690" s="359"/>
      <c r="I690" s="359"/>
      <c r="J690" s="359"/>
      <c r="K690" s="359"/>
      <c r="L690" s="359"/>
      <c r="M690" s="359"/>
      <c r="N690" s="359"/>
      <c r="O690" s="359"/>
      <c r="P690" s="359"/>
      <c r="Q690" s="359"/>
      <c r="R690" s="359"/>
      <c r="S690" s="359"/>
      <c r="T690" s="359"/>
      <c r="U690" s="359"/>
      <c r="V690" s="359"/>
      <c r="W690" s="359"/>
      <c r="X690" s="359"/>
      <c r="Y690" s="359"/>
      <c r="Z690" s="359"/>
      <c r="AA690" s="359"/>
    </row>
    <row r="691" spans="1:27" ht="12" customHeight="1" x14ac:dyDescent="0.25">
      <c r="A691" s="359"/>
      <c r="B691" s="359"/>
      <c r="C691" s="359"/>
      <c r="D691" s="359"/>
      <c r="E691" s="359"/>
      <c r="F691" s="359"/>
      <c r="G691" s="359"/>
      <c r="H691" s="359"/>
      <c r="I691" s="359"/>
      <c r="J691" s="359"/>
      <c r="K691" s="359"/>
      <c r="L691" s="359"/>
      <c r="M691" s="359"/>
      <c r="N691" s="359"/>
      <c r="O691" s="359"/>
      <c r="P691" s="359"/>
      <c r="Q691" s="359"/>
      <c r="R691" s="359"/>
      <c r="S691" s="359"/>
      <c r="T691" s="359"/>
      <c r="U691" s="359"/>
      <c r="V691" s="359"/>
      <c r="W691" s="359"/>
      <c r="X691" s="359"/>
      <c r="Y691" s="359"/>
      <c r="Z691" s="359"/>
      <c r="AA691" s="359"/>
    </row>
    <row r="692" spans="1:27" ht="12" customHeight="1" x14ac:dyDescent="0.25">
      <c r="A692" s="359"/>
      <c r="B692" s="359"/>
      <c r="C692" s="359"/>
      <c r="D692" s="359"/>
      <c r="E692" s="359"/>
      <c r="F692" s="359"/>
      <c r="G692" s="359"/>
      <c r="H692" s="359"/>
      <c r="I692" s="359"/>
      <c r="J692" s="359"/>
      <c r="K692" s="359"/>
      <c r="L692" s="359"/>
      <c r="M692" s="359"/>
      <c r="N692" s="359"/>
      <c r="O692" s="359"/>
      <c r="P692" s="359"/>
      <c r="Q692" s="359"/>
      <c r="R692" s="359"/>
      <c r="S692" s="359"/>
      <c r="T692" s="359"/>
      <c r="U692" s="359"/>
      <c r="V692" s="359"/>
      <c r="W692" s="359"/>
      <c r="X692" s="359"/>
      <c r="Y692" s="359"/>
      <c r="Z692" s="359"/>
      <c r="AA692" s="359"/>
    </row>
    <row r="693" spans="1:27" ht="12" customHeight="1" x14ac:dyDescent="0.25">
      <c r="A693" s="359"/>
      <c r="B693" s="359"/>
      <c r="C693" s="359"/>
      <c r="D693" s="359"/>
      <c r="E693" s="359"/>
      <c r="F693" s="359"/>
      <c r="G693" s="359"/>
      <c r="H693" s="359"/>
      <c r="I693" s="359"/>
      <c r="J693" s="359"/>
      <c r="K693" s="359"/>
      <c r="L693" s="359"/>
      <c r="M693" s="359"/>
      <c r="N693" s="359"/>
      <c r="O693" s="359"/>
      <c r="P693" s="359"/>
      <c r="Q693" s="359"/>
      <c r="R693" s="359"/>
      <c r="S693" s="359"/>
      <c r="T693" s="359"/>
      <c r="U693" s="359"/>
      <c r="V693" s="359"/>
      <c r="W693" s="359"/>
      <c r="X693" s="359"/>
      <c r="Y693" s="359"/>
      <c r="Z693" s="359"/>
      <c r="AA693" s="359"/>
    </row>
    <row r="694" spans="1:27" ht="12" customHeight="1" x14ac:dyDescent="0.25">
      <c r="A694" s="359"/>
      <c r="B694" s="359"/>
      <c r="C694" s="359"/>
      <c r="D694" s="359"/>
      <c r="E694" s="359"/>
      <c r="F694" s="359"/>
      <c r="G694" s="359"/>
      <c r="H694" s="359"/>
      <c r="I694" s="359"/>
      <c r="J694" s="359"/>
      <c r="K694" s="359"/>
      <c r="L694" s="359"/>
      <c r="M694" s="359"/>
      <c r="N694" s="359"/>
      <c r="O694" s="359"/>
      <c r="P694" s="359"/>
      <c r="Q694" s="359"/>
      <c r="R694" s="359"/>
      <c r="S694" s="359"/>
      <c r="T694" s="359"/>
      <c r="U694" s="359"/>
      <c r="V694" s="359"/>
      <c r="W694" s="359"/>
      <c r="X694" s="359"/>
      <c r="Y694" s="359"/>
      <c r="Z694" s="359"/>
      <c r="AA694" s="359"/>
    </row>
    <row r="695" spans="1:27" ht="12" customHeight="1" x14ac:dyDescent="0.25">
      <c r="A695" s="359"/>
      <c r="B695" s="359"/>
      <c r="C695" s="359"/>
      <c r="D695" s="359"/>
      <c r="E695" s="359"/>
      <c r="F695" s="359"/>
      <c r="G695" s="359"/>
      <c r="H695" s="359"/>
      <c r="I695" s="359"/>
      <c r="J695" s="359"/>
      <c r="K695" s="359"/>
      <c r="L695" s="359"/>
      <c r="M695" s="359"/>
      <c r="N695" s="359"/>
      <c r="O695" s="359"/>
      <c r="P695" s="359"/>
      <c r="Q695" s="359"/>
      <c r="R695" s="359"/>
      <c r="S695" s="359"/>
      <c r="T695" s="359"/>
      <c r="U695" s="359"/>
      <c r="V695" s="359"/>
      <c r="W695" s="359"/>
      <c r="X695" s="359"/>
      <c r="Y695" s="359"/>
      <c r="Z695" s="359"/>
      <c r="AA695" s="359"/>
    </row>
    <row r="696" spans="1:27" ht="12" customHeight="1" x14ac:dyDescent="0.25">
      <c r="A696" s="359"/>
      <c r="B696" s="359"/>
      <c r="C696" s="359"/>
      <c r="D696" s="359"/>
      <c r="E696" s="359"/>
      <c r="F696" s="359"/>
      <c r="G696" s="359"/>
      <c r="H696" s="359"/>
      <c r="I696" s="359"/>
      <c r="J696" s="359"/>
      <c r="K696" s="359"/>
      <c r="L696" s="359"/>
      <c r="M696" s="359"/>
      <c r="N696" s="359"/>
      <c r="O696" s="359"/>
      <c r="P696" s="359"/>
      <c r="Q696" s="359"/>
      <c r="R696" s="359"/>
      <c r="S696" s="359"/>
      <c r="T696" s="359"/>
      <c r="U696" s="359"/>
      <c r="V696" s="359"/>
      <c r="W696" s="359"/>
      <c r="X696" s="359"/>
      <c r="Y696" s="359"/>
      <c r="Z696" s="359"/>
      <c r="AA696" s="359"/>
    </row>
    <row r="697" spans="1:27" ht="12" customHeight="1" x14ac:dyDescent="0.25">
      <c r="A697" s="359"/>
      <c r="B697" s="359"/>
      <c r="C697" s="359"/>
      <c r="D697" s="359"/>
      <c r="E697" s="359"/>
      <c r="F697" s="359"/>
      <c r="G697" s="359"/>
      <c r="H697" s="359"/>
      <c r="I697" s="359"/>
      <c r="J697" s="359"/>
      <c r="K697" s="359"/>
      <c r="L697" s="359"/>
      <c r="M697" s="359"/>
      <c r="N697" s="359"/>
      <c r="O697" s="359"/>
      <c r="P697" s="359"/>
      <c r="Q697" s="359"/>
      <c r="R697" s="359"/>
      <c r="S697" s="359"/>
      <c r="T697" s="359"/>
      <c r="U697" s="359"/>
      <c r="V697" s="359"/>
      <c r="W697" s="359"/>
      <c r="X697" s="359"/>
      <c r="Y697" s="359"/>
      <c r="Z697" s="359"/>
      <c r="AA697" s="359"/>
    </row>
    <row r="698" spans="1:27" ht="12" customHeight="1" x14ac:dyDescent="0.25">
      <c r="A698" s="359"/>
      <c r="B698" s="359"/>
      <c r="C698" s="359"/>
      <c r="D698" s="359"/>
      <c r="E698" s="359"/>
      <c r="F698" s="359"/>
      <c r="G698" s="359"/>
      <c r="H698" s="359"/>
      <c r="I698" s="359"/>
      <c r="J698" s="359"/>
      <c r="K698" s="359"/>
      <c r="L698" s="359"/>
      <c r="M698" s="359"/>
      <c r="N698" s="359"/>
      <c r="O698" s="359"/>
      <c r="P698" s="359"/>
      <c r="Q698" s="359"/>
      <c r="R698" s="359"/>
      <c r="S698" s="359"/>
      <c r="T698" s="359"/>
      <c r="U698" s="359"/>
      <c r="V698" s="359"/>
      <c r="W698" s="359"/>
      <c r="X698" s="359"/>
      <c r="Y698" s="359"/>
      <c r="Z698" s="359"/>
      <c r="AA698" s="359"/>
    </row>
    <row r="699" spans="1:27" ht="12" customHeight="1" x14ac:dyDescent="0.25">
      <c r="A699" s="359"/>
      <c r="B699" s="359"/>
      <c r="C699" s="359"/>
      <c r="D699" s="359"/>
      <c r="E699" s="359"/>
      <c r="F699" s="359"/>
      <c r="G699" s="359"/>
      <c r="H699" s="359"/>
      <c r="I699" s="359"/>
      <c r="J699" s="359"/>
      <c r="K699" s="359"/>
      <c r="L699" s="359"/>
      <c r="M699" s="359"/>
      <c r="N699" s="359"/>
      <c r="O699" s="359"/>
      <c r="P699" s="359"/>
      <c r="Q699" s="359"/>
      <c r="R699" s="359"/>
      <c r="S699" s="359"/>
      <c r="T699" s="359"/>
      <c r="U699" s="359"/>
      <c r="V699" s="359"/>
      <c r="W699" s="359"/>
      <c r="X699" s="359"/>
      <c r="Y699" s="359"/>
      <c r="Z699" s="359"/>
      <c r="AA699" s="359"/>
    </row>
    <row r="700" spans="1:27" ht="12" customHeight="1" x14ac:dyDescent="0.25">
      <c r="A700" s="359"/>
      <c r="B700" s="359"/>
      <c r="C700" s="359"/>
      <c r="D700" s="359"/>
      <c r="E700" s="359"/>
      <c r="F700" s="359"/>
      <c r="G700" s="359"/>
      <c r="H700" s="359"/>
      <c r="I700" s="359"/>
      <c r="J700" s="359"/>
      <c r="K700" s="359"/>
      <c r="L700" s="359"/>
      <c r="M700" s="359"/>
      <c r="N700" s="359"/>
      <c r="O700" s="359"/>
      <c r="P700" s="359"/>
      <c r="Q700" s="359"/>
      <c r="R700" s="359"/>
      <c r="S700" s="359"/>
      <c r="T700" s="359"/>
      <c r="U700" s="359"/>
      <c r="V700" s="359"/>
      <c r="W700" s="359"/>
      <c r="X700" s="359"/>
      <c r="Y700" s="359"/>
      <c r="Z700" s="359"/>
      <c r="AA700" s="359"/>
    </row>
    <row r="701" spans="1:27" ht="12" customHeight="1" x14ac:dyDescent="0.25">
      <c r="A701" s="359"/>
      <c r="B701" s="359"/>
      <c r="C701" s="359"/>
      <c r="D701" s="359"/>
      <c r="E701" s="359"/>
      <c r="F701" s="359"/>
      <c r="G701" s="359"/>
      <c r="H701" s="359"/>
      <c r="I701" s="359"/>
      <c r="J701" s="359"/>
      <c r="K701" s="359"/>
      <c r="L701" s="359"/>
      <c r="M701" s="359"/>
      <c r="N701" s="359"/>
      <c r="O701" s="359"/>
      <c r="P701" s="359"/>
      <c r="Q701" s="359"/>
      <c r="R701" s="359"/>
      <c r="S701" s="359"/>
      <c r="T701" s="359"/>
      <c r="U701" s="359"/>
      <c r="V701" s="359"/>
      <c r="W701" s="359"/>
      <c r="X701" s="359"/>
      <c r="Y701" s="359"/>
      <c r="Z701" s="359"/>
      <c r="AA701" s="359"/>
    </row>
    <row r="702" spans="1:27" ht="12" customHeight="1" x14ac:dyDescent="0.25">
      <c r="A702" s="359"/>
      <c r="B702" s="359"/>
      <c r="C702" s="359"/>
      <c r="D702" s="359"/>
      <c r="E702" s="359"/>
      <c r="F702" s="359"/>
      <c r="G702" s="359"/>
      <c r="H702" s="359"/>
      <c r="I702" s="359"/>
      <c r="J702" s="359"/>
      <c r="K702" s="359"/>
      <c r="L702" s="359"/>
      <c r="M702" s="359"/>
      <c r="N702" s="359"/>
      <c r="O702" s="359"/>
      <c r="P702" s="359"/>
      <c r="Q702" s="359"/>
      <c r="R702" s="359"/>
      <c r="S702" s="359"/>
      <c r="T702" s="359"/>
      <c r="U702" s="359"/>
      <c r="V702" s="359"/>
      <c r="W702" s="359"/>
      <c r="X702" s="359"/>
      <c r="Y702" s="359"/>
      <c r="Z702" s="359"/>
      <c r="AA702" s="359"/>
    </row>
    <row r="703" spans="1:27" ht="12" customHeight="1" x14ac:dyDescent="0.25">
      <c r="A703" s="359"/>
      <c r="B703" s="359"/>
      <c r="C703" s="359"/>
      <c r="D703" s="359"/>
      <c r="E703" s="359"/>
      <c r="F703" s="359"/>
      <c r="G703" s="359"/>
      <c r="H703" s="359"/>
      <c r="I703" s="359"/>
      <c r="J703" s="359"/>
      <c r="K703" s="359"/>
      <c r="L703" s="359"/>
      <c r="M703" s="359"/>
      <c r="N703" s="359"/>
      <c r="O703" s="359"/>
      <c r="P703" s="359"/>
      <c r="Q703" s="359"/>
      <c r="R703" s="359"/>
      <c r="S703" s="359"/>
      <c r="T703" s="359"/>
      <c r="U703" s="359"/>
      <c r="V703" s="359"/>
      <c r="W703" s="359"/>
      <c r="X703" s="359"/>
      <c r="Y703" s="359"/>
      <c r="Z703" s="359"/>
      <c r="AA703" s="359"/>
    </row>
    <row r="704" spans="1:27" ht="12" customHeight="1" x14ac:dyDescent="0.25">
      <c r="A704" s="359"/>
      <c r="B704" s="359"/>
      <c r="C704" s="359"/>
      <c r="D704" s="359"/>
      <c r="E704" s="359"/>
      <c r="F704" s="359"/>
      <c r="G704" s="359"/>
      <c r="H704" s="359"/>
      <c r="I704" s="359"/>
      <c r="J704" s="359"/>
      <c r="K704" s="359"/>
      <c r="L704" s="359"/>
      <c r="M704" s="359"/>
      <c r="N704" s="359"/>
      <c r="O704" s="359"/>
      <c r="P704" s="359"/>
      <c r="Q704" s="359"/>
      <c r="R704" s="359"/>
      <c r="S704" s="359"/>
      <c r="T704" s="359"/>
      <c r="U704" s="359"/>
      <c r="V704" s="359"/>
      <c r="W704" s="359"/>
      <c r="X704" s="359"/>
      <c r="Y704" s="359"/>
      <c r="Z704" s="359"/>
      <c r="AA704" s="359"/>
    </row>
    <row r="705" spans="1:27" ht="12" customHeight="1" x14ac:dyDescent="0.25">
      <c r="A705" s="359"/>
      <c r="B705" s="359"/>
      <c r="C705" s="359"/>
      <c r="D705" s="359"/>
      <c r="E705" s="359"/>
      <c r="F705" s="359"/>
      <c r="G705" s="359"/>
      <c r="H705" s="359"/>
      <c r="I705" s="359"/>
      <c r="J705" s="359"/>
      <c r="K705" s="359"/>
      <c r="L705" s="359"/>
      <c r="M705" s="359"/>
      <c r="N705" s="359"/>
      <c r="O705" s="359"/>
      <c r="P705" s="359"/>
      <c r="Q705" s="359"/>
      <c r="R705" s="359"/>
      <c r="S705" s="359"/>
      <c r="T705" s="359"/>
      <c r="U705" s="359"/>
      <c r="V705" s="359"/>
      <c r="W705" s="359"/>
      <c r="X705" s="359"/>
      <c r="Y705" s="359"/>
      <c r="Z705" s="359"/>
      <c r="AA705" s="359"/>
    </row>
    <row r="706" spans="1:27" ht="12" customHeight="1" x14ac:dyDescent="0.25">
      <c r="A706" s="359"/>
      <c r="B706" s="359"/>
      <c r="C706" s="359"/>
      <c r="D706" s="359"/>
      <c r="E706" s="359"/>
      <c r="F706" s="359"/>
      <c r="G706" s="359"/>
      <c r="H706" s="359"/>
      <c r="I706" s="359"/>
      <c r="J706" s="359"/>
      <c r="K706" s="359"/>
      <c r="L706" s="359"/>
      <c r="M706" s="359"/>
      <c r="N706" s="359"/>
      <c r="O706" s="359"/>
      <c r="P706" s="359"/>
      <c r="Q706" s="359"/>
      <c r="R706" s="359"/>
      <c r="S706" s="359"/>
      <c r="T706" s="359"/>
      <c r="U706" s="359"/>
      <c r="V706" s="359"/>
      <c r="W706" s="359"/>
      <c r="X706" s="359"/>
      <c r="Y706" s="359"/>
      <c r="Z706" s="359"/>
      <c r="AA706" s="359"/>
    </row>
    <row r="707" spans="1:27" ht="12" customHeight="1" x14ac:dyDescent="0.25">
      <c r="A707" s="359"/>
      <c r="B707" s="359"/>
      <c r="C707" s="359"/>
      <c r="D707" s="359"/>
      <c r="E707" s="359"/>
      <c r="F707" s="359"/>
      <c r="G707" s="359"/>
      <c r="H707" s="359"/>
      <c r="I707" s="359"/>
      <c r="J707" s="359"/>
      <c r="K707" s="359"/>
      <c r="L707" s="359"/>
      <c r="M707" s="359"/>
      <c r="N707" s="359"/>
      <c r="O707" s="359"/>
      <c r="P707" s="359"/>
      <c r="Q707" s="359"/>
      <c r="R707" s="359"/>
      <c r="S707" s="359"/>
      <c r="T707" s="359"/>
      <c r="U707" s="359"/>
      <c r="V707" s="359"/>
      <c r="W707" s="359"/>
      <c r="X707" s="359"/>
      <c r="Y707" s="359"/>
      <c r="Z707" s="359"/>
      <c r="AA707" s="359"/>
    </row>
    <row r="708" spans="1:27" ht="12" customHeight="1" x14ac:dyDescent="0.25">
      <c r="A708" s="359"/>
      <c r="B708" s="359"/>
      <c r="C708" s="359"/>
      <c r="D708" s="359"/>
      <c r="E708" s="359"/>
      <c r="F708" s="359"/>
      <c r="G708" s="359"/>
      <c r="H708" s="359"/>
      <c r="I708" s="359"/>
      <c r="J708" s="359"/>
      <c r="K708" s="359"/>
      <c r="L708" s="359"/>
      <c r="M708" s="359"/>
      <c r="N708" s="359"/>
      <c r="O708" s="359"/>
      <c r="P708" s="359"/>
      <c r="Q708" s="359"/>
      <c r="R708" s="359"/>
      <c r="S708" s="359"/>
      <c r="T708" s="359"/>
      <c r="U708" s="359"/>
      <c r="V708" s="359"/>
      <c r="W708" s="359"/>
      <c r="X708" s="359"/>
      <c r="Y708" s="359"/>
      <c r="Z708" s="359"/>
      <c r="AA708" s="359"/>
    </row>
    <row r="709" spans="1:27" ht="12" customHeight="1" x14ac:dyDescent="0.25">
      <c r="A709" s="359"/>
      <c r="B709" s="359"/>
      <c r="C709" s="359"/>
      <c r="D709" s="359"/>
      <c r="E709" s="359"/>
      <c r="F709" s="359"/>
      <c r="G709" s="359"/>
      <c r="H709" s="359"/>
      <c r="I709" s="359"/>
      <c r="J709" s="359"/>
      <c r="K709" s="359"/>
      <c r="L709" s="359"/>
      <c r="M709" s="359"/>
      <c r="N709" s="359"/>
      <c r="O709" s="359"/>
      <c r="P709" s="359"/>
      <c r="Q709" s="359"/>
      <c r="R709" s="359"/>
      <c r="S709" s="359"/>
      <c r="T709" s="359"/>
      <c r="U709" s="359"/>
      <c r="V709" s="359"/>
      <c r="W709" s="359"/>
      <c r="X709" s="359"/>
      <c r="Y709" s="359"/>
      <c r="Z709" s="359"/>
      <c r="AA709" s="359"/>
    </row>
    <row r="710" spans="1:27" ht="12" customHeight="1" x14ac:dyDescent="0.25">
      <c r="A710" s="359"/>
      <c r="B710" s="359"/>
      <c r="C710" s="359"/>
      <c r="D710" s="359"/>
      <c r="E710" s="359"/>
      <c r="F710" s="359"/>
      <c r="G710" s="359"/>
      <c r="H710" s="359"/>
      <c r="I710" s="359"/>
      <c r="J710" s="359"/>
      <c r="K710" s="359"/>
      <c r="L710" s="359"/>
      <c r="M710" s="359"/>
      <c r="N710" s="359"/>
      <c r="O710" s="359"/>
      <c r="P710" s="359"/>
      <c r="Q710" s="359"/>
      <c r="R710" s="359"/>
      <c r="S710" s="359"/>
      <c r="T710" s="359"/>
      <c r="U710" s="359"/>
      <c r="V710" s="359"/>
      <c r="W710" s="359"/>
      <c r="X710" s="359"/>
      <c r="Y710" s="359"/>
      <c r="Z710" s="359"/>
      <c r="AA710" s="359"/>
    </row>
    <row r="711" spans="1:27" ht="12" customHeight="1" x14ac:dyDescent="0.25">
      <c r="A711" s="359"/>
      <c r="B711" s="359"/>
      <c r="C711" s="359"/>
      <c r="D711" s="359"/>
      <c r="E711" s="359"/>
      <c r="F711" s="359"/>
      <c r="G711" s="359"/>
      <c r="H711" s="359"/>
      <c r="I711" s="359"/>
      <c r="J711" s="359"/>
      <c r="K711" s="359"/>
      <c r="L711" s="359"/>
      <c r="M711" s="359"/>
      <c r="N711" s="359"/>
      <c r="O711" s="359"/>
      <c r="P711" s="359"/>
      <c r="Q711" s="359"/>
      <c r="R711" s="359"/>
      <c r="S711" s="359"/>
      <c r="T711" s="359"/>
      <c r="U711" s="359"/>
      <c r="V711" s="359"/>
      <c r="W711" s="359"/>
      <c r="X711" s="359"/>
      <c r="Y711" s="359"/>
      <c r="Z711" s="359"/>
      <c r="AA711" s="359"/>
    </row>
    <row r="712" spans="1:27" ht="12" customHeight="1" x14ac:dyDescent="0.25">
      <c r="A712" s="359"/>
      <c r="B712" s="359"/>
      <c r="C712" s="359"/>
      <c r="D712" s="359"/>
      <c r="E712" s="359"/>
      <c r="F712" s="359"/>
      <c r="G712" s="359"/>
      <c r="H712" s="359"/>
      <c r="I712" s="359"/>
      <c r="J712" s="359"/>
      <c r="K712" s="359"/>
      <c r="L712" s="359"/>
      <c r="M712" s="359"/>
      <c r="N712" s="359"/>
      <c r="O712" s="359"/>
      <c r="P712" s="359"/>
      <c r="Q712" s="359"/>
      <c r="R712" s="359"/>
      <c r="S712" s="359"/>
      <c r="T712" s="359"/>
      <c r="U712" s="359"/>
      <c r="V712" s="359"/>
      <c r="W712" s="359"/>
      <c r="X712" s="359"/>
      <c r="Y712" s="359"/>
      <c r="Z712" s="359"/>
      <c r="AA712" s="359"/>
    </row>
    <row r="713" spans="1:27" ht="12" customHeight="1" x14ac:dyDescent="0.25">
      <c r="A713" s="359"/>
      <c r="B713" s="359"/>
      <c r="C713" s="359"/>
      <c r="D713" s="359"/>
      <c r="E713" s="359"/>
      <c r="F713" s="359"/>
      <c r="G713" s="359"/>
      <c r="H713" s="359"/>
      <c r="I713" s="359"/>
      <c r="J713" s="359"/>
      <c r="K713" s="359"/>
      <c r="L713" s="359"/>
      <c r="M713" s="359"/>
      <c r="N713" s="359"/>
      <c r="O713" s="359"/>
      <c r="P713" s="359"/>
      <c r="Q713" s="359"/>
      <c r="R713" s="359"/>
      <c r="S713" s="359"/>
      <c r="T713" s="359"/>
      <c r="U713" s="359"/>
      <c r="V713" s="359"/>
      <c r="W713" s="359"/>
      <c r="X713" s="359"/>
      <c r="Y713" s="359"/>
      <c r="Z713" s="359"/>
      <c r="AA713" s="359"/>
    </row>
    <row r="714" spans="1:27" ht="12" customHeight="1" x14ac:dyDescent="0.25">
      <c r="A714" s="359"/>
      <c r="B714" s="359"/>
      <c r="C714" s="359"/>
      <c r="D714" s="359"/>
      <c r="E714" s="359"/>
      <c r="F714" s="359"/>
      <c r="G714" s="359"/>
      <c r="H714" s="359"/>
      <c r="I714" s="359"/>
      <c r="J714" s="359"/>
      <c r="K714" s="359"/>
      <c r="L714" s="359"/>
      <c r="M714" s="359"/>
      <c r="N714" s="359"/>
      <c r="O714" s="359"/>
      <c r="P714" s="359"/>
      <c r="Q714" s="359"/>
      <c r="R714" s="359"/>
      <c r="S714" s="359"/>
      <c r="T714" s="359"/>
      <c r="U714" s="359"/>
      <c r="V714" s="359"/>
      <c r="W714" s="359"/>
      <c r="X714" s="359"/>
      <c r="Y714" s="359"/>
      <c r="Z714" s="359"/>
      <c r="AA714" s="359"/>
    </row>
    <row r="715" spans="1:27" ht="12" customHeight="1" x14ac:dyDescent="0.25">
      <c r="A715" s="359"/>
      <c r="B715" s="359"/>
      <c r="C715" s="359"/>
      <c r="D715" s="359"/>
      <c r="E715" s="359"/>
      <c r="F715" s="359"/>
      <c r="G715" s="359"/>
      <c r="H715" s="359"/>
      <c r="I715" s="359"/>
      <c r="J715" s="359"/>
      <c r="K715" s="359"/>
      <c r="L715" s="359"/>
      <c r="M715" s="359"/>
      <c r="N715" s="359"/>
      <c r="O715" s="359"/>
      <c r="P715" s="359"/>
      <c r="Q715" s="359"/>
      <c r="R715" s="359"/>
      <c r="S715" s="359"/>
      <c r="T715" s="359"/>
      <c r="U715" s="359"/>
      <c r="V715" s="359"/>
      <c r="W715" s="359"/>
      <c r="X715" s="359"/>
      <c r="Y715" s="359"/>
      <c r="Z715" s="359"/>
      <c r="AA715" s="359"/>
    </row>
    <row r="716" spans="1:27" ht="12" customHeight="1" x14ac:dyDescent="0.25">
      <c r="A716" s="359"/>
      <c r="B716" s="359"/>
      <c r="C716" s="359"/>
      <c r="D716" s="359"/>
      <c r="E716" s="359"/>
      <c r="F716" s="359"/>
      <c r="G716" s="359"/>
      <c r="H716" s="359"/>
      <c r="I716" s="359"/>
      <c r="J716" s="359"/>
      <c r="K716" s="359"/>
      <c r="L716" s="359"/>
      <c r="M716" s="359"/>
      <c r="N716" s="359"/>
      <c r="O716" s="359"/>
      <c r="P716" s="359"/>
      <c r="Q716" s="359"/>
      <c r="R716" s="359"/>
      <c r="S716" s="359"/>
      <c r="T716" s="359"/>
      <c r="U716" s="359"/>
      <c r="V716" s="359"/>
      <c r="W716" s="359"/>
      <c r="X716" s="359"/>
      <c r="Y716" s="359"/>
      <c r="Z716" s="359"/>
      <c r="AA716" s="359"/>
    </row>
    <row r="717" spans="1:27" ht="12" customHeight="1" x14ac:dyDescent="0.25">
      <c r="A717" s="359"/>
      <c r="B717" s="359"/>
      <c r="C717" s="359"/>
      <c r="D717" s="359"/>
      <c r="E717" s="359"/>
      <c r="F717" s="359"/>
      <c r="G717" s="359"/>
      <c r="H717" s="359"/>
      <c r="I717" s="359"/>
      <c r="J717" s="359"/>
      <c r="K717" s="359"/>
      <c r="L717" s="359"/>
      <c r="M717" s="359"/>
      <c r="N717" s="359"/>
      <c r="O717" s="359"/>
      <c r="P717" s="359"/>
      <c r="Q717" s="359"/>
      <c r="R717" s="359"/>
      <c r="S717" s="359"/>
      <c r="T717" s="359"/>
      <c r="U717" s="359"/>
      <c r="V717" s="359"/>
      <c r="W717" s="359"/>
      <c r="X717" s="359"/>
      <c r="Y717" s="359"/>
      <c r="Z717" s="359"/>
      <c r="AA717" s="359"/>
    </row>
    <row r="718" spans="1:27" ht="12" customHeight="1" x14ac:dyDescent="0.25">
      <c r="A718" s="359"/>
      <c r="B718" s="359"/>
      <c r="C718" s="359"/>
      <c r="D718" s="359"/>
      <c r="E718" s="359"/>
      <c r="F718" s="359"/>
      <c r="G718" s="359"/>
      <c r="H718" s="359"/>
      <c r="I718" s="359"/>
      <c r="J718" s="359"/>
      <c r="K718" s="359"/>
      <c r="L718" s="359"/>
      <c r="M718" s="359"/>
      <c r="N718" s="359"/>
      <c r="O718" s="359"/>
      <c r="P718" s="359"/>
      <c r="Q718" s="359"/>
      <c r="R718" s="359"/>
      <c r="S718" s="359"/>
      <c r="T718" s="359"/>
      <c r="U718" s="359"/>
      <c r="V718" s="359"/>
      <c r="W718" s="359"/>
      <c r="X718" s="359"/>
      <c r="Y718" s="359"/>
      <c r="Z718" s="359"/>
      <c r="AA718" s="359"/>
    </row>
    <row r="719" spans="1:27" ht="12" customHeight="1" x14ac:dyDescent="0.25">
      <c r="A719" s="359"/>
      <c r="B719" s="359"/>
      <c r="C719" s="359"/>
      <c r="D719" s="359"/>
      <c r="E719" s="359"/>
      <c r="F719" s="359"/>
      <c r="G719" s="359"/>
      <c r="H719" s="359"/>
      <c r="I719" s="359"/>
      <c r="J719" s="359"/>
      <c r="K719" s="359"/>
      <c r="L719" s="359"/>
      <c r="M719" s="359"/>
      <c r="N719" s="359"/>
      <c r="O719" s="359"/>
      <c r="P719" s="359"/>
      <c r="Q719" s="359"/>
      <c r="R719" s="359"/>
      <c r="S719" s="359"/>
      <c r="T719" s="359"/>
      <c r="U719" s="359"/>
      <c r="V719" s="359"/>
      <c r="W719" s="359"/>
      <c r="X719" s="359"/>
      <c r="Y719" s="359"/>
      <c r="Z719" s="359"/>
      <c r="AA719" s="359"/>
    </row>
    <row r="720" spans="1:27" ht="12" customHeight="1" x14ac:dyDescent="0.25">
      <c r="A720" s="359"/>
      <c r="B720" s="359"/>
      <c r="C720" s="359"/>
      <c r="D720" s="359"/>
      <c r="E720" s="359"/>
      <c r="F720" s="359"/>
      <c r="G720" s="359"/>
      <c r="H720" s="359"/>
      <c r="I720" s="359"/>
      <c r="J720" s="359"/>
      <c r="K720" s="359"/>
      <c r="L720" s="359"/>
      <c r="M720" s="359"/>
      <c r="N720" s="359"/>
      <c r="O720" s="359"/>
      <c r="P720" s="359"/>
      <c r="Q720" s="359"/>
      <c r="R720" s="359"/>
      <c r="S720" s="359"/>
      <c r="T720" s="359"/>
      <c r="U720" s="359"/>
      <c r="V720" s="359"/>
      <c r="W720" s="359"/>
      <c r="X720" s="359"/>
      <c r="Y720" s="359"/>
      <c r="Z720" s="359"/>
      <c r="AA720" s="359"/>
    </row>
    <row r="721" spans="1:27" ht="12" customHeight="1" x14ac:dyDescent="0.25">
      <c r="A721" s="359"/>
      <c r="B721" s="359"/>
      <c r="C721" s="359"/>
      <c r="D721" s="359"/>
      <c r="E721" s="359"/>
      <c r="F721" s="359"/>
      <c r="G721" s="359"/>
      <c r="H721" s="359"/>
      <c r="I721" s="359"/>
      <c r="J721" s="359"/>
      <c r="K721" s="359"/>
      <c r="L721" s="359"/>
      <c r="M721" s="359"/>
      <c r="N721" s="359"/>
      <c r="O721" s="359"/>
      <c r="P721" s="359"/>
      <c r="Q721" s="359"/>
      <c r="R721" s="359"/>
      <c r="S721" s="359"/>
      <c r="T721" s="359"/>
      <c r="U721" s="359"/>
      <c r="V721" s="359"/>
      <c r="W721" s="359"/>
      <c r="X721" s="359"/>
      <c r="Y721" s="359"/>
      <c r="Z721" s="359"/>
      <c r="AA721" s="359"/>
    </row>
    <row r="722" spans="1:27" ht="12" customHeight="1" x14ac:dyDescent="0.25">
      <c r="A722" s="359"/>
      <c r="B722" s="359"/>
      <c r="C722" s="359"/>
      <c r="D722" s="359"/>
      <c r="E722" s="359"/>
      <c r="F722" s="359"/>
      <c r="G722" s="359"/>
      <c r="H722" s="359"/>
      <c r="I722" s="359"/>
      <c r="J722" s="359"/>
      <c r="K722" s="359"/>
      <c r="L722" s="359"/>
      <c r="M722" s="359"/>
      <c r="N722" s="359"/>
      <c r="O722" s="359"/>
      <c r="P722" s="359"/>
      <c r="Q722" s="359"/>
      <c r="R722" s="359"/>
      <c r="S722" s="359"/>
      <c r="T722" s="359"/>
      <c r="U722" s="359"/>
      <c r="V722" s="359"/>
      <c r="W722" s="359"/>
      <c r="X722" s="359"/>
      <c r="Y722" s="359"/>
      <c r="Z722" s="359"/>
      <c r="AA722" s="359"/>
    </row>
    <row r="723" spans="1:27" ht="12" customHeight="1" x14ac:dyDescent="0.25">
      <c r="A723" s="359"/>
      <c r="B723" s="359"/>
      <c r="C723" s="359"/>
      <c r="D723" s="359"/>
      <c r="E723" s="359"/>
      <c r="F723" s="359"/>
      <c r="G723" s="359"/>
      <c r="H723" s="359"/>
      <c r="I723" s="359"/>
      <c r="J723" s="359"/>
      <c r="K723" s="359"/>
      <c r="L723" s="359"/>
      <c r="M723" s="359"/>
      <c r="N723" s="359"/>
      <c r="O723" s="359"/>
      <c r="P723" s="359"/>
      <c r="Q723" s="359"/>
      <c r="R723" s="359"/>
      <c r="S723" s="359"/>
      <c r="T723" s="359"/>
      <c r="U723" s="359"/>
      <c r="V723" s="359"/>
      <c r="W723" s="359"/>
      <c r="X723" s="359"/>
      <c r="Y723" s="359"/>
      <c r="Z723" s="359"/>
      <c r="AA723" s="359"/>
    </row>
    <row r="724" spans="1:27" ht="12" customHeight="1" x14ac:dyDescent="0.25">
      <c r="A724" s="359"/>
      <c r="B724" s="359"/>
      <c r="C724" s="359"/>
      <c r="D724" s="359"/>
      <c r="E724" s="359"/>
      <c r="F724" s="359"/>
      <c r="G724" s="359"/>
      <c r="H724" s="359"/>
      <c r="I724" s="359"/>
      <c r="J724" s="359"/>
      <c r="K724" s="359"/>
      <c r="L724" s="359"/>
      <c r="M724" s="359"/>
      <c r="N724" s="359"/>
      <c r="O724" s="359"/>
      <c r="P724" s="359"/>
      <c r="Q724" s="359"/>
      <c r="R724" s="359"/>
      <c r="S724" s="359"/>
      <c r="T724" s="359"/>
      <c r="U724" s="359"/>
      <c r="V724" s="359"/>
      <c r="W724" s="359"/>
      <c r="X724" s="359"/>
      <c r="Y724" s="359"/>
      <c r="Z724" s="359"/>
      <c r="AA724" s="359"/>
    </row>
    <row r="725" spans="1:27" ht="12" customHeight="1" x14ac:dyDescent="0.25">
      <c r="A725" s="359"/>
      <c r="B725" s="359"/>
      <c r="C725" s="359"/>
      <c r="D725" s="359"/>
      <c r="E725" s="359"/>
      <c r="F725" s="359"/>
      <c r="G725" s="359"/>
      <c r="H725" s="359"/>
      <c r="I725" s="359"/>
      <c r="J725" s="359"/>
      <c r="K725" s="359"/>
      <c r="L725" s="359"/>
      <c r="M725" s="359"/>
      <c r="N725" s="359"/>
      <c r="O725" s="359"/>
      <c r="P725" s="359"/>
      <c r="Q725" s="359"/>
      <c r="R725" s="359"/>
      <c r="S725" s="359"/>
      <c r="T725" s="359"/>
      <c r="U725" s="359"/>
      <c r="V725" s="359"/>
      <c r="W725" s="359"/>
      <c r="X725" s="359"/>
      <c r="Y725" s="359"/>
      <c r="Z725" s="359"/>
      <c r="AA725" s="359"/>
    </row>
    <row r="726" spans="1:27" ht="12" customHeight="1" x14ac:dyDescent="0.25">
      <c r="A726" s="359"/>
      <c r="B726" s="359"/>
      <c r="C726" s="359"/>
      <c r="D726" s="359"/>
      <c r="E726" s="359"/>
      <c r="F726" s="359"/>
      <c r="G726" s="359"/>
      <c r="H726" s="359"/>
      <c r="I726" s="359"/>
      <c r="J726" s="359"/>
      <c r="K726" s="359"/>
      <c r="L726" s="359"/>
      <c r="M726" s="359"/>
      <c r="N726" s="359"/>
      <c r="O726" s="359"/>
      <c r="P726" s="359"/>
      <c r="Q726" s="359"/>
      <c r="R726" s="359"/>
      <c r="S726" s="359"/>
      <c r="T726" s="359"/>
      <c r="U726" s="359"/>
      <c r="V726" s="359"/>
      <c r="W726" s="359"/>
      <c r="X726" s="359"/>
      <c r="Y726" s="359"/>
      <c r="Z726" s="359"/>
      <c r="AA726" s="359"/>
    </row>
    <row r="727" spans="1:27" ht="12" customHeight="1" x14ac:dyDescent="0.25">
      <c r="A727" s="359"/>
      <c r="B727" s="359"/>
      <c r="C727" s="359"/>
      <c r="D727" s="359"/>
      <c r="E727" s="359"/>
      <c r="F727" s="359"/>
      <c r="G727" s="359"/>
      <c r="H727" s="359"/>
      <c r="I727" s="359"/>
      <c r="J727" s="359"/>
      <c r="K727" s="359"/>
      <c r="L727" s="359"/>
      <c r="M727" s="359"/>
      <c r="N727" s="359"/>
      <c r="O727" s="359"/>
      <c r="P727" s="359"/>
      <c r="Q727" s="359"/>
      <c r="R727" s="359"/>
      <c r="S727" s="359"/>
      <c r="T727" s="359"/>
      <c r="U727" s="359"/>
      <c r="V727" s="359"/>
      <c r="W727" s="359"/>
      <c r="X727" s="359"/>
      <c r="Y727" s="359"/>
      <c r="Z727" s="359"/>
      <c r="AA727" s="359"/>
    </row>
    <row r="728" spans="1:27" ht="12" customHeight="1" x14ac:dyDescent="0.25">
      <c r="A728" s="359"/>
      <c r="B728" s="359"/>
      <c r="C728" s="359"/>
      <c r="D728" s="359"/>
      <c r="E728" s="359"/>
      <c r="F728" s="359"/>
      <c r="G728" s="359"/>
      <c r="H728" s="359"/>
      <c r="I728" s="359"/>
      <c r="J728" s="359"/>
      <c r="K728" s="359"/>
      <c r="L728" s="359"/>
      <c r="M728" s="359"/>
      <c r="N728" s="359"/>
      <c r="O728" s="359"/>
      <c r="P728" s="359"/>
      <c r="Q728" s="359"/>
      <c r="R728" s="359"/>
      <c r="S728" s="359"/>
      <c r="T728" s="359"/>
      <c r="U728" s="359"/>
      <c r="V728" s="359"/>
      <c r="W728" s="359"/>
      <c r="X728" s="359"/>
      <c r="Y728" s="359"/>
      <c r="Z728" s="359"/>
      <c r="AA728" s="359"/>
    </row>
    <row r="729" spans="1:27" ht="12" customHeight="1" x14ac:dyDescent="0.25">
      <c r="A729" s="359"/>
      <c r="B729" s="359"/>
      <c r="C729" s="359"/>
      <c r="D729" s="359"/>
      <c r="E729" s="359"/>
      <c r="F729" s="359"/>
      <c r="G729" s="359"/>
      <c r="H729" s="359"/>
      <c r="I729" s="359"/>
      <c r="J729" s="359"/>
      <c r="K729" s="359"/>
      <c r="L729" s="359"/>
      <c r="M729" s="359"/>
      <c r="N729" s="359"/>
      <c r="O729" s="359"/>
      <c r="P729" s="359"/>
      <c r="Q729" s="359"/>
      <c r="R729" s="359"/>
      <c r="S729" s="359"/>
      <c r="T729" s="359"/>
      <c r="U729" s="359"/>
      <c r="V729" s="359"/>
      <c r="W729" s="359"/>
      <c r="X729" s="359"/>
      <c r="Y729" s="359"/>
      <c r="Z729" s="359"/>
      <c r="AA729" s="359"/>
    </row>
    <row r="730" spans="1:27" ht="12" customHeight="1" x14ac:dyDescent="0.25">
      <c r="A730" s="359"/>
      <c r="B730" s="359"/>
      <c r="C730" s="359"/>
      <c r="D730" s="359"/>
      <c r="E730" s="359"/>
      <c r="F730" s="359"/>
      <c r="G730" s="359"/>
      <c r="H730" s="359"/>
      <c r="I730" s="359"/>
      <c r="J730" s="359"/>
      <c r="K730" s="359"/>
      <c r="L730" s="359"/>
      <c r="M730" s="359"/>
      <c r="N730" s="359"/>
      <c r="O730" s="359"/>
      <c r="P730" s="359"/>
      <c r="Q730" s="359"/>
      <c r="R730" s="359"/>
      <c r="S730" s="359"/>
      <c r="T730" s="359"/>
      <c r="U730" s="359"/>
      <c r="V730" s="359"/>
      <c r="W730" s="359"/>
      <c r="X730" s="359"/>
      <c r="Y730" s="359"/>
      <c r="Z730" s="359"/>
      <c r="AA730" s="359"/>
    </row>
    <row r="731" spans="1:27" ht="12" customHeight="1" x14ac:dyDescent="0.25">
      <c r="A731" s="359"/>
      <c r="B731" s="359"/>
      <c r="C731" s="359"/>
      <c r="D731" s="359"/>
      <c r="E731" s="359"/>
      <c r="F731" s="359"/>
      <c r="G731" s="359"/>
      <c r="H731" s="359"/>
      <c r="I731" s="359"/>
      <c r="J731" s="359"/>
      <c r="K731" s="359"/>
      <c r="L731" s="359"/>
      <c r="M731" s="359"/>
      <c r="N731" s="359"/>
      <c r="O731" s="359"/>
      <c r="P731" s="359"/>
      <c r="Q731" s="359"/>
      <c r="R731" s="359"/>
      <c r="S731" s="359"/>
      <c r="T731" s="359"/>
      <c r="U731" s="359"/>
      <c r="V731" s="359"/>
      <c r="W731" s="359"/>
      <c r="X731" s="359"/>
      <c r="Y731" s="359"/>
      <c r="Z731" s="359"/>
      <c r="AA731" s="359"/>
    </row>
    <row r="732" spans="1:27" ht="12" customHeight="1" x14ac:dyDescent="0.25">
      <c r="A732" s="359"/>
      <c r="B732" s="359"/>
      <c r="C732" s="359"/>
      <c r="D732" s="359"/>
      <c r="E732" s="359"/>
      <c r="F732" s="359"/>
      <c r="G732" s="359"/>
      <c r="H732" s="359"/>
      <c r="I732" s="359"/>
      <c r="J732" s="359"/>
      <c r="K732" s="359"/>
      <c r="L732" s="359"/>
      <c r="M732" s="359"/>
      <c r="N732" s="359"/>
      <c r="O732" s="359"/>
      <c r="P732" s="359"/>
      <c r="Q732" s="359"/>
      <c r="R732" s="359"/>
      <c r="S732" s="359"/>
      <c r="T732" s="359"/>
      <c r="U732" s="359"/>
      <c r="V732" s="359"/>
      <c r="W732" s="359"/>
      <c r="X732" s="359"/>
      <c r="Y732" s="359"/>
      <c r="Z732" s="359"/>
      <c r="AA732" s="359"/>
    </row>
    <row r="733" spans="1:27" ht="12" customHeight="1" x14ac:dyDescent="0.25">
      <c r="A733" s="359"/>
      <c r="B733" s="359"/>
      <c r="C733" s="359"/>
      <c r="D733" s="359"/>
      <c r="E733" s="359"/>
      <c r="F733" s="359"/>
      <c r="G733" s="359"/>
      <c r="H733" s="359"/>
      <c r="I733" s="359"/>
      <c r="J733" s="359"/>
      <c r="K733" s="359"/>
      <c r="L733" s="359"/>
      <c r="M733" s="359"/>
      <c r="N733" s="359"/>
      <c r="O733" s="359"/>
      <c r="P733" s="359"/>
      <c r="Q733" s="359"/>
      <c r="R733" s="359"/>
      <c r="S733" s="359"/>
      <c r="T733" s="359"/>
      <c r="U733" s="359"/>
      <c r="V733" s="359"/>
      <c r="W733" s="359"/>
      <c r="X733" s="359"/>
      <c r="Y733" s="359"/>
      <c r="Z733" s="359"/>
      <c r="AA733" s="359"/>
    </row>
    <row r="734" spans="1:27" ht="12" customHeight="1" x14ac:dyDescent="0.25">
      <c r="A734" s="359"/>
      <c r="B734" s="359"/>
      <c r="C734" s="359"/>
      <c r="D734" s="359"/>
      <c r="E734" s="359"/>
      <c r="F734" s="359"/>
      <c r="G734" s="359"/>
      <c r="H734" s="359"/>
      <c r="I734" s="359"/>
      <c r="J734" s="359"/>
      <c r="K734" s="359"/>
      <c r="L734" s="359"/>
      <c r="M734" s="359"/>
      <c r="N734" s="359"/>
      <c r="O734" s="359"/>
      <c r="P734" s="359"/>
      <c r="Q734" s="359"/>
      <c r="R734" s="359"/>
      <c r="S734" s="359"/>
      <c r="T734" s="359"/>
      <c r="U734" s="359"/>
      <c r="V734" s="359"/>
      <c r="W734" s="359"/>
      <c r="X734" s="359"/>
      <c r="Y734" s="359"/>
      <c r="Z734" s="359"/>
      <c r="AA734" s="359"/>
    </row>
    <row r="735" spans="1:27" ht="12" customHeight="1" x14ac:dyDescent="0.25">
      <c r="A735" s="359"/>
      <c r="B735" s="359"/>
      <c r="C735" s="359"/>
      <c r="D735" s="359"/>
      <c r="E735" s="359"/>
      <c r="F735" s="359"/>
      <c r="G735" s="359"/>
      <c r="H735" s="359"/>
      <c r="I735" s="359"/>
      <c r="J735" s="359"/>
      <c r="K735" s="359"/>
      <c r="L735" s="359"/>
      <c r="M735" s="359"/>
      <c r="N735" s="359"/>
      <c r="O735" s="359"/>
      <c r="P735" s="359"/>
      <c r="Q735" s="359"/>
      <c r="R735" s="359"/>
      <c r="S735" s="359"/>
      <c r="T735" s="359"/>
      <c r="U735" s="359"/>
      <c r="V735" s="359"/>
      <c r="W735" s="359"/>
      <c r="X735" s="359"/>
      <c r="Y735" s="359"/>
      <c r="Z735" s="359"/>
      <c r="AA735" s="359"/>
    </row>
    <row r="736" spans="1:27" ht="12" customHeight="1" x14ac:dyDescent="0.25">
      <c r="A736" s="359"/>
      <c r="B736" s="359"/>
      <c r="C736" s="359"/>
      <c r="D736" s="359"/>
      <c r="E736" s="359"/>
      <c r="F736" s="359"/>
      <c r="G736" s="359"/>
      <c r="H736" s="359"/>
      <c r="I736" s="359"/>
      <c r="J736" s="359"/>
      <c r="K736" s="359"/>
      <c r="L736" s="359"/>
      <c r="M736" s="359"/>
      <c r="N736" s="359"/>
      <c r="O736" s="359"/>
      <c r="P736" s="359"/>
      <c r="Q736" s="359"/>
      <c r="R736" s="359"/>
      <c r="S736" s="359"/>
      <c r="T736" s="359"/>
      <c r="U736" s="359"/>
      <c r="V736" s="359"/>
      <c r="W736" s="359"/>
      <c r="X736" s="359"/>
      <c r="Y736" s="359"/>
      <c r="Z736" s="359"/>
      <c r="AA736" s="359"/>
    </row>
    <row r="737" spans="1:27" ht="12" customHeight="1" x14ac:dyDescent="0.25">
      <c r="A737" s="359"/>
      <c r="B737" s="359"/>
      <c r="C737" s="359"/>
      <c r="D737" s="359"/>
      <c r="E737" s="359"/>
      <c r="F737" s="359"/>
      <c r="G737" s="359"/>
      <c r="H737" s="359"/>
      <c r="I737" s="359"/>
      <c r="J737" s="359"/>
      <c r="K737" s="359"/>
      <c r="L737" s="359"/>
      <c r="M737" s="359"/>
      <c r="N737" s="359"/>
      <c r="O737" s="359"/>
      <c r="P737" s="359"/>
      <c r="Q737" s="359"/>
      <c r="R737" s="359"/>
      <c r="S737" s="359"/>
      <c r="T737" s="359"/>
      <c r="U737" s="359"/>
      <c r="V737" s="359"/>
      <c r="W737" s="359"/>
      <c r="X737" s="359"/>
      <c r="Y737" s="359"/>
      <c r="Z737" s="359"/>
      <c r="AA737" s="359"/>
    </row>
    <row r="738" spans="1:27" ht="12" customHeight="1" x14ac:dyDescent="0.25">
      <c r="A738" s="359"/>
      <c r="B738" s="359"/>
      <c r="C738" s="359"/>
      <c r="D738" s="359"/>
      <c r="E738" s="359"/>
      <c r="F738" s="359"/>
      <c r="G738" s="359"/>
      <c r="H738" s="359"/>
      <c r="I738" s="359"/>
      <c r="J738" s="359"/>
      <c r="K738" s="359"/>
      <c r="L738" s="359"/>
      <c r="M738" s="359"/>
      <c r="N738" s="359"/>
      <c r="O738" s="359"/>
      <c r="P738" s="359"/>
      <c r="Q738" s="359"/>
      <c r="R738" s="359"/>
      <c r="S738" s="359"/>
      <c r="T738" s="359"/>
      <c r="U738" s="359"/>
      <c r="V738" s="359"/>
      <c r="W738" s="359"/>
      <c r="X738" s="359"/>
      <c r="Y738" s="359"/>
      <c r="Z738" s="359"/>
      <c r="AA738" s="359"/>
    </row>
    <row r="739" spans="1:27" ht="12" customHeight="1" x14ac:dyDescent="0.25">
      <c r="A739" s="359"/>
      <c r="B739" s="359"/>
      <c r="C739" s="359"/>
      <c r="D739" s="359"/>
      <c r="E739" s="359"/>
      <c r="F739" s="359"/>
      <c r="G739" s="359"/>
      <c r="H739" s="359"/>
      <c r="I739" s="359"/>
      <c r="J739" s="359"/>
      <c r="K739" s="359"/>
      <c r="L739" s="359"/>
      <c r="M739" s="359"/>
      <c r="N739" s="359"/>
      <c r="O739" s="359"/>
      <c r="P739" s="359"/>
      <c r="Q739" s="359"/>
      <c r="R739" s="359"/>
      <c r="S739" s="359"/>
      <c r="T739" s="359"/>
      <c r="U739" s="359"/>
      <c r="V739" s="359"/>
      <c r="W739" s="359"/>
      <c r="X739" s="359"/>
      <c r="Y739" s="359"/>
      <c r="Z739" s="359"/>
      <c r="AA739" s="359"/>
    </row>
    <row r="740" spans="1:27" ht="12" customHeight="1" x14ac:dyDescent="0.25">
      <c r="A740" s="359"/>
      <c r="B740" s="359"/>
      <c r="C740" s="359"/>
      <c r="D740" s="359"/>
      <c r="E740" s="359"/>
      <c r="F740" s="359"/>
      <c r="G740" s="359"/>
      <c r="H740" s="359"/>
      <c r="I740" s="359"/>
      <c r="J740" s="359"/>
      <c r="K740" s="359"/>
      <c r="L740" s="359"/>
      <c r="M740" s="359"/>
      <c r="N740" s="359"/>
      <c r="O740" s="359"/>
      <c r="P740" s="359"/>
      <c r="Q740" s="359"/>
      <c r="R740" s="359"/>
      <c r="S740" s="359"/>
      <c r="T740" s="359"/>
      <c r="U740" s="359"/>
      <c r="V740" s="359"/>
      <c r="W740" s="359"/>
      <c r="X740" s="359"/>
      <c r="Y740" s="359"/>
      <c r="Z740" s="359"/>
      <c r="AA740" s="359"/>
    </row>
    <row r="741" spans="1:27" ht="12" customHeight="1" x14ac:dyDescent="0.25">
      <c r="A741" s="359"/>
      <c r="B741" s="359"/>
      <c r="C741" s="359"/>
      <c r="D741" s="359"/>
      <c r="E741" s="359"/>
      <c r="F741" s="359"/>
      <c r="G741" s="359"/>
      <c r="H741" s="359"/>
      <c r="I741" s="359"/>
      <c r="J741" s="359"/>
      <c r="K741" s="359"/>
      <c r="L741" s="359"/>
      <c r="M741" s="359"/>
      <c r="N741" s="359"/>
      <c r="O741" s="359"/>
      <c r="P741" s="359"/>
      <c r="Q741" s="359"/>
      <c r="R741" s="359"/>
      <c r="S741" s="359"/>
      <c r="T741" s="359"/>
      <c r="U741" s="359"/>
      <c r="V741" s="359"/>
      <c r="W741" s="359"/>
      <c r="X741" s="359"/>
      <c r="Y741" s="359"/>
      <c r="Z741" s="359"/>
      <c r="AA741" s="359"/>
    </row>
    <row r="742" spans="1:27" ht="12" customHeight="1" x14ac:dyDescent="0.25">
      <c r="A742" s="359"/>
      <c r="B742" s="359"/>
      <c r="C742" s="359"/>
      <c r="D742" s="359"/>
      <c r="E742" s="359"/>
      <c r="F742" s="359"/>
      <c r="G742" s="359"/>
      <c r="H742" s="359"/>
      <c r="I742" s="359"/>
      <c r="J742" s="359"/>
      <c r="K742" s="359"/>
      <c r="L742" s="359"/>
      <c r="M742" s="359"/>
      <c r="N742" s="359"/>
      <c r="O742" s="359"/>
      <c r="P742" s="359"/>
      <c r="Q742" s="359"/>
      <c r="R742" s="359"/>
      <c r="S742" s="359"/>
      <c r="T742" s="359"/>
      <c r="U742" s="359"/>
      <c r="V742" s="359"/>
      <c r="W742" s="359"/>
      <c r="X742" s="359"/>
      <c r="Y742" s="359"/>
      <c r="Z742" s="359"/>
      <c r="AA742" s="359"/>
    </row>
    <row r="743" spans="1:27" ht="12" customHeight="1" x14ac:dyDescent="0.25">
      <c r="A743" s="359"/>
      <c r="B743" s="359"/>
      <c r="C743" s="359"/>
      <c r="D743" s="359"/>
      <c r="E743" s="359"/>
      <c r="F743" s="359"/>
      <c r="G743" s="359"/>
      <c r="H743" s="359"/>
      <c r="I743" s="359"/>
      <c r="J743" s="359"/>
      <c r="K743" s="359"/>
      <c r="L743" s="359"/>
      <c r="M743" s="359"/>
      <c r="N743" s="359"/>
      <c r="O743" s="359"/>
      <c r="P743" s="359"/>
      <c r="Q743" s="359"/>
      <c r="R743" s="359"/>
      <c r="S743" s="359"/>
      <c r="T743" s="359"/>
      <c r="U743" s="359"/>
      <c r="V743" s="359"/>
      <c r="W743" s="359"/>
      <c r="X743" s="359"/>
      <c r="Y743" s="359"/>
      <c r="Z743" s="359"/>
      <c r="AA743" s="359"/>
    </row>
    <row r="744" spans="1:27" ht="12" customHeight="1" x14ac:dyDescent="0.25">
      <c r="A744" s="359"/>
      <c r="B744" s="359"/>
      <c r="C744" s="359"/>
      <c r="D744" s="359"/>
      <c r="E744" s="359"/>
      <c r="F744" s="359"/>
      <c r="G744" s="359"/>
      <c r="H744" s="359"/>
      <c r="I744" s="359"/>
      <c r="J744" s="359"/>
      <c r="K744" s="359"/>
      <c r="L744" s="359"/>
      <c r="M744" s="359"/>
      <c r="N744" s="359"/>
      <c r="O744" s="359"/>
      <c r="P744" s="359"/>
      <c r="Q744" s="359"/>
      <c r="R744" s="359"/>
      <c r="S744" s="359"/>
      <c r="T744" s="359"/>
      <c r="U744" s="359"/>
      <c r="V744" s="359"/>
      <c r="W744" s="359"/>
      <c r="X744" s="359"/>
      <c r="Y744" s="359"/>
      <c r="Z744" s="359"/>
      <c r="AA744" s="359"/>
    </row>
    <row r="745" spans="1:27" ht="12" customHeight="1" x14ac:dyDescent="0.25">
      <c r="A745" s="359"/>
      <c r="B745" s="359"/>
      <c r="C745" s="359"/>
      <c r="D745" s="359"/>
      <c r="E745" s="359"/>
      <c r="F745" s="359"/>
      <c r="G745" s="359"/>
      <c r="H745" s="359"/>
      <c r="I745" s="359"/>
      <c r="J745" s="359"/>
      <c r="K745" s="359"/>
      <c r="L745" s="359"/>
      <c r="M745" s="359"/>
      <c r="N745" s="359"/>
      <c r="O745" s="359"/>
      <c r="P745" s="359"/>
      <c r="Q745" s="359"/>
      <c r="R745" s="359"/>
      <c r="S745" s="359"/>
      <c r="T745" s="359"/>
      <c r="U745" s="359"/>
      <c r="V745" s="359"/>
      <c r="W745" s="359"/>
      <c r="X745" s="359"/>
      <c r="Y745" s="359"/>
      <c r="Z745" s="359"/>
      <c r="AA745" s="359"/>
    </row>
    <row r="746" spans="1:27" ht="12" customHeight="1" x14ac:dyDescent="0.25">
      <c r="A746" s="359"/>
      <c r="B746" s="359"/>
      <c r="C746" s="359"/>
      <c r="D746" s="359"/>
      <c r="E746" s="359"/>
      <c r="F746" s="359"/>
      <c r="G746" s="359"/>
      <c r="H746" s="359"/>
      <c r="I746" s="359"/>
      <c r="J746" s="359"/>
      <c r="K746" s="359"/>
      <c r="L746" s="359"/>
      <c r="M746" s="359"/>
      <c r="N746" s="359"/>
      <c r="O746" s="359"/>
      <c r="P746" s="359"/>
      <c r="Q746" s="359"/>
      <c r="R746" s="359"/>
      <c r="S746" s="359"/>
      <c r="T746" s="359"/>
      <c r="U746" s="359"/>
      <c r="V746" s="359"/>
      <c r="W746" s="359"/>
      <c r="X746" s="359"/>
      <c r="Y746" s="359"/>
      <c r="Z746" s="359"/>
      <c r="AA746" s="359"/>
    </row>
    <row r="747" spans="1:27" ht="12" customHeight="1" x14ac:dyDescent="0.25">
      <c r="A747" s="359"/>
      <c r="B747" s="359"/>
      <c r="C747" s="359"/>
      <c r="D747" s="359"/>
      <c r="E747" s="359"/>
      <c r="F747" s="359"/>
      <c r="G747" s="359"/>
      <c r="H747" s="359"/>
      <c r="I747" s="359"/>
      <c r="J747" s="359"/>
      <c r="K747" s="359"/>
      <c r="L747" s="359"/>
      <c r="M747" s="359"/>
      <c r="N747" s="359"/>
      <c r="O747" s="359"/>
      <c r="P747" s="359"/>
      <c r="Q747" s="359"/>
      <c r="R747" s="359"/>
      <c r="S747" s="359"/>
      <c r="T747" s="359"/>
      <c r="U747" s="359"/>
      <c r="V747" s="359"/>
      <c r="W747" s="359"/>
      <c r="X747" s="359"/>
      <c r="Y747" s="359"/>
      <c r="Z747" s="359"/>
      <c r="AA747" s="359"/>
    </row>
    <row r="748" spans="1:27" ht="12" customHeight="1" x14ac:dyDescent="0.25">
      <c r="A748" s="359"/>
      <c r="B748" s="359"/>
      <c r="C748" s="359"/>
      <c r="D748" s="359"/>
      <c r="E748" s="359"/>
      <c r="F748" s="359"/>
      <c r="G748" s="359"/>
      <c r="H748" s="359"/>
      <c r="I748" s="359"/>
      <c r="J748" s="359"/>
      <c r="K748" s="359"/>
      <c r="L748" s="359"/>
      <c r="M748" s="359"/>
      <c r="N748" s="359"/>
      <c r="O748" s="359"/>
      <c r="P748" s="359"/>
      <c r="Q748" s="359"/>
      <c r="R748" s="359"/>
      <c r="S748" s="359"/>
      <c r="T748" s="359"/>
      <c r="U748" s="359"/>
      <c r="V748" s="359"/>
      <c r="W748" s="359"/>
      <c r="X748" s="359"/>
      <c r="Y748" s="359"/>
      <c r="Z748" s="359"/>
      <c r="AA748" s="359"/>
    </row>
    <row r="749" spans="1:27" ht="12" customHeight="1" x14ac:dyDescent="0.25">
      <c r="A749" s="359"/>
      <c r="B749" s="359"/>
      <c r="C749" s="359"/>
      <c r="D749" s="359"/>
      <c r="E749" s="359"/>
      <c r="F749" s="359"/>
      <c r="G749" s="359"/>
      <c r="H749" s="359"/>
      <c r="I749" s="359"/>
      <c r="J749" s="359"/>
      <c r="K749" s="359"/>
      <c r="L749" s="359"/>
      <c r="M749" s="359"/>
      <c r="N749" s="359"/>
      <c r="O749" s="359"/>
      <c r="P749" s="359"/>
      <c r="Q749" s="359"/>
      <c r="R749" s="359"/>
      <c r="S749" s="359"/>
      <c r="T749" s="359"/>
      <c r="U749" s="359"/>
      <c r="V749" s="359"/>
      <c r="W749" s="359"/>
      <c r="X749" s="359"/>
      <c r="Y749" s="359"/>
      <c r="Z749" s="359"/>
      <c r="AA749" s="359"/>
    </row>
    <row r="750" spans="1:27" ht="12" customHeight="1" x14ac:dyDescent="0.25">
      <c r="A750" s="359"/>
      <c r="B750" s="359"/>
      <c r="C750" s="359"/>
      <c r="D750" s="359"/>
      <c r="E750" s="359"/>
      <c r="F750" s="359"/>
      <c r="G750" s="359"/>
      <c r="H750" s="359"/>
      <c r="I750" s="359"/>
      <c r="J750" s="359"/>
      <c r="K750" s="359"/>
      <c r="L750" s="359"/>
      <c r="M750" s="359"/>
      <c r="N750" s="359"/>
      <c r="O750" s="359"/>
      <c r="P750" s="359"/>
      <c r="Q750" s="359"/>
      <c r="R750" s="359"/>
      <c r="S750" s="359"/>
      <c r="T750" s="359"/>
      <c r="U750" s="359"/>
      <c r="V750" s="359"/>
      <c r="W750" s="359"/>
      <c r="X750" s="359"/>
      <c r="Y750" s="359"/>
      <c r="Z750" s="359"/>
      <c r="AA750" s="359"/>
    </row>
    <row r="751" spans="1:27" ht="12" customHeight="1" x14ac:dyDescent="0.25">
      <c r="A751" s="359"/>
      <c r="B751" s="359"/>
      <c r="C751" s="359"/>
      <c r="D751" s="359"/>
      <c r="E751" s="359"/>
      <c r="F751" s="359"/>
      <c r="G751" s="359"/>
      <c r="H751" s="359"/>
      <c r="I751" s="359"/>
      <c r="J751" s="359"/>
      <c r="K751" s="359"/>
      <c r="L751" s="359"/>
      <c r="M751" s="359"/>
      <c r="N751" s="359"/>
      <c r="O751" s="359"/>
      <c r="P751" s="359"/>
      <c r="Q751" s="359"/>
      <c r="R751" s="359"/>
      <c r="S751" s="359"/>
      <c r="T751" s="359"/>
      <c r="U751" s="359"/>
      <c r="V751" s="359"/>
      <c r="W751" s="359"/>
      <c r="X751" s="359"/>
      <c r="Y751" s="359"/>
      <c r="Z751" s="359"/>
      <c r="AA751" s="359"/>
    </row>
    <row r="752" spans="1:27" ht="12" customHeight="1" x14ac:dyDescent="0.25">
      <c r="A752" s="359"/>
      <c r="B752" s="359"/>
      <c r="C752" s="359"/>
      <c r="D752" s="359"/>
      <c r="E752" s="359"/>
      <c r="F752" s="359"/>
      <c r="G752" s="359"/>
      <c r="H752" s="359"/>
      <c r="I752" s="359"/>
      <c r="J752" s="359"/>
      <c r="K752" s="359"/>
      <c r="L752" s="359"/>
      <c r="M752" s="359"/>
      <c r="N752" s="359"/>
      <c r="O752" s="359"/>
      <c r="P752" s="359"/>
      <c r="Q752" s="359"/>
      <c r="R752" s="359"/>
      <c r="S752" s="359"/>
      <c r="T752" s="359"/>
      <c r="U752" s="359"/>
      <c r="V752" s="359"/>
      <c r="W752" s="359"/>
      <c r="X752" s="359"/>
      <c r="Y752" s="359"/>
      <c r="Z752" s="359"/>
      <c r="AA752" s="359"/>
    </row>
    <row r="753" spans="1:27" ht="12" customHeight="1" x14ac:dyDescent="0.25">
      <c r="A753" s="359"/>
      <c r="B753" s="359"/>
      <c r="C753" s="359"/>
      <c r="D753" s="359"/>
      <c r="E753" s="359"/>
      <c r="F753" s="359"/>
      <c r="G753" s="359"/>
      <c r="H753" s="359"/>
      <c r="I753" s="359"/>
      <c r="J753" s="359"/>
      <c r="K753" s="359"/>
      <c r="L753" s="359"/>
      <c r="M753" s="359"/>
      <c r="N753" s="359"/>
      <c r="O753" s="359"/>
      <c r="P753" s="359"/>
      <c r="Q753" s="359"/>
      <c r="R753" s="359"/>
      <c r="S753" s="359"/>
      <c r="T753" s="359"/>
      <c r="U753" s="359"/>
      <c r="V753" s="359"/>
      <c r="W753" s="359"/>
      <c r="X753" s="359"/>
      <c r="Y753" s="359"/>
      <c r="Z753" s="359"/>
      <c r="AA753" s="359"/>
    </row>
    <row r="754" spans="1:27" ht="12" customHeight="1" x14ac:dyDescent="0.25">
      <c r="A754" s="359"/>
      <c r="B754" s="359"/>
      <c r="C754" s="359"/>
      <c r="D754" s="359"/>
      <c r="E754" s="359"/>
      <c r="F754" s="359"/>
      <c r="G754" s="359"/>
      <c r="H754" s="359"/>
      <c r="I754" s="359"/>
      <c r="J754" s="359"/>
      <c r="K754" s="359"/>
      <c r="L754" s="359"/>
      <c r="M754" s="359"/>
      <c r="N754" s="359"/>
      <c r="O754" s="359"/>
      <c r="P754" s="359"/>
      <c r="Q754" s="359"/>
      <c r="R754" s="359"/>
      <c r="S754" s="359"/>
      <c r="T754" s="359"/>
      <c r="U754" s="359"/>
      <c r="V754" s="359"/>
      <c r="W754" s="359"/>
      <c r="X754" s="359"/>
      <c r="Y754" s="359"/>
      <c r="Z754" s="359"/>
      <c r="AA754" s="359"/>
    </row>
    <row r="755" spans="1:27" ht="12" customHeight="1" x14ac:dyDescent="0.25">
      <c r="A755" s="359"/>
      <c r="B755" s="359"/>
      <c r="C755" s="359"/>
      <c r="D755" s="359"/>
      <c r="E755" s="359"/>
      <c r="F755" s="359"/>
      <c r="G755" s="359"/>
      <c r="H755" s="359"/>
      <c r="I755" s="359"/>
      <c r="J755" s="359"/>
      <c r="K755" s="359"/>
      <c r="L755" s="359"/>
      <c r="M755" s="359"/>
      <c r="N755" s="359"/>
      <c r="O755" s="359"/>
      <c r="P755" s="359"/>
      <c r="Q755" s="359"/>
      <c r="R755" s="359"/>
      <c r="S755" s="359"/>
      <c r="T755" s="359"/>
      <c r="U755" s="359"/>
      <c r="V755" s="359"/>
      <c r="W755" s="359"/>
      <c r="X755" s="359"/>
      <c r="Y755" s="359"/>
      <c r="Z755" s="359"/>
      <c r="AA755" s="359"/>
    </row>
    <row r="756" spans="1:27" ht="12" customHeight="1" x14ac:dyDescent="0.25">
      <c r="A756" s="359"/>
      <c r="B756" s="359"/>
      <c r="C756" s="359"/>
      <c r="D756" s="359"/>
      <c r="E756" s="359"/>
      <c r="F756" s="359"/>
      <c r="G756" s="359"/>
      <c r="H756" s="359"/>
      <c r="I756" s="359"/>
      <c r="J756" s="359"/>
      <c r="K756" s="359"/>
      <c r="L756" s="359"/>
      <c r="M756" s="359"/>
      <c r="N756" s="359"/>
      <c r="O756" s="359"/>
      <c r="P756" s="359"/>
      <c r="Q756" s="359"/>
      <c r="R756" s="359"/>
      <c r="S756" s="359"/>
      <c r="T756" s="359"/>
      <c r="U756" s="359"/>
      <c r="V756" s="359"/>
      <c r="W756" s="359"/>
      <c r="X756" s="359"/>
      <c r="Y756" s="359"/>
      <c r="Z756" s="359"/>
      <c r="AA756" s="359"/>
    </row>
    <row r="757" spans="1:27" ht="12" customHeight="1" x14ac:dyDescent="0.25">
      <c r="A757" s="359"/>
      <c r="B757" s="359"/>
      <c r="C757" s="359"/>
      <c r="D757" s="359"/>
      <c r="E757" s="359"/>
      <c r="F757" s="359"/>
      <c r="G757" s="359"/>
      <c r="H757" s="359"/>
      <c r="I757" s="359"/>
      <c r="J757" s="359"/>
      <c r="K757" s="359"/>
      <c r="L757" s="359"/>
      <c r="M757" s="359"/>
      <c r="N757" s="359"/>
      <c r="O757" s="359"/>
      <c r="P757" s="359"/>
      <c r="Q757" s="359"/>
      <c r="R757" s="359"/>
      <c r="S757" s="359"/>
      <c r="T757" s="359"/>
      <c r="U757" s="359"/>
      <c r="V757" s="359"/>
      <c r="W757" s="359"/>
      <c r="X757" s="359"/>
      <c r="Y757" s="359"/>
      <c r="Z757" s="359"/>
      <c r="AA757" s="359"/>
    </row>
    <row r="758" spans="1:27" ht="12" customHeight="1" x14ac:dyDescent="0.25">
      <c r="A758" s="359"/>
      <c r="B758" s="359"/>
      <c r="C758" s="359"/>
      <c r="D758" s="359"/>
      <c r="E758" s="359"/>
      <c r="F758" s="359"/>
      <c r="G758" s="359"/>
      <c r="H758" s="359"/>
      <c r="I758" s="359"/>
      <c r="J758" s="359"/>
      <c r="K758" s="359"/>
      <c r="L758" s="359"/>
      <c r="M758" s="359"/>
      <c r="N758" s="359"/>
      <c r="O758" s="359"/>
      <c r="P758" s="359"/>
      <c r="Q758" s="359"/>
      <c r="R758" s="359"/>
      <c r="S758" s="359"/>
      <c r="T758" s="359"/>
      <c r="U758" s="359"/>
      <c r="V758" s="359"/>
      <c r="W758" s="359"/>
      <c r="X758" s="359"/>
      <c r="Y758" s="359"/>
      <c r="Z758" s="359"/>
      <c r="AA758" s="359"/>
    </row>
    <row r="759" spans="1:27" ht="12" customHeight="1" x14ac:dyDescent="0.25">
      <c r="A759" s="359"/>
      <c r="B759" s="359"/>
      <c r="C759" s="359"/>
      <c r="D759" s="359"/>
      <c r="E759" s="359"/>
      <c r="F759" s="359"/>
      <c r="G759" s="359"/>
      <c r="H759" s="359"/>
      <c r="I759" s="359"/>
      <c r="J759" s="359"/>
      <c r="K759" s="359"/>
      <c r="L759" s="359"/>
      <c r="M759" s="359"/>
      <c r="N759" s="359"/>
      <c r="O759" s="359"/>
      <c r="P759" s="359"/>
      <c r="Q759" s="359"/>
      <c r="R759" s="359"/>
      <c r="S759" s="359"/>
      <c r="T759" s="359"/>
      <c r="U759" s="359"/>
      <c r="V759" s="359"/>
      <c r="W759" s="359"/>
      <c r="X759" s="359"/>
      <c r="Y759" s="359"/>
      <c r="Z759" s="359"/>
      <c r="AA759" s="359"/>
    </row>
    <row r="760" spans="1:27" ht="12" customHeight="1" x14ac:dyDescent="0.25">
      <c r="A760" s="359"/>
      <c r="B760" s="359"/>
      <c r="C760" s="359"/>
      <c r="D760" s="359"/>
      <c r="E760" s="359"/>
      <c r="F760" s="359"/>
      <c r="G760" s="359"/>
      <c r="H760" s="359"/>
      <c r="I760" s="359"/>
      <c r="J760" s="359"/>
      <c r="K760" s="359"/>
      <c r="L760" s="359"/>
      <c r="M760" s="359"/>
      <c r="N760" s="359"/>
      <c r="O760" s="359"/>
      <c r="P760" s="359"/>
      <c r="Q760" s="359"/>
      <c r="R760" s="359"/>
      <c r="S760" s="359"/>
      <c r="T760" s="359"/>
      <c r="U760" s="359"/>
      <c r="V760" s="359"/>
      <c r="W760" s="359"/>
      <c r="X760" s="359"/>
      <c r="Y760" s="359"/>
      <c r="Z760" s="359"/>
      <c r="AA760" s="359"/>
    </row>
    <row r="761" spans="1:27" ht="12" customHeight="1" x14ac:dyDescent="0.25">
      <c r="A761" s="359"/>
      <c r="B761" s="359"/>
      <c r="C761" s="359"/>
      <c r="D761" s="359"/>
      <c r="E761" s="359"/>
      <c r="F761" s="359"/>
      <c r="G761" s="359"/>
      <c r="H761" s="359"/>
      <c r="I761" s="359"/>
      <c r="J761" s="359"/>
      <c r="K761" s="359"/>
      <c r="L761" s="359"/>
      <c r="M761" s="359"/>
      <c r="N761" s="359"/>
      <c r="O761" s="359"/>
      <c r="P761" s="359"/>
      <c r="Q761" s="359"/>
      <c r="R761" s="359"/>
      <c r="S761" s="359"/>
      <c r="T761" s="359"/>
      <c r="U761" s="359"/>
      <c r="V761" s="359"/>
      <c r="W761" s="359"/>
      <c r="X761" s="359"/>
      <c r="Y761" s="359"/>
      <c r="Z761" s="359"/>
      <c r="AA761" s="359"/>
    </row>
    <row r="762" spans="1:27" ht="12" customHeight="1" x14ac:dyDescent="0.25">
      <c r="A762" s="359"/>
      <c r="B762" s="359"/>
      <c r="C762" s="359"/>
      <c r="D762" s="359"/>
      <c r="E762" s="359"/>
      <c r="F762" s="359"/>
      <c r="G762" s="359"/>
      <c r="H762" s="359"/>
      <c r="I762" s="359"/>
      <c r="J762" s="359"/>
      <c r="K762" s="359"/>
      <c r="L762" s="359"/>
      <c r="M762" s="359"/>
      <c r="N762" s="359"/>
      <c r="O762" s="359"/>
      <c r="P762" s="359"/>
      <c r="Q762" s="359"/>
      <c r="R762" s="359"/>
      <c r="S762" s="359"/>
      <c r="T762" s="359"/>
      <c r="U762" s="359"/>
      <c r="V762" s="359"/>
      <c r="W762" s="359"/>
      <c r="X762" s="359"/>
      <c r="Y762" s="359"/>
      <c r="Z762" s="359"/>
      <c r="AA762" s="359"/>
    </row>
    <row r="763" spans="1:27" ht="12" customHeight="1" x14ac:dyDescent="0.25">
      <c r="A763" s="359"/>
      <c r="B763" s="359"/>
      <c r="C763" s="359"/>
      <c r="D763" s="359"/>
      <c r="E763" s="359"/>
      <c r="F763" s="359"/>
      <c r="G763" s="359"/>
      <c r="H763" s="359"/>
      <c r="I763" s="359"/>
      <c r="J763" s="359"/>
      <c r="K763" s="359"/>
      <c r="L763" s="359"/>
      <c r="M763" s="359"/>
      <c r="N763" s="359"/>
      <c r="O763" s="359"/>
      <c r="P763" s="359"/>
      <c r="Q763" s="359"/>
      <c r="R763" s="359"/>
      <c r="S763" s="359"/>
      <c r="T763" s="359"/>
      <c r="U763" s="359"/>
      <c r="V763" s="359"/>
      <c r="W763" s="359"/>
      <c r="X763" s="359"/>
      <c r="Y763" s="359"/>
      <c r="Z763" s="359"/>
      <c r="AA763" s="359"/>
    </row>
    <row r="764" spans="1:27" ht="12" customHeight="1" x14ac:dyDescent="0.25">
      <c r="A764" s="359"/>
      <c r="B764" s="359"/>
      <c r="C764" s="359"/>
      <c r="D764" s="359"/>
      <c r="E764" s="359"/>
      <c r="F764" s="359"/>
      <c r="G764" s="359"/>
      <c r="H764" s="359"/>
      <c r="I764" s="359"/>
      <c r="J764" s="359"/>
      <c r="K764" s="359"/>
      <c r="L764" s="359"/>
      <c r="M764" s="359"/>
      <c r="N764" s="359"/>
      <c r="O764" s="359"/>
      <c r="P764" s="359"/>
      <c r="Q764" s="359"/>
      <c r="R764" s="359"/>
      <c r="S764" s="359"/>
      <c r="T764" s="359"/>
      <c r="U764" s="359"/>
      <c r="V764" s="359"/>
      <c r="W764" s="359"/>
      <c r="X764" s="359"/>
      <c r="Y764" s="359"/>
      <c r="Z764" s="359"/>
      <c r="AA764" s="359"/>
    </row>
    <row r="765" spans="1:27" ht="12" customHeight="1" x14ac:dyDescent="0.25">
      <c r="A765" s="359"/>
      <c r="B765" s="359"/>
      <c r="C765" s="359"/>
      <c r="D765" s="359"/>
      <c r="E765" s="359"/>
      <c r="F765" s="359"/>
      <c r="G765" s="359"/>
      <c r="H765" s="359"/>
      <c r="I765" s="359"/>
      <c r="J765" s="359"/>
      <c r="K765" s="359"/>
      <c r="L765" s="359"/>
      <c r="M765" s="359"/>
      <c r="N765" s="359"/>
      <c r="O765" s="359"/>
      <c r="P765" s="359"/>
      <c r="Q765" s="359"/>
      <c r="R765" s="359"/>
      <c r="S765" s="359"/>
      <c r="T765" s="359"/>
      <c r="U765" s="359"/>
      <c r="V765" s="359"/>
      <c r="W765" s="359"/>
      <c r="X765" s="359"/>
      <c r="Y765" s="359"/>
      <c r="Z765" s="359"/>
      <c r="AA765" s="359"/>
    </row>
    <row r="766" spans="1:27" ht="12" customHeight="1" x14ac:dyDescent="0.25">
      <c r="A766" s="359"/>
      <c r="B766" s="359"/>
      <c r="C766" s="359"/>
      <c r="D766" s="359"/>
      <c r="E766" s="359"/>
      <c r="F766" s="359"/>
      <c r="G766" s="359"/>
      <c r="H766" s="359"/>
      <c r="I766" s="359"/>
      <c r="J766" s="359"/>
      <c r="K766" s="359"/>
      <c r="L766" s="359"/>
      <c r="M766" s="359"/>
      <c r="N766" s="359"/>
      <c r="O766" s="359"/>
      <c r="P766" s="359"/>
      <c r="Q766" s="359"/>
      <c r="R766" s="359"/>
      <c r="S766" s="359"/>
      <c r="T766" s="359"/>
      <c r="U766" s="359"/>
      <c r="V766" s="359"/>
      <c r="W766" s="359"/>
      <c r="X766" s="359"/>
      <c r="Y766" s="359"/>
      <c r="Z766" s="359"/>
      <c r="AA766" s="359"/>
    </row>
    <row r="767" spans="1:27" ht="12" customHeight="1" x14ac:dyDescent="0.25">
      <c r="A767" s="359"/>
      <c r="B767" s="359"/>
      <c r="C767" s="359"/>
      <c r="D767" s="359"/>
      <c r="E767" s="359"/>
      <c r="F767" s="359"/>
      <c r="G767" s="359"/>
      <c r="H767" s="359"/>
      <c r="I767" s="359"/>
      <c r="J767" s="359"/>
      <c r="K767" s="359"/>
      <c r="L767" s="359"/>
      <c r="M767" s="359"/>
      <c r="N767" s="359"/>
      <c r="O767" s="359"/>
      <c r="P767" s="359"/>
      <c r="Q767" s="359"/>
      <c r="R767" s="359"/>
      <c r="S767" s="359"/>
      <c r="T767" s="359"/>
      <c r="U767" s="359"/>
      <c r="V767" s="359"/>
      <c r="W767" s="359"/>
      <c r="X767" s="359"/>
      <c r="Y767" s="359"/>
      <c r="Z767" s="359"/>
      <c r="AA767" s="359"/>
    </row>
    <row r="768" spans="1:27" ht="12" customHeight="1" x14ac:dyDescent="0.25">
      <c r="A768" s="359"/>
      <c r="B768" s="359"/>
      <c r="C768" s="359"/>
      <c r="D768" s="359"/>
      <c r="E768" s="359"/>
      <c r="F768" s="359"/>
      <c r="G768" s="359"/>
      <c r="H768" s="359"/>
      <c r="I768" s="359"/>
      <c r="J768" s="359"/>
      <c r="K768" s="359"/>
      <c r="L768" s="359"/>
      <c r="M768" s="359"/>
      <c r="N768" s="359"/>
      <c r="O768" s="359"/>
      <c r="P768" s="359"/>
      <c r="Q768" s="359"/>
      <c r="R768" s="359"/>
      <c r="S768" s="359"/>
      <c r="T768" s="359"/>
      <c r="U768" s="359"/>
      <c r="V768" s="359"/>
      <c r="W768" s="359"/>
      <c r="X768" s="359"/>
      <c r="Y768" s="359"/>
      <c r="Z768" s="359"/>
      <c r="AA768" s="359"/>
    </row>
    <row r="769" spans="1:27" ht="12" customHeight="1" x14ac:dyDescent="0.25">
      <c r="A769" s="359"/>
      <c r="B769" s="359"/>
      <c r="C769" s="359"/>
      <c r="D769" s="359"/>
      <c r="E769" s="359"/>
      <c r="F769" s="359"/>
      <c r="G769" s="359"/>
      <c r="H769" s="359"/>
      <c r="I769" s="359"/>
      <c r="J769" s="359"/>
      <c r="K769" s="359"/>
      <c r="L769" s="359"/>
      <c r="M769" s="359"/>
      <c r="N769" s="359"/>
      <c r="O769" s="359"/>
      <c r="P769" s="359"/>
      <c r="Q769" s="359"/>
      <c r="R769" s="359"/>
      <c r="S769" s="359"/>
      <c r="T769" s="359"/>
      <c r="U769" s="359"/>
      <c r="V769" s="359"/>
      <c r="W769" s="359"/>
      <c r="X769" s="359"/>
      <c r="Y769" s="359"/>
      <c r="Z769" s="359"/>
      <c r="AA769" s="359"/>
    </row>
    <row r="770" spans="1:27" ht="12" customHeight="1" x14ac:dyDescent="0.25">
      <c r="A770" s="359"/>
      <c r="B770" s="359"/>
      <c r="C770" s="359"/>
      <c r="D770" s="359"/>
      <c r="E770" s="359"/>
      <c r="F770" s="359"/>
      <c r="G770" s="359"/>
      <c r="H770" s="359"/>
      <c r="I770" s="359"/>
      <c r="J770" s="359"/>
      <c r="K770" s="359"/>
      <c r="L770" s="359"/>
      <c r="M770" s="359"/>
      <c r="N770" s="359"/>
      <c r="O770" s="359"/>
      <c r="P770" s="359"/>
      <c r="Q770" s="359"/>
      <c r="R770" s="359"/>
      <c r="S770" s="359"/>
      <c r="T770" s="359"/>
      <c r="U770" s="359"/>
      <c r="V770" s="359"/>
      <c r="W770" s="359"/>
      <c r="X770" s="359"/>
      <c r="Y770" s="359"/>
      <c r="Z770" s="359"/>
      <c r="AA770" s="359"/>
    </row>
    <row r="771" spans="1:27" ht="12" customHeight="1" x14ac:dyDescent="0.25">
      <c r="A771" s="359"/>
      <c r="B771" s="359"/>
      <c r="C771" s="359"/>
      <c r="D771" s="359"/>
      <c r="E771" s="359"/>
      <c r="F771" s="359"/>
      <c r="G771" s="359"/>
      <c r="H771" s="359"/>
      <c r="I771" s="359"/>
      <c r="J771" s="359"/>
      <c r="K771" s="359"/>
      <c r="L771" s="359"/>
      <c r="M771" s="359"/>
      <c r="N771" s="359"/>
      <c r="O771" s="359"/>
      <c r="P771" s="359"/>
      <c r="Q771" s="359"/>
      <c r="R771" s="359"/>
      <c r="S771" s="359"/>
      <c r="T771" s="359"/>
      <c r="U771" s="359"/>
      <c r="V771" s="359"/>
      <c r="W771" s="359"/>
      <c r="X771" s="359"/>
      <c r="Y771" s="359"/>
      <c r="Z771" s="359"/>
      <c r="AA771" s="359"/>
    </row>
    <row r="772" spans="1:27" ht="12" customHeight="1" x14ac:dyDescent="0.25">
      <c r="A772" s="359"/>
      <c r="B772" s="359"/>
      <c r="C772" s="359"/>
      <c r="D772" s="359"/>
      <c r="E772" s="359"/>
      <c r="F772" s="359"/>
      <c r="G772" s="359"/>
      <c r="H772" s="359"/>
      <c r="I772" s="359"/>
      <c r="J772" s="359"/>
      <c r="K772" s="359"/>
      <c r="L772" s="359"/>
      <c r="M772" s="359"/>
      <c r="N772" s="359"/>
      <c r="O772" s="359"/>
      <c r="P772" s="359"/>
      <c r="Q772" s="359"/>
      <c r="R772" s="359"/>
      <c r="S772" s="359"/>
      <c r="T772" s="359"/>
      <c r="U772" s="359"/>
      <c r="V772" s="359"/>
      <c r="W772" s="359"/>
      <c r="X772" s="359"/>
      <c r="Y772" s="359"/>
      <c r="Z772" s="359"/>
      <c r="AA772" s="359"/>
    </row>
    <row r="773" spans="1:27" ht="12" customHeight="1" x14ac:dyDescent="0.25">
      <c r="A773" s="359"/>
      <c r="B773" s="359"/>
      <c r="C773" s="359"/>
      <c r="D773" s="359"/>
      <c r="E773" s="359"/>
      <c r="F773" s="359"/>
      <c r="G773" s="359"/>
      <c r="H773" s="359"/>
      <c r="I773" s="359"/>
      <c r="J773" s="359"/>
      <c r="K773" s="359"/>
      <c r="L773" s="359"/>
      <c r="M773" s="359"/>
      <c r="N773" s="359"/>
      <c r="O773" s="359"/>
      <c r="P773" s="359"/>
      <c r="Q773" s="359"/>
      <c r="R773" s="359"/>
      <c r="S773" s="359"/>
      <c r="T773" s="359"/>
      <c r="U773" s="359"/>
      <c r="V773" s="359"/>
      <c r="W773" s="359"/>
      <c r="X773" s="359"/>
      <c r="Y773" s="359"/>
      <c r="Z773" s="359"/>
      <c r="AA773" s="359"/>
    </row>
    <row r="774" spans="1:27" ht="12" customHeight="1" x14ac:dyDescent="0.25">
      <c r="A774" s="359"/>
      <c r="B774" s="359"/>
      <c r="C774" s="359"/>
      <c r="D774" s="359"/>
      <c r="E774" s="359"/>
      <c r="F774" s="359"/>
      <c r="G774" s="359"/>
      <c r="H774" s="359"/>
      <c r="I774" s="359"/>
      <c r="J774" s="359"/>
      <c r="K774" s="359"/>
      <c r="L774" s="359"/>
      <c r="M774" s="359"/>
      <c r="N774" s="359"/>
      <c r="O774" s="359"/>
      <c r="P774" s="359"/>
      <c r="Q774" s="359"/>
      <c r="R774" s="359"/>
      <c r="S774" s="359"/>
      <c r="T774" s="359"/>
      <c r="U774" s="359"/>
      <c r="V774" s="359"/>
      <c r="W774" s="359"/>
      <c r="X774" s="359"/>
      <c r="Y774" s="359"/>
      <c r="Z774" s="359"/>
      <c r="AA774" s="359"/>
    </row>
    <row r="775" spans="1:27" ht="12" customHeight="1" x14ac:dyDescent="0.25">
      <c r="A775" s="359"/>
      <c r="B775" s="359"/>
      <c r="C775" s="359"/>
      <c r="D775" s="359"/>
      <c r="E775" s="359"/>
      <c r="F775" s="359"/>
      <c r="G775" s="359"/>
      <c r="H775" s="359"/>
      <c r="I775" s="359"/>
      <c r="J775" s="359"/>
      <c r="K775" s="359"/>
      <c r="L775" s="359"/>
      <c r="M775" s="359"/>
      <c r="N775" s="359"/>
      <c r="O775" s="359"/>
      <c r="P775" s="359"/>
      <c r="Q775" s="359"/>
      <c r="R775" s="359"/>
      <c r="S775" s="359"/>
      <c r="T775" s="359"/>
      <c r="U775" s="359"/>
      <c r="V775" s="359"/>
      <c r="W775" s="359"/>
      <c r="X775" s="359"/>
      <c r="Y775" s="359"/>
      <c r="Z775" s="359"/>
      <c r="AA775" s="359"/>
    </row>
    <row r="776" spans="1:27" ht="12" customHeight="1" x14ac:dyDescent="0.25">
      <c r="A776" s="359"/>
      <c r="B776" s="359"/>
      <c r="C776" s="359"/>
      <c r="D776" s="359"/>
      <c r="E776" s="359"/>
      <c r="F776" s="359"/>
      <c r="G776" s="359"/>
      <c r="H776" s="359"/>
      <c r="I776" s="359"/>
      <c r="J776" s="359"/>
      <c r="K776" s="359"/>
      <c r="L776" s="359"/>
      <c r="M776" s="359"/>
      <c r="N776" s="359"/>
      <c r="O776" s="359"/>
      <c r="P776" s="359"/>
      <c r="Q776" s="359"/>
      <c r="R776" s="359"/>
      <c r="S776" s="359"/>
      <c r="T776" s="359"/>
      <c r="U776" s="359"/>
      <c r="V776" s="359"/>
      <c r="W776" s="359"/>
      <c r="X776" s="359"/>
      <c r="Y776" s="359"/>
      <c r="Z776" s="359"/>
      <c r="AA776" s="359"/>
    </row>
    <row r="777" spans="1:27" ht="12" customHeight="1" x14ac:dyDescent="0.25">
      <c r="A777" s="359"/>
      <c r="B777" s="359"/>
      <c r="C777" s="359"/>
      <c r="D777" s="359"/>
      <c r="E777" s="359"/>
      <c r="F777" s="359"/>
      <c r="G777" s="359"/>
      <c r="H777" s="359"/>
      <c r="I777" s="359"/>
      <c r="J777" s="359"/>
      <c r="K777" s="359"/>
      <c r="L777" s="359"/>
      <c r="M777" s="359"/>
      <c r="N777" s="359"/>
      <c r="O777" s="359"/>
      <c r="P777" s="359"/>
      <c r="Q777" s="359"/>
      <c r="R777" s="359"/>
      <c r="S777" s="359"/>
      <c r="T777" s="359"/>
      <c r="U777" s="359"/>
      <c r="V777" s="359"/>
      <c r="W777" s="359"/>
      <c r="X777" s="359"/>
      <c r="Y777" s="359"/>
      <c r="Z777" s="359"/>
      <c r="AA777" s="359"/>
    </row>
    <row r="778" spans="1:27" ht="12" customHeight="1" x14ac:dyDescent="0.25">
      <c r="A778" s="359"/>
      <c r="B778" s="359"/>
      <c r="C778" s="359"/>
      <c r="D778" s="359"/>
      <c r="E778" s="359"/>
      <c r="F778" s="359"/>
      <c r="G778" s="359"/>
      <c r="H778" s="359"/>
      <c r="I778" s="359"/>
      <c r="J778" s="359"/>
      <c r="K778" s="359"/>
      <c r="L778" s="359"/>
      <c r="M778" s="359"/>
      <c r="N778" s="359"/>
      <c r="O778" s="359"/>
      <c r="P778" s="359"/>
      <c r="Q778" s="359"/>
      <c r="R778" s="359"/>
      <c r="S778" s="359"/>
      <c r="T778" s="359"/>
      <c r="U778" s="359"/>
      <c r="V778" s="359"/>
      <c r="W778" s="359"/>
      <c r="X778" s="359"/>
      <c r="Y778" s="359"/>
      <c r="Z778" s="359"/>
      <c r="AA778" s="359"/>
    </row>
    <row r="779" spans="1:27" ht="12" customHeight="1" x14ac:dyDescent="0.25">
      <c r="A779" s="359"/>
      <c r="B779" s="359"/>
      <c r="C779" s="359"/>
      <c r="D779" s="359"/>
      <c r="E779" s="359"/>
      <c r="F779" s="359"/>
      <c r="G779" s="359"/>
      <c r="H779" s="359"/>
      <c r="I779" s="359"/>
      <c r="J779" s="359"/>
      <c r="K779" s="359"/>
      <c r="L779" s="359"/>
      <c r="M779" s="359"/>
      <c r="N779" s="359"/>
      <c r="O779" s="359"/>
      <c r="P779" s="359"/>
      <c r="Q779" s="359"/>
      <c r="R779" s="359"/>
      <c r="S779" s="359"/>
      <c r="T779" s="359"/>
      <c r="U779" s="359"/>
      <c r="V779" s="359"/>
      <c r="W779" s="359"/>
      <c r="X779" s="359"/>
      <c r="Y779" s="359"/>
      <c r="Z779" s="359"/>
      <c r="AA779" s="359"/>
    </row>
    <row r="780" spans="1:27" ht="12" customHeight="1" x14ac:dyDescent="0.25">
      <c r="A780" s="359"/>
      <c r="B780" s="359"/>
      <c r="C780" s="359"/>
      <c r="D780" s="359"/>
      <c r="E780" s="359"/>
      <c r="F780" s="359"/>
      <c r="G780" s="359"/>
      <c r="H780" s="359"/>
      <c r="I780" s="359"/>
      <c r="J780" s="359"/>
      <c r="K780" s="359"/>
      <c r="L780" s="359"/>
      <c r="M780" s="359"/>
      <c r="N780" s="359"/>
      <c r="O780" s="359"/>
      <c r="P780" s="359"/>
      <c r="Q780" s="359"/>
      <c r="R780" s="359"/>
      <c r="S780" s="359"/>
      <c r="T780" s="359"/>
      <c r="U780" s="359"/>
      <c r="V780" s="359"/>
      <c r="W780" s="359"/>
      <c r="X780" s="359"/>
      <c r="Y780" s="359"/>
      <c r="Z780" s="359"/>
      <c r="AA780" s="359"/>
    </row>
    <row r="781" spans="1:27" ht="12" customHeight="1" x14ac:dyDescent="0.25">
      <c r="A781" s="359"/>
      <c r="B781" s="359"/>
      <c r="C781" s="359"/>
      <c r="D781" s="359"/>
      <c r="E781" s="359"/>
      <c r="F781" s="359"/>
      <c r="G781" s="359"/>
      <c r="H781" s="359"/>
      <c r="I781" s="359"/>
      <c r="J781" s="359"/>
      <c r="K781" s="359"/>
      <c r="L781" s="359"/>
      <c r="M781" s="359"/>
      <c r="N781" s="359"/>
      <c r="O781" s="359"/>
      <c r="P781" s="359"/>
      <c r="Q781" s="359"/>
      <c r="R781" s="359"/>
      <c r="S781" s="359"/>
      <c r="T781" s="359"/>
      <c r="U781" s="359"/>
      <c r="V781" s="359"/>
      <c r="W781" s="359"/>
      <c r="X781" s="359"/>
      <c r="Y781" s="359"/>
      <c r="Z781" s="359"/>
      <c r="AA781" s="359"/>
    </row>
    <row r="782" spans="1:27" ht="12" customHeight="1" x14ac:dyDescent="0.25">
      <c r="A782" s="359"/>
      <c r="B782" s="359"/>
      <c r="C782" s="359"/>
      <c r="D782" s="359"/>
      <c r="E782" s="359"/>
      <c r="F782" s="359"/>
      <c r="G782" s="359"/>
      <c r="H782" s="359"/>
      <c r="I782" s="359"/>
      <c r="J782" s="359"/>
      <c r="K782" s="359"/>
      <c r="L782" s="359"/>
      <c r="M782" s="359"/>
      <c r="N782" s="359"/>
      <c r="O782" s="359"/>
      <c r="P782" s="359"/>
      <c r="Q782" s="359"/>
      <c r="R782" s="359"/>
      <c r="S782" s="359"/>
      <c r="T782" s="359"/>
      <c r="U782" s="359"/>
      <c r="V782" s="359"/>
      <c r="W782" s="359"/>
      <c r="X782" s="359"/>
      <c r="Y782" s="359"/>
      <c r="Z782" s="359"/>
      <c r="AA782" s="359"/>
    </row>
    <row r="783" spans="1:27" ht="12" customHeight="1" x14ac:dyDescent="0.25">
      <c r="A783" s="359"/>
      <c r="B783" s="359"/>
      <c r="C783" s="359"/>
      <c r="D783" s="359"/>
      <c r="E783" s="359"/>
      <c r="F783" s="359"/>
      <c r="G783" s="359"/>
      <c r="H783" s="359"/>
      <c r="I783" s="359"/>
      <c r="J783" s="359"/>
      <c r="K783" s="359"/>
      <c r="L783" s="359"/>
      <c r="M783" s="359"/>
      <c r="N783" s="359"/>
      <c r="O783" s="359"/>
      <c r="P783" s="359"/>
      <c r="Q783" s="359"/>
      <c r="R783" s="359"/>
      <c r="S783" s="359"/>
      <c r="T783" s="359"/>
      <c r="U783" s="359"/>
      <c r="V783" s="359"/>
      <c r="W783" s="359"/>
      <c r="X783" s="359"/>
      <c r="Y783" s="359"/>
      <c r="Z783" s="359"/>
      <c r="AA783" s="359"/>
    </row>
    <row r="784" spans="1:27" ht="12" customHeight="1" x14ac:dyDescent="0.25">
      <c r="A784" s="359"/>
      <c r="B784" s="359"/>
      <c r="C784" s="359"/>
      <c r="D784" s="359"/>
      <c r="E784" s="359"/>
      <c r="F784" s="359"/>
      <c r="G784" s="359"/>
      <c r="H784" s="359"/>
      <c r="I784" s="359"/>
      <c r="J784" s="359"/>
      <c r="K784" s="359"/>
      <c r="L784" s="359"/>
      <c r="M784" s="359"/>
      <c r="N784" s="359"/>
      <c r="O784" s="359"/>
      <c r="P784" s="359"/>
      <c r="Q784" s="359"/>
      <c r="R784" s="359"/>
      <c r="S784" s="359"/>
      <c r="T784" s="359"/>
      <c r="U784" s="359"/>
      <c r="V784" s="359"/>
      <c r="W784" s="359"/>
      <c r="X784" s="359"/>
      <c r="Y784" s="359"/>
      <c r="Z784" s="359"/>
      <c r="AA784" s="359"/>
    </row>
    <row r="785" spans="1:27" ht="12" customHeight="1" x14ac:dyDescent="0.25">
      <c r="A785" s="359"/>
      <c r="B785" s="359"/>
      <c r="C785" s="359"/>
      <c r="D785" s="359"/>
      <c r="E785" s="359"/>
      <c r="F785" s="359"/>
      <c r="G785" s="359"/>
      <c r="H785" s="359"/>
      <c r="I785" s="359"/>
      <c r="J785" s="359"/>
      <c r="K785" s="359"/>
      <c r="L785" s="359"/>
      <c r="M785" s="359"/>
      <c r="N785" s="359"/>
      <c r="O785" s="359"/>
      <c r="P785" s="359"/>
      <c r="Q785" s="359"/>
      <c r="R785" s="359"/>
      <c r="S785" s="359"/>
      <c r="T785" s="359"/>
      <c r="U785" s="359"/>
      <c r="V785" s="359"/>
      <c r="W785" s="359"/>
      <c r="X785" s="359"/>
      <c r="Y785" s="359"/>
      <c r="Z785" s="359"/>
      <c r="AA785" s="359"/>
    </row>
    <row r="786" spans="1:27" ht="12" customHeight="1" x14ac:dyDescent="0.25">
      <c r="A786" s="359"/>
      <c r="B786" s="359"/>
      <c r="C786" s="359"/>
      <c r="D786" s="359"/>
      <c r="E786" s="359"/>
      <c r="F786" s="359"/>
      <c r="G786" s="359"/>
      <c r="H786" s="359"/>
      <c r="I786" s="359"/>
      <c r="J786" s="359"/>
      <c r="K786" s="359"/>
      <c r="L786" s="359"/>
      <c r="M786" s="359"/>
      <c r="N786" s="359"/>
      <c r="O786" s="359"/>
      <c r="P786" s="359"/>
      <c r="Q786" s="359"/>
      <c r="R786" s="359"/>
      <c r="S786" s="359"/>
      <c r="T786" s="359"/>
      <c r="U786" s="359"/>
      <c r="V786" s="359"/>
      <c r="W786" s="359"/>
      <c r="X786" s="359"/>
      <c r="Y786" s="359"/>
      <c r="Z786" s="359"/>
      <c r="AA786" s="359"/>
    </row>
    <row r="787" spans="1:27" ht="12" customHeight="1" x14ac:dyDescent="0.25">
      <c r="A787" s="359"/>
      <c r="B787" s="359"/>
      <c r="C787" s="359"/>
      <c r="D787" s="359"/>
      <c r="E787" s="359"/>
      <c r="F787" s="359"/>
      <c r="G787" s="359"/>
      <c r="H787" s="359"/>
      <c r="I787" s="359"/>
      <c r="J787" s="359"/>
      <c r="K787" s="359"/>
      <c r="L787" s="359"/>
      <c r="M787" s="359"/>
      <c r="N787" s="359"/>
      <c r="O787" s="359"/>
      <c r="P787" s="359"/>
      <c r="Q787" s="359"/>
      <c r="R787" s="359"/>
      <c r="S787" s="359"/>
      <c r="T787" s="359"/>
      <c r="U787" s="359"/>
      <c r="V787" s="359"/>
      <c r="W787" s="359"/>
      <c r="X787" s="359"/>
      <c r="Y787" s="359"/>
      <c r="Z787" s="359"/>
      <c r="AA787" s="359"/>
    </row>
    <row r="788" spans="1:27" ht="12" customHeight="1" x14ac:dyDescent="0.25">
      <c r="A788" s="359"/>
      <c r="B788" s="359"/>
      <c r="C788" s="359"/>
      <c r="D788" s="359"/>
      <c r="E788" s="359"/>
      <c r="F788" s="359"/>
      <c r="G788" s="359"/>
      <c r="H788" s="359"/>
      <c r="I788" s="359"/>
      <c r="J788" s="359"/>
      <c r="K788" s="359"/>
      <c r="L788" s="359"/>
      <c r="M788" s="359"/>
      <c r="N788" s="359"/>
      <c r="O788" s="359"/>
      <c r="P788" s="359"/>
      <c r="Q788" s="359"/>
      <c r="R788" s="359"/>
      <c r="S788" s="359"/>
      <c r="T788" s="359"/>
      <c r="U788" s="359"/>
      <c r="V788" s="359"/>
      <c r="W788" s="359"/>
      <c r="X788" s="359"/>
      <c r="Y788" s="359"/>
      <c r="Z788" s="359"/>
      <c r="AA788" s="359"/>
    </row>
    <row r="789" spans="1:27" ht="12" customHeight="1" x14ac:dyDescent="0.25">
      <c r="A789" s="359"/>
      <c r="B789" s="359"/>
      <c r="C789" s="359"/>
      <c r="D789" s="359"/>
      <c r="E789" s="359"/>
      <c r="F789" s="359"/>
      <c r="G789" s="359"/>
      <c r="H789" s="359"/>
      <c r="I789" s="359"/>
      <c r="J789" s="359"/>
      <c r="K789" s="359"/>
      <c r="L789" s="359"/>
      <c r="M789" s="359"/>
      <c r="N789" s="359"/>
      <c r="O789" s="359"/>
      <c r="P789" s="359"/>
      <c r="Q789" s="359"/>
      <c r="R789" s="359"/>
      <c r="S789" s="359"/>
      <c r="T789" s="359"/>
      <c r="U789" s="359"/>
      <c r="V789" s="359"/>
      <c r="W789" s="359"/>
      <c r="X789" s="359"/>
      <c r="Y789" s="359"/>
      <c r="Z789" s="359"/>
      <c r="AA789" s="359"/>
    </row>
    <row r="790" spans="1:27" ht="12" customHeight="1" x14ac:dyDescent="0.25">
      <c r="A790" s="359"/>
      <c r="B790" s="359"/>
      <c r="C790" s="359"/>
      <c r="D790" s="359"/>
      <c r="E790" s="359"/>
      <c r="F790" s="359"/>
      <c r="G790" s="359"/>
      <c r="H790" s="359"/>
      <c r="I790" s="359"/>
      <c r="J790" s="359"/>
      <c r="K790" s="359"/>
      <c r="L790" s="359"/>
      <c r="M790" s="359"/>
      <c r="N790" s="359"/>
      <c r="O790" s="359"/>
      <c r="P790" s="359"/>
      <c r="Q790" s="359"/>
      <c r="R790" s="359"/>
      <c r="S790" s="359"/>
      <c r="T790" s="359"/>
      <c r="U790" s="359"/>
      <c r="V790" s="359"/>
      <c r="W790" s="359"/>
      <c r="X790" s="359"/>
      <c r="Y790" s="359"/>
      <c r="Z790" s="359"/>
      <c r="AA790" s="359"/>
    </row>
    <row r="791" spans="1:27" ht="12" customHeight="1" x14ac:dyDescent="0.25">
      <c r="A791" s="359"/>
      <c r="B791" s="359"/>
      <c r="C791" s="359"/>
      <c r="D791" s="359"/>
      <c r="E791" s="359"/>
      <c r="F791" s="359"/>
      <c r="G791" s="359"/>
      <c r="H791" s="359"/>
      <c r="I791" s="359"/>
      <c r="J791" s="359"/>
      <c r="K791" s="359"/>
      <c r="L791" s="359"/>
      <c r="M791" s="359"/>
      <c r="N791" s="359"/>
      <c r="O791" s="359"/>
      <c r="P791" s="359"/>
      <c r="Q791" s="359"/>
      <c r="R791" s="359"/>
      <c r="S791" s="359"/>
      <c r="T791" s="359"/>
      <c r="U791" s="359"/>
      <c r="V791" s="359"/>
      <c r="W791" s="359"/>
      <c r="X791" s="359"/>
      <c r="Y791" s="359"/>
      <c r="Z791" s="359"/>
      <c r="AA791" s="359"/>
    </row>
    <row r="792" spans="1:27" ht="12" customHeight="1" x14ac:dyDescent="0.25">
      <c r="A792" s="359"/>
      <c r="B792" s="359"/>
      <c r="C792" s="359"/>
      <c r="D792" s="359"/>
      <c r="E792" s="359"/>
      <c r="F792" s="359"/>
      <c r="G792" s="359"/>
      <c r="H792" s="359"/>
      <c r="I792" s="359"/>
      <c r="J792" s="359"/>
      <c r="K792" s="359"/>
      <c r="L792" s="359"/>
      <c r="M792" s="359"/>
      <c r="N792" s="359"/>
      <c r="O792" s="359"/>
      <c r="P792" s="359"/>
      <c r="Q792" s="359"/>
      <c r="R792" s="359"/>
      <c r="S792" s="359"/>
      <c r="T792" s="359"/>
      <c r="U792" s="359"/>
      <c r="V792" s="359"/>
      <c r="W792" s="359"/>
      <c r="X792" s="359"/>
      <c r="Y792" s="359"/>
      <c r="Z792" s="359"/>
      <c r="AA792" s="359"/>
    </row>
    <row r="793" spans="1:27" ht="12" customHeight="1" x14ac:dyDescent="0.25">
      <c r="A793" s="359"/>
      <c r="B793" s="359"/>
      <c r="C793" s="359"/>
      <c r="D793" s="359"/>
      <c r="E793" s="359"/>
      <c r="F793" s="359"/>
      <c r="G793" s="359"/>
      <c r="H793" s="359"/>
      <c r="I793" s="359"/>
      <c r="J793" s="359"/>
      <c r="K793" s="359"/>
      <c r="L793" s="359"/>
      <c r="M793" s="359"/>
      <c r="N793" s="359"/>
      <c r="O793" s="359"/>
      <c r="P793" s="359"/>
      <c r="Q793" s="359"/>
      <c r="R793" s="359"/>
      <c r="S793" s="359"/>
      <c r="T793" s="359"/>
      <c r="U793" s="359"/>
      <c r="V793" s="359"/>
      <c r="W793" s="359"/>
      <c r="X793" s="359"/>
      <c r="Y793" s="359"/>
      <c r="Z793" s="359"/>
      <c r="AA793" s="359"/>
    </row>
    <row r="794" spans="1:27" ht="12" customHeight="1" x14ac:dyDescent="0.25">
      <c r="A794" s="359"/>
      <c r="B794" s="359"/>
      <c r="C794" s="359"/>
      <c r="D794" s="359"/>
      <c r="E794" s="359"/>
      <c r="F794" s="359"/>
      <c r="G794" s="359"/>
      <c r="H794" s="359"/>
      <c r="I794" s="359"/>
      <c r="J794" s="359"/>
      <c r="K794" s="359"/>
      <c r="L794" s="359"/>
      <c r="M794" s="359"/>
      <c r="N794" s="359"/>
      <c r="O794" s="359"/>
      <c r="P794" s="359"/>
      <c r="Q794" s="359"/>
      <c r="R794" s="359"/>
      <c r="S794" s="359"/>
      <c r="T794" s="359"/>
      <c r="U794" s="359"/>
      <c r="V794" s="359"/>
      <c r="W794" s="359"/>
      <c r="X794" s="359"/>
      <c r="Y794" s="359"/>
      <c r="Z794" s="359"/>
      <c r="AA794" s="359"/>
    </row>
    <row r="795" spans="1:27" ht="12" customHeight="1" x14ac:dyDescent="0.25">
      <c r="A795" s="359"/>
      <c r="B795" s="359"/>
      <c r="C795" s="359"/>
      <c r="D795" s="359"/>
      <c r="E795" s="359"/>
      <c r="F795" s="359"/>
      <c r="G795" s="359"/>
      <c r="H795" s="359"/>
      <c r="I795" s="359"/>
      <c r="J795" s="359"/>
      <c r="K795" s="359"/>
      <c r="L795" s="359"/>
      <c r="M795" s="359"/>
      <c r="N795" s="359"/>
      <c r="O795" s="359"/>
      <c r="P795" s="359"/>
      <c r="Q795" s="359"/>
      <c r="R795" s="359"/>
      <c r="S795" s="359"/>
      <c r="T795" s="359"/>
      <c r="U795" s="359"/>
      <c r="V795" s="359"/>
      <c r="W795" s="359"/>
      <c r="X795" s="359"/>
      <c r="Y795" s="359"/>
      <c r="Z795" s="359"/>
      <c r="AA795" s="359"/>
    </row>
    <row r="796" spans="1:27" ht="12" customHeight="1" x14ac:dyDescent="0.25">
      <c r="A796" s="359"/>
      <c r="B796" s="359"/>
      <c r="C796" s="359"/>
      <c r="D796" s="359"/>
      <c r="E796" s="359"/>
      <c r="F796" s="359"/>
      <c r="G796" s="359"/>
      <c r="H796" s="359"/>
      <c r="I796" s="359"/>
      <c r="J796" s="359"/>
      <c r="K796" s="359"/>
      <c r="L796" s="359"/>
      <c r="M796" s="359"/>
      <c r="N796" s="359"/>
      <c r="O796" s="359"/>
      <c r="P796" s="359"/>
      <c r="Q796" s="359"/>
      <c r="R796" s="359"/>
      <c r="S796" s="359"/>
      <c r="T796" s="359"/>
      <c r="U796" s="359"/>
      <c r="V796" s="359"/>
      <c r="W796" s="359"/>
      <c r="X796" s="359"/>
      <c r="Y796" s="359"/>
      <c r="Z796" s="359"/>
      <c r="AA796" s="359"/>
    </row>
    <row r="797" spans="1:27" ht="12" customHeight="1" x14ac:dyDescent="0.25">
      <c r="A797" s="359"/>
      <c r="B797" s="359"/>
      <c r="C797" s="359"/>
      <c r="D797" s="359"/>
      <c r="E797" s="359"/>
      <c r="F797" s="359"/>
      <c r="G797" s="359"/>
      <c r="H797" s="359"/>
      <c r="I797" s="359"/>
      <c r="J797" s="359"/>
      <c r="K797" s="359"/>
      <c r="L797" s="359"/>
      <c r="M797" s="359"/>
      <c r="N797" s="359"/>
      <c r="O797" s="359"/>
      <c r="P797" s="359"/>
      <c r="Q797" s="359"/>
      <c r="R797" s="359"/>
      <c r="S797" s="359"/>
      <c r="T797" s="359"/>
      <c r="U797" s="359"/>
      <c r="V797" s="359"/>
      <c r="W797" s="359"/>
      <c r="X797" s="359"/>
      <c r="Y797" s="359"/>
      <c r="Z797" s="359"/>
      <c r="AA797" s="359"/>
    </row>
    <row r="798" spans="1:27" ht="12" customHeight="1" x14ac:dyDescent="0.25">
      <c r="A798" s="359"/>
      <c r="B798" s="359"/>
      <c r="C798" s="359"/>
      <c r="D798" s="359"/>
      <c r="E798" s="359"/>
      <c r="F798" s="359"/>
      <c r="G798" s="359"/>
      <c r="H798" s="359"/>
      <c r="I798" s="359"/>
      <c r="J798" s="359"/>
      <c r="K798" s="359"/>
      <c r="L798" s="359"/>
      <c r="M798" s="359"/>
      <c r="N798" s="359"/>
      <c r="O798" s="359"/>
      <c r="P798" s="359"/>
      <c r="Q798" s="359"/>
      <c r="R798" s="359"/>
      <c r="S798" s="359"/>
      <c r="T798" s="359"/>
      <c r="U798" s="359"/>
      <c r="V798" s="359"/>
      <c r="W798" s="359"/>
      <c r="X798" s="359"/>
      <c r="Y798" s="359"/>
      <c r="Z798" s="359"/>
      <c r="AA798" s="359"/>
    </row>
    <row r="799" spans="1:27" ht="12" customHeight="1" x14ac:dyDescent="0.25">
      <c r="A799" s="359"/>
      <c r="B799" s="359"/>
      <c r="C799" s="359"/>
      <c r="D799" s="359"/>
      <c r="E799" s="359"/>
      <c r="F799" s="359"/>
      <c r="G799" s="359"/>
      <c r="H799" s="359"/>
      <c r="I799" s="359"/>
      <c r="J799" s="359"/>
      <c r="K799" s="359"/>
      <c r="L799" s="359"/>
      <c r="M799" s="359"/>
      <c r="N799" s="359"/>
      <c r="O799" s="359"/>
      <c r="P799" s="359"/>
      <c r="Q799" s="359"/>
      <c r="R799" s="359"/>
      <c r="S799" s="359"/>
      <c r="T799" s="359"/>
      <c r="U799" s="359"/>
      <c r="V799" s="359"/>
      <c r="W799" s="359"/>
      <c r="X799" s="359"/>
      <c r="Y799" s="359"/>
      <c r="Z799" s="359"/>
      <c r="AA799" s="359"/>
    </row>
    <row r="800" spans="1:27" ht="12" customHeight="1" x14ac:dyDescent="0.25">
      <c r="A800" s="359"/>
      <c r="B800" s="359"/>
      <c r="C800" s="359"/>
      <c r="D800" s="359"/>
      <c r="E800" s="359"/>
      <c r="F800" s="359"/>
      <c r="G800" s="359"/>
      <c r="H800" s="359"/>
      <c r="I800" s="359"/>
      <c r="J800" s="359"/>
      <c r="K800" s="359"/>
      <c r="L800" s="359"/>
      <c r="M800" s="359"/>
      <c r="N800" s="359"/>
      <c r="O800" s="359"/>
      <c r="P800" s="359"/>
      <c r="Q800" s="359"/>
      <c r="R800" s="359"/>
      <c r="S800" s="359"/>
      <c r="T800" s="359"/>
      <c r="U800" s="359"/>
      <c r="V800" s="359"/>
      <c r="W800" s="359"/>
      <c r="X800" s="359"/>
      <c r="Y800" s="359"/>
      <c r="Z800" s="359"/>
      <c r="AA800" s="359"/>
    </row>
    <row r="801" spans="1:27" ht="12" customHeight="1" x14ac:dyDescent="0.25">
      <c r="A801" s="359"/>
      <c r="B801" s="359"/>
      <c r="C801" s="359"/>
      <c r="D801" s="359"/>
      <c r="E801" s="359"/>
      <c r="F801" s="359"/>
      <c r="G801" s="359"/>
      <c r="H801" s="359"/>
      <c r="I801" s="359"/>
      <c r="J801" s="359"/>
      <c r="K801" s="359"/>
      <c r="L801" s="359"/>
      <c r="M801" s="359"/>
      <c r="N801" s="359"/>
      <c r="O801" s="359"/>
      <c r="P801" s="359"/>
      <c r="Q801" s="359"/>
      <c r="R801" s="359"/>
      <c r="S801" s="359"/>
      <c r="T801" s="359"/>
      <c r="U801" s="359"/>
      <c r="V801" s="359"/>
      <c r="W801" s="359"/>
      <c r="X801" s="359"/>
      <c r="Y801" s="359"/>
      <c r="Z801" s="359"/>
      <c r="AA801" s="359"/>
    </row>
    <row r="802" spans="1:27" ht="12" customHeight="1" x14ac:dyDescent="0.25">
      <c r="A802" s="359"/>
      <c r="B802" s="359"/>
      <c r="C802" s="359"/>
      <c r="D802" s="359"/>
      <c r="E802" s="359"/>
      <c r="F802" s="359"/>
      <c r="G802" s="359"/>
      <c r="H802" s="359"/>
      <c r="I802" s="359"/>
      <c r="J802" s="359"/>
      <c r="K802" s="359"/>
      <c r="L802" s="359"/>
      <c r="M802" s="359"/>
      <c r="N802" s="359"/>
      <c r="O802" s="359"/>
      <c r="P802" s="359"/>
      <c r="Q802" s="359"/>
      <c r="R802" s="359"/>
      <c r="S802" s="359"/>
      <c r="T802" s="359"/>
      <c r="U802" s="359"/>
      <c r="V802" s="359"/>
      <c r="W802" s="359"/>
      <c r="X802" s="359"/>
      <c r="Y802" s="359"/>
      <c r="Z802" s="359"/>
      <c r="AA802" s="359"/>
    </row>
    <row r="803" spans="1:27" ht="12" customHeight="1" x14ac:dyDescent="0.25">
      <c r="A803" s="359"/>
      <c r="B803" s="359"/>
      <c r="C803" s="359"/>
      <c r="D803" s="359"/>
      <c r="E803" s="359"/>
      <c r="F803" s="359"/>
      <c r="G803" s="359"/>
      <c r="H803" s="359"/>
      <c r="I803" s="359"/>
      <c r="J803" s="359"/>
      <c r="K803" s="359"/>
      <c r="L803" s="359"/>
      <c r="M803" s="359"/>
      <c r="N803" s="359"/>
      <c r="O803" s="359"/>
      <c r="P803" s="359"/>
      <c r="Q803" s="359"/>
      <c r="R803" s="359"/>
      <c r="S803" s="359"/>
      <c r="T803" s="359"/>
      <c r="U803" s="359"/>
      <c r="V803" s="359"/>
      <c r="W803" s="359"/>
      <c r="X803" s="359"/>
      <c r="Y803" s="359"/>
      <c r="Z803" s="359"/>
      <c r="AA803" s="359"/>
    </row>
    <row r="804" spans="1:27" ht="12" customHeight="1" x14ac:dyDescent="0.25">
      <c r="A804" s="359"/>
      <c r="B804" s="359"/>
      <c r="C804" s="359"/>
      <c r="D804" s="359"/>
      <c r="E804" s="359"/>
      <c r="F804" s="359"/>
      <c r="G804" s="359"/>
      <c r="H804" s="359"/>
      <c r="I804" s="359"/>
      <c r="J804" s="359"/>
      <c r="K804" s="359"/>
      <c r="L804" s="359"/>
      <c r="M804" s="359"/>
      <c r="N804" s="359"/>
      <c r="O804" s="359"/>
      <c r="P804" s="359"/>
      <c r="Q804" s="359"/>
      <c r="R804" s="359"/>
      <c r="S804" s="359"/>
      <c r="T804" s="359"/>
      <c r="U804" s="359"/>
      <c r="V804" s="359"/>
      <c r="W804" s="359"/>
      <c r="X804" s="359"/>
      <c r="Y804" s="359"/>
      <c r="Z804" s="359"/>
      <c r="AA804" s="359"/>
    </row>
    <row r="805" spans="1:27" ht="12" customHeight="1" x14ac:dyDescent="0.25">
      <c r="A805" s="359"/>
      <c r="B805" s="359"/>
      <c r="C805" s="359"/>
      <c r="D805" s="359"/>
      <c r="E805" s="359"/>
      <c r="F805" s="359"/>
      <c r="G805" s="359"/>
      <c r="H805" s="359"/>
      <c r="I805" s="359"/>
      <c r="J805" s="359"/>
      <c r="K805" s="359"/>
      <c r="L805" s="359"/>
      <c r="M805" s="359"/>
      <c r="N805" s="359"/>
      <c r="O805" s="359"/>
      <c r="P805" s="359"/>
      <c r="Q805" s="359"/>
      <c r="R805" s="359"/>
      <c r="S805" s="359"/>
      <c r="T805" s="359"/>
      <c r="U805" s="359"/>
      <c r="V805" s="359"/>
      <c r="W805" s="359"/>
      <c r="X805" s="359"/>
      <c r="Y805" s="359"/>
      <c r="Z805" s="359"/>
      <c r="AA805" s="359"/>
    </row>
    <row r="806" spans="1:27" ht="12" customHeight="1" x14ac:dyDescent="0.25">
      <c r="A806" s="359"/>
      <c r="B806" s="359"/>
      <c r="C806" s="359"/>
      <c r="D806" s="359"/>
      <c r="E806" s="359"/>
      <c r="F806" s="359"/>
      <c r="G806" s="359"/>
      <c r="H806" s="359"/>
      <c r="I806" s="359"/>
      <c r="J806" s="359"/>
      <c r="K806" s="359"/>
      <c r="L806" s="359"/>
      <c r="M806" s="359"/>
      <c r="N806" s="359"/>
      <c r="O806" s="359"/>
      <c r="P806" s="359"/>
      <c r="Q806" s="359"/>
      <c r="R806" s="359"/>
      <c r="S806" s="359"/>
      <c r="T806" s="359"/>
      <c r="U806" s="359"/>
      <c r="V806" s="359"/>
      <c r="W806" s="359"/>
      <c r="X806" s="359"/>
      <c r="Y806" s="359"/>
      <c r="Z806" s="359"/>
      <c r="AA806" s="359"/>
    </row>
    <row r="807" spans="1:27" ht="12" customHeight="1" x14ac:dyDescent="0.25">
      <c r="A807" s="359"/>
      <c r="B807" s="359"/>
      <c r="C807" s="359"/>
      <c r="D807" s="359"/>
      <c r="E807" s="359"/>
      <c r="F807" s="359"/>
      <c r="G807" s="359"/>
      <c r="H807" s="359"/>
      <c r="I807" s="359"/>
      <c r="J807" s="359"/>
      <c r="K807" s="359"/>
      <c r="L807" s="359"/>
      <c r="M807" s="359"/>
      <c r="N807" s="359"/>
      <c r="O807" s="359"/>
      <c r="P807" s="359"/>
      <c r="Q807" s="359"/>
      <c r="R807" s="359"/>
      <c r="S807" s="359"/>
      <c r="T807" s="359"/>
      <c r="U807" s="359"/>
      <c r="V807" s="359"/>
      <c r="W807" s="359"/>
      <c r="X807" s="359"/>
      <c r="Y807" s="359"/>
      <c r="Z807" s="359"/>
      <c r="AA807" s="359"/>
    </row>
    <row r="808" spans="1:27" ht="12" customHeight="1" x14ac:dyDescent="0.25">
      <c r="A808" s="359"/>
      <c r="B808" s="359"/>
      <c r="C808" s="359"/>
      <c r="D808" s="359"/>
      <c r="E808" s="359"/>
      <c r="F808" s="359"/>
      <c r="G808" s="359"/>
      <c r="H808" s="359"/>
      <c r="I808" s="359"/>
      <c r="J808" s="359"/>
      <c r="K808" s="359"/>
      <c r="L808" s="359"/>
      <c r="M808" s="359"/>
      <c r="N808" s="359"/>
      <c r="O808" s="359"/>
      <c r="P808" s="359"/>
      <c r="Q808" s="359"/>
      <c r="R808" s="359"/>
      <c r="S808" s="359"/>
      <c r="T808" s="359"/>
      <c r="U808" s="359"/>
      <c r="V808" s="359"/>
      <c r="W808" s="359"/>
      <c r="X808" s="359"/>
      <c r="Y808" s="359"/>
      <c r="Z808" s="359"/>
      <c r="AA808" s="359"/>
    </row>
    <row r="809" spans="1:27" ht="12" customHeight="1" x14ac:dyDescent="0.25">
      <c r="A809" s="359"/>
      <c r="B809" s="359"/>
      <c r="C809" s="359"/>
      <c r="D809" s="359"/>
      <c r="E809" s="359"/>
      <c r="F809" s="359"/>
      <c r="G809" s="359"/>
      <c r="H809" s="359"/>
      <c r="I809" s="359"/>
      <c r="J809" s="359"/>
      <c r="K809" s="359"/>
      <c r="L809" s="359"/>
      <c r="M809" s="359"/>
      <c r="N809" s="359"/>
      <c r="O809" s="359"/>
      <c r="P809" s="359"/>
      <c r="Q809" s="359"/>
      <c r="R809" s="359"/>
      <c r="S809" s="359"/>
      <c r="T809" s="359"/>
      <c r="U809" s="359"/>
      <c r="V809" s="359"/>
      <c r="W809" s="359"/>
      <c r="X809" s="359"/>
      <c r="Y809" s="359"/>
      <c r="Z809" s="359"/>
      <c r="AA809" s="359"/>
    </row>
    <row r="810" spans="1:27" ht="12" customHeight="1" x14ac:dyDescent="0.25">
      <c r="A810" s="359"/>
      <c r="B810" s="359"/>
      <c r="C810" s="359"/>
      <c r="D810" s="359"/>
      <c r="E810" s="359"/>
      <c r="F810" s="359"/>
      <c r="G810" s="359"/>
      <c r="H810" s="359"/>
      <c r="I810" s="359"/>
      <c r="J810" s="359"/>
      <c r="K810" s="359"/>
      <c r="L810" s="359"/>
      <c r="M810" s="359"/>
      <c r="N810" s="359"/>
      <c r="O810" s="359"/>
      <c r="P810" s="359"/>
      <c r="Q810" s="359"/>
      <c r="R810" s="359"/>
      <c r="S810" s="359"/>
      <c r="T810" s="359"/>
      <c r="U810" s="359"/>
      <c r="V810" s="359"/>
      <c r="W810" s="359"/>
      <c r="X810" s="359"/>
      <c r="Y810" s="359"/>
      <c r="Z810" s="359"/>
      <c r="AA810" s="359"/>
    </row>
    <row r="811" spans="1:27" ht="12" customHeight="1" x14ac:dyDescent="0.25">
      <c r="A811" s="359"/>
      <c r="B811" s="359"/>
      <c r="C811" s="359"/>
      <c r="D811" s="359"/>
      <c r="E811" s="359"/>
      <c r="F811" s="359"/>
      <c r="G811" s="359"/>
      <c r="H811" s="359"/>
      <c r="I811" s="359"/>
      <c r="J811" s="359"/>
      <c r="K811" s="359"/>
      <c r="L811" s="359"/>
      <c r="M811" s="359"/>
      <c r="N811" s="359"/>
      <c r="O811" s="359"/>
      <c r="P811" s="359"/>
      <c r="Q811" s="359"/>
      <c r="R811" s="359"/>
      <c r="S811" s="359"/>
      <c r="T811" s="359"/>
      <c r="U811" s="359"/>
      <c r="V811" s="359"/>
      <c r="W811" s="359"/>
      <c r="X811" s="359"/>
      <c r="Y811" s="359"/>
      <c r="Z811" s="359"/>
      <c r="AA811" s="359"/>
    </row>
    <row r="812" spans="1:27" ht="12" customHeight="1" x14ac:dyDescent="0.25">
      <c r="A812" s="359"/>
      <c r="B812" s="359"/>
      <c r="C812" s="359"/>
      <c r="D812" s="359"/>
      <c r="E812" s="359"/>
      <c r="F812" s="359"/>
      <c r="G812" s="359"/>
      <c r="H812" s="359"/>
      <c r="I812" s="359"/>
      <c r="J812" s="359"/>
      <c r="K812" s="359"/>
      <c r="L812" s="359"/>
      <c r="M812" s="359"/>
      <c r="N812" s="359"/>
      <c r="O812" s="359"/>
      <c r="P812" s="359"/>
      <c r="Q812" s="359"/>
      <c r="R812" s="359"/>
      <c r="S812" s="359"/>
      <c r="T812" s="359"/>
      <c r="U812" s="359"/>
      <c r="V812" s="359"/>
      <c r="W812" s="359"/>
      <c r="X812" s="359"/>
      <c r="Y812" s="359"/>
      <c r="Z812" s="359"/>
      <c r="AA812" s="359"/>
    </row>
    <row r="813" spans="1:27" ht="12" customHeight="1" x14ac:dyDescent="0.25">
      <c r="A813" s="359"/>
      <c r="B813" s="359"/>
      <c r="C813" s="359"/>
      <c r="D813" s="359"/>
      <c r="E813" s="359"/>
      <c r="F813" s="359"/>
      <c r="G813" s="359"/>
      <c r="H813" s="359"/>
      <c r="I813" s="359"/>
      <c r="J813" s="359"/>
      <c r="K813" s="359"/>
      <c r="L813" s="359"/>
      <c r="M813" s="359"/>
      <c r="N813" s="359"/>
      <c r="O813" s="359"/>
      <c r="P813" s="359"/>
      <c r="Q813" s="359"/>
      <c r="R813" s="359"/>
      <c r="S813" s="359"/>
      <c r="T813" s="359"/>
      <c r="U813" s="359"/>
      <c r="V813" s="359"/>
      <c r="W813" s="359"/>
      <c r="X813" s="359"/>
      <c r="Y813" s="359"/>
      <c r="Z813" s="359"/>
      <c r="AA813" s="359"/>
    </row>
    <row r="814" spans="1:27" ht="12" customHeight="1" x14ac:dyDescent="0.25">
      <c r="A814" s="359"/>
      <c r="B814" s="359"/>
      <c r="C814" s="359"/>
      <c r="D814" s="359"/>
      <c r="E814" s="359"/>
      <c r="F814" s="359"/>
      <c r="G814" s="359"/>
      <c r="H814" s="359"/>
      <c r="I814" s="359"/>
      <c r="J814" s="359"/>
      <c r="K814" s="359"/>
      <c r="L814" s="359"/>
      <c r="M814" s="359"/>
      <c r="N814" s="359"/>
      <c r="O814" s="359"/>
      <c r="P814" s="359"/>
      <c r="Q814" s="359"/>
      <c r="R814" s="359"/>
      <c r="S814" s="359"/>
      <c r="T814" s="359"/>
      <c r="U814" s="359"/>
      <c r="V814" s="359"/>
      <c r="W814" s="359"/>
      <c r="X814" s="359"/>
      <c r="Y814" s="359"/>
      <c r="Z814" s="359"/>
      <c r="AA814" s="359"/>
    </row>
    <row r="815" spans="1:27" ht="12" customHeight="1" x14ac:dyDescent="0.25">
      <c r="A815" s="359"/>
      <c r="B815" s="359"/>
      <c r="C815" s="359"/>
      <c r="D815" s="359"/>
      <c r="E815" s="359"/>
      <c r="F815" s="359"/>
      <c r="G815" s="359"/>
      <c r="H815" s="359"/>
      <c r="I815" s="359"/>
      <c r="J815" s="359"/>
      <c r="K815" s="359"/>
      <c r="L815" s="359"/>
      <c r="M815" s="359"/>
      <c r="N815" s="359"/>
      <c r="O815" s="359"/>
      <c r="P815" s="359"/>
      <c r="Q815" s="359"/>
      <c r="R815" s="359"/>
      <c r="S815" s="359"/>
      <c r="T815" s="359"/>
      <c r="U815" s="359"/>
      <c r="V815" s="359"/>
      <c r="W815" s="359"/>
      <c r="X815" s="359"/>
      <c r="Y815" s="359"/>
      <c r="Z815" s="359"/>
      <c r="AA815" s="359"/>
    </row>
    <row r="816" spans="1:27" ht="12" customHeight="1" x14ac:dyDescent="0.25">
      <c r="A816" s="359"/>
      <c r="B816" s="359"/>
      <c r="C816" s="359"/>
      <c r="D816" s="359"/>
      <c r="E816" s="359"/>
      <c r="F816" s="359"/>
      <c r="G816" s="359"/>
      <c r="H816" s="359"/>
      <c r="I816" s="359"/>
      <c r="J816" s="359"/>
      <c r="K816" s="359"/>
      <c r="L816" s="359"/>
      <c r="M816" s="359"/>
      <c r="N816" s="359"/>
      <c r="O816" s="359"/>
      <c r="P816" s="359"/>
      <c r="Q816" s="359"/>
      <c r="R816" s="359"/>
      <c r="S816" s="359"/>
      <c r="T816" s="359"/>
      <c r="U816" s="359"/>
      <c r="V816" s="359"/>
      <c r="W816" s="359"/>
      <c r="X816" s="359"/>
      <c r="Y816" s="359"/>
      <c r="Z816" s="359"/>
      <c r="AA816" s="359"/>
    </row>
    <row r="817" spans="1:27" ht="12" customHeight="1" x14ac:dyDescent="0.25">
      <c r="A817" s="359"/>
      <c r="B817" s="359"/>
      <c r="C817" s="359"/>
      <c r="D817" s="359"/>
      <c r="E817" s="359"/>
      <c r="F817" s="359"/>
      <c r="G817" s="359"/>
      <c r="H817" s="359"/>
      <c r="I817" s="359"/>
      <c r="J817" s="359"/>
      <c r="K817" s="359"/>
      <c r="L817" s="359"/>
      <c r="M817" s="359"/>
      <c r="N817" s="359"/>
      <c r="O817" s="359"/>
      <c r="P817" s="359"/>
      <c r="Q817" s="359"/>
      <c r="R817" s="359"/>
      <c r="S817" s="359"/>
      <c r="T817" s="359"/>
      <c r="U817" s="359"/>
      <c r="V817" s="359"/>
      <c r="W817" s="359"/>
      <c r="X817" s="359"/>
      <c r="Y817" s="359"/>
      <c r="Z817" s="359"/>
      <c r="AA817" s="359"/>
    </row>
    <row r="818" spans="1:27" ht="12" customHeight="1" x14ac:dyDescent="0.25">
      <c r="A818" s="359"/>
      <c r="B818" s="359"/>
      <c r="C818" s="359"/>
      <c r="D818" s="359"/>
      <c r="E818" s="359"/>
      <c r="F818" s="359"/>
      <c r="G818" s="359"/>
      <c r="H818" s="359"/>
      <c r="I818" s="359"/>
      <c r="J818" s="359"/>
      <c r="K818" s="359"/>
      <c r="L818" s="359"/>
      <c r="M818" s="359"/>
      <c r="N818" s="359"/>
      <c r="O818" s="359"/>
      <c r="P818" s="359"/>
      <c r="Q818" s="359"/>
      <c r="R818" s="359"/>
      <c r="S818" s="359"/>
      <c r="T818" s="359"/>
      <c r="U818" s="359"/>
      <c r="V818" s="359"/>
      <c r="W818" s="359"/>
      <c r="X818" s="359"/>
      <c r="Y818" s="359"/>
      <c r="Z818" s="359"/>
      <c r="AA818" s="359"/>
    </row>
    <row r="819" spans="1:27" ht="12" customHeight="1" x14ac:dyDescent="0.25">
      <c r="A819" s="359"/>
      <c r="B819" s="359"/>
      <c r="C819" s="359"/>
      <c r="D819" s="359"/>
      <c r="E819" s="359"/>
      <c r="F819" s="359"/>
      <c r="G819" s="359"/>
      <c r="H819" s="359"/>
      <c r="I819" s="359"/>
      <c r="J819" s="359"/>
      <c r="K819" s="359"/>
      <c r="L819" s="359"/>
      <c r="M819" s="359"/>
      <c r="N819" s="359"/>
      <c r="O819" s="359"/>
      <c r="P819" s="359"/>
      <c r="Q819" s="359"/>
      <c r="R819" s="359"/>
      <c r="S819" s="359"/>
      <c r="T819" s="359"/>
      <c r="U819" s="359"/>
      <c r="V819" s="359"/>
      <c r="W819" s="359"/>
      <c r="X819" s="359"/>
      <c r="Y819" s="359"/>
      <c r="Z819" s="359"/>
      <c r="AA819" s="359"/>
    </row>
    <row r="820" spans="1:27" ht="12" customHeight="1" x14ac:dyDescent="0.25">
      <c r="A820" s="359"/>
      <c r="B820" s="359"/>
      <c r="C820" s="359"/>
      <c r="D820" s="359"/>
      <c r="E820" s="359"/>
      <c r="F820" s="359"/>
      <c r="G820" s="359"/>
      <c r="H820" s="359"/>
      <c r="I820" s="359"/>
      <c r="J820" s="359"/>
      <c r="K820" s="359"/>
      <c r="L820" s="359"/>
      <c r="M820" s="359"/>
      <c r="N820" s="359"/>
      <c r="O820" s="359"/>
      <c r="P820" s="359"/>
      <c r="Q820" s="359"/>
      <c r="R820" s="359"/>
      <c r="S820" s="359"/>
      <c r="T820" s="359"/>
      <c r="U820" s="359"/>
      <c r="V820" s="359"/>
      <c r="W820" s="359"/>
      <c r="X820" s="359"/>
      <c r="Y820" s="359"/>
      <c r="Z820" s="359"/>
      <c r="AA820" s="359"/>
    </row>
    <row r="821" spans="1:27" ht="12" customHeight="1" x14ac:dyDescent="0.25">
      <c r="A821" s="359"/>
      <c r="B821" s="359"/>
      <c r="C821" s="359"/>
      <c r="D821" s="359"/>
      <c r="E821" s="359"/>
      <c r="F821" s="359"/>
      <c r="G821" s="359"/>
      <c r="H821" s="359"/>
      <c r="I821" s="359"/>
      <c r="J821" s="359"/>
      <c r="K821" s="359"/>
      <c r="L821" s="359"/>
      <c r="M821" s="359"/>
      <c r="N821" s="359"/>
      <c r="O821" s="359"/>
      <c r="P821" s="359"/>
      <c r="Q821" s="359"/>
      <c r="R821" s="359"/>
      <c r="S821" s="359"/>
      <c r="T821" s="359"/>
      <c r="U821" s="359"/>
      <c r="V821" s="359"/>
      <c r="W821" s="359"/>
      <c r="X821" s="359"/>
      <c r="Y821" s="359"/>
      <c r="Z821" s="359"/>
      <c r="AA821" s="359"/>
    </row>
    <row r="822" spans="1:27" ht="12" customHeight="1" x14ac:dyDescent="0.25">
      <c r="A822" s="359"/>
      <c r="B822" s="359"/>
      <c r="C822" s="359"/>
      <c r="D822" s="359"/>
      <c r="E822" s="359"/>
      <c r="F822" s="359"/>
      <c r="G822" s="359"/>
      <c r="H822" s="359"/>
      <c r="I822" s="359"/>
      <c r="J822" s="359"/>
      <c r="K822" s="359"/>
      <c r="L822" s="359"/>
      <c r="M822" s="359"/>
      <c r="N822" s="359"/>
      <c r="O822" s="359"/>
      <c r="P822" s="359"/>
      <c r="Q822" s="359"/>
      <c r="R822" s="359"/>
      <c r="S822" s="359"/>
      <c r="T822" s="359"/>
      <c r="U822" s="359"/>
      <c r="V822" s="359"/>
      <c r="W822" s="359"/>
      <c r="X822" s="359"/>
      <c r="Y822" s="359"/>
      <c r="Z822" s="359"/>
      <c r="AA822" s="359"/>
    </row>
    <row r="823" spans="1:27" ht="12" customHeight="1" x14ac:dyDescent="0.25">
      <c r="A823" s="359"/>
      <c r="B823" s="359"/>
      <c r="C823" s="359"/>
      <c r="D823" s="359"/>
      <c r="E823" s="359"/>
      <c r="F823" s="359"/>
      <c r="G823" s="359"/>
      <c r="H823" s="359"/>
      <c r="I823" s="359"/>
      <c r="J823" s="359"/>
      <c r="K823" s="359"/>
      <c r="L823" s="359"/>
      <c r="M823" s="359"/>
      <c r="N823" s="359"/>
      <c r="O823" s="359"/>
      <c r="P823" s="359"/>
      <c r="Q823" s="359"/>
      <c r="R823" s="359"/>
      <c r="S823" s="359"/>
      <c r="T823" s="359"/>
      <c r="U823" s="359"/>
      <c r="V823" s="359"/>
      <c r="W823" s="359"/>
      <c r="X823" s="359"/>
      <c r="Y823" s="359"/>
      <c r="Z823" s="359"/>
      <c r="AA823" s="359"/>
    </row>
    <row r="824" spans="1:27" ht="12" customHeight="1" x14ac:dyDescent="0.25">
      <c r="A824" s="359"/>
      <c r="B824" s="359"/>
      <c r="C824" s="359"/>
      <c r="D824" s="359"/>
      <c r="E824" s="359"/>
      <c r="F824" s="359"/>
      <c r="G824" s="359"/>
      <c r="H824" s="359"/>
      <c r="I824" s="359"/>
      <c r="J824" s="359"/>
      <c r="K824" s="359"/>
      <c r="L824" s="359"/>
      <c r="M824" s="359"/>
      <c r="N824" s="359"/>
      <c r="O824" s="359"/>
      <c r="P824" s="359"/>
      <c r="Q824" s="359"/>
      <c r="R824" s="359"/>
      <c r="S824" s="359"/>
      <c r="T824" s="359"/>
      <c r="U824" s="359"/>
      <c r="V824" s="359"/>
      <c r="W824" s="359"/>
      <c r="X824" s="359"/>
      <c r="Y824" s="359"/>
      <c r="Z824" s="359"/>
      <c r="AA824" s="359"/>
    </row>
    <row r="825" spans="1:27" ht="12" customHeight="1" x14ac:dyDescent="0.25">
      <c r="A825" s="359"/>
      <c r="B825" s="359"/>
      <c r="C825" s="359"/>
      <c r="D825" s="359"/>
      <c r="E825" s="359"/>
      <c r="F825" s="359"/>
      <c r="G825" s="359"/>
      <c r="H825" s="359"/>
      <c r="I825" s="359"/>
      <c r="J825" s="359"/>
      <c r="K825" s="359"/>
      <c r="L825" s="359"/>
      <c r="M825" s="359"/>
      <c r="N825" s="359"/>
      <c r="O825" s="359"/>
      <c r="P825" s="359"/>
      <c r="Q825" s="359"/>
      <c r="R825" s="359"/>
      <c r="S825" s="359"/>
      <c r="T825" s="359"/>
      <c r="U825" s="359"/>
      <c r="V825" s="359"/>
      <c r="W825" s="359"/>
      <c r="X825" s="359"/>
      <c r="Y825" s="359"/>
      <c r="Z825" s="359"/>
      <c r="AA825" s="359"/>
    </row>
    <row r="826" spans="1:27" ht="12" customHeight="1" x14ac:dyDescent="0.25">
      <c r="A826" s="359"/>
      <c r="B826" s="359"/>
      <c r="C826" s="359"/>
      <c r="D826" s="359"/>
      <c r="E826" s="359"/>
      <c r="F826" s="359"/>
      <c r="G826" s="359"/>
      <c r="H826" s="359"/>
      <c r="I826" s="359"/>
      <c r="J826" s="359"/>
      <c r="K826" s="359"/>
      <c r="L826" s="359"/>
      <c r="M826" s="359"/>
      <c r="N826" s="359"/>
      <c r="O826" s="359"/>
      <c r="P826" s="359"/>
      <c r="Q826" s="359"/>
      <c r="R826" s="359"/>
      <c r="S826" s="359"/>
      <c r="T826" s="359"/>
      <c r="U826" s="359"/>
      <c r="V826" s="359"/>
      <c r="W826" s="359"/>
      <c r="X826" s="359"/>
      <c r="Y826" s="359"/>
      <c r="Z826" s="359"/>
      <c r="AA826" s="359"/>
    </row>
    <row r="827" spans="1:27" ht="12" customHeight="1" x14ac:dyDescent="0.25">
      <c r="A827" s="359"/>
      <c r="B827" s="359"/>
      <c r="C827" s="359"/>
      <c r="D827" s="359"/>
      <c r="E827" s="359"/>
      <c r="F827" s="359"/>
      <c r="G827" s="359"/>
      <c r="H827" s="359"/>
      <c r="I827" s="359"/>
      <c r="J827" s="359"/>
      <c r="K827" s="359"/>
      <c r="L827" s="359"/>
      <c r="M827" s="359"/>
      <c r="N827" s="359"/>
      <c r="O827" s="359"/>
      <c r="P827" s="359"/>
      <c r="Q827" s="359"/>
      <c r="R827" s="359"/>
      <c r="S827" s="359"/>
      <c r="T827" s="359"/>
      <c r="U827" s="359"/>
      <c r="V827" s="359"/>
      <c r="W827" s="359"/>
      <c r="X827" s="359"/>
      <c r="Y827" s="359"/>
      <c r="Z827" s="359"/>
      <c r="AA827" s="359"/>
    </row>
    <row r="828" spans="1:27" ht="12" customHeight="1" x14ac:dyDescent="0.25">
      <c r="A828" s="359"/>
      <c r="B828" s="359"/>
      <c r="C828" s="359"/>
      <c r="D828" s="359"/>
      <c r="E828" s="359"/>
      <c r="F828" s="359"/>
      <c r="G828" s="359"/>
      <c r="H828" s="359"/>
      <c r="I828" s="359"/>
      <c r="J828" s="359"/>
      <c r="K828" s="359"/>
      <c r="L828" s="359"/>
      <c r="M828" s="359"/>
      <c r="N828" s="359"/>
      <c r="O828" s="359"/>
      <c r="P828" s="359"/>
      <c r="Q828" s="359"/>
      <c r="R828" s="359"/>
      <c r="S828" s="359"/>
      <c r="T828" s="359"/>
      <c r="U828" s="359"/>
      <c r="V828" s="359"/>
      <c r="W828" s="359"/>
      <c r="X828" s="359"/>
      <c r="Y828" s="359"/>
      <c r="Z828" s="359"/>
      <c r="AA828" s="359"/>
    </row>
    <row r="829" spans="1:27" ht="12" customHeight="1" x14ac:dyDescent="0.25">
      <c r="A829" s="359"/>
      <c r="B829" s="359"/>
      <c r="C829" s="359"/>
      <c r="D829" s="359"/>
      <c r="E829" s="359"/>
      <c r="F829" s="359"/>
      <c r="G829" s="359"/>
      <c r="H829" s="359"/>
      <c r="I829" s="359"/>
      <c r="J829" s="359"/>
      <c r="K829" s="359"/>
      <c r="L829" s="359"/>
      <c r="M829" s="359"/>
      <c r="N829" s="359"/>
      <c r="O829" s="359"/>
      <c r="P829" s="359"/>
      <c r="Q829" s="359"/>
      <c r="R829" s="359"/>
      <c r="S829" s="359"/>
      <c r="T829" s="359"/>
      <c r="U829" s="359"/>
      <c r="V829" s="359"/>
      <c r="W829" s="359"/>
      <c r="X829" s="359"/>
      <c r="Y829" s="359"/>
      <c r="Z829" s="359"/>
      <c r="AA829" s="359"/>
    </row>
    <row r="830" spans="1:27" ht="12" customHeight="1" x14ac:dyDescent="0.25">
      <c r="A830" s="359"/>
      <c r="B830" s="359"/>
      <c r="C830" s="359"/>
      <c r="D830" s="359"/>
      <c r="E830" s="359"/>
      <c r="F830" s="359"/>
      <c r="G830" s="359"/>
      <c r="H830" s="359"/>
      <c r="I830" s="359"/>
      <c r="J830" s="359"/>
      <c r="K830" s="359"/>
      <c r="L830" s="359"/>
      <c r="M830" s="359"/>
      <c r="N830" s="359"/>
      <c r="O830" s="359"/>
      <c r="P830" s="359"/>
      <c r="Q830" s="359"/>
      <c r="R830" s="359"/>
      <c r="S830" s="359"/>
      <c r="T830" s="359"/>
      <c r="U830" s="359"/>
      <c r="V830" s="359"/>
      <c r="W830" s="359"/>
      <c r="X830" s="359"/>
      <c r="Y830" s="359"/>
      <c r="Z830" s="359"/>
      <c r="AA830" s="359"/>
    </row>
    <row r="831" spans="1:27" ht="12" customHeight="1" x14ac:dyDescent="0.25">
      <c r="A831" s="359"/>
      <c r="B831" s="359"/>
      <c r="C831" s="359"/>
      <c r="D831" s="359"/>
      <c r="E831" s="359"/>
      <c r="F831" s="359"/>
      <c r="G831" s="359"/>
      <c r="H831" s="359"/>
      <c r="I831" s="359"/>
      <c r="J831" s="359"/>
      <c r="K831" s="359"/>
      <c r="L831" s="359"/>
      <c r="M831" s="359"/>
      <c r="N831" s="359"/>
      <c r="O831" s="359"/>
      <c r="P831" s="359"/>
      <c r="Q831" s="359"/>
      <c r="R831" s="359"/>
      <c r="S831" s="359"/>
      <c r="T831" s="359"/>
      <c r="U831" s="359"/>
      <c r="V831" s="359"/>
      <c r="W831" s="359"/>
      <c r="X831" s="359"/>
      <c r="Y831" s="359"/>
      <c r="Z831" s="359"/>
      <c r="AA831" s="359"/>
    </row>
    <row r="832" spans="1:27" ht="12" customHeight="1" x14ac:dyDescent="0.25">
      <c r="A832" s="359"/>
      <c r="B832" s="359"/>
      <c r="C832" s="359"/>
      <c r="D832" s="359"/>
      <c r="E832" s="359"/>
      <c r="F832" s="359"/>
      <c r="G832" s="359"/>
      <c r="H832" s="359"/>
      <c r="I832" s="359"/>
      <c r="J832" s="359"/>
      <c r="K832" s="359"/>
      <c r="L832" s="359"/>
      <c r="M832" s="359"/>
      <c r="N832" s="359"/>
      <c r="O832" s="359"/>
      <c r="P832" s="359"/>
      <c r="Q832" s="359"/>
      <c r="R832" s="359"/>
      <c r="S832" s="359"/>
      <c r="T832" s="359"/>
      <c r="U832" s="359"/>
      <c r="V832" s="359"/>
      <c r="W832" s="359"/>
      <c r="X832" s="359"/>
      <c r="Y832" s="359"/>
      <c r="Z832" s="359"/>
      <c r="AA832" s="359"/>
    </row>
    <row r="833" spans="1:27" ht="12" customHeight="1" x14ac:dyDescent="0.25">
      <c r="A833" s="359"/>
      <c r="B833" s="359"/>
      <c r="C833" s="359"/>
      <c r="D833" s="359"/>
      <c r="E833" s="359"/>
      <c r="F833" s="359"/>
      <c r="G833" s="359"/>
      <c r="H833" s="359"/>
      <c r="I833" s="359"/>
      <c r="J833" s="359"/>
      <c r="K833" s="359"/>
      <c r="L833" s="359"/>
      <c r="M833" s="359"/>
      <c r="N833" s="359"/>
      <c r="O833" s="359"/>
      <c r="P833" s="359"/>
      <c r="Q833" s="359"/>
      <c r="R833" s="359"/>
      <c r="S833" s="359"/>
      <c r="T833" s="359"/>
      <c r="U833" s="359"/>
      <c r="V833" s="359"/>
      <c r="W833" s="359"/>
      <c r="X833" s="359"/>
      <c r="Y833" s="359"/>
      <c r="Z833" s="359"/>
      <c r="AA833" s="359"/>
    </row>
    <row r="834" spans="1:27" ht="12" customHeight="1" x14ac:dyDescent="0.25">
      <c r="A834" s="359"/>
      <c r="B834" s="359"/>
      <c r="C834" s="359"/>
      <c r="D834" s="359"/>
      <c r="E834" s="359"/>
      <c r="F834" s="359"/>
      <c r="G834" s="359"/>
      <c r="H834" s="359"/>
      <c r="I834" s="359"/>
      <c r="J834" s="359"/>
      <c r="K834" s="359"/>
      <c r="L834" s="359"/>
      <c r="M834" s="359"/>
      <c r="N834" s="359"/>
      <c r="O834" s="359"/>
      <c r="P834" s="359"/>
      <c r="Q834" s="359"/>
      <c r="R834" s="359"/>
      <c r="S834" s="359"/>
      <c r="T834" s="359"/>
      <c r="U834" s="359"/>
      <c r="V834" s="359"/>
      <c r="W834" s="359"/>
      <c r="X834" s="359"/>
      <c r="Y834" s="359"/>
      <c r="Z834" s="359"/>
      <c r="AA834" s="359"/>
    </row>
    <row r="835" spans="1:27" ht="12" customHeight="1" x14ac:dyDescent="0.25">
      <c r="A835" s="359"/>
      <c r="B835" s="359"/>
      <c r="C835" s="359"/>
      <c r="D835" s="359"/>
      <c r="E835" s="359"/>
      <c r="F835" s="359"/>
      <c r="G835" s="359"/>
      <c r="H835" s="359"/>
      <c r="I835" s="359"/>
      <c r="J835" s="359"/>
      <c r="K835" s="359"/>
      <c r="L835" s="359"/>
      <c r="M835" s="359"/>
      <c r="N835" s="359"/>
      <c r="O835" s="359"/>
      <c r="P835" s="359"/>
      <c r="Q835" s="359"/>
      <c r="R835" s="359"/>
      <c r="S835" s="359"/>
      <c r="T835" s="359"/>
      <c r="U835" s="359"/>
      <c r="V835" s="359"/>
      <c r="W835" s="359"/>
      <c r="X835" s="359"/>
      <c r="Y835" s="359"/>
      <c r="Z835" s="359"/>
      <c r="AA835" s="359"/>
    </row>
    <row r="836" spans="1:27" ht="12" customHeight="1" x14ac:dyDescent="0.25">
      <c r="A836" s="359"/>
      <c r="B836" s="359"/>
      <c r="C836" s="359"/>
      <c r="D836" s="359"/>
      <c r="E836" s="359"/>
      <c r="F836" s="359"/>
      <c r="G836" s="359"/>
      <c r="H836" s="359"/>
      <c r="I836" s="359"/>
      <c r="J836" s="359"/>
      <c r="K836" s="359"/>
      <c r="L836" s="359"/>
      <c r="M836" s="359"/>
      <c r="N836" s="359"/>
      <c r="O836" s="359"/>
      <c r="P836" s="359"/>
      <c r="Q836" s="359"/>
      <c r="R836" s="359"/>
      <c r="S836" s="359"/>
      <c r="T836" s="359"/>
      <c r="U836" s="359"/>
      <c r="V836" s="359"/>
      <c r="W836" s="359"/>
      <c r="X836" s="359"/>
      <c r="Y836" s="359"/>
      <c r="Z836" s="359"/>
      <c r="AA836" s="359"/>
    </row>
    <row r="837" spans="1:27" ht="12" customHeight="1" x14ac:dyDescent="0.25">
      <c r="A837" s="359"/>
      <c r="B837" s="359"/>
      <c r="C837" s="359"/>
      <c r="D837" s="359"/>
      <c r="E837" s="359"/>
      <c r="F837" s="359"/>
      <c r="G837" s="359"/>
      <c r="H837" s="359"/>
      <c r="I837" s="359"/>
      <c r="J837" s="359"/>
      <c r="K837" s="359"/>
      <c r="L837" s="359"/>
      <c r="M837" s="359"/>
      <c r="N837" s="359"/>
      <c r="O837" s="359"/>
      <c r="P837" s="359"/>
      <c r="Q837" s="359"/>
      <c r="R837" s="359"/>
      <c r="S837" s="359"/>
      <c r="T837" s="359"/>
      <c r="U837" s="359"/>
      <c r="V837" s="359"/>
      <c r="W837" s="359"/>
      <c r="X837" s="359"/>
      <c r="Y837" s="359"/>
      <c r="Z837" s="359"/>
      <c r="AA837" s="359"/>
    </row>
    <row r="838" spans="1:27" ht="12" customHeight="1" x14ac:dyDescent="0.25">
      <c r="A838" s="359"/>
      <c r="B838" s="359"/>
      <c r="C838" s="359"/>
      <c r="D838" s="359"/>
      <c r="E838" s="359"/>
      <c r="F838" s="359"/>
      <c r="G838" s="359"/>
      <c r="H838" s="359"/>
      <c r="I838" s="359"/>
      <c r="J838" s="359"/>
      <c r="K838" s="359"/>
      <c r="L838" s="359"/>
      <c r="M838" s="359"/>
      <c r="N838" s="359"/>
      <c r="O838" s="359"/>
      <c r="P838" s="359"/>
      <c r="Q838" s="359"/>
      <c r="R838" s="359"/>
      <c r="S838" s="359"/>
      <c r="T838" s="359"/>
      <c r="U838" s="359"/>
      <c r="V838" s="359"/>
      <c r="W838" s="359"/>
      <c r="X838" s="359"/>
      <c r="Y838" s="359"/>
      <c r="Z838" s="359"/>
      <c r="AA838" s="359"/>
    </row>
    <row r="839" spans="1:27" ht="12" customHeight="1" x14ac:dyDescent="0.25">
      <c r="A839" s="359"/>
      <c r="B839" s="359"/>
      <c r="C839" s="359"/>
      <c r="D839" s="359"/>
      <c r="E839" s="359"/>
      <c r="F839" s="359"/>
      <c r="G839" s="359"/>
      <c r="H839" s="359"/>
      <c r="I839" s="359"/>
      <c r="J839" s="359"/>
      <c r="K839" s="359"/>
      <c r="L839" s="359"/>
      <c r="M839" s="359"/>
      <c r="N839" s="359"/>
      <c r="O839" s="359"/>
      <c r="P839" s="359"/>
      <c r="Q839" s="359"/>
      <c r="R839" s="359"/>
      <c r="S839" s="359"/>
      <c r="T839" s="359"/>
      <c r="U839" s="359"/>
      <c r="V839" s="359"/>
      <c r="W839" s="359"/>
      <c r="X839" s="359"/>
      <c r="Y839" s="359"/>
      <c r="Z839" s="359"/>
      <c r="AA839" s="359"/>
    </row>
    <row r="840" spans="1:27" ht="12" customHeight="1" x14ac:dyDescent="0.25">
      <c r="A840" s="359"/>
      <c r="B840" s="359"/>
      <c r="C840" s="359"/>
      <c r="D840" s="359"/>
      <c r="E840" s="359"/>
      <c r="F840" s="359"/>
      <c r="G840" s="359"/>
      <c r="H840" s="359"/>
      <c r="I840" s="359"/>
      <c r="J840" s="359"/>
      <c r="K840" s="359"/>
      <c r="L840" s="359"/>
      <c r="M840" s="359"/>
      <c r="N840" s="359"/>
      <c r="O840" s="359"/>
      <c r="P840" s="359"/>
      <c r="Q840" s="359"/>
      <c r="R840" s="359"/>
      <c r="S840" s="359"/>
      <c r="T840" s="359"/>
      <c r="U840" s="359"/>
      <c r="V840" s="359"/>
      <c r="W840" s="359"/>
      <c r="X840" s="359"/>
      <c r="Y840" s="359"/>
      <c r="Z840" s="359"/>
      <c r="AA840" s="359"/>
    </row>
    <row r="841" spans="1:27" ht="12" customHeight="1" x14ac:dyDescent="0.25">
      <c r="A841" s="359"/>
      <c r="B841" s="359"/>
      <c r="C841" s="359"/>
      <c r="D841" s="359"/>
      <c r="E841" s="359"/>
      <c r="F841" s="359"/>
      <c r="G841" s="359"/>
      <c r="H841" s="359"/>
      <c r="I841" s="359"/>
      <c r="J841" s="359"/>
      <c r="K841" s="359"/>
      <c r="L841" s="359"/>
      <c r="M841" s="359"/>
      <c r="N841" s="359"/>
      <c r="O841" s="359"/>
      <c r="P841" s="359"/>
      <c r="Q841" s="359"/>
      <c r="R841" s="359"/>
      <c r="S841" s="359"/>
      <c r="T841" s="359"/>
      <c r="U841" s="359"/>
      <c r="V841" s="359"/>
      <c r="W841" s="359"/>
      <c r="X841" s="359"/>
      <c r="Y841" s="359"/>
      <c r="Z841" s="359"/>
      <c r="AA841" s="359"/>
    </row>
    <row r="842" spans="1:27" ht="12" customHeight="1" x14ac:dyDescent="0.25">
      <c r="A842" s="359"/>
      <c r="B842" s="359"/>
      <c r="C842" s="359"/>
      <c r="D842" s="359"/>
      <c r="E842" s="359"/>
      <c r="F842" s="359"/>
      <c r="G842" s="359"/>
      <c r="H842" s="359"/>
      <c r="I842" s="359"/>
      <c r="J842" s="359"/>
      <c r="K842" s="359"/>
      <c r="L842" s="359"/>
      <c r="M842" s="359"/>
      <c r="N842" s="359"/>
      <c r="O842" s="359"/>
      <c r="P842" s="359"/>
      <c r="Q842" s="359"/>
      <c r="R842" s="359"/>
      <c r="S842" s="359"/>
      <c r="T842" s="359"/>
      <c r="U842" s="359"/>
      <c r="V842" s="359"/>
      <c r="W842" s="359"/>
      <c r="X842" s="359"/>
      <c r="Y842" s="359"/>
      <c r="Z842" s="359"/>
      <c r="AA842" s="359"/>
    </row>
    <row r="843" spans="1:27" ht="12" customHeight="1" x14ac:dyDescent="0.25">
      <c r="A843" s="359"/>
      <c r="B843" s="359"/>
      <c r="C843" s="359"/>
      <c r="D843" s="359"/>
      <c r="E843" s="359"/>
      <c r="F843" s="359"/>
      <c r="G843" s="359"/>
      <c r="H843" s="359"/>
      <c r="I843" s="359"/>
      <c r="J843" s="359"/>
      <c r="K843" s="359"/>
      <c r="L843" s="359"/>
      <c r="M843" s="359"/>
      <c r="N843" s="359"/>
      <c r="O843" s="359"/>
      <c r="P843" s="359"/>
      <c r="Q843" s="359"/>
      <c r="R843" s="359"/>
      <c r="S843" s="359"/>
      <c r="T843" s="359"/>
      <c r="U843" s="359"/>
      <c r="V843" s="359"/>
      <c r="W843" s="359"/>
      <c r="X843" s="359"/>
      <c r="Y843" s="359"/>
      <c r="Z843" s="359"/>
      <c r="AA843" s="359"/>
    </row>
    <row r="844" spans="1:27" ht="12" customHeight="1" x14ac:dyDescent="0.25">
      <c r="A844" s="359"/>
      <c r="B844" s="359"/>
      <c r="C844" s="359"/>
      <c r="D844" s="359"/>
      <c r="E844" s="359"/>
      <c r="F844" s="359"/>
      <c r="G844" s="359"/>
      <c r="H844" s="359"/>
      <c r="I844" s="359"/>
      <c r="J844" s="359"/>
      <c r="K844" s="359"/>
      <c r="L844" s="359"/>
      <c r="M844" s="359"/>
      <c r="N844" s="359"/>
      <c r="O844" s="359"/>
      <c r="P844" s="359"/>
      <c r="Q844" s="359"/>
      <c r="R844" s="359"/>
      <c r="S844" s="359"/>
      <c r="T844" s="359"/>
      <c r="U844" s="359"/>
      <c r="V844" s="359"/>
      <c r="W844" s="359"/>
      <c r="X844" s="359"/>
      <c r="Y844" s="359"/>
      <c r="Z844" s="359"/>
      <c r="AA844" s="359"/>
    </row>
    <row r="845" spans="1:27" ht="12" customHeight="1" x14ac:dyDescent="0.25">
      <c r="A845" s="359"/>
      <c r="B845" s="359"/>
      <c r="C845" s="359"/>
      <c r="D845" s="359"/>
      <c r="E845" s="359"/>
      <c r="F845" s="359"/>
      <c r="G845" s="359"/>
      <c r="H845" s="359"/>
      <c r="I845" s="359"/>
      <c r="J845" s="359"/>
      <c r="K845" s="359"/>
      <c r="L845" s="359"/>
      <c r="M845" s="359"/>
      <c r="N845" s="359"/>
      <c r="O845" s="359"/>
      <c r="P845" s="359"/>
      <c r="Q845" s="359"/>
      <c r="R845" s="359"/>
      <c r="S845" s="359"/>
      <c r="T845" s="359"/>
      <c r="U845" s="359"/>
      <c r="V845" s="359"/>
      <c r="W845" s="359"/>
      <c r="X845" s="359"/>
      <c r="Y845" s="359"/>
      <c r="Z845" s="359"/>
      <c r="AA845" s="359"/>
    </row>
    <row r="846" spans="1:27" ht="12" customHeight="1" x14ac:dyDescent="0.25">
      <c r="A846" s="359"/>
      <c r="B846" s="359"/>
      <c r="C846" s="359"/>
      <c r="D846" s="359"/>
      <c r="E846" s="359"/>
      <c r="F846" s="359"/>
      <c r="G846" s="359"/>
      <c r="H846" s="359"/>
      <c r="I846" s="359"/>
      <c r="J846" s="359"/>
      <c r="K846" s="359"/>
      <c r="L846" s="359"/>
      <c r="M846" s="359"/>
      <c r="N846" s="359"/>
      <c r="O846" s="359"/>
      <c r="P846" s="359"/>
      <c r="Q846" s="359"/>
      <c r="R846" s="359"/>
      <c r="S846" s="359"/>
      <c r="T846" s="359"/>
      <c r="U846" s="359"/>
      <c r="V846" s="359"/>
      <c r="W846" s="359"/>
      <c r="X846" s="359"/>
      <c r="Y846" s="359"/>
      <c r="Z846" s="359"/>
      <c r="AA846" s="359"/>
    </row>
    <row r="847" spans="1:27" ht="12" customHeight="1" x14ac:dyDescent="0.25">
      <c r="A847" s="359"/>
      <c r="B847" s="359"/>
      <c r="C847" s="359"/>
      <c r="D847" s="359"/>
      <c r="E847" s="359"/>
      <c r="F847" s="359"/>
      <c r="G847" s="359"/>
      <c r="H847" s="359"/>
      <c r="I847" s="359"/>
      <c r="J847" s="359"/>
      <c r="K847" s="359"/>
      <c r="L847" s="359"/>
      <c r="M847" s="359"/>
      <c r="N847" s="359"/>
      <c r="O847" s="359"/>
      <c r="P847" s="359"/>
      <c r="Q847" s="359"/>
      <c r="R847" s="359"/>
      <c r="S847" s="359"/>
      <c r="T847" s="359"/>
      <c r="U847" s="359"/>
      <c r="V847" s="359"/>
      <c r="W847" s="359"/>
      <c r="X847" s="359"/>
      <c r="Y847" s="359"/>
      <c r="Z847" s="359"/>
      <c r="AA847" s="359"/>
    </row>
    <row r="848" spans="1:27" ht="12" customHeight="1" x14ac:dyDescent="0.25">
      <c r="A848" s="359"/>
      <c r="B848" s="359"/>
      <c r="C848" s="359"/>
      <c r="D848" s="359"/>
      <c r="E848" s="359"/>
      <c r="F848" s="359"/>
      <c r="G848" s="359"/>
      <c r="H848" s="359"/>
      <c r="I848" s="359"/>
      <c r="J848" s="359"/>
      <c r="K848" s="359"/>
      <c r="L848" s="359"/>
      <c r="M848" s="359"/>
      <c r="N848" s="359"/>
      <c r="O848" s="359"/>
      <c r="P848" s="359"/>
      <c r="Q848" s="359"/>
      <c r="R848" s="359"/>
      <c r="S848" s="359"/>
      <c r="T848" s="359"/>
      <c r="U848" s="359"/>
      <c r="V848" s="359"/>
      <c r="W848" s="359"/>
      <c r="X848" s="359"/>
      <c r="Y848" s="359"/>
      <c r="Z848" s="359"/>
      <c r="AA848" s="359"/>
    </row>
    <row r="849" spans="1:27" ht="12" customHeight="1" x14ac:dyDescent="0.25">
      <c r="A849" s="359"/>
      <c r="B849" s="359"/>
      <c r="C849" s="359"/>
      <c r="D849" s="359"/>
      <c r="E849" s="359"/>
      <c r="F849" s="359"/>
      <c r="G849" s="359"/>
      <c r="H849" s="359"/>
      <c r="I849" s="359"/>
      <c r="J849" s="359"/>
      <c r="K849" s="359"/>
      <c r="L849" s="359"/>
      <c r="M849" s="359"/>
      <c r="N849" s="359"/>
      <c r="O849" s="359"/>
      <c r="P849" s="359"/>
      <c r="Q849" s="359"/>
      <c r="R849" s="359"/>
      <c r="S849" s="359"/>
      <c r="T849" s="359"/>
      <c r="U849" s="359"/>
      <c r="V849" s="359"/>
      <c r="W849" s="359"/>
      <c r="X849" s="359"/>
      <c r="Y849" s="359"/>
      <c r="Z849" s="359"/>
      <c r="AA849" s="359"/>
    </row>
    <row r="850" spans="1:27" ht="12" customHeight="1" x14ac:dyDescent="0.25">
      <c r="A850" s="359"/>
      <c r="B850" s="359"/>
      <c r="C850" s="359"/>
      <c r="D850" s="359"/>
      <c r="E850" s="359"/>
      <c r="F850" s="359"/>
      <c r="G850" s="359"/>
      <c r="H850" s="359"/>
      <c r="I850" s="359"/>
      <c r="J850" s="359"/>
      <c r="K850" s="359"/>
      <c r="L850" s="359"/>
      <c r="M850" s="359"/>
      <c r="N850" s="359"/>
      <c r="O850" s="359"/>
      <c r="P850" s="359"/>
      <c r="Q850" s="359"/>
      <c r="R850" s="359"/>
      <c r="S850" s="359"/>
      <c r="T850" s="359"/>
      <c r="U850" s="359"/>
      <c r="V850" s="359"/>
      <c r="W850" s="359"/>
      <c r="X850" s="359"/>
      <c r="Y850" s="359"/>
      <c r="Z850" s="359"/>
      <c r="AA850" s="359"/>
    </row>
    <row r="851" spans="1:27" ht="12" customHeight="1" x14ac:dyDescent="0.25">
      <c r="A851" s="359"/>
      <c r="B851" s="359"/>
      <c r="C851" s="359"/>
      <c r="D851" s="359"/>
      <c r="E851" s="359"/>
      <c r="F851" s="359"/>
      <c r="G851" s="359"/>
      <c r="H851" s="359"/>
      <c r="I851" s="359"/>
      <c r="J851" s="359"/>
      <c r="K851" s="359"/>
      <c r="L851" s="359"/>
      <c r="M851" s="359"/>
      <c r="N851" s="359"/>
      <c r="O851" s="359"/>
      <c r="P851" s="359"/>
      <c r="Q851" s="359"/>
      <c r="R851" s="359"/>
      <c r="S851" s="359"/>
      <c r="T851" s="359"/>
      <c r="U851" s="359"/>
      <c r="V851" s="359"/>
      <c r="W851" s="359"/>
      <c r="X851" s="359"/>
      <c r="Y851" s="359"/>
      <c r="Z851" s="359"/>
      <c r="AA851" s="359"/>
    </row>
    <row r="852" spans="1:27" ht="12" customHeight="1" x14ac:dyDescent="0.25">
      <c r="A852" s="359"/>
      <c r="B852" s="359"/>
      <c r="C852" s="359"/>
      <c r="D852" s="359"/>
      <c r="E852" s="359"/>
      <c r="F852" s="359"/>
      <c r="G852" s="359"/>
      <c r="H852" s="359"/>
      <c r="I852" s="359"/>
      <c r="J852" s="359"/>
      <c r="K852" s="359"/>
      <c r="L852" s="359"/>
      <c r="M852" s="359"/>
      <c r="N852" s="359"/>
      <c r="O852" s="359"/>
      <c r="P852" s="359"/>
      <c r="Q852" s="359"/>
      <c r="R852" s="359"/>
      <c r="S852" s="359"/>
      <c r="T852" s="359"/>
      <c r="U852" s="359"/>
      <c r="V852" s="359"/>
      <c r="W852" s="359"/>
      <c r="X852" s="359"/>
      <c r="Y852" s="359"/>
      <c r="Z852" s="359"/>
      <c r="AA852" s="359"/>
    </row>
    <row r="853" spans="1:27" ht="12" customHeight="1" x14ac:dyDescent="0.25">
      <c r="A853" s="359"/>
      <c r="B853" s="359"/>
      <c r="C853" s="359"/>
      <c r="D853" s="359"/>
      <c r="E853" s="359"/>
      <c r="F853" s="359"/>
      <c r="G853" s="359"/>
      <c r="H853" s="359"/>
      <c r="I853" s="359"/>
      <c r="J853" s="359"/>
      <c r="K853" s="359"/>
      <c r="L853" s="359"/>
      <c r="M853" s="359"/>
      <c r="N853" s="359"/>
      <c r="O853" s="359"/>
      <c r="P853" s="359"/>
      <c r="Q853" s="359"/>
      <c r="R853" s="359"/>
      <c r="S853" s="359"/>
      <c r="T853" s="359"/>
      <c r="U853" s="359"/>
      <c r="V853" s="359"/>
      <c r="W853" s="359"/>
      <c r="X853" s="359"/>
      <c r="Y853" s="359"/>
      <c r="Z853" s="359"/>
      <c r="AA853" s="359"/>
    </row>
    <row r="854" spans="1:27" ht="12" customHeight="1" x14ac:dyDescent="0.25">
      <c r="A854" s="359"/>
      <c r="B854" s="359"/>
      <c r="C854" s="359"/>
      <c r="D854" s="359"/>
      <c r="E854" s="359"/>
      <c r="F854" s="359"/>
      <c r="G854" s="359"/>
      <c r="H854" s="359"/>
      <c r="I854" s="359"/>
      <c r="J854" s="359"/>
      <c r="K854" s="359"/>
      <c r="L854" s="359"/>
      <c r="M854" s="359"/>
      <c r="N854" s="359"/>
      <c r="O854" s="359"/>
      <c r="P854" s="359"/>
      <c r="Q854" s="359"/>
      <c r="R854" s="359"/>
      <c r="S854" s="359"/>
      <c r="T854" s="359"/>
      <c r="U854" s="359"/>
      <c r="V854" s="359"/>
      <c r="W854" s="359"/>
      <c r="X854" s="359"/>
      <c r="Y854" s="359"/>
      <c r="Z854" s="359"/>
      <c r="AA854" s="359"/>
    </row>
    <row r="855" spans="1:27" ht="12" customHeight="1" x14ac:dyDescent="0.25">
      <c r="A855" s="359"/>
      <c r="B855" s="359"/>
      <c r="C855" s="359"/>
      <c r="D855" s="359"/>
      <c r="E855" s="359"/>
      <c r="F855" s="359"/>
      <c r="G855" s="359"/>
      <c r="H855" s="359"/>
      <c r="I855" s="359"/>
      <c r="J855" s="359"/>
      <c r="K855" s="359"/>
      <c r="L855" s="359"/>
      <c r="M855" s="359"/>
      <c r="N855" s="359"/>
      <c r="O855" s="359"/>
      <c r="P855" s="359"/>
      <c r="Q855" s="359"/>
      <c r="R855" s="359"/>
      <c r="S855" s="359"/>
      <c r="T855" s="359"/>
      <c r="U855" s="359"/>
      <c r="V855" s="359"/>
      <c r="W855" s="359"/>
      <c r="X855" s="359"/>
      <c r="Y855" s="359"/>
      <c r="Z855" s="359"/>
      <c r="AA855" s="359"/>
    </row>
    <row r="856" spans="1:27" ht="12" customHeight="1" x14ac:dyDescent="0.25">
      <c r="A856" s="359"/>
      <c r="B856" s="359"/>
      <c r="C856" s="359"/>
      <c r="D856" s="359"/>
      <c r="E856" s="359"/>
      <c r="F856" s="359"/>
      <c r="G856" s="359"/>
      <c r="H856" s="359"/>
      <c r="I856" s="359"/>
      <c r="J856" s="359"/>
      <c r="K856" s="359"/>
      <c r="L856" s="359"/>
      <c r="M856" s="359"/>
      <c r="N856" s="359"/>
      <c r="O856" s="359"/>
      <c r="P856" s="359"/>
      <c r="Q856" s="359"/>
      <c r="R856" s="359"/>
      <c r="S856" s="359"/>
      <c r="T856" s="359"/>
      <c r="U856" s="359"/>
      <c r="V856" s="359"/>
      <c r="W856" s="359"/>
      <c r="X856" s="359"/>
      <c r="Y856" s="359"/>
      <c r="Z856" s="359"/>
      <c r="AA856" s="359"/>
    </row>
    <row r="857" spans="1:27" ht="12" customHeight="1" x14ac:dyDescent="0.25">
      <c r="A857" s="359"/>
      <c r="B857" s="359"/>
      <c r="C857" s="359"/>
      <c r="D857" s="359"/>
      <c r="E857" s="359"/>
      <c r="F857" s="359"/>
      <c r="G857" s="359"/>
      <c r="H857" s="359"/>
      <c r="I857" s="359"/>
      <c r="J857" s="359"/>
      <c r="K857" s="359"/>
      <c r="L857" s="359"/>
      <c r="M857" s="359"/>
      <c r="N857" s="359"/>
      <c r="O857" s="359"/>
      <c r="P857" s="359"/>
      <c r="Q857" s="359"/>
      <c r="R857" s="359"/>
      <c r="S857" s="359"/>
      <c r="T857" s="359"/>
      <c r="U857" s="359"/>
      <c r="V857" s="359"/>
      <c r="W857" s="359"/>
      <c r="X857" s="359"/>
      <c r="Y857" s="359"/>
      <c r="Z857" s="359"/>
      <c r="AA857" s="359"/>
    </row>
    <row r="858" spans="1:27" ht="12" customHeight="1" x14ac:dyDescent="0.25">
      <c r="A858" s="359"/>
      <c r="B858" s="359"/>
      <c r="C858" s="359"/>
      <c r="D858" s="359"/>
      <c r="E858" s="359"/>
      <c r="F858" s="359"/>
      <c r="G858" s="359"/>
      <c r="H858" s="359"/>
      <c r="I858" s="359"/>
      <c r="J858" s="359"/>
      <c r="K858" s="359"/>
      <c r="L858" s="359"/>
      <c r="M858" s="359"/>
      <c r="N858" s="359"/>
      <c r="O858" s="359"/>
      <c r="P858" s="359"/>
      <c r="Q858" s="359"/>
      <c r="R858" s="359"/>
      <c r="S858" s="359"/>
      <c r="T858" s="359"/>
      <c r="U858" s="359"/>
      <c r="V858" s="359"/>
      <c r="W858" s="359"/>
      <c r="X858" s="359"/>
      <c r="Y858" s="359"/>
      <c r="Z858" s="359"/>
      <c r="AA858" s="359"/>
    </row>
    <row r="859" spans="1:27" ht="12" customHeight="1" x14ac:dyDescent="0.25">
      <c r="A859" s="359"/>
      <c r="B859" s="359"/>
      <c r="C859" s="359"/>
      <c r="D859" s="359"/>
      <c r="E859" s="359"/>
      <c r="F859" s="359"/>
      <c r="G859" s="359"/>
      <c r="H859" s="359"/>
      <c r="I859" s="359"/>
      <c r="J859" s="359"/>
      <c r="K859" s="359"/>
      <c r="L859" s="359"/>
      <c r="M859" s="359"/>
      <c r="N859" s="359"/>
      <c r="O859" s="359"/>
      <c r="P859" s="359"/>
      <c r="Q859" s="359"/>
      <c r="R859" s="359"/>
      <c r="S859" s="359"/>
      <c r="T859" s="359"/>
      <c r="U859" s="359"/>
      <c r="V859" s="359"/>
      <c r="W859" s="359"/>
      <c r="X859" s="359"/>
      <c r="Y859" s="359"/>
      <c r="Z859" s="359"/>
      <c r="AA859" s="359"/>
    </row>
    <row r="860" spans="1:27" ht="12" customHeight="1" x14ac:dyDescent="0.25">
      <c r="A860" s="359"/>
      <c r="B860" s="359"/>
      <c r="C860" s="359"/>
      <c r="D860" s="359"/>
      <c r="E860" s="359"/>
      <c r="F860" s="359"/>
      <c r="G860" s="359"/>
      <c r="H860" s="359"/>
      <c r="I860" s="359"/>
      <c r="J860" s="359"/>
      <c r="K860" s="359"/>
      <c r="L860" s="359"/>
      <c r="M860" s="359"/>
      <c r="N860" s="359"/>
      <c r="O860" s="359"/>
      <c r="P860" s="359"/>
      <c r="Q860" s="359"/>
      <c r="R860" s="359"/>
      <c r="S860" s="359"/>
      <c r="T860" s="359"/>
      <c r="U860" s="359"/>
      <c r="V860" s="359"/>
      <c r="W860" s="359"/>
      <c r="X860" s="359"/>
      <c r="Y860" s="359"/>
      <c r="Z860" s="359"/>
      <c r="AA860" s="359"/>
    </row>
    <row r="861" spans="1:27" ht="12" customHeight="1" x14ac:dyDescent="0.25">
      <c r="A861" s="359"/>
      <c r="B861" s="359"/>
      <c r="C861" s="359"/>
      <c r="D861" s="359"/>
      <c r="E861" s="359"/>
      <c r="F861" s="359"/>
      <c r="G861" s="359"/>
      <c r="H861" s="359"/>
      <c r="I861" s="359"/>
      <c r="J861" s="359"/>
      <c r="K861" s="359"/>
      <c r="L861" s="359"/>
      <c r="M861" s="359"/>
      <c r="N861" s="359"/>
      <c r="O861" s="359"/>
      <c r="P861" s="359"/>
      <c r="Q861" s="359"/>
      <c r="R861" s="359"/>
      <c r="S861" s="359"/>
      <c r="T861" s="359"/>
      <c r="U861" s="359"/>
      <c r="V861" s="359"/>
      <c r="W861" s="359"/>
      <c r="X861" s="359"/>
      <c r="Y861" s="359"/>
      <c r="Z861" s="359"/>
      <c r="AA861" s="359"/>
    </row>
    <row r="862" spans="1:27" ht="12" customHeight="1" x14ac:dyDescent="0.25">
      <c r="A862" s="359"/>
      <c r="B862" s="359"/>
      <c r="C862" s="359"/>
      <c r="D862" s="359"/>
      <c r="E862" s="359"/>
      <c r="F862" s="359"/>
      <c r="G862" s="359"/>
      <c r="H862" s="359"/>
      <c r="I862" s="359"/>
      <c r="J862" s="359"/>
      <c r="K862" s="359"/>
      <c r="L862" s="359"/>
      <c r="M862" s="359"/>
      <c r="N862" s="359"/>
      <c r="O862" s="359"/>
      <c r="P862" s="359"/>
      <c r="Q862" s="359"/>
      <c r="R862" s="359"/>
      <c r="S862" s="359"/>
      <c r="T862" s="359"/>
      <c r="U862" s="359"/>
      <c r="V862" s="359"/>
      <c r="W862" s="359"/>
      <c r="X862" s="359"/>
      <c r="Y862" s="359"/>
      <c r="Z862" s="359"/>
      <c r="AA862" s="359"/>
    </row>
    <row r="863" spans="1:27" ht="12" customHeight="1" x14ac:dyDescent="0.25">
      <c r="A863" s="359"/>
      <c r="B863" s="359"/>
      <c r="C863" s="359"/>
      <c r="D863" s="359"/>
      <c r="E863" s="359"/>
      <c r="F863" s="359"/>
      <c r="G863" s="359"/>
      <c r="H863" s="359"/>
      <c r="I863" s="359"/>
      <c r="J863" s="359"/>
      <c r="K863" s="359"/>
      <c r="L863" s="359"/>
      <c r="M863" s="359"/>
      <c r="N863" s="359"/>
      <c r="O863" s="359"/>
      <c r="P863" s="359"/>
      <c r="Q863" s="359"/>
      <c r="R863" s="359"/>
      <c r="S863" s="359"/>
      <c r="T863" s="359"/>
      <c r="U863" s="359"/>
      <c r="V863" s="359"/>
      <c r="W863" s="359"/>
      <c r="X863" s="359"/>
      <c r="Y863" s="359"/>
      <c r="Z863" s="359"/>
      <c r="AA863" s="359"/>
    </row>
    <row r="864" spans="1:27" ht="12" customHeight="1" x14ac:dyDescent="0.25">
      <c r="A864" s="359"/>
      <c r="B864" s="359"/>
      <c r="C864" s="359"/>
      <c r="D864" s="359"/>
      <c r="E864" s="359"/>
      <c r="F864" s="359"/>
      <c r="G864" s="359"/>
      <c r="H864" s="359"/>
      <c r="I864" s="359"/>
      <c r="J864" s="359"/>
      <c r="K864" s="359"/>
      <c r="L864" s="359"/>
      <c r="M864" s="359"/>
      <c r="N864" s="359"/>
      <c r="O864" s="359"/>
      <c r="P864" s="359"/>
      <c r="Q864" s="359"/>
      <c r="R864" s="359"/>
      <c r="S864" s="359"/>
      <c r="T864" s="359"/>
      <c r="U864" s="359"/>
      <c r="V864" s="359"/>
      <c r="W864" s="359"/>
      <c r="X864" s="359"/>
      <c r="Y864" s="359"/>
      <c r="Z864" s="359"/>
      <c r="AA864" s="359"/>
    </row>
    <row r="865" spans="1:27" ht="12" customHeight="1" x14ac:dyDescent="0.25">
      <c r="A865" s="359"/>
      <c r="B865" s="359"/>
      <c r="C865" s="359"/>
      <c r="D865" s="359"/>
      <c r="E865" s="359"/>
      <c r="F865" s="359"/>
      <c r="G865" s="359"/>
      <c r="H865" s="359"/>
      <c r="I865" s="359"/>
      <c r="J865" s="359"/>
      <c r="K865" s="359"/>
      <c r="L865" s="359"/>
      <c r="M865" s="359"/>
      <c r="N865" s="359"/>
      <c r="O865" s="359"/>
      <c r="P865" s="359"/>
      <c r="Q865" s="359"/>
      <c r="R865" s="359"/>
      <c r="S865" s="359"/>
      <c r="T865" s="359"/>
      <c r="U865" s="359"/>
      <c r="V865" s="359"/>
      <c r="W865" s="359"/>
      <c r="X865" s="359"/>
      <c r="Y865" s="359"/>
      <c r="Z865" s="359"/>
      <c r="AA865" s="359"/>
    </row>
    <row r="866" spans="1:27" ht="12" customHeight="1" x14ac:dyDescent="0.25">
      <c r="A866" s="359"/>
      <c r="B866" s="359"/>
      <c r="C866" s="359"/>
      <c r="D866" s="359"/>
      <c r="E866" s="359"/>
      <c r="F866" s="359"/>
      <c r="G866" s="359"/>
      <c r="H866" s="359"/>
      <c r="I866" s="359"/>
      <c r="J866" s="359"/>
      <c r="K866" s="359"/>
      <c r="L866" s="359"/>
      <c r="M866" s="359"/>
      <c r="N866" s="359"/>
      <c r="O866" s="359"/>
      <c r="P866" s="359"/>
      <c r="Q866" s="359"/>
      <c r="R866" s="359"/>
      <c r="S866" s="359"/>
      <c r="T866" s="359"/>
      <c r="U866" s="359"/>
      <c r="V866" s="359"/>
      <c r="W866" s="359"/>
      <c r="X866" s="359"/>
      <c r="Y866" s="359"/>
      <c r="Z866" s="359"/>
      <c r="AA866" s="359"/>
    </row>
    <row r="867" spans="1:27" ht="12" customHeight="1" x14ac:dyDescent="0.25">
      <c r="A867" s="359"/>
      <c r="B867" s="359"/>
      <c r="C867" s="359"/>
      <c r="D867" s="359"/>
      <c r="E867" s="359"/>
      <c r="F867" s="359"/>
      <c r="G867" s="359"/>
      <c r="H867" s="359"/>
      <c r="I867" s="359"/>
      <c r="J867" s="359"/>
      <c r="K867" s="359"/>
      <c r="L867" s="359"/>
      <c r="M867" s="359"/>
      <c r="N867" s="359"/>
      <c r="O867" s="359"/>
      <c r="P867" s="359"/>
      <c r="Q867" s="359"/>
      <c r="R867" s="359"/>
      <c r="S867" s="359"/>
      <c r="T867" s="359"/>
      <c r="U867" s="359"/>
      <c r="V867" s="359"/>
      <c r="W867" s="359"/>
      <c r="X867" s="359"/>
      <c r="Y867" s="359"/>
      <c r="Z867" s="359"/>
      <c r="AA867" s="359"/>
    </row>
    <row r="868" spans="1:27" ht="12" customHeight="1" x14ac:dyDescent="0.25">
      <c r="A868" s="359"/>
      <c r="B868" s="359"/>
      <c r="C868" s="359"/>
      <c r="D868" s="359"/>
      <c r="E868" s="359"/>
      <c r="F868" s="359"/>
      <c r="G868" s="359"/>
      <c r="H868" s="359"/>
      <c r="I868" s="359"/>
      <c r="J868" s="359"/>
      <c r="K868" s="359"/>
      <c r="L868" s="359"/>
      <c r="M868" s="359"/>
      <c r="N868" s="359"/>
      <c r="O868" s="359"/>
      <c r="P868" s="359"/>
      <c r="Q868" s="359"/>
      <c r="R868" s="359"/>
      <c r="S868" s="359"/>
      <c r="T868" s="359"/>
      <c r="U868" s="359"/>
      <c r="V868" s="359"/>
      <c r="W868" s="359"/>
      <c r="X868" s="359"/>
      <c r="Y868" s="359"/>
      <c r="Z868" s="359"/>
      <c r="AA868" s="359"/>
    </row>
    <row r="869" spans="1:27" ht="12" customHeight="1" x14ac:dyDescent="0.25">
      <c r="A869" s="359"/>
      <c r="B869" s="359"/>
      <c r="C869" s="359"/>
      <c r="D869" s="359"/>
      <c r="E869" s="359"/>
      <c r="F869" s="359"/>
      <c r="G869" s="359"/>
      <c r="H869" s="359"/>
      <c r="I869" s="359"/>
      <c r="J869" s="359"/>
      <c r="K869" s="359"/>
      <c r="L869" s="359"/>
      <c r="M869" s="359"/>
      <c r="N869" s="359"/>
      <c r="O869" s="359"/>
      <c r="P869" s="359"/>
      <c r="Q869" s="359"/>
      <c r="R869" s="359"/>
      <c r="S869" s="359"/>
      <c r="T869" s="359"/>
      <c r="U869" s="359"/>
      <c r="V869" s="359"/>
      <c r="W869" s="359"/>
      <c r="X869" s="359"/>
      <c r="Y869" s="359"/>
      <c r="Z869" s="359"/>
      <c r="AA869" s="359"/>
    </row>
    <row r="870" spans="1:27" ht="12" customHeight="1" x14ac:dyDescent="0.25">
      <c r="A870" s="359"/>
      <c r="B870" s="359"/>
      <c r="C870" s="359"/>
      <c r="D870" s="359"/>
      <c r="E870" s="359"/>
      <c r="F870" s="359"/>
      <c r="G870" s="359"/>
      <c r="H870" s="359"/>
      <c r="I870" s="359"/>
      <c r="J870" s="359"/>
      <c r="K870" s="359"/>
      <c r="L870" s="359"/>
      <c r="M870" s="359"/>
      <c r="N870" s="359"/>
      <c r="O870" s="359"/>
      <c r="P870" s="359"/>
      <c r="Q870" s="359"/>
      <c r="R870" s="359"/>
      <c r="S870" s="359"/>
      <c r="T870" s="359"/>
      <c r="U870" s="359"/>
      <c r="V870" s="359"/>
      <c r="W870" s="359"/>
      <c r="X870" s="359"/>
      <c r="Y870" s="359"/>
      <c r="Z870" s="359"/>
      <c r="AA870" s="359"/>
    </row>
    <row r="871" spans="1:27" ht="12" customHeight="1" x14ac:dyDescent="0.25">
      <c r="A871" s="359"/>
      <c r="B871" s="359"/>
      <c r="C871" s="359"/>
      <c r="D871" s="359"/>
      <c r="E871" s="359"/>
      <c r="F871" s="359"/>
      <c r="G871" s="359"/>
      <c r="H871" s="359"/>
      <c r="I871" s="359"/>
      <c r="J871" s="359"/>
      <c r="K871" s="359"/>
      <c r="L871" s="359"/>
      <c r="M871" s="359"/>
      <c r="N871" s="359"/>
      <c r="O871" s="359"/>
      <c r="P871" s="359"/>
      <c r="Q871" s="359"/>
      <c r="R871" s="359"/>
      <c r="S871" s="359"/>
      <c r="T871" s="359"/>
      <c r="U871" s="359"/>
      <c r="V871" s="359"/>
      <c r="W871" s="359"/>
      <c r="X871" s="359"/>
      <c r="Y871" s="359"/>
      <c r="Z871" s="359"/>
      <c r="AA871" s="359"/>
    </row>
    <row r="872" spans="1:27" ht="12" customHeight="1" x14ac:dyDescent="0.25">
      <c r="A872" s="359"/>
      <c r="B872" s="359"/>
      <c r="C872" s="359"/>
      <c r="D872" s="359"/>
      <c r="E872" s="359"/>
      <c r="F872" s="359"/>
      <c r="G872" s="359"/>
      <c r="H872" s="359"/>
      <c r="I872" s="359"/>
      <c r="J872" s="359"/>
      <c r="K872" s="359"/>
      <c r="L872" s="359"/>
      <c r="M872" s="359"/>
      <c r="N872" s="359"/>
      <c r="O872" s="359"/>
      <c r="P872" s="359"/>
      <c r="Q872" s="359"/>
      <c r="R872" s="359"/>
      <c r="S872" s="359"/>
      <c r="T872" s="359"/>
      <c r="U872" s="359"/>
      <c r="V872" s="359"/>
      <c r="W872" s="359"/>
      <c r="X872" s="359"/>
      <c r="Y872" s="359"/>
      <c r="Z872" s="359"/>
      <c r="AA872" s="359"/>
    </row>
    <row r="873" spans="1:27" ht="12" customHeight="1" x14ac:dyDescent="0.25">
      <c r="A873" s="359"/>
      <c r="B873" s="359"/>
      <c r="C873" s="359"/>
      <c r="D873" s="359"/>
      <c r="E873" s="359"/>
      <c r="F873" s="359"/>
      <c r="G873" s="359"/>
      <c r="H873" s="359"/>
      <c r="I873" s="359"/>
      <c r="J873" s="359"/>
      <c r="K873" s="359"/>
      <c r="L873" s="359"/>
      <c r="M873" s="359"/>
      <c r="N873" s="359"/>
      <c r="O873" s="359"/>
      <c r="P873" s="359"/>
      <c r="Q873" s="359"/>
      <c r="R873" s="359"/>
      <c r="S873" s="359"/>
      <c r="T873" s="359"/>
      <c r="U873" s="359"/>
      <c r="V873" s="359"/>
      <c r="W873" s="359"/>
      <c r="X873" s="359"/>
      <c r="Y873" s="359"/>
      <c r="Z873" s="359"/>
      <c r="AA873" s="359"/>
    </row>
    <row r="874" spans="1:27" ht="12" customHeight="1" x14ac:dyDescent="0.25">
      <c r="A874" s="359"/>
      <c r="B874" s="359"/>
      <c r="C874" s="359"/>
      <c r="D874" s="359"/>
      <c r="E874" s="359"/>
      <c r="F874" s="359"/>
      <c r="G874" s="359"/>
      <c r="H874" s="359"/>
      <c r="I874" s="359"/>
      <c r="J874" s="359"/>
      <c r="K874" s="359"/>
      <c r="L874" s="359"/>
      <c r="M874" s="359"/>
      <c r="N874" s="359"/>
      <c r="O874" s="359"/>
      <c r="P874" s="359"/>
      <c r="Q874" s="359"/>
      <c r="R874" s="359"/>
      <c r="S874" s="359"/>
      <c r="T874" s="359"/>
      <c r="U874" s="359"/>
      <c r="V874" s="359"/>
      <c r="W874" s="359"/>
      <c r="X874" s="359"/>
      <c r="Y874" s="359"/>
      <c r="Z874" s="359"/>
      <c r="AA874" s="359"/>
    </row>
    <row r="875" spans="1:27" ht="12" customHeight="1" x14ac:dyDescent="0.25">
      <c r="A875" s="359"/>
      <c r="B875" s="359"/>
      <c r="C875" s="359"/>
      <c r="D875" s="359"/>
      <c r="E875" s="359"/>
      <c r="F875" s="359"/>
      <c r="G875" s="359"/>
      <c r="H875" s="359"/>
      <c r="I875" s="359"/>
      <c r="J875" s="359"/>
      <c r="K875" s="359"/>
      <c r="L875" s="359"/>
      <c r="M875" s="359"/>
      <c r="N875" s="359"/>
      <c r="O875" s="359"/>
      <c r="P875" s="359"/>
      <c r="Q875" s="359"/>
      <c r="R875" s="359"/>
      <c r="S875" s="359"/>
      <c r="T875" s="359"/>
      <c r="U875" s="359"/>
      <c r="V875" s="359"/>
      <c r="W875" s="359"/>
      <c r="X875" s="359"/>
      <c r="Y875" s="359"/>
      <c r="Z875" s="359"/>
      <c r="AA875" s="359"/>
    </row>
    <row r="876" spans="1:27" ht="12" customHeight="1" x14ac:dyDescent="0.25">
      <c r="A876" s="359"/>
      <c r="B876" s="359"/>
      <c r="C876" s="359"/>
      <c r="D876" s="359"/>
      <c r="E876" s="359"/>
      <c r="F876" s="359"/>
      <c r="G876" s="359"/>
      <c r="H876" s="359"/>
      <c r="I876" s="359"/>
      <c r="J876" s="359"/>
      <c r="K876" s="359"/>
      <c r="L876" s="359"/>
      <c r="M876" s="359"/>
      <c r="N876" s="359"/>
      <c r="O876" s="359"/>
      <c r="P876" s="359"/>
      <c r="Q876" s="359"/>
      <c r="R876" s="359"/>
      <c r="S876" s="359"/>
      <c r="T876" s="359"/>
      <c r="U876" s="359"/>
      <c r="V876" s="359"/>
      <c r="W876" s="359"/>
      <c r="X876" s="359"/>
      <c r="Y876" s="359"/>
      <c r="Z876" s="359"/>
      <c r="AA876" s="359"/>
    </row>
    <row r="877" spans="1:27" ht="12" customHeight="1" x14ac:dyDescent="0.25">
      <c r="A877" s="359"/>
      <c r="B877" s="359"/>
      <c r="C877" s="359"/>
      <c r="D877" s="359"/>
      <c r="E877" s="359"/>
      <c r="F877" s="359"/>
      <c r="G877" s="359"/>
      <c r="H877" s="359"/>
      <c r="I877" s="359"/>
      <c r="J877" s="359"/>
      <c r="K877" s="359"/>
      <c r="L877" s="359"/>
      <c r="M877" s="359"/>
      <c r="N877" s="359"/>
      <c r="O877" s="359"/>
      <c r="P877" s="359"/>
      <c r="Q877" s="359"/>
      <c r="R877" s="359"/>
      <c r="S877" s="359"/>
      <c r="T877" s="359"/>
      <c r="U877" s="359"/>
      <c r="V877" s="359"/>
      <c r="W877" s="359"/>
      <c r="X877" s="359"/>
      <c r="Y877" s="359"/>
      <c r="Z877" s="359"/>
      <c r="AA877" s="359"/>
    </row>
    <row r="878" spans="1:27" ht="12" customHeight="1" x14ac:dyDescent="0.25">
      <c r="A878" s="359"/>
      <c r="B878" s="359"/>
      <c r="C878" s="359"/>
      <c r="D878" s="359"/>
      <c r="E878" s="359"/>
      <c r="F878" s="359"/>
      <c r="G878" s="359"/>
      <c r="H878" s="359"/>
      <c r="I878" s="359"/>
      <c r="J878" s="359"/>
      <c r="K878" s="359"/>
      <c r="L878" s="359"/>
      <c r="M878" s="359"/>
      <c r="N878" s="359"/>
      <c r="O878" s="359"/>
      <c r="P878" s="359"/>
      <c r="Q878" s="359"/>
      <c r="R878" s="359"/>
      <c r="S878" s="359"/>
      <c r="T878" s="359"/>
      <c r="U878" s="359"/>
      <c r="V878" s="359"/>
      <c r="W878" s="359"/>
      <c r="X878" s="359"/>
      <c r="Y878" s="359"/>
      <c r="Z878" s="359"/>
      <c r="AA878" s="359"/>
    </row>
    <row r="879" spans="1:27" ht="12" customHeight="1" x14ac:dyDescent="0.25">
      <c r="A879" s="359"/>
      <c r="B879" s="359"/>
      <c r="C879" s="359"/>
      <c r="D879" s="359"/>
      <c r="E879" s="359"/>
      <c r="F879" s="359"/>
      <c r="G879" s="359"/>
      <c r="H879" s="359"/>
      <c r="I879" s="359"/>
      <c r="J879" s="359"/>
      <c r="K879" s="359"/>
      <c r="L879" s="359"/>
      <c r="M879" s="359"/>
      <c r="N879" s="359"/>
      <c r="O879" s="359"/>
      <c r="P879" s="359"/>
      <c r="Q879" s="359"/>
      <c r="R879" s="359"/>
      <c r="S879" s="359"/>
      <c r="T879" s="359"/>
      <c r="U879" s="359"/>
      <c r="V879" s="359"/>
      <c r="W879" s="359"/>
      <c r="X879" s="359"/>
      <c r="Y879" s="359"/>
      <c r="Z879" s="359"/>
      <c r="AA879" s="359"/>
    </row>
    <row r="880" spans="1:27" ht="12" customHeight="1" x14ac:dyDescent="0.25">
      <c r="A880" s="359"/>
      <c r="B880" s="359"/>
      <c r="C880" s="359"/>
      <c r="D880" s="359"/>
      <c r="E880" s="359"/>
      <c r="F880" s="359"/>
      <c r="G880" s="359"/>
      <c r="H880" s="359"/>
      <c r="I880" s="359"/>
      <c r="J880" s="359"/>
      <c r="K880" s="359"/>
      <c r="L880" s="359"/>
      <c r="M880" s="359"/>
      <c r="N880" s="359"/>
      <c r="O880" s="359"/>
      <c r="P880" s="359"/>
      <c r="Q880" s="359"/>
      <c r="R880" s="359"/>
      <c r="S880" s="359"/>
      <c r="T880" s="359"/>
      <c r="U880" s="359"/>
      <c r="V880" s="359"/>
      <c r="W880" s="359"/>
      <c r="X880" s="359"/>
      <c r="Y880" s="359"/>
      <c r="Z880" s="359"/>
      <c r="AA880" s="359"/>
    </row>
    <row r="881" spans="1:27" ht="12" customHeight="1" x14ac:dyDescent="0.25">
      <c r="A881" s="359"/>
      <c r="B881" s="359"/>
      <c r="C881" s="359"/>
      <c r="D881" s="359"/>
      <c r="E881" s="359"/>
      <c r="F881" s="359"/>
      <c r="G881" s="359"/>
      <c r="H881" s="359"/>
      <c r="I881" s="359"/>
      <c r="J881" s="359"/>
      <c r="K881" s="359"/>
      <c r="L881" s="359"/>
      <c r="M881" s="359"/>
      <c r="N881" s="359"/>
      <c r="O881" s="359"/>
      <c r="P881" s="359"/>
      <c r="Q881" s="359"/>
      <c r="R881" s="359"/>
      <c r="S881" s="359"/>
      <c r="T881" s="359"/>
      <c r="U881" s="359"/>
      <c r="V881" s="359"/>
      <c r="W881" s="359"/>
      <c r="X881" s="359"/>
      <c r="Y881" s="359"/>
      <c r="Z881" s="359"/>
      <c r="AA881" s="359"/>
    </row>
    <row r="882" spans="1:27" ht="12" customHeight="1" x14ac:dyDescent="0.25">
      <c r="A882" s="359"/>
      <c r="B882" s="359"/>
      <c r="C882" s="359"/>
      <c r="D882" s="359"/>
      <c r="E882" s="359"/>
      <c r="F882" s="359"/>
      <c r="G882" s="359"/>
      <c r="H882" s="359"/>
      <c r="I882" s="359"/>
      <c r="J882" s="359"/>
      <c r="K882" s="359"/>
      <c r="L882" s="359"/>
      <c r="M882" s="359"/>
      <c r="N882" s="359"/>
      <c r="O882" s="359"/>
      <c r="P882" s="359"/>
      <c r="Q882" s="359"/>
      <c r="R882" s="359"/>
      <c r="S882" s="359"/>
      <c r="T882" s="359"/>
      <c r="U882" s="359"/>
      <c r="V882" s="359"/>
      <c r="W882" s="359"/>
      <c r="X882" s="359"/>
      <c r="Y882" s="359"/>
      <c r="Z882" s="359"/>
      <c r="AA882" s="359"/>
    </row>
    <row r="883" spans="1:27" ht="12" customHeight="1" x14ac:dyDescent="0.25">
      <c r="A883" s="359"/>
      <c r="B883" s="359"/>
      <c r="C883" s="359"/>
      <c r="D883" s="359"/>
      <c r="E883" s="359"/>
      <c r="F883" s="359"/>
      <c r="G883" s="359"/>
      <c r="H883" s="359"/>
      <c r="I883" s="359"/>
      <c r="J883" s="359"/>
      <c r="K883" s="359"/>
      <c r="L883" s="359"/>
      <c r="M883" s="359"/>
      <c r="N883" s="359"/>
      <c r="O883" s="359"/>
      <c r="P883" s="359"/>
      <c r="Q883" s="359"/>
      <c r="R883" s="359"/>
      <c r="S883" s="359"/>
      <c r="T883" s="359"/>
      <c r="U883" s="359"/>
      <c r="V883" s="359"/>
      <c r="W883" s="359"/>
      <c r="X883" s="359"/>
      <c r="Y883" s="359"/>
      <c r="Z883" s="359"/>
      <c r="AA883" s="359"/>
    </row>
    <row r="884" spans="1:27" ht="12" customHeight="1" x14ac:dyDescent="0.25">
      <c r="A884" s="359"/>
      <c r="B884" s="359"/>
      <c r="C884" s="359"/>
      <c r="D884" s="359"/>
      <c r="E884" s="359"/>
      <c r="F884" s="359"/>
      <c r="G884" s="359"/>
      <c r="H884" s="359"/>
      <c r="I884" s="359"/>
      <c r="J884" s="359"/>
      <c r="K884" s="359"/>
      <c r="L884" s="359"/>
      <c r="M884" s="359"/>
      <c r="N884" s="359"/>
      <c r="O884" s="359"/>
      <c r="P884" s="359"/>
      <c r="Q884" s="359"/>
      <c r="R884" s="359"/>
      <c r="S884" s="359"/>
      <c r="T884" s="359"/>
      <c r="U884" s="359"/>
      <c r="V884" s="359"/>
      <c r="W884" s="359"/>
      <c r="X884" s="359"/>
      <c r="Y884" s="359"/>
      <c r="Z884" s="359"/>
      <c r="AA884" s="359"/>
    </row>
    <row r="885" spans="1:27" ht="12" customHeight="1" x14ac:dyDescent="0.25">
      <c r="A885" s="359"/>
      <c r="B885" s="359"/>
      <c r="C885" s="359"/>
      <c r="D885" s="359"/>
      <c r="E885" s="359"/>
      <c r="F885" s="359"/>
      <c r="G885" s="359"/>
      <c r="H885" s="359"/>
      <c r="I885" s="359"/>
      <c r="J885" s="359"/>
      <c r="K885" s="359"/>
      <c r="L885" s="359"/>
      <c r="M885" s="359"/>
      <c r="N885" s="359"/>
      <c r="O885" s="359"/>
      <c r="P885" s="359"/>
      <c r="Q885" s="359"/>
      <c r="R885" s="359"/>
      <c r="S885" s="359"/>
      <c r="T885" s="359"/>
      <c r="U885" s="359"/>
      <c r="V885" s="359"/>
      <c r="W885" s="359"/>
      <c r="X885" s="359"/>
      <c r="Y885" s="359"/>
      <c r="Z885" s="359"/>
      <c r="AA885" s="359"/>
    </row>
    <row r="886" spans="1:27" ht="12" customHeight="1" x14ac:dyDescent="0.25">
      <c r="A886" s="359"/>
      <c r="B886" s="359"/>
      <c r="C886" s="359"/>
      <c r="D886" s="359"/>
      <c r="E886" s="359"/>
      <c r="F886" s="359"/>
      <c r="G886" s="359"/>
      <c r="H886" s="359"/>
      <c r="I886" s="359"/>
      <c r="J886" s="359"/>
      <c r="K886" s="359"/>
      <c r="L886" s="359"/>
      <c r="M886" s="359"/>
      <c r="N886" s="359"/>
      <c r="O886" s="359"/>
      <c r="P886" s="359"/>
      <c r="Q886" s="359"/>
      <c r="R886" s="359"/>
      <c r="S886" s="359"/>
      <c r="T886" s="359"/>
      <c r="U886" s="359"/>
      <c r="V886" s="359"/>
      <c r="W886" s="359"/>
      <c r="X886" s="359"/>
      <c r="Y886" s="359"/>
      <c r="Z886" s="359"/>
      <c r="AA886" s="359"/>
    </row>
    <row r="887" spans="1:27" ht="12" customHeight="1" x14ac:dyDescent="0.25">
      <c r="A887" s="359"/>
      <c r="B887" s="359"/>
      <c r="C887" s="359"/>
      <c r="D887" s="359"/>
      <c r="E887" s="359"/>
      <c r="F887" s="359"/>
      <c r="G887" s="359"/>
      <c r="H887" s="359"/>
      <c r="I887" s="359"/>
      <c r="J887" s="359"/>
      <c r="K887" s="359"/>
      <c r="L887" s="359"/>
      <c r="M887" s="359"/>
      <c r="N887" s="359"/>
      <c r="O887" s="359"/>
      <c r="P887" s="359"/>
      <c r="Q887" s="359"/>
      <c r="R887" s="359"/>
      <c r="S887" s="359"/>
      <c r="T887" s="359"/>
      <c r="U887" s="359"/>
      <c r="V887" s="359"/>
      <c r="W887" s="359"/>
      <c r="X887" s="359"/>
      <c r="Y887" s="359"/>
      <c r="Z887" s="359"/>
      <c r="AA887" s="359"/>
    </row>
    <row r="888" spans="1:27" ht="12" customHeight="1" x14ac:dyDescent="0.25">
      <c r="A888" s="359"/>
      <c r="B888" s="359"/>
      <c r="C888" s="359"/>
      <c r="D888" s="359"/>
      <c r="E888" s="359"/>
      <c r="F888" s="359"/>
      <c r="G888" s="359"/>
      <c r="H888" s="359"/>
      <c r="I888" s="359"/>
      <c r="J888" s="359"/>
      <c r="K888" s="359"/>
      <c r="L888" s="359"/>
      <c r="M888" s="359"/>
      <c r="N888" s="359"/>
      <c r="O888" s="359"/>
      <c r="P888" s="359"/>
      <c r="Q888" s="359"/>
      <c r="R888" s="359"/>
      <c r="S888" s="359"/>
      <c r="T888" s="359"/>
      <c r="U888" s="359"/>
      <c r="V888" s="359"/>
      <c r="W888" s="359"/>
      <c r="X888" s="359"/>
      <c r="Y888" s="359"/>
      <c r="Z888" s="359"/>
      <c r="AA888" s="359"/>
    </row>
    <row r="889" spans="1:27" ht="12" customHeight="1" x14ac:dyDescent="0.25">
      <c r="A889" s="359"/>
      <c r="B889" s="359"/>
      <c r="C889" s="359"/>
      <c r="D889" s="359"/>
      <c r="E889" s="359"/>
      <c r="F889" s="359"/>
      <c r="G889" s="359"/>
      <c r="H889" s="359"/>
      <c r="I889" s="359"/>
      <c r="J889" s="359"/>
      <c r="K889" s="359"/>
      <c r="L889" s="359"/>
      <c r="M889" s="359"/>
      <c r="N889" s="359"/>
      <c r="O889" s="359"/>
      <c r="P889" s="359"/>
      <c r="Q889" s="359"/>
      <c r="R889" s="359"/>
      <c r="S889" s="359"/>
      <c r="T889" s="359"/>
      <c r="U889" s="359"/>
      <c r="V889" s="359"/>
      <c r="W889" s="359"/>
      <c r="X889" s="359"/>
      <c r="Y889" s="359"/>
      <c r="Z889" s="359"/>
      <c r="AA889" s="359"/>
    </row>
    <row r="890" spans="1:27" ht="12" customHeight="1" x14ac:dyDescent="0.25">
      <c r="A890" s="359"/>
      <c r="B890" s="359"/>
      <c r="C890" s="359"/>
      <c r="D890" s="359"/>
      <c r="E890" s="359"/>
      <c r="F890" s="359"/>
      <c r="G890" s="359"/>
      <c r="H890" s="359"/>
      <c r="I890" s="359"/>
      <c r="J890" s="359"/>
      <c r="K890" s="359"/>
      <c r="L890" s="359"/>
      <c r="M890" s="359"/>
      <c r="N890" s="359"/>
      <c r="O890" s="359"/>
      <c r="P890" s="359"/>
      <c r="Q890" s="359"/>
      <c r="R890" s="359"/>
      <c r="S890" s="359"/>
      <c r="T890" s="359"/>
      <c r="U890" s="359"/>
      <c r="V890" s="359"/>
      <c r="W890" s="359"/>
      <c r="X890" s="359"/>
      <c r="Y890" s="359"/>
      <c r="Z890" s="359"/>
      <c r="AA890" s="359"/>
    </row>
    <row r="891" spans="1:27" ht="12" customHeight="1" x14ac:dyDescent="0.25">
      <c r="A891" s="359"/>
      <c r="B891" s="359"/>
      <c r="C891" s="359"/>
      <c r="D891" s="359"/>
      <c r="E891" s="359"/>
      <c r="F891" s="359"/>
      <c r="G891" s="359"/>
      <c r="H891" s="359"/>
      <c r="I891" s="359"/>
      <c r="J891" s="359"/>
      <c r="K891" s="359"/>
      <c r="L891" s="359"/>
      <c r="M891" s="359"/>
      <c r="N891" s="359"/>
      <c r="O891" s="359"/>
      <c r="P891" s="359"/>
      <c r="Q891" s="359"/>
      <c r="R891" s="359"/>
      <c r="S891" s="359"/>
      <c r="T891" s="359"/>
      <c r="U891" s="359"/>
      <c r="V891" s="359"/>
      <c r="W891" s="359"/>
      <c r="X891" s="359"/>
      <c r="Y891" s="359"/>
      <c r="Z891" s="359"/>
      <c r="AA891" s="359"/>
    </row>
    <row r="892" spans="1:27" ht="12" customHeight="1" x14ac:dyDescent="0.25">
      <c r="A892" s="359"/>
      <c r="B892" s="359"/>
      <c r="C892" s="359"/>
      <c r="D892" s="359"/>
      <c r="E892" s="359"/>
      <c r="F892" s="359"/>
      <c r="G892" s="359"/>
      <c r="H892" s="359"/>
      <c r="I892" s="359"/>
      <c r="J892" s="359"/>
      <c r="K892" s="359"/>
      <c r="L892" s="359"/>
      <c r="M892" s="359"/>
      <c r="N892" s="359"/>
      <c r="O892" s="359"/>
      <c r="P892" s="359"/>
      <c r="Q892" s="359"/>
      <c r="R892" s="359"/>
      <c r="S892" s="359"/>
      <c r="T892" s="359"/>
      <c r="U892" s="359"/>
      <c r="V892" s="359"/>
      <c r="W892" s="359"/>
      <c r="X892" s="359"/>
      <c r="Y892" s="359"/>
      <c r="Z892" s="359"/>
      <c r="AA892" s="359"/>
    </row>
    <row r="893" spans="1:27" ht="12" customHeight="1" x14ac:dyDescent="0.25">
      <c r="A893" s="359"/>
      <c r="B893" s="359"/>
      <c r="C893" s="359"/>
      <c r="D893" s="359"/>
      <c r="E893" s="359"/>
      <c r="F893" s="359"/>
      <c r="G893" s="359"/>
      <c r="H893" s="359"/>
      <c r="I893" s="359"/>
      <c r="J893" s="359"/>
      <c r="K893" s="359"/>
      <c r="L893" s="359"/>
      <c r="M893" s="359"/>
      <c r="N893" s="359"/>
      <c r="O893" s="359"/>
      <c r="P893" s="359"/>
      <c r="Q893" s="359"/>
      <c r="R893" s="359"/>
      <c r="S893" s="359"/>
      <c r="T893" s="359"/>
      <c r="U893" s="359"/>
      <c r="V893" s="359"/>
      <c r="W893" s="359"/>
      <c r="X893" s="359"/>
      <c r="Y893" s="359"/>
      <c r="Z893" s="359"/>
      <c r="AA893" s="359"/>
    </row>
    <row r="894" spans="1:27" ht="12" customHeight="1" x14ac:dyDescent="0.25">
      <c r="A894" s="359"/>
      <c r="B894" s="359"/>
      <c r="C894" s="359"/>
      <c r="D894" s="359"/>
      <c r="E894" s="359"/>
      <c r="F894" s="359"/>
      <c r="G894" s="359"/>
      <c r="H894" s="359"/>
      <c r="I894" s="359"/>
      <c r="J894" s="359"/>
      <c r="K894" s="359"/>
      <c r="L894" s="359"/>
      <c r="M894" s="359"/>
      <c r="N894" s="359"/>
      <c r="O894" s="359"/>
      <c r="P894" s="359"/>
      <c r="Q894" s="359"/>
      <c r="R894" s="359"/>
      <c r="S894" s="359"/>
      <c r="T894" s="359"/>
      <c r="U894" s="359"/>
      <c r="V894" s="359"/>
      <c r="W894" s="359"/>
      <c r="X894" s="359"/>
      <c r="Y894" s="359"/>
      <c r="Z894" s="359"/>
      <c r="AA894" s="359"/>
    </row>
    <row r="895" spans="1:27" ht="12" customHeight="1" x14ac:dyDescent="0.25">
      <c r="A895" s="359"/>
      <c r="B895" s="359"/>
      <c r="C895" s="359"/>
      <c r="D895" s="359"/>
      <c r="E895" s="359"/>
      <c r="F895" s="359"/>
      <c r="G895" s="359"/>
      <c r="H895" s="359"/>
      <c r="I895" s="359"/>
      <c r="J895" s="359"/>
      <c r="K895" s="359"/>
      <c r="L895" s="359"/>
      <c r="M895" s="359"/>
      <c r="N895" s="359"/>
      <c r="O895" s="359"/>
      <c r="P895" s="359"/>
      <c r="Q895" s="359"/>
      <c r="R895" s="359"/>
      <c r="S895" s="359"/>
      <c r="T895" s="359"/>
      <c r="U895" s="359"/>
      <c r="V895" s="359"/>
      <c r="W895" s="359"/>
      <c r="X895" s="359"/>
      <c r="Y895" s="359"/>
      <c r="Z895" s="359"/>
      <c r="AA895" s="359"/>
    </row>
    <row r="896" spans="1:27" ht="12" customHeight="1" x14ac:dyDescent="0.25">
      <c r="A896" s="359"/>
      <c r="B896" s="359"/>
      <c r="C896" s="359"/>
      <c r="D896" s="359"/>
      <c r="E896" s="359"/>
      <c r="F896" s="359"/>
      <c r="G896" s="359"/>
      <c r="H896" s="359"/>
      <c r="I896" s="359"/>
      <c r="J896" s="359"/>
      <c r="K896" s="359"/>
      <c r="L896" s="359"/>
      <c r="M896" s="359"/>
      <c r="N896" s="359"/>
      <c r="O896" s="359"/>
      <c r="P896" s="359"/>
      <c r="Q896" s="359"/>
      <c r="R896" s="359"/>
      <c r="S896" s="359"/>
      <c r="T896" s="359"/>
      <c r="U896" s="359"/>
      <c r="V896" s="359"/>
      <c r="W896" s="359"/>
      <c r="X896" s="359"/>
      <c r="Y896" s="359"/>
      <c r="Z896" s="359"/>
      <c r="AA896" s="359"/>
    </row>
    <row r="897" spans="1:27" ht="12" customHeight="1" x14ac:dyDescent="0.25">
      <c r="A897" s="359"/>
      <c r="B897" s="359"/>
      <c r="C897" s="359"/>
      <c r="D897" s="359"/>
      <c r="E897" s="359"/>
      <c r="F897" s="359"/>
      <c r="G897" s="359"/>
      <c r="H897" s="359"/>
      <c r="I897" s="359"/>
      <c r="J897" s="359"/>
      <c r="K897" s="359"/>
      <c r="L897" s="359"/>
      <c r="M897" s="359"/>
      <c r="N897" s="359"/>
      <c r="O897" s="359"/>
      <c r="P897" s="359"/>
      <c r="Q897" s="359"/>
      <c r="R897" s="359"/>
      <c r="S897" s="359"/>
      <c r="T897" s="359"/>
      <c r="U897" s="359"/>
      <c r="V897" s="359"/>
      <c r="W897" s="359"/>
      <c r="X897" s="359"/>
      <c r="Y897" s="359"/>
      <c r="Z897" s="359"/>
      <c r="AA897" s="359"/>
    </row>
    <row r="898" spans="1:27" ht="12" customHeight="1" x14ac:dyDescent="0.25">
      <c r="A898" s="359"/>
      <c r="B898" s="359"/>
      <c r="C898" s="359"/>
      <c r="D898" s="359"/>
      <c r="E898" s="359"/>
      <c r="F898" s="359"/>
      <c r="G898" s="359"/>
      <c r="H898" s="359"/>
      <c r="I898" s="359"/>
      <c r="J898" s="359"/>
      <c r="K898" s="359"/>
      <c r="L898" s="359"/>
      <c r="M898" s="359"/>
      <c r="N898" s="359"/>
      <c r="O898" s="359"/>
      <c r="P898" s="359"/>
      <c r="Q898" s="359"/>
      <c r="R898" s="359"/>
      <c r="S898" s="359"/>
      <c r="T898" s="359"/>
      <c r="U898" s="359"/>
      <c r="V898" s="359"/>
      <c r="W898" s="359"/>
      <c r="X898" s="359"/>
      <c r="Y898" s="359"/>
      <c r="Z898" s="359"/>
      <c r="AA898" s="359"/>
    </row>
    <row r="899" spans="1:27" ht="12" customHeight="1" x14ac:dyDescent="0.25">
      <c r="A899" s="359"/>
      <c r="B899" s="359"/>
      <c r="C899" s="359"/>
      <c r="D899" s="359"/>
      <c r="E899" s="359"/>
      <c r="F899" s="359"/>
      <c r="G899" s="359"/>
      <c r="H899" s="359"/>
      <c r="I899" s="359"/>
      <c r="J899" s="359"/>
      <c r="K899" s="359"/>
      <c r="L899" s="359"/>
      <c r="M899" s="359"/>
      <c r="N899" s="359"/>
      <c r="O899" s="359"/>
      <c r="P899" s="359"/>
      <c r="Q899" s="359"/>
      <c r="R899" s="359"/>
      <c r="S899" s="359"/>
      <c r="T899" s="359"/>
      <c r="U899" s="359"/>
      <c r="V899" s="359"/>
      <c r="W899" s="359"/>
      <c r="X899" s="359"/>
      <c r="Y899" s="359"/>
      <c r="Z899" s="359"/>
      <c r="AA899" s="359"/>
    </row>
    <row r="900" spans="1:27" ht="12" customHeight="1" x14ac:dyDescent="0.25">
      <c r="A900" s="359"/>
      <c r="B900" s="359"/>
      <c r="C900" s="359"/>
      <c r="D900" s="359"/>
      <c r="E900" s="359"/>
      <c r="F900" s="359"/>
      <c r="G900" s="359"/>
      <c r="H900" s="359"/>
      <c r="I900" s="359"/>
      <c r="J900" s="359"/>
      <c r="K900" s="359"/>
      <c r="L900" s="359"/>
      <c r="M900" s="359"/>
      <c r="N900" s="359"/>
      <c r="O900" s="359"/>
      <c r="P900" s="359"/>
      <c r="Q900" s="359"/>
      <c r="R900" s="359"/>
      <c r="S900" s="359"/>
      <c r="T900" s="359"/>
      <c r="U900" s="359"/>
      <c r="V900" s="359"/>
      <c r="W900" s="359"/>
      <c r="X900" s="359"/>
      <c r="Y900" s="359"/>
      <c r="Z900" s="359"/>
      <c r="AA900" s="359"/>
    </row>
    <row r="901" spans="1:27" ht="12" customHeight="1" x14ac:dyDescent="0.25">
      <c r="A901" s="359"/>
      <c r="B901" s="359"/>
      <c r="C901" s="359"/>
      <c r="D901" s="359"/>
      <c r="E901" s="359"/>
      <c r="F901" s="359"/>
      <c r="G901" s="359"/>
      <c r="H901" s="359"/>
      <c r="I901" s="359"/>
      <c r="J901" s="359"/>
      <c r="K901" s="359"/>
      <c r="L901" s="359"/>
      <c r="M901" s="359"/>
      <c r="N901" s="359"/>
      <c r="O901" s="359"/>
      <c r="P901" s="359"/>
      <c r="Q901" s="359"/>
      <c r="R901" s="359"/>
      <c r="S901" s="359"/>
      <c r="T901" s="359"/>
      <c r="U901" s="359"/>
      <c r="V901" s="359"/>
      <c r="W901" s="359"/>
      <c r="X901" s="359"/>
      <c r="Y901" s="359"/>
      <c r="Z901" s="359"/>
      <c r="AA901" s="359"/>
    </row>
    <row r="902" spans="1:27" ht="12" customHeight="1" x14ac:dyDescent="0.25">
      <c r="A902" s="359"/>
      <c r="B902" s="359"/>
      <c r="C902" s="359"/>
      <c r="D902" s="359"/>
      <c r="E902" s="359"/>
      <c r="F902" s="359"/>
      <c r="G902" s="359"/>
      <c r="H902" s="359"/>
      <c r="I902" s="359"/>
      <c r="J902" s="359"/>
      <c r="K902" s="359"/>
      <c r="L902" s="359"/>
      <c r="M902" s="359"/>
      <c r="N902" s="359"/>
      <c r="O902" s="359"/>
      <c r="P902" s="359"/>
      <c r="Q902" s="359"/>
      <c r="R902" s="359"/>
      <c r="S902" s="359"/>
      <c r="T902" s="359"/>
      <c r="U902" s="359"/>
      <c r="V902" s="359"/>
      <c r="W902" s="359"/>
      <c r="X902" s="359"/>
      <c r="Y902" s="359"/>
      <c r="Z902" s="359"/>
      <c r="AA902" s="359"/>
    </row>
    <row r="903" spans="1:27" ht="12" customHeight="1" x14ac:dyDescent="0.25">
      <c r="A903" s="359"/>
      <c r="B903" s="359"/>
      <c r="C903" s="359"/>
      <c r="D903" s="359"/>
      <c r="E903" s="359"/>
      <c r="F903" s="359"/>
      <c r="G903" s="359"/>
      <c r="H903" s="359"/>
      <c r="I903" s="359"/>
      <c r="J903" s="359"/>
      <c r="K903" s="359"/>
      <c r="L903" s="359"/>
      <c r="M903" s="359"/>
      <c r="N903" s="359"/>
      <c r="O903" s="359"/>
      <c r="P903" s="359"/>
      <c r="Q903" s="359"/>
      <c r="R903" s="359"/>
      <c r="S903" s="359"/>
      <c r="T903" s="359"/>
      <c r="U903" s="359"/>
      <c r="V903" s="359"/>
      <c r="W903" s="359"/>
      <c r="X903" s="359"/>
      <c r="Y903" s="359"/>
      <c r="Z903" s="359"/>
      <c r="AA903" s="359"/>
    </row>
    <row r="904" spans="1:27" ht="12" customHeight="1" x14ac:dyDescent="0.25">
      <c r="A904" s="359"/>
      <c r="B904" s="359"/>
      <c r="C904" s="359"/>
      <c r="D904" s="359"/>
      <c r="E904" s="359"/>
      <c r="F904" s="359"/>
      <c r="G904" s="359"/>
      <c r="H904" s="359"/>
      <c r="I904" s="359"/>
      <c r="J904" s="359"/>
      <c r="K904" s="359"/>
      <c r="L904" s="359"/>
      <c r="M904" s="359"/>
      <c r="N904" s="359"/>
      <c r="O904" s="359"/>
      <c r="P904" s="359"/>
      <c r="Q904" s="359"/>
      <c r="R904" s="359"/>
      <c r="S904" s="359"/>
      <c r="T904" s="359"/>
      <c r="U904" s="359"/>
      <c r="V904" s="359"/>
      <c r="W904" s="359"/>
      <c r="X904" s="359"/>
      <c r="Y904" s="359"/>
      <c r="Z904" s="359"/>
      <c r="AA904" s="359"/>
    </row>
    <row r="905" spans="1:27" ht="12" customHeight="1" x14ac:dyDescent="0.25">
      <c r="A905" s="359"/>
      <c r="B905" s="359"/>
      <c r="C905" s="359"/>
      <c r="D905" s="359"/>
      <c r="E905" s="359"/>
      <c r="F905" s="359"/>
      <c r="G905" s="359"/>
      <c r="H905" s="359"/>
      <c r="I905" s="359"/>
      <c r="J905" s="359"/>
      <c r="K905" s="359"/>
      <c r="L905" s="359"/>
      <c r="M905" s="359"/>
      <c r="N905" s="359"/>
      <c r="O905" s="359"/>
      <c r="P905" s="359"/>
      <c r="Q905" s="359"/>
      <c r="R905" s="359"/>
      <c r="S905" s="359"/>
      <c r="T905" s="359"/>
      <c r="U905" s="359"/>
      <c r="V905" s="359"/>
      <c r="W905" s="359"/>
      <c r="X905" s="359"/>
      <c r="Y905" s="359"/>
      <c r="Z905" s="359"/>
      <c r="AA905" s="359"/>
    </row>
    <row r="906" spans="1:27" ht="12" customHeight="1" x14ac:dyDescent="0.25">
      <c r="A906" s="359"/>
      <c r="B906" s="359"/>
      <c r="C906" s="359"/>
      <c r="D906" s="359"/>
      <c r="E906" s="359"/>
      <c r="F906" s="359"/>
      <c r="G906" s="359"/>
      <c r="H906" s="359"/>
      <c r="I906" s="359"/>
      <c r="J906" s="359"/>
      <c r="K906" s="359"/>
      <c r="L906" s="359"/>
      <c r="M906" s="359"/>
      <c r="N906" s="359"/>
      <c r="O906" s="359"/>
      <c r="P906" s="359"/>
      <c r="Q906" s="359"/>
      <c r="R906" s="359"/>
      <c r="S906" s="359"/>
      <c r="T906" s="359"/>
      <c r="U906" s="359"/>
      <c r="V906" s="359"/>
      <c r="W906" s="359"/>
      <c r="X906" s="359"/>
      <c r="Y906" s="359"/>
      <c r="Z906" s="359"/>
      <c r="AA906" s="359"/>
    </row>
    <row r="907" spans="1:27" ht="12" customHeight="1" x14ac:dyDescent="0.25">
      <c r="A907" s="359"/>
      <c r="B907" s="359"/>
      <c r="C907" s="359"/>
      <c r="D907" s="359"/>
      <c r="E907" s="359"/>
      <c r="F907" s="359"/>
      <c r="G907" s="359"/>
      <c r="H907" s="359"/>
      <c r="I907" s="359"/>
      <c r="J907" s="359"/>
      <c r="K907" s="359"/>
      <c r="L907" s="359"/>
      <c r="M907" s="359"/>
      <c r="N907" s="359"/>
      <c r="O907" s="359"/>
      <c r="P907" s="359"/>
      <c r="Q907" s="359"/>
      <c r="R907" s="359"/>
      <c r="S907" s="359"/>
      <c r="T907" s="359"/>
      <c r="U907" s="359"/>
      <c r="V907" s="359"/>
      <c r="W907" s="359"/>
      <c r="X907" s="359"/>
      <c r="Y907" s="359"/>
      <c r="Z907" s="359"/>
      <c r="AA907" s="359"/>
    </row>
    <row r="908" spans="1:27" ht="12" customHeight="1" x14ac:dyDescent="0.25">
      <c r="A908" s="359"/>
      <c r="B908" s="359"/>
      <c r="C908" s="359"/>
      <c r="D908" s="359"/>
      <c r="E908" s="359"/>
      <c r="F908" s="359"/>
      <c r="G908" s="359"/>
      <c r="H908" s="359"/>
      <c r="I908" s="359"/>
      <c r="J908" s="359"/>
      <c r="K908" s="359"/>
      <c r="L908" s="359"/>
      <c r="M908" s="359"/>
      <c r="N908" s="359"/>
      <c r="O908" s="359"/>
      <c r="P908" s="359"/>
      <c r="Q908" s="359"/>
      <c r="R908" s="359"/>
      <c r="S908" s="359"/>
      <c r="T908" s="359"/>
      <c r="U908" s="359"/>
      <c r="V908" s="359"/>
      <c r="W908" s="359"/>
      <c r="X908" s="359"/>
      <c r="Y908" s="359"/>
      <c r="Z908" s="359"/>
      <c r="AA908" s="359"/>
    </row>
    <row r="909" spans="1:27" ht="12" customHeight="1" x14ac:dyDescent="0.25">
      <c r="A909" s="359"/>
      <c r="B909" s="359"/>
      <c r="C909" s="359"/>
      <c r="D909" s="359"/>
      <c r="E909" s="359"/>
      <c r="F909" s="359"/>
      <c r="G909" s="359"/>
      <c r="H909" s="359"/>
      <c r="I909" s="359"/>
      <c r="J909" s="359"/>
      <c r="K909" s="359"/>
      <c r="L909" s="359"/>
      <c r="M909" s="359"/>
      <c r="N909" s="359"/>
      <c r="O909" s="359"/>
      <c r="P909" s="359"/>
      <c r="Q909" s="359"/>
      <c r="R909" s="359"/>
      <c r="S909" s="359"/>
      <c r="T909" s="359"/>
      <c r="U909" s="359"/>
      <c r="V909" s="359"/>
      <c r="W909" s="359"/>
      <c r="X909" s="359"/>
      <c r="Y909" s="359"/>
      <c r="Z909" s="359"/>
      <c r="AA909" s="359"/>
    </row>
    <row r="910" spans="1:27" ht="12" customHeight="1" x14ac:dyDescent="0.25">
      <c r="A910" s="359"/>
      <c r="B910" s="359"/>
      <c r="C910" s="359"/>
      <c r="D910" s="359"/>
      <c r="E910" s="359"/>
      <c r="F910" s="359"/>
      <c r="G910" s="359"/>
      <c r="H910" s="359"/>
      <c r="I910" s="359"/>
      <c r="J910" s="359"/>
      <c r="K910" s="359"/>
      <c r="L910" s="359"/>
      <c r="M910" s="359"/>
      <c r="N910" s="359"/>
      <c r="O910" s="359"/>
      <c r="P910" s="359"/>
      <c r="Q910" s="359"/>
      <c r="R910" s="359"/>
      <c r="S910" s="359"/>
      <c r="T910" s="359"/>
      <c r="U910" s="359"/>
      <c r="V910" s="359"/>
      <c r="W910" s="359"/>
      <c r="X910" s="359"/>
      <c r="Y910" s="359"/>
      <c r="Z910" s="359"/>
      <c r="AA910" s="359"/>
    </row>
    <row r="911" spans="1:27" ht="12" customHeight="1" x14ac:dyDescent="0.25">
      <c r="A911" s="359"/>
      <c r="B911" s="359"/>
      <c r="C911" s="359"/>
      <c r="D911" s="359"/>
      <c r="E911" s="359"/>
      <c r="F911" s="359"/>
      <c r="G911" s="359"/>
      <c r="H911" s="359"/>
      <c r="I911" s="359"/>
      <c r="J911" s="359"/>
      <c r="K911" s="359"/>
      <c r="L911" s="359"/>
      <c r="M911" s="359"/>
      <c r="N911" s="359"/>
      <c r="O911" s="359"/>
      <c r="P911" s="359"/>
      <c r="Q911" s="359"/>
      <c r="R911" s="359"/>
      <c r="S911" s="359"/>
      <c r="T911" s="359"/>
      <c r="U911" s="359"/>
      <c r="V911" s="359"/>
      <c r="W911" s="359"/>
      <c r="X911" s="359"/>
      <c r="Y911" s="359"/>
      <c r="Z911" s="359"/>
      <c r="AA911" s="359"/>
    </row>
    <row r="912" spans="1:27" ht="12" customHeight="1" x14ac:dyDescent="0.25">
      <c r="A912" s="359"/>
      <c r="B912" s="359"/>
      <c r="C912" s="359"/>
      <c r="D912" s="359"/>
      <c r="E912" s="359"/>
      <c r="F912" s="359"/>
      <c r="G912" s="359"/>
      <c r="H912" s="359"/>
      <c r="I912" s="359"/>
      <c r="J912" s="359"/>
      <c r="K912" s="359"/>
      <c r="L912" s="359"/>
      <c r="M912" s="359"/>
      <c r="N912" s="359"/>
      <c r="O912" s="359"/>
      <c r="P912" s="359"/>
      <c r="Q912" s="359"/>
      <c r="R912" s="359"/>
      <c r="S912" s="359"/>
      <c r="T912" s="359"/>
      <c r="U912" s="359"/>
      <c r="V912" s="359"/>
      <c r="W912" s="359"/>
      <c r="X912" s="359"/>
      <c r="Y912" s="359"/>
      <c r="Z912" s="359"/>
      <c r="AA912" s="359"/>
    </row>
    <row r="913" spans="1:27" ht="12" customHeight="1" x14ac:dyDescent="0.25">
      <c r="A913" s="359"/>
      <c r="B913" s="359"/>
      <c r="C913" s="359"/>
      <c r="D913" s="359"/>
      <c r="E913" s="359"/>
      <c r="F913" s="359"/>
      <c r="G913" s="359"/>
      <c r="H913" s="359"/>
      <c r="I913" s="359"/>
      <c r="J913" s="359"/>
      <c r="K913" s="359"/>
      <c r="L913" s="359"/>
      <c r="M913" s="359"/>
      <c r="N913" s="359"/>
      <c r="O913" s="359"/>
      <c r="P913" s="359"/>
      <c r="Q913" s="359"/>
      <c r="R913" s="359"/>
      <c r="S913" s="359"/>
      <c r="T913" s="359"/>
      <c r="U913" s="359"/>
      <c r="V913" s="359"/>
      <c r="W913" s="359"/>
      <c r="X913" s="359"/>
      <c r="Y913" s="359"/>
      <c r="Z913" s="359"/>
      <c r="AA913" s="359"/>
    </row>
    <row r="914" spans="1:27" ht="12" customHeight="1" x14ac:dyDescent="0.25">
      <c r="A914" s="359"/>
      <c r="B914" s="359"/>
      <c r="C914" s="359"/>
      <c r="D914" s="359"/>
      <c r="E914" s="359"/>
      <c r="F914" s="359"/>
      <c r="G914" s="359"/>
      <c r="H914" s="359"/>
      <c r="I914" s="359"/>
      <c r="J914" s="359"/>
      <c r="K914" s="359"/>
      <c r="L914" s="359"/>
      <c r="M914" s="359"/>
      <c r="N914" s="359"/>
      <c r="O914" s="359"/>
      <c r="P914" s="359"/>
      <c r="Q914" s="359"/>
      <c r="R914" s="359"/>
      <c r="S914" s="359"/>
      <c r="T914" s="359"/>
      <c r="U914" s="359"/>
      <c r="V914" s="359"/>
      <c r="W914" s="359"/>
      <c r="X914" s="359"/>
      <c r="Y914" s="359"/>
      <c r="Z914" s="359"/>
      <c r="AA914" s="359"/>
    </row>
    <row r="915" spans="1:27" ht="12" customHeight="1" x14ac:dyDescent="0.25">
      <c r="A915" s="359"/>
      <c r="B915" s="359"/>
      <c r="C915" s="359"/>
      <c r="D915" s="359"/>
      <c r="E915" s="359"/>
      <c r="F915" s="359"/>
      <c r="G915" s="359"/>
      <c r="H915" s="359"/>
      <c r="I915" s="359"/>
      <c r="J915" s="359"/>
      <c r="K915" s="359"/>
      <c r="L915" s="359"/>
      <c r="M915" s="359"/>
      <c r="N915" s="359"/>
      <c r="O915" s="359"/>
      <c r="P915" s="359"/>
      <c r="Q915" s="359"/>
      <c r="R915" s="359"/>
      <c r="S915" s="359"/>
      <c r="T915" s="359"/>
      <c r="U915" s="359"/>
      <c r="V915" s="359"/>
      <c r="W915" s="359"/>
      <c r="X915" s="359"/>
      <c r="Y915" s="359"/>
      <c r="Z915" s="359"/>
      <c r="AA915" s="359"/>
    </row>
    <row r="916" spans="1:27" ht="12" customHeight="1" x14ac:dyDescent="0.25">
      <c r="A916" s="359"/>
      <c r="B916" s="359"/>
      <c r="C916" s="359"/>
      <c r="D916" s="359"/>
      <c r="E916" s="359"/>
      <c r="F916" s="359"/>
      <c r="G916" s="359"/>
      <c r="H916" s="359"/>
      <c r="I916" s="359"/>
      <c r="J916" s="359"/>
      <c r="K916" s="359"/>
      <c r="L916" s="359"/>
      <c r="M916" s="359"/>
      <c r="N916" s="359"/>
      <c r="O916" s="359"/>
      <c r="P916" s="359"/>
      <c r="Q916" s="359"/>
      <c r="R916" s="359"/>
      <c r="S916" s="359"/>
      <c r="T916" s="359"/>
      <c r="U916" s="359"/>
      <c r="V916" s="359"/>
      <c r="W916" s="359"/>
      <c r="X916" s="359"/>
      <c r="Y916" s="359"/>
      <c r="Z916" s="359"/>
      <c r="AA916" s="359"/>
    </row>
    <row r="917" spans="1:27" ht="12" customHeight="1" x14ac:dyDescent="0.25">
      <c r="A917" s="359"/>
      <c r="B917" s="359"/>
      <c r="C917" s="359"/>
      <c r="D917" s="359"/>
      <c r="E917" s="359"/>
      <c r="F917" s="359"/>
      <c r="G917" s="359"/>
      <c r="H917" s="359"/>
      <c r="I917" s="359"/>
      <c r="J917" s="359"/>
      <c r="K917" s="359"/>
      <c r="L917" s="359"/>
      <c r="M917" s="359"/>
      <c r="N917" s="359"/>
      <c r="O917" s="359"/>
      <c r="P917" s="359"/>
      <c r="Q917" s="359"/>
      <c r="R917" s="359"/>
      <c r="S917" s="359"/>
      <c r="T917" s="359"/>
      <c r="U917" s="359"/>
      <c r="V917" s="359"/>
      <c r="W917" s="359"/>
      <c r="X917" s="359"/>
      <c r="Y917" s="359"/>
      <c r="Z917" s="359"/>
      <c r="AA917" s="359"/>
    </row>
    <row r="918" spans="1:27" ht="12" customHeight="1" x14ac:dyDescent="0.25">
      <c r="A918" s="359"/>
      <c r="B918" s="359"/>
      <c r="C918" s="359"/>
      <c r="D918" s="359"/>
      <c r="E918" s="359"/>
      <c r="F918" s="359"/>
      <c r="G918" s="359"/>
      <c r="H918" s="359"/>
      <c r="I918" s="359"/>
      <c r="J918" s="359"/>
      <c r="K918" s="359"/>
      <c r="L918" s="359"/>
      <c r="M918" s="359"/>
      <c r="N918" s="359"/>
      <c r="O918" s="359"/>
      <c r="P918" s="359"/>
      <c r="Q918" s="359"/>
      <c r="R918" s="359"/>
      <c r="S918" s="359"/>
      <c r="T918" s="359"/>
      <c r="U918" s="359"/>
      <c r="V918" s="359"/>
      <c r="W918" s="359"/>
      <c r="X918" s="359"/>
      <c r="Y918" s="359"/>
      <c r="Z918" s="359"/>
      <c r="AA918" s="359"/>
    </row>
    <row r="919" spans="1:27" ht="12" customHeight="1" x14ac:dyDescent="0.25">
      <c r="A919" s="359"/>
      <c r="B919" s="359"/>
      <c r="C919" s="359"/>
      <c r="D919" s="359"/>
      <c r="E919" s="359"/>
      <c r="F919" s="359"/>
      <c r="G919" s="359"/>
      <c r="H919" s="359"/>
      <c r="I919" s="359"/>
      <c r="J919" s="359"/>
      <c r="K919" s="359"/>
      <c r="L919" s="359"/>
      <c r="M919" s="359"/>
      <c r="N919" s="359"/>
      <c r="O919" s="359"/>
      <c r="P919" s="359"/>
      <c r="Q919" s="359"/>
      <c r="R919" s="359"/>
      <c r="S919" s="359"/>
      <c r="T919" s="359"/>
      <c r="U919" s="359"/>
      <c r="V919" s="359"/>
      <c r="W919" s="359"/>
      <c r="X919" s="359"/>
      <c r="Y919" s="359"/>
      <c r="Z919" s="359"/>
      <c r="AA919" s="359"/>
    </row>
    <row r="920" spans="1:27" ht="12" customHeight="1" x14ac:dyDescent="0.25">
      <c r="A920" s="359"/>
      <c r="B920" s="359"/>
      <c r="C920" s="359"/>
      <c r="D920" s="359"/>
      <c r="E920" s="359"/>
      <c r="F920" s="359"/>
      <c r="G920" s="359"/>
      <c r="H920" s="359"/>
      <c r="I920" s="359"/>
      <c r="J920" s="359"/>
      <c r="K920" s="359"/>
      <c r="L920" s="359"/>
      <c r="M920" s="359"/>
      <c r="N920" s="359"/>
      <c r="O920" s="359"/>
      <c r="P920" s="359"/>
      <c r="Q920" s="359"/>
      <c r="R920" s="359"/>
      <c r="S920" s="359"/>
      <c r="T920" s="359"/>
      <c r="U920" s="359"/>
      <c r="V920" s="359"/>
      <c r="W920" s="359"/>
      <c r="X920" s="359"/>
      <c r="Y920" s="359"/>
      <c r="Z920" s="359"/>
      <c r="AA920" s="359"/>
    </row>
    <row r="921" spans="1:27" ht="12" customHeight="1" x14ac:dyDescent="0.25">
      <c r="A921" s="359"/>
      <c r="B921" s="359"/>
      <c r="C921" s="359"/>
      <c r="D921" s="359"/>
      <c r="E921" s="359"/>
      <c r="F921" s="359"/>
      <c r="G921" s="359"/>
      <c r="H921" s="359"/>
      <c r="I921" s="359"/>
      <c r="J921" s="359"/>
      <c r="K921" s="359"/>
      <c r="L921" s="359"/>
      <c r="M921" s="359"/>
      <c r="N921" s="359"/>
      <c r="O921" s="359"/>
      <c r="P921" s="359"/>
      <c r="Q921" s="359"/>
      <c r="R921" s="359"/>
      <c r="S921" s="359"/>
      <c r="T921" s="359"/>
      <c r="U921" s="359"/>
      <c r="V921" s="359"/>
      <c r="W921" s="359"/>
      <c r="X921" s="359"/>
      <c r="Y921" s="359"/>
      <c r="Z921" s="359"/>
      <c r="AA921" s="359"/>
    </row>
    <row r="922" spans="1:27" ht="12" customHeight="1" x14ac:dyDescent="0.25">
      <c r="A922" s="359"/>
      <c r="B922" s="359"/>
      <c r="C922" s="359"/>
      <c r="D922" s="359"/>
      <c r="E922" s="359"/>
      <c r="F922" s="359"/>
      <c r="G922" s="359"/>
      <c r="H922" s="359"/>
      <c r="I922" s="359"/>
      <c r="J922" s="359"/>
      <c r="K922" s="359"/>
      <c r="L922" s="359"/>
      <c r="M922" s="359"/>
      <c r="N922" s="359"/>
      <c r="O922" s="359"/>
      <c r="P922" s="359"/>
      <c r="Q922" s="359"/>
      <c r="R922" s="359"/>
      <c r="S922" s="359"/>
      <c r="T922" s="359"/>
      <c r="U922" s="359"/>
      <c r="V922" s="359"/>
      <c r="W922" s="359"/>
      <c r="X922" s="359"/>
      <c r="Y922" s="359"/>
      <c r="Z922" s="359"/>
      <c r="AA922" s="359"/>
    </row>
    <row r="923" spans="1:27" ht="12" customHeight="1" x14ac:dyDescent="0.25">
      <c r="A923" s="359"/>
      <c r="B923" s="359"/>
      <c r="C923" s="359"/>
      <c r="D923" s="359"/>
      <c r="E923" s="359"/>
      <c r="F923" s="359"/>
      <c r="G923" s="359"/>
      <c r="H923" s="359"/>
      <c r="I923" s="359"/>
      <c r="J923" s="359"/>
      <c r="K923" s="359"/>
      <c r="L923" s="359"/>
      <c r="M923" s="359"/>
      <c r="N923" s="359"/>
      <c r="O923" s="359"/>
      <c r="P923" s="359"/>
      <c r="Q923" s="359"/>
      <c r="R923" s="359"/>
      <c r="S923" s="359"/>
      <c r="T923" s="359"/>
      <c r="U923" s="359"/>
      <c r="V923" s="359"/>
      <c r="W923" s="359"/>
      <c r="X923" s="359"/>
      <c r="Y923" s="359"/>
      <c r="Z923" s="359"/>
      <c r="AA923" s="359"/>
    </row>
    <row r="924" spans="1:27" ht="12" customHeight="1" x14ac:dyDescent="0.25">
      <c r="A924" s="359"/>
      <c r="B924" s="359"/>
      <c r="C924" s="359"/>
      <c r="D924" s="359"/>
      <c r="E924" s="359"/>
      <c r="F924" s="359"/>
      <c r="G924" s="359"/>
      <c r="H924" s="359"/>
      <c r="I924" s="359"/>
      <c r="J924" s="359"/>
      <c r="K924" s="359"/>
      <c r="L924" s="359"/>
      <c r="M924" s="359"/>
      <c r="N924" s="359"/>
      <c r="O924" s="359"/>
      <c r="P924" s="359"/>
      <c r="Q924" s="359"/>
      <c r="R924" s="359"/>
      <c r="S924" s="359"/>
      <c r="T924" s="359"/>
      <c r="U924" s="359"/>
      <c r="V924" s="359"/>
      <c r="W924" s="359"/>
      <c r="X924" s="359"/>
      <c r="Y924" s="359"/>
      <c r="Z924" s="359"/>
      <c r="AA924" s="359"/>
    </row>
    <row r="925" spans="1:27" ht="12" customHeight="1" x14ac:dyDescent="0.25">
      <c r="A925" s="359"/>
      <c r="B925" s="359"/>
      <c r="C925" s="359"/>
      <c r="D925" s="359"/>
      <c r="E925" s="359"/>
      <c r="F925" s="359"/>
      <c r="G925" s="359"/>
      <c r="H925" s="359"/>
      <c r="I925" s="359"/>
      <c r="J925" s="359"/>
      <c r="K925" s="359"/>
      <c r="L925" s="359"/>
      <c r="M925" s="359"/>
      <c r="N925" s="359"/>
      <c r="O925" s="359"/>
      <c r="P925" s="359"/>
      <c r="Q925" s="359"/>
      <c r="R925" s="359"/>
      <c r="S925" s="359"/>
      <c r="T925" s="359"/>
      <c r="U925" s="359"/>
      <c r="V925" s="359"/>
      <c r="W925" s="359"/>
      <c r="X925" s="359"/>
      <c r="Y925" s="359"/>
      <c r="Z925" s="359"/>
      <c r="AA925" s="359"/>
    </row>
    <row r="926" spans="1:27" ht="12" customHeight="1" x14ac:dyDescent="0.25">
      <c r="A926" s="359"/>
      <c r="B926" s="359"/>
      <c r="C926" s="359"/>
      <c r="D926" s="359"/>
      <c r="E926" s="359"/>
      <c r="F926" s="359"/>
      <c r="G926" s="359"/>
      <c r="H926" s="359"/>
      <c r="I926" s="359"/>
      <c r="J926" s="359"/>
      <c r="K926" s="359"/>
      <c r="L926" s="359"/>
      <c r="M926" s="359"/>
      <c r="N926" s="359"/>
      <c r="O926" s="359"/>
      <c r="P926" s="359"/>
      <c r="Q926" s="359"/>
      <c r="R926" s="359"/>
      <c r="S926" s="359"/>
      <c r="T926" s="359"/>
      <c r="U926" s="359"/>
      <c r="V926" s="359"/>
      <c r="W926" s="359"/>
      <c r="X926" s="359"/>
      <c r="Y926" s="359"/>
      <c r="Z926" s="359"/>
      <c r="AA926" s="359"/>
    </row>
    <row r="927" spans="1:27" ht="12" customHeight="1" x14ac:dyDescent="0.25">
      <c r="A927" s="359"/>
      <c r="B927" s="359"/>
      <c r="C927" s="359"/>
      <c r="D927" s="359"/>
      <c r="E927" s="359"/>
      <c r="F927" s="359"/>
      <c r="G927" s="359"/>
      <c r="H927" s="359"/>
      <c r="I927" s="359"/>
      <c r="J927" s="359"/>
      <c r="K927" s="359"/>
      <c r="L927" s="359"/>
      <c r="M927" s="359"/>
      <c r="N927" s="359"/>
      <c r="O927" s="359"/>
      <c r="P927" s="359"/>
      <c r="Q927" s="359"/>
      <c r="R927" s="359"/>
      <c r="S927" s="359"/>
      <c r="T927" s="359"/>
      <c r="U927" s="359"/>
      <c r="V927" s="359"/>
      <c r="W927" s="359"/>
      <c r="X927" s="359"/>
      <c r="Y927" s="359"/>
      <c r="Z927" s="359"/>
      <c r="AA927" s="359"/>
    </row>
    <row r="928" spans="1:27" ht="12" customHeight="1" x14ac:dyDescent="0.25">
      <c r="A928" s="359"/>
      <c r="B928" s="359"/>
      <c r="C928" s="359"/>
      <c r="D928" s="359"/>
      <c r="E928" s="359"/>
      <c r="F928" s="359"/>
      <c r="G928" s="359"/>
      <c r="H928" s="359"/>
      <c r="I928" s="359"/>
      <c r="J928" s="359"/>
      <c r="K928" s="359"/>
      <c r="L928" s="359"/>
      <c r="M928" s="359"/>
      <c r="N928" s="359"/>
      <c r="O928" s="359"/>
      <c r="P928" s="359"/>
      <c r="Q928" s="359"/>
      <c r="R928" s="359"/>
      <c r="S928" s="359"/>
      <c r="T928" s="359"/>
      <c r="U928" s="359"/>
      <c r="V928" s="359"/>
      <c r="W928" s="359"/>
      <c r="X928" s="359"/>
      <c r="Y928" s="359"/>
      <c r="Z928" s="359"/>
      <c r="AA928" s="359"/>
    </row>
    <row r="929" spans="1:27" ht="12" customHeight="1" x14ac:dyDescent="0.25">
      <c r="A929" s="359"/>
      <c r="B929" s="359"/>
      <c r="C929" s="359"/>
      <c r="D929" s="359"/>
      <c r="E929" s="359"/>
      <c r="F929" s="359"/>
      <c r="G929" s="359"/>
      <c r="H929" s="359"/>
      <c r="I929" s="359"/>
      <c r="J929" s="359"/>
      <c r="K929" s="359"/>
      <c r="L929" s="359"/>
      <c r="M929" s="359"/>
      <c r="N929" s="359"/>
      <c r="O929" s="359"/>
      <c r="P929" s="359"/>
      <c r="Q929" s="359"/>
      <c r="R929" s="359"/>
      <c r="S929" s="359"/>
      <c r="T929" s="359"/>
      <c r="U929" s="359"/>
      <c r="V929" s="359"/>
      <c r="W929" s="359"/>
      <c r="X929" s="359"/>
      <c r="Y929" s="359"/>
      <c r="Z929" s="359"/>
      <c r="AA929" s="359"/>
    </row>
    <row r="930" spans="1:27" ht="12" customHeight="1" x14ac:dyDescent="0.25">
      <c r="A930" s="359"/>
      <c r="B930" s="359"/>
      <c r="C930" s="359"/>
      <c r="D930" s="359"/>
      <c r="E930" s="359"/>
      <c r="F930" s="359"/>
      <c r="G930" s="359"/>
      <c r="H930" s="359"/>
      <c r="I930" s="359"/>
      <c r="J930" s="359"/>
      <c r="K930" s="359"/>
      <c r="L930" s="359"/>
      <c r="M930" s="359"/>
      <c r="N930" s="359"/>
      <c r="O930" s="359"/>
      <c r="P930" s="359"/>
      <c r="Q930" s="359"/>
      <c r="R930" s="359"/>
      <c r="S930" s="359"/>
      <c r="T930" s="359"/>
      <c r="U930" s="359"/>
      <c r="V930" s="359"/>
      <c r="W930" s="359"/>
      <c r="X930" s="359"/>
      <c r="Y930" s="359"/>
      <c r="Z930" s="359"/>
      <c r="AA930" s="359"/>
    </row>
    <row r="931" spans="1:27" ht="12" customHeight="1" x14ac:dyDescent="0.25">
      <c r="A931" s="359"/>
      <c r="B931" s="359"/>
      <c r="C931" s="359"/>
      <c r="D931" s="359"/>
      <c r="E931" s="359"/>
      <c r="F931" s="359"/>
      <c r="G931" s="359"/>
      <c r="H931" s="359"/>
      <c r="I931" s="359"/>
      <c r="J931" s="359"/>
      <c r="K931" s="359"/>
      <c r="L931" s="359"/>
      <c r="M931" s="359"/>
      <c r="N931" s="359"/>
      <c r="O931" s="359"/>
      <c r="P931" s="359"/>
      <c r="Q931" s="359"/>
      <c r="R931" s="359"/>
      <c r="S931" s="359"/>
      <c r="T931" s="359"/>
      <c r="U931" s="359"/>
      <c r="V931" s="359"/>
      <c r="W931" s="359"/>
      <c r="X931" s="359"/>
      <c r="Y931" s="359"/>
      <c r="Z931" s="359"/>
      <c r="AA931" s="359"/>
    </row>
    <row r="932" spans="1:27" ht="12" customHeight="1" x14ac:dyDescent="0.25">
      <c r="A932" s="359"/>
      <c r="B932" s="359"/>
      <c r="C932" s="359"/>
      <c r="D932" s="359"/>
      <c r="E932" s="359"/>
      <c r="F932" s="359"/>
      <c r="G932" s="359"/>
      <c r="H932" s="359"/>
      <c r="I932" s="359"/>
      <c r="J932" s="359"/>
      <c r="K932" s="359"/>
      <c r="L932" s="359"/>
      <c r="M932" s="359"/>
      <c r="N932" s="359"/>
      <c r="O932" s="359"/>
      <c r="P932" s="359"/>
      <c r="Q932" s="359"/>
      <c r="R932" s="359"/>
      <c r="S932" s="359"/>
      <c r="T932" s="359"/>
      <c r="U932" s="359"/>
      <c r="V932" s="359"/>
      <c r="W932" s="359"/>
      <c r="X932" s="359"/>
      <c r="Y932" s="359"/>
      <c r="Z932" s="359"/>
      <c r="AA932" s="359"/>
    </row>
    <row r="933" spans="1:27" ht="12" customHeight="1" x14ac:dyDescent="0.25">
      <c r="A933" s="359"/>
      <c r="B933" s="359"/>
      <c r="C933" s="359"/>
      <c r="D933" s="359"/>
      <c r="E933" s="359"/>
      <c r="F933" s="359"/>
      <c r="G933" s="359"/>
      <c r="H933" s="359"/>
      <c r="I933" s="359"/>
      <c r="J933" s="359"/>
      <c r="K933" s="359"/>
      <c r="L933" s="359"/>
      <c r="M933" s="359"/>
      <c r="N933" s="359"/>
      <c r="O933" s="359"/>
      <c r="P933" s="359"/>
      <c r="Q933" s="359"/>
      <c r="R933" s="359"/>
      <c r="S933" s="359"/>
      <c r="T933" s="359"/>
      <c r="U933" s="359"/>
      <c r="V933" s="359"/>
      <c r="W933" s="359"/>
      <c r="X933" s="359"/>
      <c r="Y933" s="359"/>
      <c r="Z933" s="359"/>
      <c r="AA933" s="359"/>
    </row>
    <row r="934" spans="1:27" ht="12" customHeight="1" x14ac:dyDescent="0.25">
      <c r="A934" s="359"/>
      <c r="B934" s="359"/>
      <c r="C934" s="359"/>
      <c r="D934" s="359"/>
      <c r="E934" s="359"/>
      <c r="F934" s="359"/>
      <c r="G934" s="359"/>
      <c r="H934" s="359"/>
      <c r="I934" s="359"/>
      <c r="J934" s="359"/>
      <c r="K934" s="359"/>
      <c r="L934" s="359"/>
      <c r="M934" s="359"/>
      <c r="N934" s="359"/>
      <c r="O934" s="359"/>
      <c r="P934" s="359"/>
      <c r="Q934" s="359"/>
      <c r="R934" s="359"/>
      <c r="S934" s="359"/>
      <c r="T934" s="359"/>
      <c r="U934" s="359"/>
      <c r="V934" s="359"/>
      <c r="W934" s="359"/>
      <c r="X934" s="359"/>
      <c r="Y934" s="359"/>
      <c r="Z934" s="359"/>
      <c r="AA934" s="359"/>
    </row>
    <row r="935" spans="1:27" ht="12" customHeight="1" x14ac:dyDescent="0.25">
      <c r="A935" s="359"/>
      <c r="B935" s="359"/>
      <c r="C935" s="359"/>
      <c r="D935" s="359"/>
      <c r="E935" s="359"/>
      <c r="F935" s="359"/>
      <c r="G935" s="359"/>
      <c r="H935" s="359"/>
      <c r="I935" s="359"/>
      <c r="J935" s="359"/>
      <c r="K935" s="359"/>
      <c r="L935" s="359"/>
      <c r="M935" s="359"/>
      <c r="N935" s="359"/>
      <c r="O935" s="359"/>
      <c r="P935" s="359"/>
      <c r="Q935" s="359"/>
      <c r="R935" s="359"/>
      <c r="S935" s="359"/>
      <c r="T935" s="359"/>
      <c r="U935" s="359"/>
      <c r="V935" s="359"/>
      <c r="W935" s="359"/>
      <c r="X935" s="359"/>
      <c r="Y935" s="359"/>
      <c r="Z935" s="359"/>
      <c r="AA935" s="359"/>
    </row>
    <row r="936" spans="1:27" ht="12" customHeight="1" x14ac:dyDescent="0.25">
      <c r="A936" s="359"/>
      <c r="B936" s="359"/>
      <c r="C936" s="359"/>
      <c r="D936" s="359"/>
      <c r="E936" s="359"/>
      <c r="F936" s="359"/>
      <c r="G936" s="359"/>
      <c r="H936" s="359"/>
      <c r="I936" s="359"/>
      <c r="J936" s="359"/>
      <c r="K936" s="359"/>
      <c r="L936" s="359"/>
      <c r="M936" s="359"/>
      <c r="N936" s="359"/>
      <c r="O936" s="359"/>
      <c r="P936" s="359"/>
      <c r="Q936" s="359"/>
      <c r="R936" s="359"/>
      <c r="S936" s="359"/>
      <c r="T936" s="359"/>
      <c r="U936" s="359"/>
      <c r="V936" s="359"/>
      <c r="W936" s="359"/>
      <c r="X936" s="359"/>
      <c r="Y936" s="359"/>
      <c r="Z936" s="359"/>
      <c r="AA936" s="359"/>
    </row>
    <row r="937" spans="1:27" ht="12" customHeight="1" x14ac:dyDescent="0.25">
      <c r="A937" s="359"/>
      <c r="B937" s="359"/>
      <c r="C937" s="359"/>
      <c r="D937" s="359"/>
      <c r="E937" s="359"/>
      <c r="F937" s="359"/>
      <c r="G937" s="359"/>
      <c r="H937" s="359"/>
      <c r="I937" s="359"/>
      <c r="J937" s="359"/>
      <c r="K937" s="359"/>
      <c r="L937" s="359"/>
      <c r="M937" s="359"/>
      <c r="N937" s="359"/>
      <c r="O937" s="359"/>
      <c r="P937" s="359"/>
      <c r="Q937" s="359"/>
      <c r="R937" s="359"/>
      <c r="S937" s="359"/>
      <c r="T937" s="359"/>
      <c r="U937" s="359"/>
      <c r="V937" s="359"/>
      <c r="W937" s="359"/>
      <c r="X937" s="359"/>
      <c r="Y937" s="359"/>
      <c r="Z937" s="359"/>
      <c r="AA937" s="359"/>
    </row>
    <row r="938" spans="1:27" ht="12" customHeight="1" x14ac:dyDescent="0.25">
      <c r="A938" s="359"/>
      <c r="B938" s="359"/>
      <c r="C938" s="359"/>
      <c r="D938" s="359"/>
      <c r="E938" s="359"/>
      <c r="F938" s="359"/>
      <c r="G938" s="359"/>
      <c r="H938" s="359"/>
      <c r="I938" s="359"/>
      <c r="J938" s="359"/>
      <c r="K938" s="359"/>
      <c r="L938" s="359"/>
      <c r="M938" s="359"/>
      <c r="N938" s="359"/>
      <c r="O938" s="359"/>
      <c r="P938" s="359"/>
      <c r="Q938" s="359"/>
      <c r="R938" s="359"/>
      <c r="S938" s="359"/>
      <c r="T938" s="359"/>
      <c r="U938" s="359"/>
      <c r="V938" s="359"/>
      <c r="W938" s="359"/>
      <c r="X938" s="359"/>
      <c r="Y938" s="359"/>
      <c r="Z938" s="359"/>
      <c r="AA938" s="359"/>
    </row>
    <row r="939" spans="1:27" ht="12" customHeight="1" x14ac:dyDescent="0.25">
      <c r="A939" s="359"/>
      <c r="B939" s="359"/>
      <c r="C939" s="359"/>
      <c r="D939" s="359"/>
      <c r="E939" s="359"/>
      <c r="F939" s="359"/>
      <c r="G939" s="359"/>
      <c r="H939" s="359"/>
      <c r="I939" s="359"/>
      <c r="J939" s="359"/>
      <c r="K939" s="359"/>
      <c r="L939" s="359"/>
      <c r="M939" s="359"/>
      <c r="N939" s="359"/>
      <c r="O939" s="359"/>
      <c r="P939" s="359"/>
      <c r="Q939" s="359"/>
      <c r="R939" s="359"/>
      <c r="S939" s="359"/>
      <c r="T939" s="359"/>
      <c r="U939" s="359"/>
      <c r="V939" s="359"/>
      <c r="W939" s="359"/>
      <c r="X939" s="359"/>
      <c r="Y939" s="359"/>
      <c r="Z939" s="359"/>
      <c r="AA939" s="359"/>
    </row>
    <row r="940" spans="1:27" ht="12" customHeight="1" x14ac:dyDescent="0.25">
      <c r="A940" s="359"/>
      <c r="B940" s="359"/>
      <c r="C940" s="359"/>
      <c r="D940" s="359"/>
      <c r="E940" s="359"/>
      <c r="F940" s="359"/>
      <c r="G940" s="359"/>
      <c r="H940" s="359"/>
      <c r="I940" s="359"/>
      <c r="J940" s="359"/>
      <c r="K940" s="359"/>
      <c r="L940" s="359"/>
      <c r="M940" s="359"/>
      <c r="N940" s="359"/>
      <c r="O940" s="359"/>
      <c r="P940" s="359"/>
      <c r="Q940" s="359"/>
      <c r="R940" s="359"/>
      <c r="S940" s="359"/>
      <c r="T940" s="359"/>
      <c r="U940" s="359"/>
      <c r="V940" s="359"/>
      <c r="W940" s="359"/>
      <c r="X940" s="359"/>
      <c r="Y940" s="359"/>
      <c r="Z940" s="359"/>
      <c r="AA940" s="359"/>
    </row>
    <row r="941" spans="1:27" ht="12" customHeight="1" x14ac:dyDescent="0.25">
      <c r="A941" s="359"/>
      <c r="B941" s="359"/>
      <c r="C941" s="359"/>
      <c r="D941" s="359"/>
      <c r="E941" s="359"/>
      <c r="F941" s="359"/>
      <c r="G941" s="359"/>
      <c r="H941" s="359"/>
      <c r="I941" s="359"/>
      <c r="J941" s="359"/>
      <c r="K941" s="359"/>
      <c r="L941" s="359"/>
      <c r="M941" s="359"/>
      <c r="N941" s="359"/>
      <c r="O941" s="359"/>
      <c r="P941" s="359"/>
      <c r="Q941" s="359"/>
      <c r="R941" s="359"/>
      <c r="S941" s="359"/>
      <c r="T941" s="359"/>
      <c r="U941" s="359"/>
      <c r="V941" s="359"/>
      <c r="W941" s="359"/>
      <c r="X941" s="359"/>
      <c r="Y941" s="359"/>
      <c r="Z941" s="359"/>
      <c r="AA941" s="359"/>
    </row>
    <row r="942" spans="1:27" ht="12" customHeight="1" x14ac:dyDescent="0.25">
      <c r="A942" s="359"/>
      <c r="B942" s="359"/>
      <c r="C942" s="359"/>
      <c r="D942" s="359"/>
      <c r="E942" s="359"/>
      <c r="F942" s="359"/>
      <c r="G942" s="359"/>
      <c r="H942" s="359"/>
      <c r="I942" s="359"/>
      <c r="J942" s="359"/>
      <c r="K942" s="359"/>
      <c r="L942" s="359"/>
      <c r="M942" s="359"/>
      <c r="N942" s="359"/>
      <c r="O942" s="359"/>
      <c r="P942" s="359"/>
      <c r="Q942" s="359"/>
      <c r="R942" s="359"/>
      <c r="S942" s="359"/>
      <c r="T942" s="359"/>
      <c r="U942" s="359"/>
      <c r="V942" s="359"/>
      <c r="W942" s="359"/>
      <c r="X942" s="359"/>
      <c r="Y942" s="359"/>
      <c r="Z942" s="359"/>
      <c r="AA942" s="359"/>
    </row>
    <row r="943" spans="1:27" ht="12" customHeight="1" x14ac:dyDescent="0.25">
      <c r="A943" s="359"/>
      <c r="B943" s="359"/>
      <c r="C943" s="359"/>
      <c r="D943" s="359"/>
      <c r="E943" s="359"/>
      <c r="F943" s="359"/>
      <c r="G943" s="359"/>
      <c r="H943" s="359"/>
      <c r="I943" s="359"/>
      <c r="J943" s="359"/>
      <c r="K943" s="359"/>
      <c r="L943" s="359"/>
      <c r="M943" s="359"/>
      <c r="N943" s="359"/>
      <c r="O943" s="359"/>
      <c r="P943" s="359"/>
      <c r="Q943" s="359"/>
      <c r="R943" s="359"/>
      <c r="S943" s="359"/>
      <c r="T943" s="359"/>
      <c r="U943" s="359"/>
      <c r="V943" s="359"/>
      <c r="W943" s="359"/>
      <c r="X943" s="359"/>
      <c r="Y943" s="359"/>
      <c r="Z943" s="359"/>
      <c r="AA943" s="359"/>
    </row>
    <row r="944" spans="1:27" ht="12" customHeight="1" x14ac:dyDescent="0.25">
      <c r="A944" s="359"/>
      <c r="B944" s="359"/>
      <c r="C944" s="359"/>
      <c r="D944" s="359"/>
      <c r="E944" s="359"/>
      <c r="F944" s="359"/>
      <c r="G944" s="359"/>
      <c r="H944" s="359"/>
      <c r="I944" s="359"/>
      <c r="J944" s="359"/>
      <c r="K944" s="359"/>
      <c r="L944" s="359"/>
      <c r="M944" s="359"/>
      <c r="N944" s="359"/>
      <c r="O944" s="359"/>
      <c r="P944" s="359"/>
      <c r="Q944" s="359"/>
      <c r="R944" s="359"/>
      <c r="S944" s="359"/>
      <c r="T944" s="359"/>
      <c r="U944" s="359"/>
      <c r="V944" s="359"/>
      <c r="W944" s="359"/>
      <c r="X944" s="359"/>
      <c r="Y944" s="359"/>
      <c r="Z944" s="359"/>
      <c r="AA944" s="359"/>
    </row>
    <row r="945" spans="1:27" ht="12" customHeight="1" x14ac:dyDescent="0.25">
      <c r="A945" s="359"/>
      <c r="B945" s="359"/>
      <c r="C945" s="359"/>
      <c r="D945" s="359"/>
      <c r="E945" s="359"/>
      <c r="F945" s="359"/>
      <c r="G945" s="359"/>
      <c r="H945" s="359"/>
      <c r="I945" s="359"/>
      <c r="J945" s="359"/>
      <c r="K945" s="359"/>
      <c r="L945" s="359"/>
      <c r="M945" s="359"/>
      <c r="N945" s="359"/>
      <c r="O945" s="359"/>
      <c r="P945" s="359"/>
      <c r="Q945" s="359"/>
      <c r="R945" s="359"/>
      <c r="S945" s="359"/>
      <c r="T945" s="359"/>
      <c r="U945" s="359"/>
      <c r="V945" s="359"/>
      <c r="W945" s="359"/>
      <c r="X945" s="359"/>
      <c r="Y945" s="359"/>
      <c r="Z945" s="359"/>
      <c r="AA945" s="359"/>
    </row>
    <row r="946" spans="1:27" ht="12" customHeight="1" x14ac:dyDescent="0.25">
      <c r="A946" s="359"/>
      <c r="B946" s="359"/>
      <c r="C946" s="359"/>
      <c r="D946" s="359"/>
      <c r="E946" s="359"/>
      <c r="F946" s="359"/>
      <c r="G946" s="359"/>
      <c r="H946" s="359"/>
      <c r="I946" s="359"/>
      <c r="J946" s="359"/>
      <c r="K946" s="359"/>
      <c r="L946" s="359"/>
      <c r="M946" s="359"/>
      <c r="N946" s="359"/>
      <c r="O946" s="359"/>
      <c r="P946" s="359"/>
      <c r="Q946" s="359"/>
      <c r="R946" s="359"/>
      <c r="S946" s="359"/>
      <c r="T946" s="359"/>
      <c r="U946" s="359"/>
      <c r="V946" s="359"/>
      <c r="W946" s="359"/>
      <c r="X946" s="359"/>
      <c r="Y946" s="359"/>
      <c r="Z946" s="359"/>
      <c r="AA946" s="359"/>
    </row>
    <row r="947" spans="1:27" ht="12" customHeight="1" x14ac:dyDescent="0.25">
      <c r="A947" s="359"/>
      <c r="B947" s="359"/>
      <c r="C947" s="359"/>
      <c r="D947" s="359"/>
      <c r="E947" s="359"/>
      <c r="F947" s="359"/>
      <c r="G947" s="359"/>
      <c r="H947" s="359"/>
      <c r="I947" s="359"/>
      <c r="J947" s="359"/>
      <c r="K947" s="359"/>
      <c r="L947" s="359"/>
      <c r="M947" s="359"/>
      <c r="N947" s="359"/>
      <c r="O947" s="359"/>
      <c r="P947" s="359"/>
      <c r="Q947" s="359"/>
      <c r="R947" s="359"/>
      <c r="S947" s="359"/>
      <c r="T947" s="359"/>
      <c r="U947" s="359"/>
      <c r="V947" s="359"/>
      <c r="W947" s="359"/>
      <c r="X947" s="359"/>
      <c r="Y947" s="359"/>
      <c r="Z947" s="359"/>
      <c r="AA947" s="359"/>
    </row>
    <row r="948" spans="1:27" ht="12" customHeight="1" x14ac:dyDescent="0.25">
      <c r="A948" s="359"/>
      <c r="B948" s="359"/>
      <c r="C948" s="359"/>
      <c r="D948" s="359"/>
      <c r="E948" s="359"/>
      <c r="F948" s="359"/>
      <c r="G948" s="359"/>
      <c r="H948" s="359"/>
      <c r="I948" s="359"/>
      <c r="J948" s="359"/>
      <c r="K948" s="359"/>
      <c r="L948" s="359"/>
      <c r="M948" s="359"/>
      <c r="N948" s="359"/>
      <c r="O948" s="359"/>
      <c r="P948" s="359"/>
      <c r="Q948" s="359"/>
      <c r="R948" s="359"/>
      <c r="S948" s="359"/>
      <c r="T948" s="359"/>
      <c r="U948" s="359"/>
      <c r="V948" s="359"/>
      <c r="W948" s="359"/>
      <c r="X948" s="359"/>
      <c r="Y948" s="359"/>
      <c r="Z948" s="359"/>
      <c r="AA948" s="359"/>
    </row>
    <row r="949" spans="1:27" ht="12" customHeight="1" x14ac:dyDescent="0.25">
      <c r="A949" s="359"/>
      <c r="B949" s="359"/>
      <c r="C949" s="359"/>
      <c r="D949" s="359"/>
      <c r="E949" s="359"/>
      <c r="F949" s="359"/>
      <c r="G949" s="359"/>
      <c r="H949" s="359"/>
      <c r="I949" s="359"/>
      <c r="J949" s="359"/>
      <c r="K949" s="359"/>
      <c r="L949" s="359"/>
      <c r="M949" s="359"/>
      <c r="N949" s="359"/>
      <c r="O949" s="359"/>
      <c r="P949" s="359"/>
      <c r="Q949" s="359"/>
      <c r="R949" s="359"/>
      <c r="S949" s="359"/>
      <c r="T949" s="359"/>
      <c r="U949" s="359"/>
      <c r="V949" s="359"/>
      <c r="W949" s="359"/>
      <c r="X949" s="359"/>
      <c r="Y949" s="359"/>
      <c r="Z949" s="359"/>
      <c r="AA949" s="359"/>
    </row>
    <row r="950" spans="1:27" ht="12" customHeight="1" x14ac:dyDescent="0.25">
      <c r="A950" s="359"/>
      <c r="B950" s="359"/>
      <c r="C950" s="359"/>
      <c r="D950" s="359"/>
      <c r="E950" s="359"/>
      <c r="F950" s="359"/>
      <c r="G950" s="359"/>
      <c r="H950" s="359"/>
      <c r="I950" s="359"/>
      <c r="J950" s="359"/>
      <c r="K950" s="359"/>
      <c r="L950" s="359"/>
      <c r="M950" s="359"/>
      <c r="N950" s="359"/>
      <c r="O950" s="359"/>
      <c r="P950" s="359"/>
      <c r="Q950" s="359"/>
      <c r="R950" s="359"/>
      <c r="S950" s="359"/>
      <c r="T950" s="359"/>
      <c r="U950" s="359"/>
      <c r="V950" s="359"/>
      <c r="W950" s="359"/>
      <c r="X950" s="359"/>
      <c r="Y950" s="359"/>
      <c r="Z950" s="359"/>
      <c r="AA950" s="359"/>
    </row>
    <row r="951" spans="1:27" ht="12" customHeight="1" x14ac:dyDescent="0.25">
      <c r="A951" s="359"/>
      <c r="B951" s="359"/>
      <c r="C951" s="359"/>
      <c r="D951" s="359"/>
      <c r="E951" s="359"/>
      <c r="F951" s="359"/>
      <c r="G951" s="359"/>
      <c r="H951" s="359"/>
      <c r="I951" s="359"/>
      <c r="J951" s="359"/>
      <c r="K951" s="359"/>
      <c r="L951" s="359"/>
      <c r="M951" s="359"/>
      <c r="N951" s="359"/>
      <c r="O951" s="359"/>
      <c r="P951" s="359"/>
      <c r="Q951" s="359"/>
      <c r="R951" s="359"/>
      <c r="S951" s="359"/>
      <c r="T951" s="359"/>
      <c r="U951" s="359"/>
      <c r="V951" s="359"/>
      <c r="W951" s="359"/>
      <c r="X951" s="359"/>
      <c r="Y951" s="359"/>
      <c r="Z951" s="359"/>
      <c r="AA951" s="359"/>
    </row>
    <row r="952" spans="1:27" ht="12" customHeight="1" x14ac:dyDescent="0.25">
      <c r="A952" s="359"/>
      <c r="B952" s="359"/>
      <c r="C952" s="359"/>
      <c r="D952" s="359"/>
      <c r="E952" s="359"/>
      <c r="F952" s="359"/>
      <c r="G952" s="359"/>
      <c r="H952" s="359"/>
      <c r="I952" s="359"/>
      <c r="J952" s="359"/>
      <c r="K952" s="359"/>
      <c r="L952" s="359"/>
      <c r="M952" s="359"/>
      <c r="N952" s="359"/>
      <c r="O952" s="359"/>
      <c r="P952" s="359"/>
      <c r="Q952" s="359"/>
      <c r="R952" s="359"/>
      <c r="S952" s="359"/>
      <c r="T952" s="359"/>
      <c r="U952" s="359"/>
      <c r="V952" s="359"/>
      <c r="W952" s="359"/>
      <c r="X952" s="359"/>
      <c r="Y952" s="359"/>
      <c r="Z952" s="359"/>
      <c r="AA952" s="359"/>
    </row>
    <row r="953" spans="1:27" ht="12" customHeight="1" x14ac:dyDescent="0.25">
      <c r="A953" s="359"/>
      <c r="B953" s="359"/>
      <c r="C953" s="359"/>
      <c r="D953" s="359"/>
      <c r="E953" s="359"/>
      <c r="F953" s="359"/>
      <c r="G953" s="359"/>
      <c r="H953" s="359"/>
      <c r="I953" s="359"/>
      <c r="J953" s="359"/>
      <c r="K953" s="359"/>
      <c r="L953" s="359"/>
      <c r="M953" s="359"/>
      <c r="N953" s="359"/>
      <c r="O953" s="359"/>
      <c r="P953" s="359"/>
      <c r="Q953" s="359"/>
      <c r="R953" s="359"/>
      <c r="S953" s="359"/>
      <c r="T953" s="359"/>
      <c r="U953" s="359"/>
      <c r="V953" s="359"/>
      <c r="W953" s="359"/>
      <c r="X953" s="359"/>
      <c r="Y953" s="359"/>
      <c r="Z953" s="359"/>
      <c r="AA953" s="359"/>
    </row>
    <row r="954" spans="1:27" ht="12" customHeight="1" x14ac:dyDescent="0.25">
      <c r="A954" s="359"/>
      <c r="B954" s="359"/>
      <c r="C954" s="359"/>
      <c r="D954" s="359"/>
      <c r="E954" s="359"/>
      <c r="F954" s="359"/>
      <c r="G954" s="359"/>
      <c r="H954" s="359"/>
      <c r="I954" s="359"/>
      <c r="J954" s="359"/>
      <c r="K954" s="359"/>
      <c r="L954" s="359"/>
      <c r="M954" s="359"/>
      <c r="N954" s="359"/>
      <c r="O954" s="359"/>
      <c r="P954" s="359"/>
      <c r="Q954" s="359"/>
      <c r="R954" s="359"/>
      <c r="S954" s="359"/>
      <c r="T954" s="359"/>
      <c r="U954" s="359"/>
      <c r="V954" s="359"/>
      <c r="W954" s="359"/>
      <c r="X954" s="359"/>
      <c r="Y954" s="359"/>
      <c r="Z954" s="359"/>
      <c r="AA954" s="359"/>
    </row>
    <row r="955" spans="1:27" ht="12" customHeight="1" x14ac:dyDescent="0.25">
      <c r="A955" s="359"/>
      <c r="B955" s="359"/>
      <c r="C955" s="359"/>
      <c r="D955" s="359"/>
      <c r="E955" s="359"/>
      <c r="F955" s="359"/>
      <c r="G955" s="359"/>
      <c r="H955" s="359"/>
      <c r="I955" s="359"/>
      <c r="J955" s="359"/>
      <c r="K955" s="359"/>
      <c r="L955" s="359"/>
      <c r="M955" s="359"/>
      <c r="N955" s="359"/>
      <c r="O955" s="359"/>
      <c r="P955" s="359"/>
      <c r="Q955" s="359"/>
      <c r="R955" s="359"/>
      <c r="S955" s="359"/>
      <c r="T955" s="359"/>
      <c r="U955" s="359"/>
      <c r="V955" s="359"/>
      <c r="W955" s="359"/>
      <c r="X955" s="359"/>
      <c r="Y955" s="359"/>
      <c r="Z955" s="359"/>
      <c r="AA955" s="359"/>
    </row>
    <row r="956" spans="1:27" ht="12" customHeight="1" x14ac:dyDescent="0.25">
      <c r="A956" s="359"/>
      <c r="B956" s="359"/>
      <c r="C956" s="359"/>
      <c r="D956" s="359"/>
      <c r="E956" s="359"/>
      <c r="F956" s="359"/>
      <c r="G956" s="359"/>
      <c r="H956" s="359"/>
      <c r="I956" s="359"/>
      <c r="J956" s="359"/>
      <c r="K956" s="359"/>
      <c r="L956" s="359"/>
      <c r="M956" s="359"/>
      <c r="N956" s="359"/>
      <c r="O956" s="359"/>
      <c r="P956" s="359"/>
      <c r="Q956" s="359"/>
      <c r="R956" s="359"/>
      <c r="S956" s="359"/>
      <c r="T956" s="359"/>
      <c r="U956" s="359"/>
      <c r="V956" s="359"/>
      <c r="W956" s="359"/>
      <c r="X956" s="359"/>
      <c r="Y956" s="359"/>
      <c r="Z956" s="359"/>
      <c r="AA956" s="359"/>
    </row>
    <row r="957" spans="1:27" ht="12" customHeight="1" x14ac:dyDescent="0.25">
      <c r="A957" s="359"/>
      <c r="B957" s="359"/>
      <c r="C957" s="359"/>
      <c r="D957" s="359"/>
      <c r="E957" s="359"/>
      <c r="F957" s="359"/>
      <c r="G957" s="359"/>
      <c r="H957" s="359"/>
      <c r="I957" s="359"/>
      <c r="J957" s="359"/>
      <c r="K957" s="359"/>
      <c r="L957" s="359"/>
      <c r="M957" s="359"/>
      <c r="N957" s="359"/>
      <c r="O957" s="359"/>
      <c r="P957" s="359"/>
      <c r="Q957" s="359"/>
      <c r="R957" s="359"/>
      <c r="S957" s="359"/>
      <c r="T957" s="359"/>
      <c r="U957" s="359"/>
      <c r="V957" s="359"/>
      <c r="W957" s="359"/>
      <c r="X957" s="359"/>
      <c r="Y957" s="359"/>
      <c r="Z957" s="359"/>
      <c r="AA957" s="359"/>
    </row>
    <row r="958" spans="1:27" ht="12" customHeight="1" x14ac:dyDescent="0.25">
      <c r="A958" s="359"/>
      <c r="B958" s="359"/>
      <c r="C958" s="359"/>
      <c r="D958" s="359"/>
      <c r="E958" s="359"/>
      <c r="F958" s="359"/>
      <c r="G958" s="359"/>
      <c r="H958" s="359"/>
      <c r="I958" s="359"/>
      <c r="J958" s="359"/>
      <c r="K958" s="359"/>
      <c r="L958" s="359"/>
      <c r="M958" s="359"/>
      <c r="N958" s="359"/>
      <c r="O958" s="359"/>
      <c r="P958" s="359"/>
      <c r="Q958" s="359"/>
      <c r="R958" s="359"/>
      <c r="S958" s="359"/>
      <c r="T958" s="359"/>
      <c r="U958" s="359"/>
      <c r="V958" s="359"/>
      <c r="W958" s="359"/>
      <c r="X958" s="359"/>
      <c r="Y958" s="359"/>
      <c r="Z958" s="359"/>
      <c r="AA958" s="359"/>
    </row>
    <row r="959" spans="1:27" ht="12" customHeight="1" x14ac:dyDescent="0.25">
      <c r="A959" s="359"/>
      <c r="B959" s="359"/>
      <c r="C959" s="359"/>
      <c r="D959" s="359"/>
      <c r="E959" s="359"/>
      <c r="F959" s="359"/>
      <c r="G959" s="359"/>
      <c r="H959" s="359"/>
      <c r="I959" s="359"/>
      <c r="J959" s="359"/>
      <c r="K959" s="359"/>
      <c r="L959" s="359"/>
      <c r="M959" s="359"/>
      <c r="N959" s="359"/>
      <c r="O959" s="359"/>
      <c r="P959" s="359"/>
      <c r="Q959" s="359"/>
      <c r="R959" s="359"/>
      <c r="S959" s="359"/>
      <c r="T959" s="359"/>
      <c r="U959" s="359"/>
      <c r="V959" s="359"/>
      <c r="W959" s="359"/>
      <c r="X959" s="359"/>
      <c r="Y959" s="359"/>
      <c r="Z959" s="359"/>
      <c r="AA959" s="359"/>
    </row>
    <row r="960" spans="1:27" ht="12" customHeight="1" x14ac:dyDescent="0.25">
      <c r="A960" s="359"/>
      <c r="B960" s="359"/>
      <c r="C960" s="359"/>
      <c r="D960" s="359"/>
      <c r="E960" s="359"/>
      <c r="F960" s="359"/>
      <c r="G960" s="359"/>
      <c r="H960" s="359"/>
      <c r="I960" s="359"/>
      <c r="J960" s="359"/>
      <c r="K960" s="359"/>
      <c r="L960" s="359"/>
      <c r="M960" s="359"/>
      <c r="N960" s="359"/>
      <c r="O960" s="359"/>
      <c r="P960" s="359"/>
      <c r="Q960" s="359"/>
      <c r="R960" s="359"/>
      <c r="S960" s="359"/>
      <c r="T960" s="359"/>
      <c r="U960" s="359"/>
      <c r="V960" s="359"/>
      <c r="W960" s="359"/>
      <c r="X960" s="359"/>
      <c r="Y960" s="359"/>
      <c r="Z960" s="359"/>
      <c r="AA960" s="359"/>
    </row>
    <row r="961" spans="1:27" ht="12" customHeight="1" x14ac:dyDescent="0.25">
      <c r="A961" s="359"/>
      <c r="B961" s="359"/>
      <c r="C961" s="359"/>
      <c r="D961" s="359"/>
      <c r="E961" s="359"/>
      <c r="F961" s="359"/>
      <c r="G961" s="359"/>
      <c r="H961" s="359"/>
      <c r="I961" s="359"/>
      <c r="J961" s="359"/>
      <c r="K961" s="359"/>
      <c r="L961" s="359"/>
      <c r="M961" s="359"/>
      <c r="N961" s="359"/>
      <c r="O961" s="359"/>
      <c r="P961" s="359"/>
      <c r="Q961" s="359"/>
      <c r="R961" s="359"/>
      <c r="S961" s="359"/>
      <c r="T961" s="359"/>
      <c r="U961" s="359"/>
      <c r="V961" s="359"/>
      <c r="W961" s="359"/>
      <c r="X961" s="359"/>
      <c r="Y961" s="359"/>
      <c r="Z961" s="359"/>
      <c r="AA961" s="359"/>
    </row>
    <row r="962" spans="1:27" ht="12" customHeight="1" x14ac:dyDescent="0.25">
      <c r="A962" s="359"/>
      <c r="B962" s="359"/>
      <c r="C962" s="359"/>
      <c r="D962" s="359"/>
      <c r="E962" s="359"/>
      <c r="F962" s="359"/>
      <c r="G962" s="359"/>
      <c r="H962" s="359"/>
      <c r="I962" s="359"/>
      <c r="J962" s="359"/>
      <c r="K962" s="359"/>
      <c r="L962" s="359"/>
      <c r="M962" s="359"/>
      <c r="N962" s="359"/>
      <c r="O962" s="359"/>
      <c r="P962" s="359"/>
      <c r="Q962" s="359"/>
      <c r="R962" s="359"/>
      <c r="S962" s="359"/>
      <c r="T962" s="359"/>
      <c r="U962" s="359"/>
      <c r="V962" s="359"/>
      <c r="W962" s="359"/>
      <c r="X962" s="359"/>
      <c r="Y962" s="359"/>
      <c r="Z962" s="359"/>
      <c r="AA962" s="359"/>
    </row>
    <row r="963" spans="1:27" ht="12" customHeight="1" x14ac:dyDescent="0.25">
      <c r="A963" s="359"/>
      <c r="B963" s="359"/>
      <c r="C963" s="359"/>
      <c r="D963" s="359"/>
      <c r="E963" s="359"/>
      <c r="F963" s="359"/>
      <c r="G963" s="359"/>
      <c r="H963" s="359"/>
      <c r="I963" s="359"/>
      <c r="J963" s="359"/>
      <c r="K963" s="359"/>
      <c r="L963" s="359"/>
      <c r="M963" s="359"/>
      <c r="N963" s="359"/>
      <c r="O963" s="359"/>
      <c r="P963" s="359"/>
      <c r="Q963" s="359"/>
      <c r="R963" s="359"/>
      <c r="S963" s="359"/>
      <c r="T963" s="359"/>
      <c r="U963" s="359"/>
      <c r="V963" s="359"/>
      <c r="W963" s="359"/>
      <c r="X963" s="359"/>
      <c r="Y963" s="359"/>
      <c r="Z963" s="359"/>
      <c r="AA963" s="359"/>
    </row>
    <row r="964" spans="1:27" ht="12" customHeight="1" x14ac:dyDescent="0.25">
      <c r="A964" s="359"/>
      <c r="B964" s="359"/>
      <c r="C964" s="359"/>
      <c r="D964" s="359"/>
      <c r="E964" s="359"/>
      <c r="F964" s="359"/>
      <c r="G964" s="359"/>
      <c r="H964" s="359"/>
      <c r="I964" s="359"/>
      <c r="J964" s="359"/>
      <c r="K964" s="359"/>
      <c r="L964" s="359"/>
      <c r="M964" s="359"/>
      <c r="N964" s="359"/>
      <c r="O964" s="359"/>
      <c r="P964" s="359"/>
      <c r="Q964" s="359"/>
      <c r="R964" s="359"/>
      <c r="S964" s="359"/>
      <c r="T964" s="359"/>
      <c r="U964" s="359"/>
      <c r="V964" s="359"/>
      <c r="W964" s="359"/>
      <c r="X964" s="359"/>
      <c r="Y964" s="359"/>
      <c r="Z964" s="359"/>
      <c r="AA964" s="359"/>
    </row>
    <row r="965" spans="1:27" ht="12" customHeight="1" x14ac:dyDescent="0.25">
      <c r="A965" s="359"/>
      <c r="B965" s="359"/>
      <c r="C965" s="359"/>
      <c r="D965" s="359"/>
      <c r="E965" s="359"/>
      <c r="F965" s="359"/>
      <c r="G965" s="359"/>
      <c r="H965" s="359"/>
      <c r="I965" s="359"/>
      <c r="J965" s="359"/>
      <c r="K965" s="359"/>
      <c r="L965" s="359"/>
      <c r="M965" s="359"/>
      <c r="N965" s="359"/>
      <c r="O965" s="359"/>
      <c r="P965" s="359"/>
      <c r="Q965" s="359"/>
      <c r="R965" s="359"/>
      <c r="S965" s="359"/>
      <c r="T965" s="359"/>
      <c r="U965" s="359"/>
      <c r="V965" s="359"/>
      <c r="W965" s="359"/>
      <c r="X965" s="359"/>
      <c r="Y965" s="359"/>
      <c r="Z965" s="359"/>
      <c r="AA965" s="359"/>
    </row>
    <row r="966" spans="1:27" ht="12" customHeight="1" x14ac:dyDescent="0.25">
      <c r="A966" s="359"/>
      <c r="B966" s="359"/>
      <c r="C966" s="359"/>
      <c r="D966" s="359"/>
      <c r="E966" s="359"/>
      <c r="F966" s="359"/>
      <c r="G966" s="359"/>
      <c r="H966" s="359"/>
      <c r="I966" s="359"/>
      <c r="J966" s="359"/>
      <c r="K966" s="359"/>
      <c r="L966" s="359"/>
      <c r="M966" s="359"/>
      <c r="N966" s="359"/>
      <c r="O966" s="359"/>
      <c r="P966" s="359"/>
      <c r="Q966" s="359"/>
      <c r="R966" s="359"/>
      <c r="S966" s="359"/>
      <c r="T966" s="359"/>
      <c r="U966" s="359"/>
      <c r="V966" s="359"/>
      <c r="W966" s="359"/>
      <c r="X966" s="359"/>
      <c r="Y966" s="359"/>
      <c r="Z966" s="359"/>
      <c r="AA966" s="359"/>
    </row>
    <row r="967" spans="1:27" ht="12" customHeight="1" x14ac:dyDescent="0.25">
      <c r="A967" s="359"/>
      <c r="B967" s="359"/>
      <c r="C967" s="359"/>
      <c r="D967" s="359"/>
      <c r="E967" s="359"/>
      <c r="F967" s="359"/>
      <c r="G967" s="359"/>
      <c r="H967" s="359"/>
      <c r="I967" s="359"/>
      <c r="J967" s="359"/>
      <c r="K967" s="359"/>
      <c r="L967" s="359"/>
      <c r="M967" s="359"/>
      <c r="N967" s="359"/>
      <c r="O967" s="359"/>
      <c r="P967" s="359"/>
      <c r="Q967" s="359"/>
      <c r="R967" s="359"/>
      <c r="S967" s="359"/>
      <c r="T967" s="359"/>
      <c r="U967" s="359"/>
      <c r="V967" s="359"/>
      <c r="W967" s="359"/>
      <c r="X967" s="359"/>
      <c r="Y967" s="359"/>
      <c r="Z967" s="359"/>
      <c r="AA967" s="359"/>
    </row>
    <row r="968" spans="1:27" ht="12" customHeight="1" x14ac:dyDescent="0.25">
      <c r="A968" s="359"/>
      <c r="B968" s="359"/>
      <c r="C968" s="359"/>
      <c r="D968" s="359"/>
      <c r="E968" s="359"/>
      <c r="F968" s="359"/>
      <c r="G968" s="359"/>
      <c r="H968" s="359"/>
      <c r="I968" s="359"/>
      <c r="J968" s="359"/>
      <c r="K968" s="359"/>
      <c r="L968" s="359"/>
      <c r="M968" s="359"/>
      <c r="N968" s="359"/>
      <c r="O968" s="359"/>
      <c r="P968" s="359"/>
      <c r="Q968" s="359"/>
      <c r="R968" s="359"/>
      <c r="S968" s="359"/>
      <c r="T968" s="359"/>
      <c r="U968" s="359"/>
      <c r="V968" s="359"/>
      <c r="W968" s="359"/>
      <c r="X968" s="359"/>
      <c r="Y968" s="359"/>
      <c r="Z968" s="359"/>
      <c r="AA968" s="359"/>
    </row>
    <row r="969" spans="1:27" ht="12" customHeight="1" x14ac:dyDescent="0.25">
      <c r="A969" s="359"/>
      <c r="B969" s="359"/>
      <c r="C969" s="359"/>
      <c r="D969" s="359"/>
      <c r="E969" s="359"/>
      <c r="F969" s="359"/>
      <c r="G969" s="359"/>
      <c r="H969" s="359"/>
      <c r="I969" s="359"/>
      <c r="J969" s="359"/>
      <c r="K969" s="359"/>
      <c r="L969" s="359"/>
      <c r="M969" s="359"/>
      <c r="N969" s="359"/>
      <c r="O969" s="359"/>
      <c r="P969" s="359"/>
      <c r="Q969" s="359"/>
      <c r="R969" s="359"/>
      <c r="S969" s="359"/>
      <c r="T969" s="359"/>
      <c r="U969" s="359"/>
      <c r="V969" s="359"/>
      <c r="W969" s="359"/>
      <c r="X969" s="359"/>
      <c r="Y969" s="359"/>
      <c r="Z969" s="359"/>
      <c r="AA969" s="359"/>
    </row>
    <row r="970" spans="1:27" ht="12" customHeight="1" x14ac:dyDescent="0.25">
      <c r="A970" s="359"/>
      <c r="B970" s="359"/>
      <c r="C970" s="359"/>
      <c r="D970" s="359"/>
      <c r="E970" s="359"/>
      <c r="F970" s="359"/>
      <c r="G970" s="359"/>
      <c r="H970" s="359"/>
      <c r="I970" s="359"/>
      <c r="J970" s="359"/>
      <c r="K970" s="359"/>
      <c r="L970" s="359"/>
      <c r="M970" s="359"/>
      <c r="N970" s="359"/>
      <c r="O970" s="359"/>
      <c r="P970" s="359"/>
      <c r="Q970" s="359"/>
      <c r="R970" s="359"/>
      <c r="S970" s="359"/>
      <c r="T970" s="359"/>
      <c r="U970" s="359"/>
      <c r="V970" s="359"/>
      <c r="W970" s="359"/>
      <c r="X970" s="359"/>
      <c r="Y970" s="359"/>
      <c r="Z970" s="359"/>
      <c r="AA970" s="359"/>
    </row>
    <row r="971" spans="1:27" ht="12" customHeight="1" x14ac:dyDescent="0.25">
      <c r="A971" s="359"/>
      <c r="B971" s="359"/>
      <c r="C971" s="359"/>
      <c r="D971" s="359"/>
      <c r="E971" s="359"/>
      <c r="F971" s="359"/>
      <c r="G971" s="359"/>
      <c r="H971" s="359"/>
      <c r="I971" s="359"/>
      <c r="J971" s="359"/>
      <c r="K971" s="359"/>
      <c r="L971" s="359"/>
      <c r="M971" s="359"/>
      <c r="N971" s="359"/>
      <c r="O971" s="359"/>
      <c r="P971" s="359"/>
      <c r="Q971" s="359"/>
      <c r="R971" s="359"/>
      <c r="S971" s="359"/>
      <c r="T971" s="359"/>
      <c r="U971" s="359"/>
      <c r="V971" s="359"/>
      <c r="W971" s="359"/>
      <c r="X971" s="359"/>
      <c r="Y971" s="359"/>
      <c r="Z971" s="359"/>
      <c r="AA971" s="359"/>
    </row>
    <row r="972" spans="1:27" ht="12" customHeight="1" x14ac:dyDescent="0.25">
      <c r="A972" s="359"/>
      <c r="B972" s="359"/>
      <c r="C972" s="359"/>
      <c r="D972" s="359"/>
      <c r="E972" s="359"/>
      <c r="F972" s="359"/>
      <c r="G972" s="359"/>
      <c r="H972" s="359"/>
      <c r="I972" s="359"/>
      <c r="J972" s="359"/>
      <c r="K972" s="359"/>
      <c r="L972" s="359"/>
      <c r="M972" s="359"/>
      <c r="N972" s="359"/>
      <c r="O972" s="359"/>
      <c r="P972" s="359"/>
      <c r="Q972" s="359"/>
      <c r="R972" s="359"/>
      <c r="S972" s="359"/>
      <c r="T972" s="359"/>
      <c r="U972" s="359"/>
      <c r="V972" s="359"/>
      <c r="W972" s="359"/>
      <c r="X972" s="359"/>
      <c r="Y972" s="359"/>
      <c r="Z972" s="359"/>
      <c r="AA972" s="359"/>
    </row>
    <row r="973" spans="1:27" ht="12" customHeight="1" x14ac:dyDescent="0.25">
      <c r="A973" s="359"/>
      <c r="B973" s="359"/>
      <c r="C973" s="359"/>
      <c r="D973" s="359"/>
      <c r="E973" s="359"/>
      <c r="F973" s="359"/>
      <c r="G973" s="359"/>
      <c r="H973" s="359"/>
      <c r="I973" s="359"/>
      <c r="J973" s="359"/>
      <c r="K973" s="359"/>
      <c r="L973" s="359"/>
      <c r="M973" s="359"/>
      <c r="N973" s="359"/>
      <c r="O973" s="359"/>
      <c r="P973" s="359"/>
      <c r="Q973" s="359"/>
      <c r="R973" s="359"/>
      <c r="S973" s="359"/>
      <c r="T973" s="359"/>
      <c r="U973" s="359"/>
      <c r="V973" s="359"/>
      <c r="W973" s="359"/>
      <c r="X973" s="359"/>
      <c r="Y973" s="359"/>
      <c r="Z973" s="359"/>
      <c r="AA973" s="359"/>
    </row>
    <row r="974" spans="1:27" ht="12" customHeight="1" x14ac:dyDescent="0.25">
      <c r="A974" s="359"/>
      <c r="B974" s="359"/>
      <c r="C974" s="359"/>
      <c r="D974" s="359"/>
      <c r="E974" s="359"/>
      <c r="F974" s="359"/>
      <c r="G974" s="359"/>
      <c r="H974" s="359"/>
      <c r="I974" s="359"/>
      <c r="J974" s="359"/>
      <c r="K974" s="359"/>
      <c r="L974" s="359"/>
      <c r="M974" s="359"/>
      <c r="N974" s="359"/>
      <c r="O974" s="359"/>
      <c r="P974" s="359"/>
      <c r="Q974" s="359"/>
      <c r="R974" s="359"/>
      <c r="S974" s="359"/>
      <c r="T974" s="359"/>
      <c r="U974" s="359"/>
      <c r="V974" s="359"/>
      <c r="W974" s="359"/>
      <c r="X974" s="359"/>
      <c r="Y974" s="359"/>
      <c r="Z974" s="359"/>
      <c r="AA974" s="359"/>
    </row>
    <row r="975" spans="1:27" ht="12" customHeight="1" x14ac:dyDescent="0.25">
      <c r="A975" s="359"/>
      <c r="B975" s="359"/>
      <c r="C975" s="359"/>
      <c r="D975" s="359"/>
      <c r="E975" s="359"/>
      <c r="F975" s="359"/>
      <c r="G975" s="359"/>
      <c r="H975" s="359"/>
      <c r="I975" s="359"/>
      <c r="J975" s="359"/>
      <c r="K975" s="359"/>
      <c r="L975" s="359"/>
      <c r="M975" s="359"/>
      <c r="N975" s="359"/>
      <c r="O975" s="359"/>
      <c r="P975" s="359"/>
      <c r="Q975" s="359"/>
      <c r="R975" s="359"/>
      <c r="S975" s="359"/>
      <c r="T975" s="359"/>
      <c r="U975" s="359"/>
      <c r="V975" s="359"/>
      <c r="W975" s="359"/>
      <c r="X975" s="359"/>
      <c r="Y975" s="359"/>
      <c r="Z975" s="359"/>
      <c r="AA975" s="359"/>
    </row>
    <row r="976" spans="1:27" ht="12" customHeight="1" x14ac:dyDescent="0.25">
      <c r="A976" s="359"/>
      <c r="B976" s="359"/>
      <c r="C976" s="359"/>
      <c r="D976" s="359"/>
      <c r="E976" s="359"/>
      <c r="F976" s="359"/>
      <c r="G976" s="359"/>
      <c r="H976" s="359"/>
      <c r="I976" s="359"/>
      <c r="J976" s="359"/>
      <c r="K976" s="359"/>
      <c r="L976" s="359"/>
      <c r="M976" s="359"/>
      <c r="N976" s="359"/>
      <c r="O976" s="359"/>
      <c r="P976" s="359"/>
      <c r="Q976" s="359"/>
      <c r="R976" s="359"/>
      <c r="S976" s="359"/>
      <c r="T976" s="359"/>
      <c r="U976" s="359"/>
      <c r="V976" s="359"/>
      <c r="W976" s="359"/>
      <c r="X976" s="359"/>
      <c r="Y976" s="359"/>
      <c r="Z976" s="359"/>
      <c r="AA976" s="359"/>
    </row>
    <row r="977" spans="1:27" ht="12" customHeight="1" x14ac:dyDescent="0.25">
      <c r="A977" s="359"/>
      <c r="B977" s="359"/>
      <c r="C977" s="359"/>
      <c r="D977" s="359"/>
      <c r="E977" s="359"/>
      <c r="F977" s="359"/>
      <c r="G977" s="359"/>
      <c r="H977" s="359"/>
      <c r="I977" s="359"/>
      <c r="J977" s="359"/>
      <c r="K977" s="359"/>
      <c r="L977" s="359"/>
      <c r="M977" s="359"/>
      <c r="N977" s="359"/>
      <c r="O977" s="359"/>
      <c r="P977" s="359"/>
      <c r="Q977" s="359"/>
      <c r="R977" s="359"/>
      <c r="S977" s="359"/>
      <c r="T977" s="359"/>
      <c r="U977" s="359"/>
      <c r="V977" s="359"/>
      <c r="W977" s="359"/>
      <c r="X977" s="359"/>
      <c r="Y977" s="359"/>
      <c r="Z977" s="359"/>
      <c r="AA977" s="359"/>
    </row>
    <row r="978" spans="1:27" ht="12" customHeight="1" x14ac:dyDescent="0.25">
      <c r="A978" s="359"/>
      <c r="B978" s="359"/>
      <c r="C978" s="359"/>
      <c r="D978" s="359"/>
      <c r="E978" s="359"/>
      <c r="F978" s="359"/>
      <c r="G978" s="359"/>
      <c r="H978" s="359"/>
      <c r="I978" s="359"/>
      <c r="J978" s="359"/>
      <c r="K978" s="359"/>
      <c r="L978" s="359"/>
      <c r="M978" s="359"/>
      <c r="N978" s="359"/>
      <c r="O978" s="359"/>
      <c r="P978" s="359"/>
      <c r="Q978" s="359"/>
      <c r="R978" s="359"/>
      <c r="S978" s="359"/>
      <c r="T978" s="359"/>
      <c r="U978" s="359"/>
      <c r="V978" s="359"/>
      <c r="W978" s="359"/>
      <c r="X978" s="359"/>
      <c r="Y978" s="359"/>
      <c r="Z978" s="359"/>
      <c r="AA978" s="359"/>
    </row>
    <row r="979" spans="1:27" ht="12" customHeight="1" x14ac:dyDescent="0.25">
      <c r="A979" s="359"/>
      <c r="B979" s="359"/>
      <c r="C979" s="359"/>
      <c r="D979" s="359"/>
      <c r="E979" s="359"/>
      <c r="F979" s="359"/>
      <c r="G979" s="359"/>
      <c r="H979" s="359"/>
      <c r="I979" s="359"/>
      <c r="J979" s="359"/>
      <c r="K979" s="359"/>
      <c r="L979" s="359"/>
      <c r="M979" s="359"/>
      <c r="N979" s="359"/>
      <c r="O979" s="359"/>
      <c r="P979" s="359"/>
      <c r="Q979" s="359"/>
      <c r="R979" s="359"/>
      <c r="S979" s="359"/>
      <c r="T979" s="359"/>
      <c r="U979" s="359"/>
      <c r="V979" s="359"/>
      <c r="W979" s="359"/>
      <c r="X979" s="359"/>
      <c r="Y979" s="359"/>
      <c r="Z979" s="359"/>
      <c r="AA979" s="359"/>
    </row>
    <row r="980" spans="1:27" ht="12" customHeight="1" x14ac:dyDescent="0.25">
      <c r="A980" s="359"/>
      <c r="B980" s="359"/>
      <c r="C980" s="359"/>
      <c r="D980" s="359"/>
      <c r="E980" s="359"/>
      <c r="F980" s="359"/>
      <c r="G980" s="359"/>
      <c r="H980" s="359"/>
      <c r="I980" s="359"/>
      <c r="J980" s="359"/>
      <c r="K980" s="359"/>
      <c r="L980" s="359"/>
      <c r="M980" s="359"/>
      <c r="N980" s="359"/>
      <c r="O980" s="359"/>
      <c r="P980" s="359"/>
      <c r="Q980" s="359"/>
      <c r="R980" s="359"/>
      <c r="S980" s="359"/>
      <c r="T980" s="359"/>
      <c r="U980" s="359"/>
      <c r="V980" s="359"/>
      <c r="W980" s="359"/>
      <c r="X980" s="359"/>
      <c r="Y980" s="359"/>
      <c r="Z980" s="359"/>
      <c r="AA980" s="359"/>
    </row>
    <row r="981" spans="1:27" ht="12" customHeight="1" x14ac:dyDescent="0.25">
      <c r="A981" s="359"/>
      <c r="B981" s="359"/>
      <c r="C981" s="359"/>
      <c r="D981" s="359"/>
      <c r="E981" s="359"/>
      <c r="F981" s="359"/>
      <c r="G981" s="359"/>
      <c r="H981" s="359"/>
      <c r="I981" s="359"/>
      <c r="J981" s="359"/>
      <c r="K981" s="359"/>
      <c r="L981" s="359"/>
      <c r="M981" s="359"/>
      <c r="N981" s="359"/>
      <c r="O981" s="359"/>
      <c r="P981" s="359"/>
      <c r="Q981" s="359"/>
      <c r="R981" s="359"/>
      <c r="S981" s="359"/>
      <c r="T981" s="359"/>
      <c r="U981" s="359"/>
      <c r="V981" s="359"/>
      <c r="W981" s="359"/>
      <c r="X981" s="359"/>
      <c r="Y981" s="359"/>
      <c r="Z981" s="359"/>
      <c r="AA981" s="359"/>
    </row>
    <row r="982" spans="1:27" ht="12" customHeight="1" x14ac:dyDescent="0.25">
      <c r="A982" s="359"/>
      <c r="B982" s="359"/>
      <c r="C982" s="359"/>
      <c r="D982" s="359"/>
      <c r="E982" s="359"/>
      <c r="F982" s="359"/>
      <c r="G982" s="359"/>
      <c r="H982" s="359"/>
      <c r="I982" s="359"/>
      <c r="J982" s="359"/>
      <c r="K982" s="359"/>
      <c r="L982" s="359"/>
      <c r="M982" s="359"/>
      <c r="N982" s="359"/>
      <c r="O982" s="359"/>
      <c r="P982" s="359"/>
      <c r="Q982" s="359"/>
      <c r="R982" s="359"/>
      <c r="S982" s="359"/>
      <c r="T982" s="359"/>
      <c r="U982" s="359"/>
      <c r="V982" s="359"/>
      <c r="W982" s="359"/>
      <c r="X982" s="359"/>
      <c r="Y982" s="359"/>
      <c r="Z982" s="359"/>
      <c r="AA982" s="359"/>
    </row>
    <row r="983" spans="1:27" ht="12" customHeight="1" x14ac:dyDescent="0.25">
      <c r="A983" s="359"/>
      <c r="B983" s="359"/>
      <c r="C983" s="359"/>
      <c r="D983" s="359"/>
      <c r="E983" s="359"/>
      <c r="F983" s="359"/>
      <c r="G983" s="359"/>
      <c r="H983" s="359"/>
      <c r="I983" s="359"/>
      <c r="J983" s="359"/>
      <c r="K983" s="359"/>
      <c r="L983" s="359"/>
      <c r="M983" s="359"/>
      <c r="N983" s="359"/>
      <c r="O983" s="359"/>
      <c r="P983" s="359"/>
      <c r="Q983" s="359"/>
      <c r="R983" s="359"/>
      <c r="S983" s="359"/>
      <c r="T983" s="359"/>
      <c r="U983" s="359"/>
      <c r="V983" s="359"/>
      <c r="W983" s="359"/>
      <c r="X983" s="359"/>
      <c r="Y983" s="359"/>
      <c r="Z983" s="359"/>
      <c r="AA983" s="359"/>
    </row>
    <row r="984" spans="1:27" ht="12" customHeight="1" x14ac:dyDescent="0.25">
      <c r="A984" s="359"/>
      <c r="B984" s="359"/>
      <c r="C984" s="359"/>
      <c r="D984" s="359"/>
      <c r="E984" s="359"/>
      <c r="F984" s="359"/>
      <c r="G984" s="359"/>
      <c r="H984" s="359"/>
      <c r="I984" s="359"/>
      <c r="J984" s="359"/>
      <c r="K984" s="359"/>
      <c r="L984" s="359"/>
      <c r="M984" s="359"/>
      <c r="N984" s="359"/>
      <c r="O984" s="359"/>
      <c r="P984" s="359"/>
      <c r="Q984" s="359"/>
      <c r="R984" s="359"/>
      <c r="S984" s="359"/>
      <c r="T984" s="359"/>
      <c r="U984" s="359"/>
      <c r="V984" s="359"/>
      <c r="W984" s="359"/>
      <c r="X984" s="359"/>
      <c r="Y984" s="359"/>
      <c r="Z984" s="359"/>
      <c r="AA984" s="359"/>
    </row>
    <row r="985" spans="1:27" ht="12" customHeight="1" x14ac:dyDescent="0.25">
      <c r="A985" s="359"/>
      <c r="B985" s="359"/>
      <c r="C985" s="359"/>
      <c r="D985" s="359"/>
      <c r="E985" s="359"/>
      <c r="F985" s="359"/>
      <c r="G985" s="359"/>
      <c r="H985" s="359"/>
      <c r="I985" s="359"/>
      <c r="J985" s="359"/>
      <c r="K985" s="359"/>
      <c r="L985" s="359"/>
      <c r="M985" s="359"/>
      <c r="N985" s="359"/>
      <c r="O985" s="359"/>
      <c r="P985" s="359"/>
      <c r="Q985" s="359"/>
      <c r="R985" s="359"/>
      <c r="S985" s="359"/>
      <c r="T985" s="359"/>
      <c r="U985" s="359"/>
      <c r="V985" s="359"/>
      <c r="W985" s="359"/>
      <c r="X985" s="359"/>
      <c r="Y985" s="359"/>
      <c r="Z985" s="359"/>
      <c r="AA985" s="359"/>
    </row>
    <row r="986" spans="1:27" ht="12" customHeight="1" x14ac:dyDescent="0.25">
      <c r="A986" s="359"/>
      <c r="B986" s="359"/>
      <c r="C986" s="359"/>
      <c r="D986" s="359"/>
      <c r="E986" s="359"/>
      <c r="F986" s="359"/>
      <c r="G986" s="359"/>
      <c r="H986" s="359"/>
      <c r="I986" s="359"/>
      <c r="J986" s="359"/>
      <c r="K986" s="359"/>
      <c r="L986" s="359"/>
      <c r="M986" s="359"/>
      <c r="N986" s="359"/>
      <c r="O986" s="359"/>
      <c r="P986" s="359"/>
      <c r="Q986" s="359"/>
      <c r="R986" s="359"/>
      <c r="S986" s="359"/>
      <c r="T986" s="359"/>
      <c r="U986" s="359"/>
      <c r="V986" s="359"/>
      <c r="W986" s="359"/>
      <c r="X986" s="359"/>
      <c r="Y986" s="359"/>
      <c r="Z986" s="359"/>
      <c r="AA986" s="359"/>
    </row>
    <row r="987" spans="1:27" ht="12" customHeight="1" x14ac:dyDescent="0.25">
      <c r="A987" s="359"/>
      <c r="B987" s="359"/>
      <c r="C987" s="359"/>
      <c r="D987" s="359"/>
      <c r="E987" s="359"/>
      <c r="F987" s="359"/>
      <c r="G987" s="359"/>
      <c r="H987" s="359"/>
      <c r="I987" s="359"/>
      <c r="J987" s="359"/>
      <c r="K987" s="359"/>
      <c r="L987" s="359"/>
      <c r="M987" s="359"/>
      <c r="N987" s="359"/>
      <c r="O987" s="359"/>
      <c r="P987" s="359"/>
      <c r="Q987" s="359"/>
      <c r="R987" s="359"/>
      <c r="S987" s="359"/>
      <c r="T987" s="359"/>
      <c r="U987" s="359"/>
      <c r="V987" s="359"/>
      <c r="W987" s="359"/>
      <c r="X987" s="359"/>
      <c r="Y987" s="359"/>
      <c r="Z987" s="359"/>
      <c r="AA987" s="359"/>
    </row>
    <row r="988" spans="1:27" ht="12" customHeight="1" x14ac:dyDescent="0.25">
      <c r="A988" s="359"/>
      <c r="B988" s="359"/>
      <c r="C988" s="359"/>
      <c r="D988" s="359"/>
      <c r="E988" s="359"/>
      <c r="F988" s="359"/>
      <c r="G988" s="359"/>
      <c r="H988" s="359"/>
      <c r="I988" s="359"/>
      <c r="J988" s="359"/>
      <c r="K988" s="359"/>
      <c r="L988" s="359"/>
      <c r="M988" s="359"/>
      <c r="N988" s="359"/>
      <c r="O988" s="359"/>
      <c r="P988" s="359"/>
      <c r="Q988" s="359"/>
      <c r="R988" s="359"/>
      <c r="S988" s="359"/>
      <c r="T988" s="359"/>
      <c r="U988" s="359"/>
      <c r="V988" s="359"/>
      <c r="W988" s="359"/>
      <c r="X988" s="359"/>
      <c r="Y988" s="359"/>
      <c r="Z988" s="359"/>
      <c r="AA988" s="359"/>
    </row>
    <row r="989" spans="1:27" ht="12" customHeight="1" x14ac:dyDescent="0.25">
      <c r="A989" s="359"/>
      <c r="B989" s="359"/>
      <c r="C989" s="359"/>
      <c r="D989" s="359"/>
      <c r="E989" s="359"/>
      <c r="F989" s="359"/>
      <c r="G989" s="359"/>
      <c r="H989" s="359"/>
      <c r="I989" s="359"/>
      <c r="J989" s="359"/>
      <c r="K989" s="359"/>
      <c r="L989" s="359"/>
      <c r="M989" s="359"/>
      <c r="N989" s="359"/>
      <c r="O989" s="359"/>
      <c r="P989" s="359"/>
      <c r="Q989" s="359"/>
      <c r="R989" s="359"/>
      <c r="S989" s="359"/>
      <c r="T989" s="359"/>
      <c r="U989" s="359"/>
      <c r="V989" s="359"/>
      <c r="W989" s="359"/>
      <c r="X989" s="359"/>
      <c r="Y989" s="359"/>
      <c r="Z989" s="359"/>
      <c r="AA989" s="359"/>
    </row>
    <row r="990" spans="1:27" ht="12" customHeight="1" x14ac:dyDescent="0.25">
      <c r="A990" s="359"/>
      <c r="B990" s="359"/>
      <c r="C990" s="359"/>
      <c r="D990" s="359"/>
      <c r="E990" s="359"/>
      <c r="F990" s="359"/>
      <c r="G990" s="359"/>
      <c r="H990" s="359"/>
      <c r="I990" s="359"/>
      <c r="J990" s="359"/>
      <c r="K990" s="359"/>
      <c r="L990" s="359"/>
      <c r="M990" s="359"/>
      <c r="N990" s="359"/>
      <c r="O990" s="359"/>
      <c r="P990" s="359"/>
      <c r="Q990" s="359"/>
      <c r="R990" s="359"/>
      <c r="S990" s="359"/>
      <c r="T990" s="359"/>
      <c r="U990" s="359"/>
      <c r="V990" s="359"/>
      <c r="W990" s="359"/>
      <c r="X990" s="359"/>
      <c r="Y990" s="359"/>
      <c r="Z990" s="359"/>
      <c r="AA990" s="359"/>
    </row>
    <row r="991" spans="1:27" ht="12" customHeight="1" x14ac:dyDescent="0.25">
      <c r="A991" s="359"/>
      <c r="B991" s="359"/>
      <c r="C991" s="359"/>
      <c r="D991" s="359"/>
      <c r="E991" s="359"/>
      <c r="F991" s="359"/>
      <c r="G991" s="359"/>
      <c r="H991" s="359"/>
      <c r="I991" s="359"/>
      <c r="J991" s="359"/>
      <c r="K991" s="359"/>
      <c r="L991" s="359"/>
      <c r="M991" s="359"/>
      <c r="N991" s="359"/>
      <c r="O991" s="359"/>
      <c r="P991" s="359"/>
      <c r="Q991" s="359"/>
      <c r="R991" s="359"/>
      <c r="S991" s="359"/>
      <c r="T991" s="359"/>
      <c r="U991" s="359"/>
      <c r="V991" s="359"/>
      <c r="W991" s="359"/>
      <c r="X991" s="359"/>
      <c r="Y991" s="359"/>
      <c r="Z991" s="359"/>
      <c r="AA991" s="359"/>
    </row>
    <row r="992" spans="1:27" ht="12" customHeight="1" x14ac:dyDescent="0.25">
      <c r="A992" s="359"/>
      <c r="B992" s="359"/>
      <c r="C992" s="359"/>
      <c r="D992" s="359"/>
      <c r="E992" s="359"/>
      <c r="F992" s="359"/>
      <c r="G992" s="359"/>
      <c r="H992" s="359"/>
      <c r="I992" s="359"/>
      <c r="J992" s="359"/>
      <c r="K992" s="359"/>
      <c r="L992" s="359"/>
      <c r="M992" s="359"/>
      <c r="N992" s="359"/>
      <c r="O992" s="359"/>
      <c r="P992" s="359"/>
      <c r="Q992" s="359"/>
      <c r="R992" s="359"/>
      <c r="S992" s="359"/>
      <c r="T992" s="359"/>
      <c r="U992" s="359"/>
      <c r="V992" s="359"/>
      <c r="W992" s="359"/>
      <c r="X992" s="359"/>
      <c r="Y992" s="359"/>
      <c r="Z992" s="359"/>
      <c r="AA992" s="359"/>
    </row>
    <row r="993" spans="1:27" ht="12" customHeight="1" x14ac:dyDescent="0.25">
      <c r="A993" s="359"/>
      <c r="B993" s="359"/>
      <c r="C993" s="359"/>
      <c r="D993" s="359"/>
      <c r="E993" s="359"/>
      <c r="F993" s="359"/>
      <c r="G993" s="359"/>
      <c r="H993" s="359"/>
      <c r="I993" s="359"/>
      <c r="J993" s="359"/>
      <c r="K993" s="359"/>
      <c r="L993" s="359"/>
      <c r="M993" s="359"/>
      <c r="N993" s="359"/>
      <c r="O993" s="359"/>
      <c r="P993" s="359"/>
      <c r="Q993" s="359"/>
      <c r="R993" s="359"/>
      <c r="S993" s="359"/>
      <c r="T993" s="359"/>
      <c r="U993" s="359"/>
      <c r="V993" s="359"/>
      <c r="W993" s="359"/>
      <c r="X993" s="359"/>
      <c r="Y993" s="359"/>
      <c r="Z993" s="359"/>
      <c r="AA993" s="359"/>
    </row>
    <row r="994" spans="1:27" ht="12" customHeight="1" x14ac:dyDescent="0.25">
      <c r="A994" s="359"/>
      <c r="B994" s="359"/>
      <c r="C994" s="359"/>
      <c r="D994" s="359"/>
      <c r="E994" s="359"/>
      <c r="F994" s="359"/>
      <c r="G994" s="359"/>
      <c r="H994" s="359"/>
      <c r="I994" s="359"/>
      <c r="J994" s="359"/>
      <c r="K994" s="359"/>
      <c r="L994" s="359"/>
      <c r="M994" s="359"/>
      <c r="N994" s="359"/>
      <c r="O994" s="359"/>
      <c r="P994" s="359"/>
      <c r="Q994" s="359"/>
      <c r="R994" s="359"/>
      <c r="S994" s="359"/>
      <c r="T994" s="359"/>
      <c r="U994" s="359"/>
      <c r="V994" s="359"/>
      <c r="W994" s="359"/>
      <c r="X994" s="359"/>
      <c r="Y994" s="359"/>
      <c r="Z994" s="359"/>
      <c r="AA994" s="359"/>
    </row>
    <row r="995" spans="1:27" ht="12" customHeight="1" x14ac:dyDescent="0.25">
      <c r="A995" s="359"/>
      <c r="B995" s="359"/>
      <c r="C995" s="359"/>
      <c r="D995" s="359"/>
      <c r="E995" s="359"/>
      <c r="F995" s="359"/>
      <c r="G995" s="359"/>
      <c r="H995" s="359"/>
      <c r="I995" s="359"/>
      <c r="J995" s="359"/>
      <c r="K995" s="359"/>
      <c r="L995" s="359"/>
      <c r="M995" s="359"/>
      <c r="N995" s="359"/>
      <c r="O995" s="359"/>
      <c r="P995" s="359"/>
      <c r="Q995" s="359"/>
      <c r="R995" s="359"/>
      <c r="S995" s="359"/>
      <c r="T995" s="359"/>
      <c r="U995" s="359"/>
      <c r="V995" s="359"/>
      <c r="W995" s="359"/>
      <c r="X995" s="359"/>
      <c r="Y995" s="359"/>
      <c r="Z995" s="359"/>
      <c r="AA995" s="359"/>
    </row>
    <row r="996" spans="1:27" ht="12" customHeight="1" x14ac:dyDescent="0.25">
      <c r="A996" s="359"/>
      <c r="B996" s="359"/>
      <c r="C996" s="359"/>
      <c r="D996" s="359"/>
      <c r="E996" s="359"/>
      <c r="F996" s="359"/>
      <c r="G996" s="359"/>
      <c r="H996" s="359"/>
      <c r="I996" s="359"/>
      <c r="J996" s="359"/>
      <c r="K996" s="359"/>
      <c r="L996" s="359"/>
      <c r="M996" s="359"/>
      <c r="N996" s="359"/>
      <c r="O996" s="359"/>
      <c r="P996" s="359"/>
      <c r="Q996" s="359"/>
      <c r="R996" s="359"/>
      <c r="S996" s="359"/>
      <c r="T996" s="359"/>
      <c r="U996" s="359"/>
      <c r="V996" s="359"/>
      <c r="W996" s="359"/>
      <c r="X996" s="359"/>
      <c r="Y996" s="359"/>
      <c r="Z996" s="359"/>
      <c r="AA996" s="359"/>
    </row>
    <row r="997" spans="1:27" ht="12" customHeight="1" x14ac:dyDescent="0.25">
      <c r="A997" s="359"/>
      <c r="B997" s="359"/>
      <c r="C997" s="359"/>
      <c r="D997" s="359"/>
      <c r="E997" s="359"/>
      <c r="F997" s="359"/>
      <c r="G997" s="359"/>
      <c r="H997" s="359"/>
      <c r="I997" s="359"/>
      <c r="J997" s="359"/>
      <c r="K997" s="359"/>
      <c r="L997" s="359"/>
      <c r="M997" s="359"/>
      <c r="N997" s="359"/>
      <c r="O997" s="359"/>
      <c r="P997" s="359"/>
      <c r="Q997" s="359"/>
      <c r="R997" s="359"/>
      <c r="S997" s="359"/>
      <c r="T997" s="359"/>
      <c r="U997" s="359"/>
      <c r="V997" s="359"/>
      <c r="W997" s="359"/>
      <c r="X997" s="359"/>
      <c r="Y997" s="359"/>
      <c r="Z997" s="359"/>
      <c r="AA997" s="359"/>
    </row>
    <row r="998" spans="1:27" ht="12" customHeight="1" x14ac:dyDescent="0.25">
      <c r="A998" s="359"/>
      <c r="B998" s="359"/>
      <c r="C998" s="359"/>
      <c r="D998" s="359"/>
      <c r="E998" s="359"/>
      <c r="F998" s="359"/>
      <c r="G998" s="359"/>
      <c r="H998" s="359"/>
      <c r="I998" s="359"/>
      <c r="J998" s="359"/>
      <c r="K998" s="359"/>
      <c r="L998" s="359"/>
      <c r="M998" s="359"/>
      <c r="N998" s="359"/>
      <c r="O998" s="359"/>
      <c r="P998" s="359"/>
      <c r="Q998" s="359"/>
      <c r="R998" s="359"/>
      <c r="S998" s="359"/>
      <c r="T998" s="359"/>
      <c r="U998" s="359"/>
      <c r="V998" s="359"/>
      <c r="W998" s="359"/>
      <c r="X998" s="359"/>
      <c r="Y998" s="359"/>
      <c r="Z998" s="359"/>
      <c r="AA998" s="359"/>
    </row>
    <row r="999" spans="1:27" ht="12" customHeight="1" x14ac:dyDescent="0.25">
      <c r="A999" s="359"/>
      <c r="B999" s="359"/>
      <c r="C999" s="359"/>
      <c r="D999" s="359"/>
      <c r="E999" s="359"/>
      <c r="F999" s="359"/>
      <c r="G999" s="359"/>
      <c r="H999" s="359"/>
      <c r="I999" s="359"/>
      <c r="J999" s="359"/>
      <c r="K999" s="359"/>
      <c r="L999" s="359"/>
      <c r="M999" s="359"/>
      <c r="N999" s="359"/>
      <c r="O999" s="359"/>
      <c r="P999" s="359"/>
      <c r="Q999" s="359"/>
      <c r="R999" s="359"/>
      <c r="S999" s="359"/>
      <c r="T999" s="359"/>
      <c r="U999" s="359"/>
      <c r="V999" s="359"/>
      <c r="W999" s="359"/>
      <c r="X999" s="359"/>
      <c r="Y999" s="359"/>
      <c r="Z999" s="359"/>
      <c r="AA999" s="359"/>
    </row>
    <row r="1000" spans="1:27" ht="12" customHeight="1" x14ac:dyDescent="0.25">
      <c r="A1000" s="359"/>
      <c r="B1000" s="359"/>
      <c r="C1000" s="359"/>
      <c r="D1000" s="359"/>
      <c r="E1000" s="359"/>
      <c r="F1000" s="359"/>
      <c r="G1000" s="359"/>
      <c r="H1000" s="359"/>
      <c r="I1000" s="359"/>
      <c r="J1000" s="359"/>
      <c r="K1000" s="359"/>
      <c r="L1000" s="359"/>
      <c r="M1000" s="359"/>
      <c r="N1000" s="359"/>
      <c r="O1000" s="359"/>
      <c r="P1000" s="359"/>
      <c r="Q1000" s="359"/>
      <c r="R1000" s="359"/>
      <c r="S1000" s="359"/>
      <c r="T1000" s="359"/>
      <c r="U1000" s="359"/>
      <c r="V1000" s="359"/>
      <c r="W1000" s="359"/>
      <c r="X1000" s="359"/>
      <c r="Y1000" s="359"/>
      <c r="Z1000" s="359"/>
      <c r="AA1000" s="359"/>
    </row>
  </sheetData>
  <sheetProtection formatCells="0" formatColumns="0" formatRows="0" autoFilter="0"/>
  <mergeCells count="26">
    <mergeCell ref="X10:X11"/>
    <mergeCell ref="Y10:Y11"/>
    <mergeCell ref="Z10:Z11"/>
    <mergeCell ref="AA10:AA11"/>
    <mergeCell ref="P10:P11"/>
    <mergeCell ref="Q10:Q11"/>
    <mergeCell ref="R10:R11"/>
    <mergeCell ref="S10:S11"/>
    <mergeCell ref="V10:V11"/>
    <mergeCell ref="W10:W11"/>
    <mergeCell ref="O10:O11"/>
    <mergeCell ref="A2:W2"/>
    <mergeCell ref="A3:W3"/>
    <mergeCell ref="A4:W4"/>
    <mergeCell ref="B9:AA9"/>
    <mergeCell ref="A10:A12"/>
    <mergeCell ref="B10:B12"/>
    <mergeCell ref="C10:C11"/>
    <mergeCell ref="D10:D11"/>
    <mergeCell ref="H10:H11"/>
    <mergeCell ref="I10:I11"/>
    <mergeCell ref="J10:J11"/>
    <mergeCell ref="K10:K11"/>
    <mergeCell ref="L10:L11"/>
    <mergeCell ref="M10:M11"/>
    <mergeCell ref="N10:N11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1D52-8822-4AA7-886A-23CC342DD4D2}">
  <sheetPr>
    <tabColor theme="0" tint="-0.249977111117893"/>
  </sheetPr>
  <dimension ref="A1:AA1000"/>
  <sheetViews>
    <sheetView workbookViewId="0">
      <pane ySplit="12" topLeftCell="A304" activePane="bottomLeft" state="frozen"/>
      <selection pane="bottomLeft" activeCell="D312" sqref="D312"/>
    </sheetView>
  </sheetViews>
  <sheetFormatPr defaultColWidth="14.42578125" defaultRowHeight="15" customHeight="1" x14ac:dyDescent="0.25"/>
  <cols>
    <col min="1" max="1" width="177.140625" style="145" hidden="1" customWidth="1"/>
    <col min="2" max="2" width="87.140625" style="145" customWidth="1"/>
    <col min="3" max="3" width="15.140625" style="145" customWidth="1"/>
    <col min="4" max="4" width="15.5703125" style="145" customWidth="1"/>
    <col min="5" max="5" width="14.85546875" style="145" customWidth="1"/>
    <col min="6" max="6" width="15.85546875" style="145" customWidth="1"/>
    <col min="7" max="7" width="16.28515625" style="145" customWidth="1"/>
    <col min="8" max="19" width="12.7109375" style="145" customWidth="1"/>
    <col min="20" max="20" width="17" style="145" customWidth="1"/>
    <col min="21" max="21" width="20.7109375" style="145" customWidth="1"/>
    <col min="22" max="22" width="17.7109375" style="145" customWidth="1"/>
    <col min="23" max="23" width="19.28515625" style="145" customWidth="1"/>
    <col min="24" max="24" width="12" style="145" customWidth="1"/>
    <col min="25" max="25" width="12.85546875" style="145" customWidth="1"/>
    <col min="26" max="26" width="15.28515625" style="145" customWidth="1"/>
    <col min="27" max="27" width="15.42578125" style="145" customWidth="1"/>
    <col min="28" max="16384" width="14.42578125" style="145"/>
  </cols>
  <sheetData>
    <row r="1" spans="1:27" ht="12" customHeight="1" x14ac:dyDescent="0.25">
      <c r="A1" s="143"/>
      <c r="B1" s="143"/>
      <c r="C1" s="143"/>
      <c r="D1" s="144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ht="12" customHeight="1" x14ac:dyDescent="0.25">
      <c r="A2" s="528" t="s">
        <v>1119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143"/>
      <c r="Y2" s="143"/>
      <c r="Z2" s="143"/>
      <c r="AA2" s="143"/>
    </row>
    <row r="3" spans="1:27" ht="15" customHeight="1" x14ac:dyDescent="0.25">
      <c r="A3" s="528" t="s">
        <v>1383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143"/>
      <c r="Y3" s="143"/>
      <c r="Z3" s="143"/>
      <c r="AA3" s="143"/>
    </row>
    <row r="4" spans="1:27" ht="12" customHeight="1" x14ac:dyDescent="0.25">
      <c r="A4" s="530">
        <v>2026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143"/>
      <c r="Y4" s="143"/>
      <c r="Z4" s="143"/>
      <c r="AA4" s="143"/>
    </row>
    <row r="5" spans="1:27" ht="12" customHeight="1" x14ac:dyDescent="0.25">
      <c r="A5" s="146"/>
      <c r="B5" s="147" t="s">
        <v>1383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3"/>
      <c r="Y5" s="143"/>
      <c r="Z5" s="143"/>
      <c r="AA5" s="143"/>
    </row>
    <row r="6" spans="1:27" ht="12" customHeight="1" x14ac:dyDescent="0.25">
      <c r="A6" s="146"/>
      <c r="B6" s="536" t="s">
        <v>1385</v>
      </c>
      <c r="C6" s="529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3"/>
      <c r="Y6" s="143"/>
      <c r="Z6" s="143"/>
      <c r="AA6" s="143"/>
    </row>
    <row r="7" spans="1:27" ht="12" customHeight="1" x14ac:dyDescent="0.25">
      <c r="A7" s="146"/>
      <c r="B7" s="187" t="s">
        <v>1386</v>
      </c>
      <c r="C7" s="187"/>
      <c r="D7" s="187"/>
      <c r="E7" s="187"/>
      <c r="F7" s="187"/>
      <c r="G7" s="187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9"/>
      <c r="Y7" s="149"/>
      <c r="Z7" s="149"/>
      <c r="AA7" s="149"/>
    </row>
    <row r="8" spans="1:27" ht="12" customHeight="1" x14ac:dyDescent="0.25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3"/>
      <c r="Y8" s="143"/>
      <c r="Z8" s="143"/>
      <c r="AA8" s="150" t="s">
        <v>1</v>
      </c>
    </row>
    <row r="9" spans="1:27" ht="12" customHeight="1" x14ac:dyDescent="0.25">
      <c r="A9" s="151"/>
      <c r="B9" s="533" t="s">
        <v>34</v>
      </c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34"/>
      <c r="Q9" s="534"/>
      <c r="R9" s="534"/>
      <c r="S9" s="534"/>
      <c r="T9" s="534"/>
      <c r="U9" s="534"/>
      <c r="V9" s="534"/>
      <c r="W9" s="534"/>
      <c r="X9" s="534"/>
      <c r="Y9" s="534"/>
      <c r="Z9" s="534"/>
      <c r="AA9" s="535"/>
    </row>
    <row r="10" spans="1:27" ht="12" customHeight="1" x14ac:dyDescent="0.25">
      <c r="A10" s="524"/>
      <c r="B10" s="527" t="s">
        <v>1086</v>
      </c>
      <c r="C10" s="527" t="s">
        <v>2</v>
      </c>
      <c r="D10" s="527" t="s">
        <v>3</v>
      </c>
      <c r="E10" s="152" t="s">
        <v>57</v>
      </c>
      <c r="F10" s="152" t="s">
        <v>30</v>
      </c>
      <c r="G10" s="152" t="s">
        <v>58</v>
      </c>
      <c r="H10" s="527" t="s">
        <v>5</v>
      </c>
      <c r="I10" s="527" t="s">
        <v>6</v>
      </c>
      <c r="J10" s="527" t="s">
        <v>7</v>
      </c>
      <c r="K10" s="527" t="s">
        <v>8</v>
      </c>
      <c r="L10" s="527" t="s">
        <v>9</v>
      </c>
      <c r="M10" s="527" t="s">
        <v>10</v>
      </c>
      <c r="N10" s="527" t="s">
        <v>11</v>
      </c>
      <c r="O10" s="527" t="s">
        <v>12</v>
      </c>
      <c r="P10" s="527" t="s">
        <v>13</v>
      </c>
      <c r="Q10" s="527" t="s">
        <v>14</v>
      </c>
      <c r="R10" s="527" t="s">
        <v>15</v>
      </c>
      <c r="S10" s="527" t="s">
        <v>16</v>
      </c>
      <c r="T10" s="152" t="s">
        <v>17</v>
      </c>
      <c r="U10" s="152" t="s">
        <v>18</v>
      </c>
      <c r="V10" s="527" t="s">
        <v>59</v>
      </c>
      <c r="W10" s="527" t="s">
        <v>60</v>
      </c>
      <c r="X10" s="527" t="s">
        <v>32</v>
      </c>
      <c r="Y10" s="527" t="s">
        <v>31</v>
      </c>
      <c r="Z10" s="527" t="s">
        <v>61</v>
      </c>
      <c r="AA10" s="527" t="s">
        <v>62</v>
      </c>
    </row>
    <row r="11" spans="1:27" ht="12" customHeight="1" x14ac:dyDescent="0.25">
      <c r="A11" s="525"/>
      <c r="B11" s="525"/>
      <c r="C11" s="526"/>
      <c r="D11" s="526"/>
      <c r="E11" s="153" t="s">
        <v>1408</v>
      </c>
      <c r="F11" s="153" t="s">
        <v>1408</v>
      </c>
      <c r="G11" s="153" t="s">
        <v>1408</v>
      </c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6"/>
      <c r="T11" s="153" t="s">
        <v>1408</v>
      </c>
      <c r="U11" s="153" t="s">
        <v>1408</v>
      </c>
      <c r="V11" s="526"/>
      <c r="W11" s="526"/>
      <c r="X11" s="526"/>
      <c r="Y11" s="526"/>
      <c r="Z11" s="526"/>
      <c r="AA11" s="526"/>
    </row>
    <row r="12" spans="1:27" ht="12" customHeight="1" x14ac:dyDescent="0.25">
      <c r="A12" s="526"/>
      <c r="B12" s="526"/>
      <c r="C12" s="154" t="s">
        <v>20</v>
      </c>
      <c r="D12" s="154" t="s">
        <v>21</v>
      </c>
      <c r="E12" s="154" t="s">
        <v>22</v>
      </c>
      <c r="F12" s="154" t="s">
        <v>23</v>
      </c>
      <c r="G12" s="154" t="s">
        <v>24</v>
      </c>
      <c r="H12" s="154" t="s">
        <v>63</v>
      </c>
      <c r="I12" s="154" t="s">
        <v>63</v>
      </c>
      <c r="J12" s="154" t="s">
        <v>63</v>
      </c>
      <c r="K12" s="154" t="s">
        <v>63</v>
      </c>
      <c r="L12" s="154" t="s">
        <v>63</v>
      </c>
      <c r="M12" s="154" t="s">
        <v>63</v>
      </c>
      <c r="N12" s="154" t="s">
        <v>63</v>
      </c>
      <c r="O12" s="154" t="s">
        <v>63</v>
      </c>
      <c r="P12" s="154" t="s">
        <v>63</v>
      </c>
      <c r="Q12" s="154" t="s">
        <v>63</v>
      </c>
      <c r="R12" s="154" t="s">
        <v>63</v>
      </c>
      <c r="S12" s="154" t="s">
        <v>63</v>
      </c>
      <c r="T12" s="154" t="s">
        <v>64</v>
      </c>
      <c r="U12" s="154" t="s">
        <v>65</v>
      </c>
      <c r="V12" s="154" t="s">
        <v>66</v>
      </c>
      <c r="W12" s="154" t="s">
        <v>67</v>
      </c>
      <c r="X12" s="154" t="s">
        <v>68</v>
      </c>
      <c r="Y12" s="154" t="s">
        <v>69</v>
      </c>
      <c r="Z12" s="154" t="s">
        <v>70</v>
      </c>
      <c r="AA12" s="154" t="s">
        <v>71</v>
      </c>
    </row>
    <row r="13" spans="1:27" ht="12" customHeight="1" x14ac:dyDescent="0.25">
      <c r="A13" s="155"/>
      <c r="B13" s="156" t="s">
        <v>404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8">
        <v>0</v>
      </c>
      <c r="U13" s="159" t="e">
        <v>#DIV/0!</v>
      </c>
      <c r="V13" s="158">
        <v>0</v>
      </c>
      <c r="W13" s="158">
        <v>0</v>
      </c>
      <c r="X13" s="158">
        <v>0</v>
      </c>
      <c r="Y13" s="158">
        <v>0</v>
      </c>
      <c r="Z13" s="158">
        <v>0</v>
      </c>
      <c r="AA13" s="158">
        <v>0</v>
      </c>
    </row>
    <row r="14" spans="1:27" ht="12" customHeight="1" x14ac:dyDescent="0.25">
      <c r="A14" s="155"/>
      <c r="B14" s="162" t="s">
        <v>405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163">
        <v>0</v>
      </c>
      <c r="K14" s="163">
        <v>0</v>
      </c>
      <c r="L14" s="163">
        <v>0</v>
      </c>
      <c r="M14" s="163">
        <v>0</v>
      </c>
      <c r="N14" s="163">
        <v>0</v>
      </c>
      <c r="O14" s="163">
        <v>0</v>
      </c>
      <c r="P14" s="163">
        <v>0</v>
      </c>
      <c r="Q14" s="163">
        <v>0</v>
      </c>
      <c r="R14" s="163">
        <v>0</v>
      </c>
      <c r="S14" s="163">
        <v>0</v>
      </c>
      <c r="T14" s="164">
        <v>0</v>
      </c>
      <c r="U14" s="165" t="e">
        <v>#DIV/0!</v>
      </c>
      <c r="V14" s="164">
        <v>0</v>
      </c>
      <c r="W14" s="164">
        <v>0</v>
      </c>
      <c r="X14" s="164">
        <v>0</v>
      </c>
      <c r="Y14" s="164">
        <v>0</v>
      </c>
      <c r="Z14" s="164">
        <v>0</v>
      </c>
      <c r="AA14" s="164">
        <v>0</v>
      </c>
    </row>
    <row r="15" spans="1:27" ht="12" customHeight="1" x14ac:dyDescent="0.25">
      <c r="A15" s="155" t="s">
        <v>1120</v>
      </c>
      <c r="B15" s="166" t="s">
        <v>406</v>
      </c>
      <c r="C15" s="167">
        <v>0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8" t="e">
        <v>#DIV/0!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</row>
    <row r="16" spans="1:27" ht="12" customHeight="1" x14ac:dyDescent="0.25">
      <c r="A16" s="155" t="s">
        <v>1121</v>
      </c>
      <c r="B16" s="166" t="s">
        <v>407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8" t="e">
        <v>#DIV/0!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</row>
    <row r="17" spans="1:27" ht="12" customHeight="1" x14ac:dyDescent="0.25">
      <c r="A17" s="155" t="s">
        <v>1122</v>
      </c>
      <c r="B17" s="166" t="s">
        <v>408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8" t="e">
        <v>#DIV/0!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</row>
    <row r="18" spans="1:27" ht="12" customHeight="1" x14ac:dyDescent="0.25">
      <c r="A18" s="155" t="s">
        <v>1123</v>
      </c>
      <c r="B18" s="166" t="s">
        <v>409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8" t="e">
        <v>#DIV/0!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</row>
    <row r="19" spans="1:27" ht="12" customHeight="1" x14ac:dyDescent="0.25">
      <c r="A19" s="155" t="s">
        <v>1124</v>
      </c>
      <c r="B19" s="166" t="s">
        <v>410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8" t="e">
        <v>#DIV/0!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</row>
    <row r="20" spans="1:27" ht="12" customHeight="1" x14ac:dyDescent="0.25">
      <c r="A20" s="155" t="s">
        <v>1125</v>
      </c>
      <c r="B20" s="166" t="s">
        <v>411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8" t="e">
        <v>#DIV/0!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</row>
    <row r="21" spans="1:27" ht="12" customHeight="1" x14ac:dyDescent="0.25">
      <c r="A21" s="155" t="s">
        <v>1126</v>
      </c>
      <c r="B21" s="166" t="s">
        <v>412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8" t="e">
        <v>#DIV/0!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</row>
    <row r="22" spans="1:27" ht="12" customHeight="1" x14ac:dyDescent="0.25">
      <c r="A22" s="155" t="s">
        <v>1127</v>
      </c>
      <c r="B22" s="166" t="s">
        <v>413</v>
      </c>
      <c r="C22" s="167">
        <v>0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8" t="e">
        <v>#DIV/0!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</row>
    <row r="23" spans="1:27" ht="12" customHeight="1" x14ac:dyDescent="0.25">
      <c r="A23" s="155" t="s">
        <v>1128</v>
      </c>
      <c r="B23" s="166" t="s">
        <v>414</v>
      </c>
      <c r="C23" s="167">
        <v>0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8" t="e">
        <v>#DIV/0!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</row>
    <row r="24" spans="1:27" ht="12" customHeight="1" x14ac:dyDescent="0.25">
      <c r="A24" s="155" t="s">
        <v>1129</v>
      </c>
      <c r="B24" s="166" t="s">
        <v>415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8" t="e">
        <v>#DIV/0!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</row>
    <row r="25" spans="1:27" ht="12" customHeight="1" x14ac:dyDescent="0.25">
      <c r="A25" s="155" t="s">
        <v>1130</v>
      </c>
      <c r="B25" s="166" t="s">
        <v>416</v>
      </c>
      <c r="C25" s="167">
        <v>0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8" t="e">
        <v>#DIV/0!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</row>
    <row r="26" spans="1:27" ht="12" customHeight="1" x14ac:dyDescent="0.25">
      <c r="A26" s="155" t="s">
        <v>1131</v>
      </c>
      <c r="B26" s="166" t="s">
        <v>417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8" t="e">
        <v>#DIV/0!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</row>
    <row r="27" spans="1:27" ht="12" customHeight="1" x14ac:dyDescent="0.25">
      <c r="A27" s="155"/>
      <c r="B27" s="162" t="s">
        <v>418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3">
        <v>0</v>
      </c>
      <c r="R27" s="163">
        <v>0</v>
      </c>
      <c r="S27" s="163">
        <v>0</v>
      </c>
      <c r="T27" s="164">
        <v>0</v>
      </c>
      <c r="U27" s="165" t="e">
        <v>#DIV/0!</v>
      </c>
      <c r="V27" s="164">
        <v>0</v>
      </c>
      <c r="W27" s="164">
        <v>0</v>
      </c>
      <c r="X27" s="164">
        <v>0</v>
      </c>
      <c r="Y27" s="164">
        <v>0</v>
      </c>
      <c r="Z27" s="164">
        <v>0</v>
      </c>
      <c r="AA27" s="164">
        <v>0</v>
      </c>
    </row>
    <row r="28" spans="1:27" ht="12" customHeight="1" x14ac:dyDescent="0.25">
      <c r="A28" s="155" t="s">
        <v>1132</v>
      </c>
      <c r="B28" s="166" t="s">
        <v>419</v>
      </c>
      <c r="C28" s="167">
        <v>0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8" t="e">
        <v>#DIV/0!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</row>
    <row r="29" spans="1:27" ht="12" customHeight="1" x14ac:dyDescent="0.25">
      <c r="A29" s="155" t="s">
        <v>1133</v>
      </c>
      <c r="B29" s="166" t="s">
        <v>420</v>
      </c>
      <c r="C29" s="167">
        <v>0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8" t="e">
        <v>#DIV/0!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</row>
    <row r="30" spans="1:27" ht="12" customHeight="1" x14ac:dyDescent="0.25">
      <c r="A30" s="155" t="s">
        <v>1134</v>
      </c>
      <c r="B30" s="166" t="s">
        <v>421</v>
      </c>
      <c r="C30" s="167"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8" t="e">
        <v>#DIV/0!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</row>
    <row r="31" spans="1:27" ht="12" customHeight="1" x14ac:dyDescent="0.25">
      <c r="A31" s="155" t="s">
        <v>1135</v>
      </c>
      <c r="B31" s="166" t="s">
        <v>422</v>
      </c>
      <c r="C31" s="167">
        <v>0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8" t="e">
        <v>#DIV/0!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</row>
    <row r="32" spans="1:27" ht="12" customHeight="1" x14ac:dyDescent="0.25">
      <c r="A32" s="155" t="s">
        <v>1136</v>
      </c>
      <c r="B32" s="166" t="s">
        <v>423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8" t="e">
        <v>#DIV/0!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</row>
    <row r="33" spans="1:27" ht="12" customHeight="1" x14ac:dyDescent="0.25">
      <c r="A33" s="155" t="s">
        <v>1137</v>
      </c>
      <c r="B33" s="166" t="s">
        <v>424</v>
      </c>
      <c r="C33" s="167">
        <v>0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8" t="e">
        <v>#DIV/0!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</row>
    <row r="34" spans="1:27" ht="12" customHeight="1" x14ac:dyDescent="0.25">
      <c r="A34" s="155" t="s">
        <v>1138</v>
      </c>
      <c r="B34" s="166" t="s">
        <v>425</v>
      </c>
      <c r="C34" s="167">
        <v>0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8" t="e">
        <v>#DIV/0!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</row>
    <row r="35" spans="1:27" ht="12" customHeight="1" x14ac:dyDescent="0.25">
      <c r="A35" s="155" t="s">
        <v>1139</v>
      </c>
      <c r="B35" s="166" t="s">
        <v>426</v>
      </c>
      <c r="C35" s="167">
        <v>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8" t="e">
        <v>#DIV/0!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</row>
    <row r="36" spans="1:27" ht="12" customHeight="1" x14ac:dyDescent="0.25">
      <c r="A36" s="155" t="s">
        <v>1140</v>
      </c>
      <c r="B36" s="166" t="s">
        <v>427</v>
      </c>
      <c r="C36" s="167">
        <v>0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8" t="e">
        <v>#DIV/0!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</row>
    <row r="37" spans="1:27" ht="12" customHeight="1" x14ac:dyDescent="0.25">
      <c r="A37" s="155" t="s">
        <v>1141</v>
      </c>
      <c r="B37" s="162" t="s">
        <v>428</v>
      </c>
      <c r="C37" s="164">
        <v>0</v>
      </c>
      <c r="D37" s="164">
        <v>0</v>
      </c>
      <c r="E37" s="164">
        <v>0</v>
      </c>
      <c r="F37" s="164">
        <v>0</v>
      </c>
      <c r="G37" s="164">
        <v>0</v>
      </c>
      <c r="H37" s="164">
        <v>0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0</v>
      </c>
      <c r="Q37" s="164">
        <v>0</v>
      </c>
      <c r="R37" s="164">
        <v>0</v>
      </c>
      <c r="S37" s="164">
        <v>0</v>
      </c>
      <c r="T37" s="164">
        <v>0</v>
      </c>
      <c r="U37" s="165" t="e">
        <v>#DIV/0!</v>
      </c>
      <c r="V37" s="164">
        <v>0</v>
      </c>
      <c r="W37" s="164">
        <v>0</v>
      </c>
      <c r="X37" s="164">
        <v>0</v>
      </c>
      <c r="Y37" s="164">
        <v>0</v>
      </c>
      <c r="Z37" s="164">
        <v>0</v>
      </c>
      <c r="AA37" s="164">
        <v>0</v>
      </c>
    </row>
    <row r="38" spans="1:27" ht="12" customHeight="1" x14ac:dyDescent="0.25">
      <c r="A38" s="155" t="s">
        <v>1142</v>
      </c>
      <c r="B38" s="162" t="s">
        <v>429</v>
      </c>
      <c r="C38" s="164">
        <v>0</v>
      </c>
      <c r="D38" s="164">
        <v>0</v>
      </c>
      <c r="E38" s="164">
        <v>0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0</v>
      </c>
      <c r="O38" s="164">
        <v>0</v>
      </c>
      <c r="P38" s="164">
        <v>0</v>
      </c>
      <c r="Q38" s="164">
        <v>0</v>
      </c>
      <c r="R38" s="164">
        <v>0</v>
      </c>
      <c r="S38" s="164">
        <v>0</v>
      </c>
      <c r="T38" s="164">
        <v>0</v>
      </c>
      <c r="U38" s="165" t="e">
        <v>#DIV/0!</v>
      </c>
      <c r="V38" s="164">
        <v>0</v>
      </c>
      <c r="W38" s="164">
        <v>0</v>
      </c>
      <c r="X38" s="164">
        <v>0</v>
      </c>
      <c r="Y38" s="164">
        <v>0</v>
      </c>
      <c r="Z38" s="164">
        <v>0</v>
      </c>
      <c r="AA38" s="164">
        <v>0</v>
      </c>
    </row>
    <row r="39" spans="1:27" ht="12" customHeight="1" x14ac:dyDescent="0.25">
      <c r="A39" s="155"/>
      <c r="B39" s="156" t="s">
        <v>430</v>
      </c>
      <c r="C39" s="157">
        <v>0</v>
      </c>
      <c r="D39" s="157">
        <v>0</v>
      </c>
      <c r="E39" s="157">
        <v>0</v>
      </c>
      <c r="F39" s="157">
        <v>0</v>
      </c>
      <c r="G39" s="157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7">
        <v>0</v>
      </c>
      <c r="Q39" s="157">
        <v>0</v>
      </c>
      <c r="R39" s="157">
        <v>0</v>
      </c>
      <c r="S39" s="157">
        <v>0</v>
      </c>
      <c r="T39" s="158">
        <v>0</v>
      </c>
      <c r="U39" s="159" t="e">
        <v>#DIV/0!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0</v>
      </c>
    </row>
    <row r="40" spans="1:27" ht="12" customHeight="1" x14ac:dyDescent="0.25">
      <c r="A40" s="155" t="s">
        <v>1143</v>
      </c>
      <c r="B40" s="162" t="s">
        <v>431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v>0</v>
      </c>
      <c r="Q40" s="164">
        <v>0</v>
      </c>
      <c r="R40" s="164">
        <v>0</v>
      </c>
      <c r="S40" s="164">
        <v>0</v>
      </c>
      <c r="T40" s="164">
        <v>0</v>
      </c>
      <c r="U40" s="165" t="e">
        <v>#DIV/0!</v>
      </c>
      <c r="V40" s="164">
        <v>0</v>
      </c>
      <c r="W40" s="164">
        <v>0</v>
      </c>
      <c r="X40" s="164">
        <v>0</v>
      </c>
      <c r="Y40" s="164">
        <v>0</v>
      </c>
      <c r="Z40" s="164">
        <v>0</v>
      </c>
      <c r="AA40" s="164">
        <v>0</v>
      </c>
    </row>
    <row r="41" spans="1:27" ht="12" customHeight="1" x14ac:dyDescent="0.25">
      <c r="A41" s="155" t="s">
        <v>1144</v>
      </c>
      <c r="B41" s="162" t="s">
        <v>432</v>
      </c>
      <c r="C41" s="164">
        <v>0</v>
      </c>
      <c r="D41" s="164">
        <v>0</v>
      </c>
      <c r="E41" s="164">
        <v>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0</v>
      </c>
      <c r="N41" s="164">
        <v>0</v>
      </c>
      <c r="O41" s="164">
        <v>0</v>
      </c>
      <c r="P41" s="164">
        <v>0</v>
      </c>
      <c r="Q41" s="164">
        <v>0</v>
      </c>
      <c r="R41" s="164">
        <v>0</v>
      </c>
      <c r="S41" s="164">
        <v>0</v>
      </c>
      <c r="T41" s="164">
        <v>0</v>
      </c>
      <c r="U41" s="165" t="e">
        <v>#DIV/0!</v>
      </c>
      <c r="V41" s="164">
        <v>0</v>
      </c>
      <c r="W41" s="164">
        <v>0</v>
      </c>
      <c r="X41" s="164">
        <v>0</v>
      </c>
      <c r="Y41" s="164">
        <v>0</v>
      </c>
      <c r="Z41" s="164">
        <v>0</v>
      </c>
      <c r="AA41" s="164">
        <v>0</v>
      </c>
    </row>
    <row r="42" spans="1:27" ht="12" customHeight="1" x14ac:dyDescent="0.25">
      <c r="A42" s="155"/>
      <c r="B42" s="162" t="s">
        <v>433</v>
      </c>
      <c r="C42" s="163">
        <v>0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4">
        <v>0</v>
      </c>
      <c r="U42" s="165" t="e">
        <v>#DIV/0!</v>
      </c>
      <c r="V42" s="164">
        <v>0</v>
      </c>
      <c r="W42" s="164">
        <v>0</v>
      </c>
      <c r="X42" s="164">
        <v>0</v>
      </c>
      <c r="Y42" s="164">
        <v>0</v>
      </c>
      <c r="Z42" s="164">
        <v>0</v>
      </c>
      <c r="AA42" s="164">
        <v>0</v>
      </c>
    </row>
    <row r="43" spans="1:27" ht="12" customHeight="1" x14ac:dyDescent="0.25">
      <c r="A43" s="155" t="s">
        <v>1145</v>
      </c>
      <c r="B43" s="166" t="s">
        <v>434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8" t="e">
        <v>#DIV/0!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</row>
    <row r="44" spans="1:27" ht="12" customHeight="1" x14ac:dyDescent="0.25">
      <c r="A44" s="155" t="s">
        <v>1146</v>
      </c>
      <c r="B44" s="166" t="s">
        <v>435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8" t="e">
        <v>#DIV/0!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</row>
    <row r="45" spans="1:27" ht="12" customHeight="1" x14ac:dyDescent="0.25">
      <c r="A45" s="155"/>
      <c r="B45" s="162" t="s">
        <v>436</v>
      </c>
      <c r="C45" s="163">
        <v>0</v>
      </c>
      <c r="D45" s="163">
        <v>0</v>
      </c>
      <c r="E45" s="163">
        <v>0</v>
      </c>
      <c r="F45" s="163">
        <v>0</v>
      </c>
      <c r="G45" s="163">
        <v>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3">
        <v>0</v>
      </c>
      <c r="R45" s="163">
        <v>0</v>
      </c>
      <c r="S45" s="163">
        <v>0</v>
      </c>
      <c r="T45" s="164">
        <v>0</v>
      </c>
      <c r="U45" s="165" t="e">
        <v>#DIV/0!</v>
      </c>
      <c r="V45" s="164">
        <v>0</v>
      </c>
      <c r="W45" s="164">
        <v>0</v>
      </c>
      <c r="X45" s="164">
        <v>0</v>
      </c>
      <c r="Y45" s="164">
        <v>0</v>
      </c>
      <c r="Z45" s="164">
        <v>0</v>
      </c>
      <c r="AA45" s="164">
        <v>0</v>
      </c>
    </row>
    <row r="46" spans="1:27" ht="12" customHeight="1" x14ac:dyDescent="0.25">
      <c r="A46" s="155" t="s">
        <v>1147</v>
      </c>
      <c r="B46" s="166" t="s">
        <v>437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8" t="e">
        <v>#DIV/0!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</row>
    <row r="47" spans="1:27" ht="12" customHeight="1" x14ac:dyDescent="0.25">
      <c r="A47" s="155" t="s">
        <v>1148</v>
      </c>
      <c r="B47" s="166" t="s">
        <v>438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8" t="e">
        <v>#DIV/0!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</row>
    <row r="48" spans="1:27" ht="12" customHeight="1" x14ac:dyDescent="0.25">
      <c r="A48" s="155" t="s">
        <v>1149</v>
      </c>
      <c r="B48" s="166" t="s">
        <v>439</v>
      </c>
      <c r="C48" s="167">
        <v>0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8" t="e">
        <v>#DIV/0!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</row>
    <row r="49" spans="1:27" ht="12" customHeight="1" x14ac:dyDescent="0.25">
      <c r="A49" s="155" t="s">
        <v>1150</v>
      </c>
      <c r="B49" s="166" t="s">
        <v>440</v>
      </c>
      <c r="C49" s="167">
        <v>0</v>
      </c>
      <c r="D49" s="167">
        <v>0</v>
      </c>
      <c r="E49" s="167">
        <v>0</v>
      </c>
      <c r="F49" s="167">
        <v>0</v>
      </c>
      <c r="G49" s="167">
        <v>0</v>
      </c>
      <c r="H49" s="167">
        <v>0</v>
      </c>
      <c r="I49" s="167"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8" t="e">
        <v>#DIV/0!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</row>
    <row r="50" spans="1:27" ht="12" customHeight="1" x14ac:dyDescent="0.25">
      <c r="A50" s="155"/>
      <c r="B50" s="162" t="s">
        <v>441</v>
      </c>
      <c r="C50" s="163">
        <v>0</v>
      </c>
      <c r="D50" s="163">
        <v>0</v>
      </c>
      <c r="E50" s="163">
        <v>0</v>
      </c>
      <c r="F50" s="163">
        <v>0</v>
      </c>
      <c r="G50" s="163">
        <v>0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163">
        <v>0</v>
      </c>
      <c r="T50" s="164">
        <v>0</v>
      </c>
      <c r="U50" s="165" t="e">
        <v>#DIV/0!</v>
      </c>
      <c r="V50" s="164">
        <v>0</v>
      </c>
      <c r="W50" s="164">
        <v>0</v>
      </c>
      <c r="X50" s="164">
        <v>0</v>
      </c>
      <c r="Y50" s="164">
        <v>0</v>
      </c>
      <c r="Z50" s="164">
        <v>0</v>
      </c>
      <c r="AA50" s="164">
        <v>0</v>
      </c>
    </row>
    <row r="51" spans="1:27" ht="12" customHeight="1" x14ac:dyDescent="0.25">
      <c r="A51" s="155" t="s">
        <v>1151</v>
      </c>
      <c r="B51" s="166" t="s">
        <v>442</v>
      </c>
      <c r="C51" s="167">
        <v>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8" t="e">
        <v>#DIV/0!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</row>
    <row r="52" spans="1:27" ht="12" customHeight="1" x14ac:dyDescent="0.25">
      <c r="A52" s="155" t="s">
        <v>1152</v>
      </c>
      <c r="B52" s="166" t="s">
        <v>443</v>
      </c>
      <c r="C52" s="167">
        <v>0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8" t="e">
        <v>#DIV/0!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</row>
    <row r="53" spans="1:27" ht="12" customHeight="1" x14ac:dyDescent="0.25">
      <c r="A53" s="155" t="s">
        <v>1153</v>
      </c>
      <c r="B53" s="166" t="s">
        <v>444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8" t="e">
        <v>#DIV/0!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</row>
    <row r="54" spans="1:27" ht="12" customHeight="1" x14ac:dyDescent="0.25">
      <c r="A54" s="155" t="s">
        <v>1154</v>
      </c>
      <c r="B54" s="166" t="s">
        <v>445</v>
      </c>
      <c r="C54" s="167">
        <v>0</v>
      </c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8" t="e">
        <v>#DIV/0!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</row>
    <row r="55" spans="1:27" ht="12" customHeight="1" x14ac:dyDescent="0.25">
      <c r="A55" s="155" t="s">
        <v>1155</v>
      </c>
      <c r="B55" s="162" t="s">
        <v>446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4">
        <v>0</v>
      </c>
      <c r="R55" s="164">
        <v>0</v>
      </c>
      <c r="S55" s="164">
        <v>0</v>
      </c>
      <c r="T55" s="164">
        <v>0</v>
      </c>
      <c r="U55" s="165" t="e">
        <v>#DIV/0!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64">
        <v>0</v>
      </c>
    </row>
    <row r="56" spans="1:27" ht="12" customHeight="1" x14ac:dyDescent="0.25">
      <c r="A56" s="155" t="s">
        <v>1156</v>
      </c>
      <c r="B56" s="162" t="s">
        <v>447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4">
        <v>0</v>
      </c>
      <c r="R56" s="164">
        <v>0</v>
      </c>
      <c r="S56" s="164">
        <v>0</v>
      </c>
      <c r="T56" s="164">
        <v>0</v>
      </c>
      <c r="U56" s="165" t="e">
        <v>#DIV/0!</v>
      </c>
      <c r="V56" s="164">
        <v>0</v>
      </c>
      <c r="W56" s="164">
        <v>0</v>
      </c>
      <c r="X56" s="164">
        <v>0</v>
      </c>
      <c r="Y56" s="164">
        <v>0</v>
      </c>
      <c r="Z56" s="164">
        <v>0</v>
      </c>
      <c r="AA56" s="164">
        <v>0</v>
      </c>
    </row>
    <row r="57" spans="1:27" ht="12" customHeight="1" x14ac:dyDescent="0.25">
      <c r="A57" s="155" t="s">
        <v>1157</v>
      </c>
      <c r="B57" s="162" t="s">
        <v>448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4">
        <v>0</v>
      </c>
      <c r="J57" s="164"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4">
        <v>0</v>
      </c>
      <c r="R57" s="164">
        <v>0</v>
      </c>
      <c r="S57" s="164">
        <v>0</v>
      </c>
      <c r="T57" s="164">
        <v>0</v>
      </c>
      <c r="U57" s="165" t="e">
        <v>#DIV/0!</v>
      </c>
      <c r="V57" s="164">
        <v>0</v>
      </c>
      <c r="W57" s="164">
        <v>0</v>
      </c>
      <c r="X57" s="164">
        <v>0</v>
      </c>
      <c r="Y57" s="164">
        <v>0</v>
      </c>
      <c r="Z57" s="164">
        <v>0</v>
      </c>
      <c r="AA57" s="164">
        <v>0</v>
      </c>
    </row>
    <row r="58" spans="1:27" ht="12" customHeight="1" x14ac:dyDescent="0.25">
      <c r="A58" s="155" t="s">
        <v>1158</v>
      </c>
      <c r="B58" s="162" t="s">
        <v>449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4">
        <v>0</v>
      </c>
      <c r="J58" s="164"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4">
        <v>0</v>
      </c>
      <c r="R58" s="164">
        <v>0</v>
      </c>
      <c r="S58" s="164">
        <v>0</v>
      </c>
      <c r="T58" s="164">
        <v>0</v>
      </c>
      <c r="U58" s="165" t="e">
        <v>#DIV/0!</v>
      </c>
      <c r="V58" s="164">
        <v>0</v>
      </c>
      <c r="W58" s="164">
        <v>0</v>
      </c>
      <c r="X58" s="164">
        <v>0</v>
      </c>
      <c r="Y58" s="164">
        <v>0</v>
      </c>
      <c r="Z58" s="164">
        <v>0</v>
      </c>
      <c r="AA58" s="164">
        <v>0</v>
      </c>
    </row>
    <row r="59" spans="1:27" ht="12" customHeight="1" x14ac:dyDescent="0.25">
      <c r="A59" s="155"/>
      <c r="B59" s="162" t="s">
        <v>450</v>
      </c>
      <c r="C59" s="163">
        <v>0</v>
      </c>
      <c r="D59" s="163">
        <v>0</v>
      </c>
      <c r="E59" s="163">
        <v>0</v>
      </c>
      <c r="F59" s="163">
        <v>0</v>
      </c>
      <c r="G59" s="163">
        <v>0</v>
      </c>
      <c r="H59" s="163">
        <v>0</v>
      </c>
      <c r="I59" s="163">
        <v>0</v>
      </c>
      <c r="J59" s="163">
        <v>0</v>
      </c>
      <c r="K59" s="163">
        <v>0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3">
        <v>0</v>
      </c>
      <c r="R59" s="163">
        <v>0</v>
      </c>
      <c r="S59" s="163">
        <v>0</v>
      </c>
      <c r="T59" s="164">
        <v>0</v>
      </c>
      <c r="U59" s="165" t="e">
        <v>#DIV/0!</v>
      </c>
      <c r="V59" s="164">
        <v>0</v>
      </c>
      <c r="W59" s="164">
        <v>0</v>
      </c>
      <c r="X59" s="164">
        <v>0</v>
      </c>
      <c r="Y59" s="164">
        <v>0</v>
      </c>
      <c r="Z59" s="164">
        <v>0</v>
      </c>
      <c r="AA59" s="164">
        <v>0</v>
      </c>
    </row>
    <row r="60" spans="1:27" ht="12" customHeight="1" x14ac:dyDescent="0.25">
      <c r="A60" s="155" t="s">
        <v>1159</v>
      </c>
      <c r="B60" s="166" t="s">
        <v>451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8" t="e">
        <v>#DIV/0!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</row>
    <row r="61" spans="1:27" ht="12" customHeight="1" x14ac:dyDescent="0.25">
      <c r="A61" s="155" t="s">
        <v>1160</v>
      </c>
      <c r="B61" s="166" t="s">
        <v>452</v>
      </c>
      <c r="C61" s="167">
        <v>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8" t="e">
        <v>#DIV/0!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</row>
    <row r="62" spans="1:27" ht="12" customHeight="1" x14ac:dyDescent="0.25">
      <c r="A62" s="155" t="s">
        <v>1161</v>
      </c>
      <c r="B62" s="166" t="s">
        <v>453</v>
      </c>
      <c r="C62" s="167">
        <v>0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8" t="e">
        <v>#DIV/0!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</row>
    <row r="63" spans="1:27" ht="12" customHeight="1" x14ac:dyDescent="0.25">
      <c r="A63" s="155" t="s">
        <v>1162</v>
      </c>
      <c r="B63" s="166" t="s">
        <v>454</v>
      </c>
      <c r="C63" s="167">
        <v>0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8" t="e">
        <v>#DIV/0!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</row>
    <row r="64" spans="1:27" ht="12" customHeight="1" x14ac:dyDescent="0.25">
      <c r="A64" s="155" t="s">
        <v>1163</v>
      </c>
      <c r="B64" s="166" t="s">
        <v>455</v>
      </c>
      <c r="C64" s="167">
        <v>0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8" t="e">
        <v>#DIV/0!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</row>
    <row r="65" spans="1:27" ht="12" customHeight="1" x14ac:dyDescent="0.25">
      <c r="A65" s="155"/>
      <c r="B65" s="162" t="s">
        <v>456</v>
      </c>
      <c r="C65" s="163">
        <v>0</v>
      </c>
      <c r="D65" s="163">
        <v>0</v>
      </c>
      <c r="E65" s="163">
        <v>0</v>
      </c>
      <c r="F65" s="163">
        <v>0</v>
      </c>
      <c r="G65" s="163">
        <v>0</v>
      </c>
      <c r="H65" s="163">
        <v>0</v>
      </c>
      <c r="I65" s="163">
        <v>0</v>
      </c>
      <c r="J65" s="163">
        <v>0</v>
      </c>
      <c r="K65" s="163">
        <v>0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3">
        <v>0</v>
      </c>
      <c r="R65" s="163">
        <v>0</v>
      </c>
      <c r="S65" s="163">
        <v>0</v>
      </c>
      <c r="T65" s="164">
        <v>0</v>
      </c>
      <c r="U65" s="165" t="e">
        <v>#DIV/0!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</row>
    <row r="66" spans="1:27" ht="12" customHeight="1" x14ac:dyDescent="0.25">
      <c r="A66" s="155" t="s">
        <v>1164</v>
      </c>
      <c r="B66" s="166" t="s">
        <v>457</v>
      </c>
      <c r="C66" s="167">
        <v>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8" t="e">
        <v>#DIV/0!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</row>
    <row r="67" spans="1:27" ht="12" customHeight="1" x14ac:dyDescent="0.25">
      <c r="A67" s="155" t="s">
        <v>1165</v>
      </c>
      <c r="B67" s="166" t="s">
        <v>458</v>
      </c>
      <c r="C67" s="167">
        <v>0</v>
      </c>
      <c r="D67" s="167">
        <v>0</v>
      </c>
      <c r="E67" s="167">
        <v>0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0</v>
      </c>
      <c r="U67" s="168" t="e">
        <v>#DIV/0!</v>
      </c>
      <c r="V67" s="167">
        <v>0</v>
      </c>
      <c r="W67" s="167">
        <v>0</v>
      </c>
      <c r="X67" s="167">
        <v>0</v>
      </c>
      <c r="Y67" s="167">
        <v>0</v>
      </c>
      <c r="Z67" s="167">
        <v>0</v>
      </c>
      <c r="AA67" s="167">
        <v>0</v>
      </c>
    </row>
    <row r="68" spans="1:27" ht="12" customHeight="1" x14ac:dyDescent="0.25">
      <c r="A68" s="155" t="s">
        <v>1166</v>
      </c>
      <c r="B68" s="166" t="s">
        <v>459</v>
      </c>
      <c r="C68" s="167">
        <v>0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8" t="e">
        <v>#DIV/0!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</row>
    <row r="69" spans="1:27" ht="12" customHeight="1" x14ac:dyDescent="0.25">
      <c r="A69" s="155" t="s">
        <v>1167</v>
      </c>
      <c r="B69" s="166" t="s">
        <v>460</v>
      </c>
      <c r="C69" s="167">
        <v>0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8" t="e">
        <v>#DIV/0!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</row>
    <row r="70" spans="1:27" ht="12" customHeight="1" x14ac:dyDescent="0.25">
      <c r="A70" s="155" t="s">
        <v>1168</v>
      </c>
      <c r="B70" s="166" t="s">
        <v>461</v>
      </c>
      <c r="C70" s="167">
        <v>0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8" t="e">
        <v>#DIV/0!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</row>
    <row r="71" spans="1:27" ht="12" customHeight="1" x14ac:dyDescent="0.25">
      <c r="A71" s="155" t="s">
        <v>1169</v>
      </c>
      <c r="B71" s="166" t="s">
        <v>462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8" t="e">
        <v>#DIV/0!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</row>
    <row r="72" spans="1:27" ht="12" customHeight="1" x14ac:dyDescent="0.25">
      <c r="A72" s="155"/>
      <c r="B72" s="162" t="s">
        <v>463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3">
        <v>0</v>
      </c>
      <c r="T72" s="164">
        <v>0</v>
      </c>
      <c r="U72" s="165" t="e">
        <v>#DIV/0!</v>
      </c>
      <c r="V72" s="164">
        <v>0</v>
      </c>
      <c r="W72" s="164">
        <v>0</v>
      </c>
      <c r="X72" s="164">
        <v>0</v>
      </c>
      <c r="Y72" s="164">
        <v>0</v>
      </c>
      <c r="Z72" s="164">
        <v>0</v>
      </c>
      <c r="AA72" s="164">
        <v>0</v>
      </c>
    </row>
    <row r="73" spans="1:27" ht="12" customHeight="1" x14ac:dyDescent="0.25">
      <c r="A73" s="155" t="s">
        <v>1170</v>
      </c>
      <c r="B73" s="166" t="s">
        <v>464</v>
      </c>
      <c r="C73" s="167">
        <v>0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8" t="e">
        <v>#DIV/0!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</row>
    <row r="74" spans="1:27" ht="12" customHeight="1" x14ac:dyDescent="0.25">
      <c r="A74" s="155" t="s">
        <v>1171</v>
      </c>
      <c r="B74" s="166" t="s">
        <v>465</v>
      </c>
      <c r="C74" s="167">
        <v>0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8" t="e">
        <v>#DIV/0!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</row>
    <row r="75" spans="1:27" ht="12" customHeight="1" x14ac:dyDescent="0.25">
      <c r="A75" s="155" t="s">
        <v>1172</v>
      </c>
      <c r="B75" s="162" t="s">
        <v>466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4">
        <v>0</v>
      </c>
      <c r="J75" s="164"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4">
        <v>0</v>
      </c>
      <c r="Q75" s="164">
        <v>0</v>
      </c>
      <c r="R75" s="164">
        <v>0</v>
      </c>
      <c r="S75" s="164">
        <v>0</v>
      </c>
      <c r="T75" s="164">
        <v>0</v>
      </c>
      <c r="U75" s="165" t="e">
        <v>#DIV/0!</v>
      </c>
      <c r="V75" s="164">
        <v>0</v>
      </c>
      <c r="W75" s="164">
        <v>0</v>
      </c>
      <c r="X75" s="164">
        <v>0</v>
      </c>
      <c r="Y75" s="164">
        <v>0</v>
      </c>
      <c r="Z75" s="164">
        <v>0</v>
      </c>
      <c r="AA75" s="164">
        <v>0</v>
      </c>
    </row>
    <row r="76" spans="1:27" ht="12" customHeight="1" x14ac:dyDescent="0.25">
      <c r="A76" s="155" t="s">
        <v>1173</v>
      </c>
      <c r="B76" s="162" t="s">
        <v>467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4">
        <v>0</v>
      </c>
      <c r="I76" s="164">
        <v>0</v>
      </c>
      <c r="J76" s="164"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4">
        <v>0</v>
      </c>
      <c r="Q76" s="164">
        <v>0</v>
      </c>
      <c r="R76" s="164">
        <v>0</v>
      </c>
      <c r="S76" s="164">
        <v>0</v>
      </c>
      <c r="T76" s="164">
        <v>0</v>
      </c>
      <c r="U76" s="165" t="e">
        <v>#DIV/0!</v>
      </c>
      <c r="V76" s="164">
        <v>0</v>
      </c>
      <c r="W76" s="164">
        <v>0</v>
      </c>
      <c r="X76" s="164">
        <v>0</v>
      </c>
      <c r="Y76" s="164">
        <v>0</v>
      </c>
      <c r="Z76" s="164">
        <v>0</v>
      </c>
      <c r="AA76" s="164">
        <v>0</v>
      </c>
    </row>
    <row r="77" spans="1:27" ht="12" customHeight="1" x14ac:dyDescent="0.25">
      <c r="A77" s="155" t="s">
        <v>1174</v>
      </c>
      <c r="B77" s="162" t="s">
        <v>468</v>
      </c>
      <c r="C77" s="164">
        <v>0</v>
      </c>
      <c r="D77" s="164">
        <v>0</v>
      </c>
      <c r="E77" s="164">
        <v>0</v>
      </c>
      <c r="F77" s="164">
        <v>0</v>
      </c>
      <c r="G77" s="164">
        <v>0</v>
      </c>
      <c r="H77" s="164">
        <v>0</v>
      </c>
      <c r="I77" s="164">
        <v>0</v>
      </c>
      <c r="J77" s="164">
        <v>0</v>
      </c>
      <c r="K77" s="164">
        <v>0</v>
      </c>
      <c r="L77" s="164">
        <v>0</v>
      </c>
      <c r="M77" s="164">
        <v>0</v>
      </c>
      <c r="N77" s="164">
        <v>0</v>
      </c>
      <c r="O77" s="164">
        <v>0</v>
      </c>
      <c r="P77" s="164">
        <v>0</v>
      </c>
      <c r="Q77" s="164">
        <v>0</v>
      </c>
      <c r="R77" s="164">
        <v>0</v>
      </c>
      <c r="S77" s="164">
        <v>0</v>
      </c>
      <c r="T77" s="164">
        <v>0</v>
      </c>
      <c r="U77" s="165" t="e">
        <v>#DIV/0!</v>
      </c>
      <c r="V77" s="164">
        <v>0</v>
      </c>
      <c r="W77" s="164">
        <v>0</v>
      </c>
      <c r="X77" s="164">
        <v>0</v>
      </c>
      <c r="Y77" s="164">
        <v>0</v>
      </c>
      <c r="Z77" s="164">
        <v>0</v>
      </c>
      <c r="AA77" s="164">
        <v>0</v>
      </c>
    </row>
    <row r="78" spans="1:27" ht="12" customHeight="1" x14ac:dyDescent="0.25">
      <c r="A78" s="155"/>
      <c r="B78" s="162" t="s">
        <v>469</v>
      </c>
      <c r="C78" s="163">
        <v>0</v>
      </c>
      <c r="D78" s="163">
        <v>0</v>
      </c>
      <c r="E78" s="163">
        <v>0</v>
      </c>
      <c r="F78" s="163">
        <v>0</v>
      </c>
      <c r="G78" s="163">
        <v>0</v>
      </c>
      <c r="H78" s="163">
        <v>0</v>
      </c>
      <c r="I78" s="163">
        <v>0</v>
      </c>
      <c r="J78" s="163">
        <v>0</v>
      </c>
      <c r="K78" s="163">
        <v>0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3">
        <v>0</v>
      </c>
      <c r="R78" s="163">
        <v>0</v>
      </c>
      <c r="S78" s="163">
        <v>0</v>
      </c>
      <c r="T78" s="164">
        <v>0</v>
      </c>
      <c r="U78" s="165" t="e">
        <v>#DIV/0!</v>
      </c>
      <c r="V78" s="164">
        <v>0</v>
      </c>
      <c r="W78" s="164">
        <v>0</v>
      </c>
      <c r="X78" s="164">
        <v>0</v>
      </c>
      <c r="Y78" s="164">
        <v>0</v>
      </c>
      <c r="Z78" s="164">
        <v>0</v>
      </c>
      <c r="AA78" s="164">
        <v>0</v>
      </c>
    </row>
    <row r="79" spans="1:27" ht="12" customHeight="1" x14ac:dyDescent="0.25">
      <c r="A79" s="155" t="s">
        <v>1175</v>
      </c>
      <c r="B79" s="166" t="s">
        <v>470</v>
      </c>
      <c r="C79" s="167">
        <v>0</v>
      </c>
      <c r="D79" s="167">
        <v>0</v>
      </c>
      <c r="E79" s="167">
        <v>0</v>
      </c>
      <c r="F79" s="167">
        <v>0</v>
      </c>
      <c r="G79" s="167">
        <v>0</v>
      </c>
      <c r="H79" s="167">
        <v>0</v>
      </c>
      <c r="I79" s="167">
        <v>0</v>
      </c>
      <c r="J79" s="167">
        <v>0</v>
      </c>
      <c r="K79" s="167">
        <v>0</v>
      </c>
      <c r="L79" s="167">
        <v>0</v>
      </c>
      <c r="M79" s="167">
        <v>0</v>
      </c>
      <c r="N79" s="167">
        <v>0</v>
      </c>
      <c r="O79" s="167">
        <v>0</v>
      </c>
      <c r="P79" s="167">
        <v>0</v>
      </c>
      <c r="Q79" s="167">
        <v>0</v>
      </c>
      <c r="R79" s="167">
        <v>0</v>
      </c>
      <c r="S79" s="167">
        <v>0</v>
      </c>
      <c r="T79" s="167">
        <v>0</v>
      </c>
      <c r="U79" s="168" t="e">
        <v>#DIV/0!</v>
      </c>
      <c r="V79" s="167">
        <v>0</v>
      </c>
      <c r="W79" s="167">
        <v>0</v>
      </c>
      <c r="X79" s="167">
        <v>0</v>
      </c>
      <c r="Y79" s="167">
        <v>0</v>
      </c>
      <c r="Z79" s="167">
        <v>0</v>
      </c>
      <c r="AA79" s="167">
        <v>0</v>
      </c>
    </row>
    <row r="80" spans="1:27" ht="12" customHeight="1" x14ac:dyDescent="0.25">
      <c r="A80" s="155" t="s">
        <v>1176</v>
      </c>
      <c r="B80" s="166" t="s">
        <v>471</v>
      </c>
      <c r="C80" s="167">
        <v>0</v>
      </c>
      <c r="D80" s="167">
        <v>0</v>
      </c>
      <c r="E80" s="167">
        <v>0</v>
      </c>
      <c r="F80" s="167">
        <v>0</v>
      </c>
      <c r="G80" s="167">
        <v>0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67">
        <v>0</v>
      </c>
      <c r="N80" s="167">
        <v>0</v>
      </c>
      <c r="O80" s="167">
        <v>0</v>
      </c>
      <c r="P80" s="167">
        <v>0</v>
      </c>
      <c r="Q80" s="167">
        <v>0</v>
      </c>
      <c r="R80" s="167">
        <v>0</v>
      </c>
      <c r="S80" s="167">
        <v>0</v>
      </c>
      <c r="T80" s="167">
        <v>0</v>
      </c>
      <c r="U80" s="168" t="e">
        <v>#DIV/0!</v>
      </c>
      <c r="V80" s="167">
        <v>0</v>
      </c>
      <c r="W80" s="167">
        <v>0</v>
      </c>
      <c r="X80" s="167">
        <v>0</v>
      </c>
      <c r="Y80" s="167">
        <v>0</v>
      </c>
      <c r="Z80" s="167">
        <v>0</v>
      </c>
      <c r="AA80" s="167">
        <v>0</v>
      </c>
    </row>
    <row r="81" spans="1:27" ht="12" customHeight="1" x14ac:dyDescent="0.25">
      <c r="A81" s="155"/>
      <c r="B81" s="162" t="s">
        <v>472</v>
      </c>
      <c r="C81" s="163">
        <v>0</v>
      </c>
      <c r="D81" s="163">
        <v>0</v>
      </c>
      <c r="E81" s="163">
        <v>0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3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3">
        <v>0</v>
      </c>
      <c r="R81" s="163">
        <v>0</v>
      </c>
      <c r="S81" s="163">
        <v>0</v>
      </c>
      <c r="T81" s="164">
        <v>0</v>
      </c>
      <c r="U81" s="165" t="e">
        <v>#DIV/0!</v>
      </c>
      <c r="V81" s="164">
        <v>0</v>
      </c>
      <c r="W81" s="164">
        <v>0</v>
      </c>
      <c r="X81" s="164">
        <v>0</v>
      </c>
      <c r="Y81" s="164">
        <v>0</v>
      </c>
      <c r="Z81" s="164">
        <v>0</v>
      </c>
      <c r="AA81" s="164">
        <v>0</v>
      </c>
    </row>
    <row r="82" spans="1:27" ht="12" customHeight="1" x14ac:dyDescent="0.25">
      <c r="A82" s="155" t="s">
        <v>1177</v>
      </c>
      <c r="B82" s="155" t="s">
        <v>473</v>
      </c>
      <c r="C82" s="167">
        <v>0</v>
      </c>
      <c r="D82" s="167">
        <v>0</v>
      </c>
      <c r="E82" s="167">
        <v>0</v>
      </c>
      <c r="F82" s="167">
        <v>0</v>
      </c>
      <c r="G82" s="16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67">
        <v>0</v>
      </c>
      <c r="N82" s="167">
        <v>0</v>
      </c>
      <c r="O82" s="167">
        <v>0</v>
      </c>
      <c r="P82" s="167">
        <v>0</v>
      </c>
      <c r="Q82" s="167">
        <v>0</v>
      </c>
      <c r="R82" s="167">
        <v>0</v>
      </c>
      <c r="S82" s="167">
        <v>0</v>
      </c>
      <c r="T82" s="167">
        <v>0</v>
      </c>
      <c r="U82" s="168" t="e">
        <v>#DIV/0!</v>
      </c>
      <c r="V82" s="167">
        <v>0</v>
      </c>
      <c r="W82" s="167">
        <v>0</v>
      </c>
      <c r="X82" s="167">
        <v>0</v>
      </c>
      <c r="Y82" s="167">
        <v>0</v>
      </c>
      <c r="Z82" s="167">
        <v>0</v>
      </c>
      <c r="AA82" s="167">
        <v>0</v>
      </c>
    </row>
    <row r="83" spans="1:27" ht="12" customHeight="1" x14ac:dyDescent="0.25">
      <c r="A83" s="155" t="s">
        <v>1178</v>
      </c>
      <c r="B83" s="155" t="s">
        <v>474</v>
      </c>
      <c r="C83" s="167">
        <v>0</v>
      </c>
      <c r="D83" s="167">
        <v>0</v>
      </c>
      <c r="E83" s="167">
        <v>0</v>
      </c>
      <c r="F83" s="167">
        <v>0</v>
      </c>
      <c r="G83" s="167">
        <v>0</v>
      </c>
      <c r="H83" s="167">
        <v>0</v>
      </c>
      <c r="I83" s="167">
        <v>0</v>
      </c>
      <c r="J83" s="167">
        <v>0</v>
      </c>
      <c r="K83" s="167">
        <v>0</v>
      </c>
      <c r="L83" s="167">
        <v>0</v>
      </c>
      <c r="M83" s="167">
        <v>0</v>
      </c>
      <c r="N83" s="167">
        <v>0</v>
      </c>
      <c r="O83" s="167">
        <v>0</v>
      </c>
      <c r="P83" s="167">
        <v>0</v>
      </c>
      <c r="Q83" s="167">
        <v>0</v>
      </c>
      <c r="R83" s="167">
        <v>0</v>
      </c>
      <c r="S83" s="167">
        <v>0</v>
      </c>
      <c r="T83" s="167">
        <v>0</v>
      </c>
      <c r="U83" s="168" t="e">
        <v>#DIV/0!</v>
      </c>
      <c r="V83" s="167">
        <v>0</v>
      </c>
      <c r="W83" s="167">
        <v>0</v>
      </c>
      <c r="X83" s="167">
        <v>0</v>
      </c>
      <c r="Y83" s="167">
        <v>0</v>
      </c>
      <c r="Z83" s="167">
        <v>0</v>
      </c>
      <c r="AA83" s="167">
        <v>0</v>
      </c>
    </row>
    <row r="84" spans="1:27" ht="12" customHeight="1" x14ac:dyDescent="0.25">
      <c r="A84" s="155" t="s">
        <v>1179</v>
      </c>
      <c r="B84" s="155" t="s">
        <v>475</v>
      </c>
      <c r="C84" s="167">
        <v>0</v>
      </c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167">
        <v>0</v>
      </c>
      <c r="R84" s="167">
        <v>0</v>
      </c>
      <c r="S84" s="167">
        <v>0</v>
      </c>
      <c r="T84" s="167">
        <v>0</v>
      </c>
      <c r="U84" s="168" t="e">
        <v>#DIV/0!</v>
      </c>
      <c r="V84" s="167">
        <v>0</v>
      </c>
      <c r="W84" s="167">
        <v>0</v>
      </c>
      <c r="X84" s="167">
        <v>0</v>
      </c>
      <c r="Y84" s="167">
        <v>0</v>
      </c>
      <c r="Z84" s="167">
        <v>0</v>
      </c>
      <c r="AA84" s="167">
        <v>0</v>
      </c>
    </row>
    <row r="85" spans="1:27" ht="12" customHeight="1" x14ac:dyDescent="0.25">
      <c r="A85" s="155" t="s">
        <v>1180</v>
      </c>
      <c r="B85" s="155" t="s">
        <v>476</v>
      </c>
      <c r="C85" s="167">
        <v>0</v>
      </c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0</v>
      </c>
      <c r="L85" s="167">
        <v>0</v>
      </c>
      <c r="M85" s="167">
        <v>0</v>
      </c>
      <c r="N85" s="167">
        <v>0</v>
      </c>
      <c r="O85" s="167">
        <v>0</v>
      </c>
      <c r="P85" s="167">
        <v>0</v>
      </c>
      <c r="Q85" s="167">
        <v>0</v>
      </c>
      <c r="R85" s="167">
        <v>0</v>
      </c>
      <c r="S85" s="167">
        <v>0</v>
      </c>
      <c r="T85" s="167">
        <v>0</v>
      </c>
      <c r="U85" s="168" t="e">
        <v>#DIV/0!</v>
      </c>
      <c r="V85" s="167">
        <v>0</v>
      </c>
      <c r="W85" s="167">
        <v>0</v>
      </c>
      <c r="X85" s="167">
        <v>0</v>
      </c>
      <c r="Y85" s="167">
        <v>0</v>
      </c>
      <c r="Z85" s="167">
        <v>0</v>
      </c>
      <c r="AA85" s="167">
        <v>0</v>
      </c>
    </row>
    <row r="86" spans="1:27" ht="12" customHeight="1" x14ac:dyDescent="0.25">
      <c r="A86" s="155" t="s">
        <v>1181</v>
      </c>
      <c r="B86" s="155" t="s">
        <v>477</v>
      </c>
      <c r="C86" s="167">
        <v>0</v>
      </c>
      <c r="D86" s="167">
        <v>0</v>
      </c>
      <c r="E86" s="167">
        <v>0</v>
      </c>
      <c r="F86" s="167">
        <v>0</v>
      </c>
      <c r="G86" s="167">
        <v>0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7">
        <v>0</v>
      </c>
      <c r="O86" s="167">
        <v>0</v>
      </c>
      <c r="P86" s="167">
        <v>0</v>
      </c>
      <c r="Q86" s="167">
        <v>0</v>
      </c>
      <c r="R86" s="167">
        <v>0</v>
      </c>
      <c r="S86" s="167">
        <v>0</v>
      </c>
      <c r="T86" s="167">
        <v>0</v>
      </c>
      <c r="U86" s="168" t="e">
        <v>#DIV/0!</v>
      </c>
      <c r="V86" s="167">
        <v>0</v>
      </c>
      <c r="W86" s="167">
        <v>0</v>
      </c>
      <c r="X86" s="167">
        <v>0</v>
      </c>
      <c r="Y86" s="167">
        <v>0</v>
      </c>
      <c r="Z86" s="167">
        <v>0</v>
      </c>
      <c r="AA86" s="167">
        <v>0</v>
      </c>
    </row>
    <row r="87" spans="1:27" ht="12" customHeight="1" x14ac:dyDescent="0.25">
      <c r="A87" s="155" t="s">
        <v>1182</v>
      </c>
      <c r="B87" s="155" t="s">
        <v>478</v>
      </c>
      <c r="C87" s="167">
        <v>0</v>
      </c>
      <c r="D87" s="167">
        <v>0</v>
      </c>
      <c r="E87" s="167">
        <v>0</v>
      </c>
      <c r="F87" s="167">
        <v>0</v>
      </c>
      <c r="G87" s="167">
        <v>0</v>
      </c>
      <c r="H87" s="167">
        <v>0</v>
      </c>
      <c r="I87" s="167">
        <v>0</v>
      </c>
      <c r="J87" s="167">
        <v>0</v>
      </c>
      <c r="K87" s="167">
        <v>0</v>
      </c>
      <c r="L87" s="167">
        <v>0</v>
      </c>
      <c r="M87" s="167">
        <v>0</v>
      </c>
      <c r="N87" s="167">
        <v>0</v>
      </c>
      <c r="O87" s="167">
        <v>0</v>
      </c>
      <c r="P87" s="167">
        <v>0</v>
      </c>
      <c r="Q87" s="167">
        <v>0</v>
      </c>
      <c r="R87" s="167">
        <v>0</v>
      </c>
      <c r="S87" s="167">
        <v>0</v>
      </c>
      <c r="T87" s="167">
        <v>0</v>
      </c>
      <c r="U87" s="168" t="e">
        <v>#DIV/0!</v>
      </c>
      <c r="V87" s="167">
        <v>0</v>
      </c>
      <c r="W87" s="167">
        <v>0</v>
      </c>
      <c r="X87" s="167">
        <v>0</v>
      </c>
      <c r="Y87" s="167">
        <v>0</v>
      </c>
      <c r="Z87" s="167">
        <v>0</v>
      </c>
      <c r="AA87" s="167">
        <v>0</v>
      </c>
    </row>
    <row r="88" spans="1:27" ht="12" customHeight="1" x14ac:dyDescent="0.25">
      <c r="A88" s="155" t="s">
        <v>1183</v>
      </c>
      <c r="B88" s="155" t="s">
        <v>479</v>
      </c>
      <c r="C88" s="167">
        <v>0</v>
      </c>
      <c r="D88" s="167">
        <v>0</v>
      </c>
      <c r="E88" s="167">
        <v>0</v>
      </c>
      <c r="F88" s="167">
        <v>0</v>
      </c>
      <c r="G88" s="167">
        <v>0</v>
      </c>
      <c r="H88" s="167">
        <v>0</v>
      </c>
      <c r="I88" s="167">
        <v>0</v>
      </c>
      <c r="J88" s="167">
        <v>0</v>
      </c>
      <c r="K88" s="167">
        <v>0</v>
      </c>
      <c r="L88" s="167">
        <v>0</v>
      </c>
      <c r="M88" s="167">
        <v>0</v>
      </c>
      <c r="N88" s="167">
        <v>0</v>
      </c>
      <c r="O88" s="167">
        <v>0</v>
      </c>
      <c r="P88" s="167">
        <v>0</v>
      </c>
      <c r="Q88" s="167">
        <v>0</v>
      </c>
      <c r="R88" s="167">
        <v>0</v>
      </c>
      <c r="S88" s="167">
        <v>0</v>
      </c>
      <c r="T88" s="167">
        <v>0</v>
      </c>
      <c r="U88" s="168" t="e">
        <v>#DIV/0!</v>
      </c>
      <c r="V88" s="167">
        <v>0</v>
      </c>
      <c r="W88" s="167">
        <v>0</v>
      </c>
      <c r="X88" s="167">
        <v>0</v>
      </c>
      <c r="Y88" s="167">
        <v>0</v>
      </c>
      <c r="Z88" s="167">
        <v>0</v>
      </c>
      <c r="AA88" s="167">
        <v>0</v>
      </c>
    </row>
    <row r="89" spans="1:27" ht="12" customHeight="1" x14ac:dyDescent="0.25">
      <c r="A89" s="155" t="s">
        <v>1184</v>
      </c>
      <c r="B89" s="155" t="s">
        <v>480</v>
      </c>
      <c r="C89" s="167">
        <v>0</v>
      </c>
      <c r="D89" s="167">
        <v>0</v>
      </c>
      <c r="E89" s="167">
        <v>0</v>
      </c>
      <c r="F89" s="167">
        <v>0</v>
      </c>
      <c r="G89" s="167">
        <v>0</v>
      </c>
      <c r="H89" s="167">
        <v>0</v>
      </c>
      <c r="I89" s="167">
        <v>0</v>
      </c>
      <c r="J89" s="167">
        <v>0</v>
      </c>
      <c r="K89" s="167">
        <v>0</v>
      </c>
      <c r="L89" s="167">
        <v>0</v>
      </c>
      <c r="M89" s="167">
        <v>0</v>
      </c>
      <c r="N89" s="167">
        <v>0</v>
      </c>
      <c r="O89" s="167">
        <v>0</v>
      </c>
      <c r="P89" s="167">
        <v>0</v>
      </c>
      <c r="Q89" s="167">
        <v>0</v>
      </c>
      <c r="R89" s="167">
        <v>0</v>
      </c>
      <c r="S89" s="167">
        <v>0</v>
      </c>
      <c r="T89" s="167">
        <v>0</v>
      </c>
      <c r="U89" s="168" t="e">
        <v>#DIV/0!</v>
      </c>
      <c r="V89" s="167">
        <v>0</v>
      </c>
      <c r="W89" s="167">
        <v>0</v>
      </c>
      <c r="X89" s="167">
        <v>0</v>
      </c>
      <c r="Y89" s="167">
        <v>0</v>
      </c>
      <c r="Z89" s="167">
        <v>0</v>
      </c>
      <c r="AA89" s="167">
        <v>0</v>
      </c>
    </row>
    <row r="90" spans="1:27" ht="12" customHeight="1" x14ac:dyDescent="0.25">
      <c r="A90" s="155" t="s">
        <v>1185</v>
      </c>
      <c r="B90" s="155" t="s">
        <v>481</v>
      </c>
      <c r="C90" s="167">
        <v>0</v>
      </c>
      <c r="D90" s="167">
        <v>0</v>
      </c>
      <c r="E90" s="167">
        <v>0</v>
      </c>
      <c r="F90" s="167">
        <v>0</v>
      </c>
      <c r="G90" s="167">
        <v>0</v>
      </c>
      <c r="H90" s="167">
        <v>0</v>
      </c>
      <c r="I90" s="167">
        <v>0</v>
      </c>
      <c r="J90" s="167">
        <v>0</v>
      </c>
      <c r="K90" s="167">
        <v>0</v>
      </c>
      <c r="L90" s="167">
        <v>0</v>
      </c>
      <c r="M90" s="167">
        <v>0</v>
      </c>
      <c r="N90" s="167">
        <v>0</v>
      </c>
      <c r="O90" s="167">
        <v>0</v>
      </c>
      <c r="P90" s="167">
        <v>0</v>
      </c>
      <c r="Q90" s="167">
        <v>0</v>
      </c>
      <c r="R90" s="167">
        <v>0</v>
      </c>
      <c r="S90" s="167">
        <v>0</v>
      </c>
      <c r="T90" s="167">
        <v>0</v>
      </c>
      <c r="U90" s="168" t="e">
        <v>#DIV/0!</v>
      </c>
      <c r="V90" s="167">
        <v>0</v>
      </c>
      <c r="W90" s="167">
        <v>0</v>
      </c>
      <c r="X90" s="167">
        <v>0</v>
      </c>
      <c r="Y90" s="167">
        <v>0</v>
      </c>
      <c r="Z90" s="167">
        <v>0</v>
      </c>
      <c r="AA90" s="167">
        <v>0</v>
      </c>
    </row>
    <row r="91" spans="1:27" ht="12" customHeight="1" x14ac:dyDescent="0.25">
      <c r="A91" s="155" t="s">
        <v>1186</v>
      </c>
      <c r="B91" s="155" t="s">
        <v>482</v>
      </c>
      <c r="C91" s="167">
        <v>0</v>
      </c>
      <c r="D91" s="167">
        <v>0</v>
      </c>
      <c r="E91" s="167">
        <v>0</v>
      </c>
      <c r="F91" s="167">
        <v>0</v>
      </c>
      <c r="G91" s="167">
        <v>0</v>
      </c>
      <c r="H91" s="167">
        <v>0</v>
      </c>
      <c r="I91" s="167">
        <v>0</v>
      </c>
      <c r="J91" s="167">
        <v>0</v>
      </c>
      <c r="K91" s="167">
        <v>0</v>
      </c>
      <c r="L91" s="167">
        <v>0</v>
      </c>
      <c r="M91" s="167">
        <v>0</v>
      </c>
      <c r="N91" s="167">
        <v>0</v>
      </c>
      <c r="O91" s="167">
        <v>0</v>
      </c>
      <c r="P91" s="167">
        <v>0</v>
      </c>
      <c r="Q91" s="167">
        <v>0</v>
      </c>
      <c r="R91" s="167">
        <v>0</v>
      </c>
      <c r="S91" s="167">
        <v>0</v>
      </c>
      <c r="T91" s="167">
        <v>0</v>
      </c>
      <c r="U91" s="168" t="e">
        <v>#DIV/0!</v>
      </c>
      <c r="V91" s="167">
        <v>0</v>
      </c>
      <c r="W91" s="167">
        <v>0</v>
      </c>
      <c r="X91" s="167">
        <v>0</v>
      </c>
      <c r="Y91" s="167">
        <v>0</v>
      </c>
      <c r="Z91" s="167">
        <v>0</v>
      </c>
      <c r="AA91" s="167">
        <v>0</v>
      </c>
    </row>
    <row r="92" spans="1:27" ht="12" customHeight="1" x14ac:dyDescent="0.25">
      <c r="A92" s="155" t="s">
        <v>1187</v>
      </c>
      <c r="B92" s="155" t="s">
        <v>483</v>
      </c>
      <c r="C92" s="167">
        <v>0</v>
      </c>
      <c r="D92" s="167">
        <v>0</v>
      </c>
      <c r="E92" s="167">
        <v>0</v>
      </c>
      <c r="F92" s="167">
        <v>0</v>
      </c>
      <c r="G92" s="167">
        <v>0</v>
      </c>
      <c r="H92" s="167">
        <v>0</v>
      </c>
      <c r="I92" s="167">
        <v>0</v>
      </c>
      <c r="J92" s="167">
        <v>0</v>
      </c>
      <c r="K92" s="167">
        <v>0</v>
      </c>
      <c r="L92" s="167">
        <v>0</v>
      </c>
      <c r="M92" s="167">
        <v>0</v>
      </c>
      <c r="N92" s="167">
        <v>0</v>
      </c>
      <c r="O92" s="167">
        <v>0</v>
      </c>
      <c r="P92" s="167">
        <v>0</v>
      </c>
      <c r="Q92" s="167">
        <v>0</v>
      </c>
      <c r="R92" s="167">
        <v>0</v>
      </c>
      <c r="S92" s="167">
        <v>0</v>
      </c>
      <c r="T92" s="167">
        <v>0</v>
      </c>
      <c r="U92" s="168" t="e">
        <v>#DIV/0!</v>
      </c>
      <c r="V92" s="167">
        <v>0</v>
      </c>
      <c r="W92" s="167">
        <v>0</v>
      </c>
      <c r="X92" s="167">
        <v>0</v>
      </c>
      <c r="Y92" s="167">
        <v>0</v>
      </c>
      <c r="Z92" s="167">
        <v>0</v>
      </c>
      <c r="AA92" s="167">
        <v>0</v>
      </c>
    </row>
    <row r="93" spans="1:27" ht="12" customHeight="1" x14ac:dyDescent="0.25">
      <c r="A93" s="155" t="s">
        <v>1188</v>
      </c>
      <c r="B93" s="155" t="s">
        <v>484</v>
      </c>
      <c r="C93" s="167">
        <v>0</v>
      </c>
      <c r="D93" s="167">
        <v>0</v>
      </c>
      <c r="E93" s="167">
        <v>0</v>
      </c>
      <c r="F93" s="167">
        <v>0</v>
      </c>
      <c r="G93" s="167">
        <v>0</v>
      </c>
      <c r="H93" s="167">
        <v>0</v>
      </c>
      <c r="I93" s="167">
        <v>0</v>
      </c>
      <c r="J93" s="167">
        <v>0</v>
      </c>
      <c r="K93" s="167">
        <v>0</v>
      </c>
      <c r="L93" s="167">
        <v>0</v>
      </c>
      <c r="M93" s="167">
        <v>0</v>
      </c>
      <c r="N93" s="167">
        <v>0</v>
      </c>
      <c r="O93" s="167">
        <v>0</v>
      </c>
      <c r="P93" s="167">
        <v>0</v>
      </c>
      <c r="Q93" s="167">
        <v>0</v>
      </c>
      <c r="R93" s="167">
        <v>0</v>
      </c>
      <c r="S93" s="167">
        <v>0</v>
      </c>
      <c r="T93" s="167">
        <v>0</v>
      </c>
      <c r="U93" s="168" t="e">
        <v>#DIV/0!</v>
      </c>
      <c r="V93" s="167">
        <v>0</v>
      </c>
      <c r="W93" s="167">
        <v>0</v>
      </c>
      <c r="X93" s="167">
        <v>0</v>
      </c>
      <c r="Y93" s="167">
        <v>0</v>
      </c>
      <c r="Z93" s="167">
        <v>0</v>
      </c>
      <c r="AA93" s="167">
        <v>0</v>
      </c>
    </row>
    <row r="94" spans="1:27" ht="12" customHeight="1" x14ac:dyDescent="0.25">
      <c r="A94" s="155" t="s">
        <v>1189</v>
      </c>
      <c r="B94" s="155" t="s">
        <v>485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167">
        <v>0</v>
      </c>
      <c r="R94" s="167">
        <v>0</v>
      </c>
      <c r="S94" s="167">
        <v>0</v>
      </c>
      <c r="T94" s="167">
        <v>0</v>
      </c>
      <c r="U94" s="168" t="e">
        <v>#DIV/0!</v>
      </c>
      <c r="V94" s="167">
        <v>0</v>
      </c>
      <c r="W94" s="167">
        <v>0</v>
      </c>
      <c r="X94" s="167">
        <v>0</v>
      </c>
      <c r="Y94" s="167">
        <v>0</v>
      </c>
      <c r="Z94" s="167">
        <v>0</v>
      </c>
      <c r="AA94" s="167">
        <v>0</v>
      </c>
    </row>
    <row r="95" spans="1:27" ht="12" customHeight="1" x14ac:dyDescent="0.25">
      <c r="A95" s="155" t="s">
        <v>1190</v>
      </c>
      <c r="B95" s="155" t="s">
        <v>486</v>
      </c>
      <c r="C95" s="167">
        <v>0</v>
      </c>
      <c r="D95" s="167">
        <v>0</v>
      </c>
      <c r="E95" s="167">
        <v>0</v>
      </c>
      <c r="F95" s="167">
        <v>0</v>
      </c>
      <c r="G95" s="167">
        <v>0</v>
      </c>
      <c r="H95" s="167">
        <v>0</v>
      </c>
      <c r="I95" s="167">
        <v>0</v>
      </c>
      <c r="J95" s="167">
        <v>0</v>
      </c>
      <c r="K95" s="167">
        <v>0</v>
      </c>
      <c r="L95" s="167">
        <v>0</v>
      </c>
      <c r="M95" s="167">
        <v>0</v>
      </c>
      <c r="N95" s="167">
        <v>0</v>
      </c>
      <c r="O95" s="167">
        <v>0</v>
      </c>
      <c r="P95" s="167">
        <v>0</v>
      </c>
      <c r="Q95" s="167">
        <v>0</v>
      </c>
      <c r="R95" s="167">
        <v>0</v>
      </c>
      <c r="S95" s="167">
        <v>0</v>
      </c>
      <c r="T95" s="167">
        <v>0</v>
      </c>
      <c r="U95" s="168" t="e">
        <v>#DIV/0!</v>
      </c>
      <c r="V95" s="167">
        <v>0</v>
      </c>
      <c r="W95" s="167">
        <v>0</v>
      </c>
      <c r="X95" s="167">
        <v>0</v>
      </c>
      <c r="Y95" s="167">
        <v>0</v>
      </c>
      <c r="Z95" s="167">
        <v>0</v>
      </c>
      <c r="AA95" s="167">
        <v>0</v>
      </c>
    </row>
    <row r="96" spans="1:27" ht="12" customHeight="1" x14ac:dyDescent="0.25">
      <c r="A96" s="155" t="s">
        <v>1191</v>
      </c>
      <c r="B96" s="155" t="s">
        <v>487</v>
      </c>
      <c r="C96" s="167">
        <v>0</v>
      </c>
      <c r="D96" s="167">
        <v>0</v>
      </c>
      <c r="E96" s="167">
        <v>0</v>
      </c>
      <c r="F96" s="167">
        <v>0</v>
      </c>
      <c r="G96" s="16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0</v>
      </c>
      <c r="O96" s="167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8" t="e">
        <v>#DIV/0!</v>
      </c>
      <c r="V96" s="167">
        <v>0</v>
      </c>
      <c r="W96" s="167">
        <v>0</v>
      </c>
      <c r="X96" s="167">
        <v>0</v>
      </c>
      <c r="Y96" s="167">
        <v>0</v>
      </c>
      <c r="Z96" s="167">
        <v>0</v>
      </c>
      <c r="AA96" s="167">
        <v>0</v>
      </c>
    </row>
    <row r="97" spans="1:27" ht="12" customHeight="1" x14ac:dyDescent="0.25">
      <c r="A97" s="155" t="s">
        <v>1192</v>
      </c>
      <c r="B97" s="155" t="s">
        <v>488</v>
      </c>
      <c r="C97" s="167">
        <v>0</v>
      </c>
      <c r="D97" s="167">
        <v>0</v>
      </c>
      <c r="E97" s="167">
        <v>0</v>
      </c>
      <c r="F97" s="167">
        <v>0</v>
      </c>
      <c r="G97" s="167">
        <v>0</v>
      </c>
      <c r="H97" s="167">
        <v>0</v>
      </c>
      <c r="I97" s="167">
        <v>0</v>
      </c>
      <c r="J97" s="167">
        <v>0</v>
      </c>
      <c r="K97" s="167">
        <v>0</v>
      </c>
      <c r="L97" s="167">
        <v>0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8" t="e">
        <v>#DIV/0!</v>
      </c>
      <c r="V97" s="167">
        <v>0</v>
      </c>
      <c r="W97" s="167">
        <v>0</v>
      </c>
      <c r="X97" s="167">
        <v>0</v>
      </c>
      <c r="Y97" s="167">
        <v>0</v>
      </c>
      <c r="Z97" s="167">
        <v>0</v>
      </c>
      <c r="AA97" s="167">
        <v>0</v>
      </c>
    </row>
    <row r="98" spans="1:27" ht="12" customHeight="1" x14ac:dyDescent="0.25">
      <c r="A98" s="155" t="s">
        <v>1193</v>
      </c>
      <c r="B98" s="155" t="s">
        <v>489</v>
      </c>
      <c r="C98" s="167">
        <v>0</v>
      </c>
      <c r="D98" s="167">
        <v>0</v>
      </c>
      <c r="E98" s="167">
        <v>0</v>
      </c>
      <c r="F98" s="167">
        <v>0</v>
      </c>
      <c r="G98" s="167">
        <v>0</v>
      </c>
      <c r="H98" s="167">
        <v>0</v>
      </c>
      <c r="I98" s="167">
        <v>0</v>
      </c>
      <c r="J98" s="167">
        <v>0</v>
      </c>
      <c r="K98" s="167">
        <v>0</v>
      </c>
      <c r="L98" s="167">
        <v>0</v>
      </c>
      <c r="M98" s="167">
        <v>0</v>
      </c>
      <c r="N98" s="167">
        <v>0</v>
      </c>
      <c r="O98" s="167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8" t="e">
        <v>#DIV/0!</v>
      </c>
      <c r="V98" s="167">
        <v>0</v>
      </c>
      <c r="W98" s="167">
        <v>0</v>
      </c>
      <c r="X98" s="167">
        <v>0</v>
      </c>
      <c r="Y98" s="167">
        <v>0</v>
      </c>
      <c r="Z98" s="167">
        <v>0</v>
      </c>
      <c r="AA98" s="167">
        <v>0</v>
      </c>
    </row>
    <row r="99" spans="1:27" ht="12" customHeight="1" x14ac:dyDescent="0.25">
      <c r="A99" s="155" t="s">
        <v>1194</v>
      </c>
      <c r="B99" s="155" t="s">
        <v>490</v>
      </c>
      <c r="C99" s="167">
        <v>0</v>
      </c>
      <c r="D99" s="167">
        <v>0</v>
      </c>
      <c r="E99" s="167">
        <v>0</v>
      </c>
      <c r="F99" s="167">
        <v>0</v>
      </c>
      <c r="G99" s="167">
        <v>0</v>
      </c>
      <c r="H99" s="167">
        <v>0</v>
      </c>
      <c r="I99" s="167">
        <v>0</v>
      </c>
      <c r="J99" s="167">
        <v>0</v>
      </c>
      <c r="K99" s="167">
        <v>0</v>
      </c>
      <c r="L99" s="167">
        <v>0</v>
      </c>
      <c r="M99" s="167">
        <v>0</v>
      </c>
      <c r="N99" s="167">
        <v>0</v>
      </c>
      <c r="O99" s="167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8" t="e">
        <v>#DIV/0!</v>
      </c>
      <c r="V99" s="167">
        <v>0</v>
      </c>
      <c r="W99" s="167">
        <v>0</v>
      </c>
      <c r="X99" s="167">
        <v>0</v>
      </c>
      <c r="Y99" s="167">
        <v>0</v>
      </c>
      <c r="Z99" s="167">
        <v>0</v>
      </c>
      <c r="AA99" s="167">
        <v>0</v>
      </c>
    </row>
    <row r="100" spans="1:27" ht="12" customHeight="1" x14ac:dyDescent="0.25">
      <c r="A100" s="155" t="s">
        <v>1195</v>
      </c>
      <c r="B100" s="155" t="s">
        <v>491</v>
      </c>
      <c r="C100" s="167">
        <v>0</v>
      </c>
      <c r="D100" s="167">
        <v>0</v>
      </c>
      <c r="E100" s="167">
        <v>0</v>
      </c>
      <c r="F100" s="167">
        <v>0</v>
      </c>
      <c r="G100" s="167">
        <v>0</v>
      </c>
      <c r="H100" s="167">
        <v>0</v>
      </c>
      <c r="I100" s="167">
        <v>0</v>
      </c>
      <c r="J100" s="167">
        <v>0</v>
      </c>
      <c r="K100" s="167">
        <v>0</v>
      </c>
      <c r="L100" s="167">
        <v>0</v>
      </c>
      <c r="M100" s="167">
        <v>0</v>
      </c>
      <c r="N100" s="167">
        <v>0</v>
      </c>
      <c r="O100" s="167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8" t="e">
        <v>#DIV/0!</v>
      </c>
      <c r="V100" s="167">
        <v>0</v>
      </c>
      <c r="W100" s="167">
        <v>0</v>
      </c>
      <c r="X100" s="167">
        <v>0</v>
      </c>
      <c r="Y100" s="167">
        <v>0</v>
      </c>
      <c r="Z100" s="167">
        <v>0</v>
      </c>
      <c r="AA100" s="167">
        <v>0</v>
      </c>
    </row>
    <row r="101" spans="1:27" ht="12" customHeight="1" x14ac:dyDescent="0.25">
      <c r="A101" s="155" t="s">
        <v>1196</v>
      </c>
      <c r="B101" s="155" t="s">
        <v>492</v>
      </c>
      <c r="C101" s="167">
        <v>0</v>
      </c>
      <c r="D101" s="167">
        <v>0</v>
      </c>
      <c r="E101" s="167">
        <v>0</v>
      </c>
      <c r="F101" s="167">
        <v>0</v>
      </c>
      <c r="G101" s="167">
        <v>0</v>
      </c>
      <c r="H101" s="167">
        <v>0</v>
      </c>
      <c r="I101" s="167">
        <v>0</v>
      </c>
      <c r="J101" s="167">
        <v>0</v>
      </c>
      <c r="K101" s="167">
        <v>0</v>
      </c>
      <c r="L101" s="167">
        <v>0</v>
      </c>
      <c r="M101" s="167">
        <v>0</v>
      </c>
      <c r="N101" s="167">
        <v>0</v>
      </c>
      <c r="O101" s="167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8" t="e">
        <v>#DIV/0!</v>
      </c>
      <c r="V101" s="167">
        <v>0</v>
      </c>
      <c r="W101" s="167">
        <v>0</v>
      </c>
      <c r="X101" s="167">
        <v>0</v>
      </c>
      <c r="Y101" s="167">
        <v>0</v>
      </c>
      <c r="Z101" s="167">
        <v>0</v>
      </c>
      <c r="AA101" s="167">
        <v>0</v>
      </c>
    </row>
    <row r="102" spans="1:27" ht="12" customHeight="1" x14ac:dyDescent="0.25">
      <c r="A102" s="155" t="s">
        <v>1197</v>
      </c>
      <c r="B102" s="155" t="s">
        <v>493</v>
      </c>
      <c r="C102" s="167">
        <v>0</v>
      </c>
      <c r="D102" s="167">
        <v>0</v>
      </c>
      <c r="E102" s="167">
        <v>0</v>
      </c>
      <c r="F102" s="167">
        <v>0</v>
      </c>
      <c r="G102" s="16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167">
        <v>0</v>
      </c>
      <c r="R102" s="167">
        <v>0</v>
      </c>
      <c r="S102" s="167">
        <v>0</v>
      </c>
      <c r="T102" s="167">
        <v>0</v>
      </c>
      <c r="U102" s="168" t="e">
        <v>#DIV/0!</v>
      </c>
      <c r="V102" s="167">
        <v>0</v>
      </c>
      <c r="W102" s="167">
        <v>0</v>
      </c>
      <c r="X102" s="167">
        <v>0</v>
      </c>
      <c r="Y102" s="167">
        <v>0</v>
      </c>
      <c r="Z102" s="167">
        <v>0</v>
      </c>
      <c r="AA102" s="167">
        <v>0</v>
      </c>
    </row>
    <row r="103" spans="1:27" ht="12" customHeight="1" x14ac:dyDescent="0.25">
      <c r="A103" s="155" t="s">
        <v>1198</v>
      </c>
      <c r="B103" s="155" t="s">
        <v>494</v>
      </c>
      <c r="C103" s="167">
        <v>0</v>
      </c>
      <c r="D103" s="167">
        <v>0</v>
      </c>
      <c r="E103" s="167">
        <v>0</v>
      </c>
      <c r="F103" s="167">
        <v>0</v>
      </c>
      <c r="G103" s="167">
        <v>0</v>
      </c>
      <c r="H103" s="167">
        <v>0</v>
      </c>
      <c r="I103" s="167">
        <v>0</v>
      </c>
      <c r="J103" s="167">
        <v>0</v>
      </c>
      <c r="K103" s="167">
        <v>0</v>
      </c>
      <c r="L103" s="167">
        <v>0</v>
      </c>
      <c r="M103" s="167">
        <v>0</v>
      </c>
      <c r="N103" s="167">
        <v>0</v>
      </c>
      <c r="O103" s="167">
        <v>0</v>
      </c>
      <c r="P103" s="167">
        <v>0</v>
      </c>
      <c r="Q103" s="167">
        <v>0</v>
      </c>
      <c r="R103" s="167">
        <v>0</v>
      </c>
      <c r="S103" s="167">
        <v>0</v>
      </c>
      <c r="T103" s="167">
        <v>0</v>
      </c>
      <c r="U103" s="168" t="e">
        <v>#DIV/0!</v>
      </c>
      <c r="V103" s="167">
        <v>0</v>
      </c>
      <c r="W103" s="167">
        <v>0</v>
      </c>
      <c r="X103" s="167">
        <v>0</v>
      </c>
      <c r="Y103" s="167">
        <v>0</v>
      </c>
      <c r="Z103" s="167">
        <v>0</v>
      </c>
      <c r="AA103" s="167">
        <v>0</v>
      </c>
    </row>
    <row r="104" spans="1:27" ht="12" customHeight="1" x14ac:dyDescent="0.25">
      <c r="A104" s="155" t="s">
        <v>1199</v>
      </c>
      <c r="B104" s="155" t="s">
        <v>495</v>
      </c>
      <c r="C104" s="167">
        <v>0</v>
      </c>
      <c r="D104" s="167">
        <v>0</v>
      </c>
      <c r="E104" s="167">
        <v>0</v>
      </c>
      <c r="F104" s="167">
        <v>0</v>
      </c>
      <c r="G104" s="16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67">
        <v>0</v>
      </c>
      <c r="N104" s="167">
        <v>0</v>
      </c>
      <c r="O104" s="167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8" t="e">
        <v>#DIV/0!</v>
      </c>
      <c r="V104" s="167">
        <v>0</v>
      </c>
      <c r="W104" s="167">
        <v>0</v>
      </c>
      <c r="X104" s="167">
        <v>0</v>
      </c>
      <c r="Y104" s="167">
        <v>0</v>
      </c>
      <c r="Z104" s="167">
        <v>0</v>
      </c>
      <c r="AA104" s="167">
        <v>0</v>
      </c>
    </row>
    <row r="105" spans="1:27" ht="12" customHeight="1" x14ac:dyDescent="0.25">
      <c r="A105" s="155" t="s">
        <v>1200</v>
      </c>
      <c r="B105" s="155" t="s">
        <v>496</v>
      </c>
      <c r="C105" s="167">
        <v>0</v>
      </c>
      <c r="D105" s="167">
        <v>0</v>
      </c>
      <c r="E105" s="167">
        <v>0</v>
      </c>
      <c r="F105" s="167">
        <v>0</v>
      </c>
      <c r="G105" s="167">
        <v>0</v>
      </c>
      <c r="H105" s="167">
        <v>0</v>
      </c>
      <c r="I105" s="167">
        <v>0</v>
      </c>
      <c r="J105" s="167">
        <v>0</v>
      </c>
      <c r="K105" s="167">
        <v>0</v>
      </c>
      <c r="L105" s="167">
        <v>0</v>
      </c>
      <c r="M105" s="167">
        <v>0</v>
      </c>
      <c r="N105" s="167">
        <v>0</v>
      </c>
      <c r="O105" s="167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8" t="e">
        <v>#DIV/0!</v>
      </c>
      <c r="V105" s="167">
        <v>0</v>
      </c>
      <c r="W105" s="167">
        <v>0</v>
      </c>
      <c r="X105" s="167">
        <v>0</v>
      </c>
      <c r="Y105" s="167">
        <v>0</v>
      </c>
      <c r="Z105" s="167">
        <v>0</v>
      </c>
      <c r="AA105" s="167">
        <v>0</v>
      </c>
    </row>
    <row r="106" spans="1:27" ht="12" customHeight="1" x14ac:dyDescent="0.25">
      <c r="A106" s="155" t="s">
        <v>1201</v>
      </c>
      <c r="B106" s="155" t="s">
        <v>497</v>
      </c>
      <c r="C106" s="167">
        <v>0</v>
      </c>
      <c r="D106" s="167">
        <v>0</v>
      </c>
      <c r="E106" s="167">
        <v>0</v>
      </c>
      <c r="F106" s="167">
        <v>0</v>
      </c>
      <c r="G106" s="16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167">
        <v>0</v>
      </c>
      <c r="R106" s="167">
        <v>0</v>
      </c>
      <c r="S106" s="167">
        <v>0</v>
      </c>
      <c r="T106" s="167">
        <v>0</v>
      </c>
      <c r="U106" s="168" t="e">
        <v>#DIV/0!</v>
      </c>
      <c r="V106" s="167">
        <v>0</v>
      </c>
      <c r="W106" s="167">
        <v>0</v>
      </c>
      <c r="X106" s="167">
        <v>0</v>
      </c>
      <c r="Y106" s="167">
        <v>0</v>
      </c>
      <c r="Z106" s="167">
        <v>0</v>
      </c>
      <c r="AA106" s="167">
        <v>0</v>
      </c>
    </row>
    <row r="107" spans="1:27" ht="12" customHeight="1" x14ac:dyDescent="0.25">
      <c r="A107" s="155" t="s">
        <v>1202</v>
      </c>
      <c r="B107" s="155" t="s">
        <v>498</v>
      </c>
      <c r="C107" s="167">
        <v>0</v>
      </c>
      <c r="D107" s="167">
        <v>0</v>
      </c>
      <c r="E107" s="167">
        <v>0</v>
      </c>
      <c r="F107" s="167">
        <v>0</v>
      </c>
      <c r="G107" s="167">
        <v>0</v>
      </c>
      <c r="H107" s="167">
        <v>0</v>
      </c>
      <c r="I107" s="167">
        <v>0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0</v>
      </c>
      <c r="P107" s="167">
        <v>0</v>
      </c>
      <c r="Q107" s="167">
        <v>0</v>
      </c>
      <c r="R107" s="167">
        <v>0</v>
      </c>
      <c r="S107" s="167">
        <v>0</v>
      </c>
      <c r="T107" s="167">
        <v>0</v>
      </c>
      <c r="U107" s="168" t="e">
        <v>#DIV/0!</v>
      </c>
      <c r="V107" s="167">
        <v>0</v>
      </c>
      <c r="W107" s="167">
        <v>0</v>
      </c>
      <c r="X107" s="167">
        <v>0</v>
      </c>
      <c r="Y107" s="167">
        <v>0</v>
      </c>
      <c r="Z107" s="167">
        <v>0</v>
      </c>
      <c r="AA107" s="167">
        <v>0</v>
      </c>
    </row>
    <row r="108" spans="1:27" ht="12" customHeight="1" x14ac:dyDescent="0.25">
      <c r="A108" s="155"/>
      <c r="B108" s="162" t="s">
        <v>499</v>
      </c>
      <c r="C108" s="163">
        <v>0</v>
      </c>
      <c r="D108" s="163">
        <v>0</v>
      </c>
      <c r="E108" s="163">
        <v>0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3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4">
        <v>0</v>
      </c>
      <c r="U108" s="165" t="e">
        <v>#DIV/0!</v>
      </c>
      <c r="V108" s="164">
        <v>0</v>
      </c>
      <c r="W108" s="164">
        <v>0</v>
      </c>
      <c r="X108" s="164">
        <v>0</v>
      </c>
      <c r="Y108" s="164">
        <v>0</v>
      </c>
      <c r="Z108" s="164">
        <v>0</v>
      </c>
      <c r="AA108" s="164">
        <v>0</v>
      </c>
    </row>
    <row r="109" spans="1:27" ht="12" customHeight="1" x14ac:dyDescent="0.25">
      <c r="A109" s="155" t="s">
        <v>1203</v>
      </c>
      <c r="B109" s="155" t="s">
        <v>500</v>
      </c>
      <c r="C109" s="167">
        <v>0</v>
      </c>
      <c r="D109" s="167">
        <v>0</v>
      </c>
      <c r="E109" s="167">
        <v>0</v>
      </c>
      <c r="F109" s="167">
        <v>0</v>
      </c>
      <c r="G109" s="167">
        <v>0</v>
      </c>
      <c r="H109" s="167">
        <v>0</v>
      </c>
      <c r="I109" s="167">
        <v>0</v>
      </c>
      <c r="J109" s="167">
        <v>0</v>
      </c>
      <c r="K109" s="167">
        <v>0</v>
      </c>
      <c r="L109" s="167">
        <v>0</v>
      </c>
      <c r="M109" s="167">
        <v>0</v>
      </c>
      <c r="N109" s="167">
        <v>0</v>
      </c>
      <c r="O109" s="167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8" t="e">
        <v>#DIV/0!</v>
      </c>
      <c r="V109" s="167">
        <v>0</v>
      </c>
      <c r="W109" s="167">
        <v>0</v>
      </c>
      <c r="X109" s="167">
        <v>0</v>
      </c>
      <c r="Y109" s="167">
        <v>0</v>
      </c>
      <c r="Z109" s="167">
        <v>0</v>
      </c>
      <c r="AA109" s="167">
        <v>0</v>
      </c>
    </row>
    <row r="110" spans="1:27" ht="12" customHeight="1" x14ac:dyDescent="0.25">
      <c r="A110" s="155" t="s">
        <v>1204</v>
      </c>
      <c r="B110" s="155" t="s">
        <v>501</v>
      </c>
      <c r="C110" s="167">
        <v>0</v>
      </c>
      <c r="D110" s="167">
        <v>0</v>
      </c>
      <c r="E110" s="167">
        <v>0</v>
      </c>
      <c r="F110" s="167">
        <v>0</v>
      </c>
      <c r="G110" s="167">
        <v>0</v>
      </c>
      <c r="H110" s="167">
        <v>0</v>
      </c>
      <c r="I110" s="167">
        <v>0</v>
      </c>
      <c r="J110" s="167">
        <v>0</v>
      </c>
      <c r="K110" s="167">
        <v>0</v>
      </c>
      <c r="L110" s="167">
        <v>0</v>
      </c>
      <c r="M110" s="167">
        <v>0</v>
      </c>
      <c r="N110" s="167">
        <v>0</v>
      </c>
      <c r="O110" s="167">
        <v>0</v>
      </c>
      <c r="P110" s="167">
        <v>0</v>
      </c>
      <c r="Q110" s="167">
        <v>0</v>
      </c>
      <c r="R110" s="167">
        <v>0</v>
      </c>
      <c r="S110" s="167">
        <v>0</v>
      </c>
      <c r="T110" s="167">
        <v>0</v>
      </c>
      <c r="U110" s="168" t="e">
        <v>#DIV/0!</v>
      </c>
      <c r="V110" s="167">
        <v>0</v>
      </c>
      <c r="W110" s="167">
        <v>0</v>
      </c>
      <c r="X110" s="167">
        <v>0</v>
      </c>
      <c r="Y110" s="167">
        <v>0</v>
      </c>
      <c r="Z110" s="167">
        <v>0</v>
      </c>
      <c r="AA110" s="167">
        <v>0</v>
      </c>
    </row>
    <row r="111" spans="1:27" ht="12" customHeight="1" x14ac:dyDescent="0.25">
      <c r="A111" s="155" t="s">
        <v>1205</v>
      </c>
      <c r="B111" s="155" t="s">
        <v>502</v>
      </c>
      <c r="C111" s="167">
        <v>0</v>
      </c>
      <c r="D111" s="167">
        <v>0</v>
      </c>
      <c r="E111" s="167">
        <v>0</v>
      </c>
      <c r="F111" s="167">
        <v>0</v>
      </c>
      <c r="G111" s="167">
        <v>0</v>
      </c>
      <c r="H111" s="167">
        <v>0</v>
      </c>
      <c r="I111" s="167">
        <v>0</v>
      </c>
      <c r="J111" s="167">
        <v>0</v>
      </c>
      <c r="K111" s="167">
        <v>0</v>
      </c>
      <c r="L111" s="167">
        <v>0</v>
      </c>
      <c r="M111" s="167">
        <v>0</v>
      </c>
      <c r="N111" s="167">
        <v>0</v>
      </c>
      <c r="O111" s="167">
        <v>0</v>
      </c>
      <c r="P111" s="167">
        <v>0</v>
      </c>
      <c r="Q111" s="167">
        <v>0</v>
      </c>
      <c r="R111" s="167">
        <v>0</v>
      </c>
      <c r="S111" s="167">
        <v>0</v>
      </c>
      <c r="T111" s="167">
        <v>0</v>
      </c>
      <c r="U111" s="168" t="e">
        <v>#DIV/0!</v>
      </c>
      <c r="V111" s="167">
        <v>0</v>
      </c>
      <c r="W111" s="167">
        <v>0</v>
      </c>
      <c r="X111" s="167">
        <v>0</v>
      </c>
      <c r="Y111" s="167">
        <v>0</v>
      </c>
      <c r="Z111" s="167">
        <v>0</v>
      </c>
      <c r="AA111" s="167">
        <v>0</v>
      </c>
    </row>
    <row r="112" spans="1:27" ht="12" customHeight="1" x14ac:dyDescent="0.25">
      <c r="A112" s="155" t="s">
        <v>1206</v>
      </c>
      <c r="B112" s="155" t="s">
        <v>503</v>
      </c>
      <c r="C112" s="167">
        <v>0</v>
      </c>
      <c r="D112" s="167">
        <v>0</v>
      </c>
      <c r="E112" s="167">
        <v>0</v>
      </c>
      <c r="F112" s="167">
        <v>0</v>
      </c>
      <c r="G112" s="167">
        <v>0</v>
      </c>
      <c r="H112" s="167">
        <v>0</v>
      </c>
      <c r="I112" s="167">
        <v>0</v>
      </c>
      <c r="J112" s="167">
        <v>0</v>
      </c>
      <c r="K112" s="167">
        <v>0</v>
      </c>
      <c r="L112" s="167">
        <v>0</v>
      </c>
      <c r="M112" s="167">
        <v>0</v>
      </c>
      <c r="N112" s="167">
        <v>0</v>
      </c>
      <c r="O112" s="167">
        <v>0</v>
      </c>
      <c r="P112" s="167">
        <v>0</v>
      </c>
      <c r="Q112" s="167">
        <v>0</v>
      </c>
      <c r="R112" s="167">
        <v>0</v>
      </c>
      <c r="S112" s="167">
        <v>0</v>
      </c>
      <c r="T112" s="167">
        <v>0</v>
      </c>
      <c r="U112" s="168" t="e">
        <v>#DIV/0!</v>
      </c>
      <c r="V112" s="167">
        <v>0</v>
      </c>
      <c r="W112" s="167">
        <v>0</v>
      </c>
      <c r="X112" s="167">
        <v>0</v>
      </c>
      <c r="Y112" s="167">
        <v>0</v>
      </c>
      <c r="Z112" s="167">
        <v>0</v>
      </c>
      <c r="AA112" s="167">
        <v>0</v>
      </c>
    </row>
    <row r="113" spans="1:27" ht="12" customHeight="1" x14ac:dyDescent="0.25">
      <c r="A113" s="155"/>
      <c r="B113" s="162" t="s">
        <v>504</v>
      </c>
      <c r="C113" s="163">
        <v>0</v>
      </c>
      <c r="D113" s="163">
        <v>0</v>
      </c>
      <c r="E113" s="163">
        <v>0</v>
      </c>
      <c r="F113" s="163">
        <v>0</v>
      </c>
      <c r="G113" s="163">
        <v>0</v>
      </c>
      <c r="H113" s="163">
        <v>0</v>
      </c>
      <c r="I113" s="163">
        <v>0</v>
      </c>
      <c r="J113" s="163">
        <v>0</v>
      </c>
      <c r="K113" s="163">
        <v>0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3">
        <v>0</v>
      </c>
      <c r="R113" s="163">
        <v>0</v>
      </c>
      <c r="S113" s="163">
        <v>0</v>
      </c>
      <c r="T113" s="164">
        <v>0</v>
      </c>
      <c r="U113" s="165" t="e">
        <v>#DIV/0!</v>
      </c>
      <c r="V113" s="164">
        <v>0</v>
      </c>
      <c r="W113" s="164">
        <v>0</v>
      </c>
      <c r="X113" s="164">
        <v>0</v>
      </c>
      <c r="Y113" s="164">
        <v>0</v>
      </c>
      <c r="Z113" s="164">
        <v>0</v>
      </c>
      <c r="AA113" s="164">
        <v>0</v>
      </c>
    </row>
    <row r="114" spans="1:27" ht="12" customHeight="1" x14ac:dyDescent="0.25">
      <c r="A114" s="155" t="s">
        <v>1207</v>
      </c>
      <c r="B114" s="155" t="s">
        <v>505</v>
      </c>
      <c r="C114" s="167">
        <v>0</v>
      </c>
      <c r="D114" s="167">
        <v>0</v>
      </c>
      <c r="E114" s="167">
        <v>0</v>
      </c>
      <c r="F114" s="167">
        <v>0</v>
      </c>
      <c r="G114" s="167">
        <v>0</v>
      </c>
      <c r="H114" s="167">
        <v>0</v>
      </c>
      <c r="I114" s="167">
        <v>0</v>
      </c>
      <c r="J114" s="167">
        <v>0</v>
      </c>
      <c r="K114" s="167">
        <v>0</v>
      </c>
      <c r="L114" s="167">
        <v>0</v>
      </c>
      <c r="M114" s="167">
        <v>0</v>
      </c>
      <c r="N114" s="167">
        <v>0</v>
      </c>
      <c r="O114" s="167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8" t="e">
        <v>#DIV/0!</v>
      </c>
      <c r="V114" s="167">
        <v>0</v>
      </c>
      <c r="W114" s="167">
        <v>0</v>
      </c>
      <c r="X114" s="167">
        <v>0</v>
      </c>
      <c r="Y114" s="167">
        <v>0</v>
      </c>
      <c r="Z114" s="167">
        <v>0</v>
      </c>
      <c r="AA114" s="167">
        <v>0</v>
      </c>
    </row>
    <row r="115" spans="1:27" ht="12" customHeight="1" x14ac:dyDescent="0.25">
      <c r="A115" s="155" t="s">
        <v>1208</v>
      </c>
      <c r="B115" s="155" t="s">
        <v>506</v>
      </c>
      <c r="C115" s="167">
        <v>0</v>
      </c>
      <c r="D115" s="167">
        <v>0</v>
      </c>
      <c r="E115" s="167">
        <v>0</v>
      </c>
      <c r="F115" s="167">
        <v>0</v>
      </c>
      <c r="G115" s="167">
        <v>0</v>
      </c>
      <c r="H115" s="167">
        <v>0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0</v>
      </c>
      <c r="O115" s="167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8" t="e">
        <v>#DIV/0!</v>
      </c>
      <c r="V115" s="167">
        <v>0</v>
      </c>
      <c r="W115" s="167">
        <v>0</v>
      </c>
      <c r="X115" s="167">
        <v>0</v>
      </c>
      <c r="Y115" s="167">
        <v>0</v>
      </c>
      <c r="Z115" s="167">
        <v>0</v>
      </c>
      <c r="AA115" s="167">
        <v>0</v>
      </c>
    </row>
    <row r="116" spans="1:27" ht="12" customHeight="1" x14ac:dyDescent="0.25">
      <c r="A116" s="155" t="s">
        <v>1209</v>
      </c>
      <c r="B116" s="155" t="s">
        <v>507</v>
      </c>
      <c r="C116" s="167">
        <v>0</v>
      </c>
      <c r="D116" s="167">
        <v>0</v>
      </c>
      <c r="E116" s="167">
        <v>0</v>
      </c>
      <c r="F116" s="167">
        <v>0</v>
      </c>
      <c r="G116" s="167">
        <v>0</v>
      </c>
      <c r="H116" s="167">
        <v>0</v>
      </c>
      <c r="I116" s="167">
        <v>0</v>
      </c>
      <c r="J116" s="167">
        <v>0</v>
      </c>
      <c r="K116" s="167">
        <v>0</v>
      </c>
      <c r="L116" s="167">
        <v>0</v>
      </c>
      <c r="M116" s="167">
        <v>0</v>
      </c>
      <c r="N116" s="167">
        <v>0</v>
      </c>
      <c r="O116" s="167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8" t="e">
        <v>#DIV/0!</v>
      </c>
      <c r="V116" s="167">
        <v>0</v>
      </c>
      <c r="W116" s="167">
        <v>0</v>
      </c>
      <c r="X116" s="167">
        <v>0</v>
      </c>
      <c r="Y116" s="167">
        <v>0</v>
      </c>
      <c r="Z116" s="167">
        <v>0</v>
      </c>
      <c r="AA116" s="167">
        <v>0</v>
      </c>
    </row>
    <row r="117" spans="1:27" ht="12" customHeight="1" x14ac:dyDescent="0.25">
      <c r="A117" s="155" t="s">
        <v>1210</v>
      </c>
      <c r="B117" s="155" t="s">
        <v>508</v>
      </c>
      <c r="C117" s="167">
        <v>0</v>
      </c>
      <c r="D117" s="167">
        <v>0</v>
      </c>
      <c r="E117" s="167">
        <v>0</v>
      </c>
      <c r="F117" s="167">
        <v>0</v>
      </c>
      <c r="G117" s="167">
        <v>0</v>
      </c>
      <c r="H117" s="167">
        <v>0</v>
      </c>
      <c r="I117" s="167">
        <v>0</v>
      </c>
      <c r="J117" s="167">
        <v>0</v>
      </c>
      <c r="K117" s="167">
        <v>0</v>
      </c>
      <c r="L117" s="167">
        <v>0</v>
      </c>
      <c r="M117" s="167">
        <v>0</v>
      </c>
      <c r="N117" s="167">
        <v>0</v>
      </c>
      <c r="O117" s="167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8" t="e">
        <v>#DIV/0!</v>
      </c>
      <c r="V117" s="167">
        <v>0</v>
      </c>
      <c r="W117" s="167">
        <v>0</v>
      </c>
      <c r="X117" s="167">
        <v>0</v>
      </c>
      <c r="Y117" s="167">
        <v>0</v>
      </c>
      <c r="Z117" s="167">
        <v>0</v>
      </c>
      <c r="AA117" s="167">
        <v>0</v>
      </c>
    </row>
    <row r="118" spans="1:27" ht="12" customHeight="1" x14ac:dyDescent="0.25">
      <c r="A118" s="155" t="s">
        <v>1211</v>
      </c>
      <c r="B118" s="155" t="s">
        <v>509</v>
      </c>
      <c r="C118" s="167">
        <v>0</v>
      </c>
      <c r="D118" s="167">
        <v>0</v>
      </c>
      <c r="E118" s="167">
        <v>0</v>
      </c>
      <c r="F118" s="167">
        <v>0</v>
      </c>
      <c r="G118" s="167">
        <v>0</v>
      </c>
      <c r="H118" s="167">
        <v>0</v>
      </c>
      <c r="I118" s="167">
        <v>0</v>
      </c>
      <c r="J118" s="167">
        <v>0</v>
      </c>
      <c r="K118" s="167">
        <v>0</v>
      </c>
      <c r="L118" s="167">
        <v>0</v>
      </c>
      <c r="M118" s="167">
        <v>0</v>
      </c>
      <c r="N118" s="167">
        <v>0</v>
      </c>
      <c r="O118" s="167">
        <v>0</v>
      </c>
      <c r="P118" s="167">
        <v>0</v>
      </c>
      <c r="Q118" s="167">
        <v>0</v>
      </c>
      <c r="R118" s="167">
        <v>0</v>
      </c>
      <c r="S118" s="167">
        <v>0</v>
      </c>
      <c r="T118" s="167">
        <v>0</v>
      </c>
      <c r="U118" s="168" t="e">
        <v>#DIV/0!</v>
      </c>
      <c r="V118" s="167">
        <v>0</v>
      </c>
      <c r="W118" s="167">
        <v>0</v>
      </c>
      <c r="X118" s="167">
        <v>0</v>
      </c>
      <c r="Y118" s="167">
        <v>0</v>
      </c>
      <c r="Z118" s="167">
        <v>0</v>
      </c>
      <c r="AA118" s="167">
        <v>0</v>
      </c>
    </row>
    <row r="119" spans="1:27" ht="12" customHeight="1" x14ac:dyDescent="0.25">
      <c r="A119" s="155" t="s">
        <v>1212</v>
      </c>
      <c r="B119" s="155" t="s">
        <v>510</v>
      </c>
      <c r="C119" s="167">
        <v>0</v>
      </c>
      <c r="D119" s="167">
        <v>0</v>
      </c>
      <c r="E119" s="167">
        <v>0</v>
      </c>
      <c r="F119" s="167">
        <v>0</v>
      </c>
      <c r="G119" s="167">
        <v>0</v>
      </c>
      <c r="H119" s="167">
        <v>0</v>
      </c>
      <c r="I119" s="167">
        <v>0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</v>
      </c>
      <c r="R119" s="167">
        <v>0</v>
      </c>
      <c r="S119" s="167">
        <v>0</v>
      </c>
      <c r="T119" s="167">
        <v>0</v>
      </c>
      <c r="U119" s="168" t="e">
        <v>#DIV/0!</v>
      </c>
      <c r="V119" s="167">
        <v>0</v>
      </c>
      <c r="W119" s="167">
        <v>0</v>
      </c>
      <c r="X119" s="167">
        <v>0</v>
      </c>
      <c r="Y119" s="167">
        <v>0</v>
      </c>
      <c r="Z119" s="167">
        <v>0</v>
      </c>
      <c r="AA119" s="167">
        <v>0</v>
      </c>
    </row>
    <row r="120" spans="1:27" ht="12" customHeight="1" x14ac:dyDescent="0.25">
      <c r="A120" s="155"/>
      <c r="B120" s="162" t="s">
        <v>511</v>
      </c>
      <c r="C120" s="163">
        <v>0</v>
      </c>
      <c r="D120" s="163">
        <v>0</v>
      </c>
      <c r="E120" s="163">
        <v>0</v>
      </c>
      <c r="F120" s="163">
        <v>0</v>
      </c>
      <c r="G120" s="163">
        <v>0</v>
      </c>
      <c r="H120" s="163">
        <v>0</v>
      </c>
      <c r="I120" s="163">
        <v>0</v>
      </c>
      <c r="J120" s="163">
        <v>0</v>
      </c>
      <c r="K120" s="163">
        <v>0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3">
        <v>0</v>
      </c>
      <c r="R120" s="163">
        <v>0</v>
      </c>
      <c r="S120" s="163">
        <v>0</v>
      </c>
      <c r="T120" s="164">
        <v>0</v>
      </c>
      <c r="U120" s="165" t="e">
        <v>#DIV/0!</v>
      </c>
      <c r="V120" s="164">
        <v>0</v>
      </c>
      <c r="W120" s="164">
        <v>0</v>
      </c>
      <c r="X120" s="164">
        <v>0</v>
      </c>
      <c r="Y120" s="164">
        <v>0</v>
      </c>
      <c r="Z120" s="164">
        <v>0</v>
      </c>
      <c r="AA120" s="164">
        <v>0</v>
      </c>
    </row>
    <row r="121" spans="1:27" ht="12" customHeight="1" x14ac:dyDescent="0.25">
      <c r="A121" s="155" t="s">
        <v>1213</v>
      </c>
      <c r="B121" s="155" t="s">
        <v>512</v>
      </c>
      <c r="C121" s="167">
        <v>0</v>
      </c>
      <c r="D121" s="167">
        <v>0</v>
      </c>
      <c r="E121" s="167">
        <v>0</v>
      </c>
      <c r="F121" s="167">
        <v>0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0</v>
      </c>
      <c r="M121" s="167">
        <v>0</v>
      </c>
      <c r="N121" s="167">
        <v>0</v>
      </c>
      <c r="O121" s="167">
        <v>0</v>
      </c>
      <c r="P121" s="167">
        <v>0</v>
      </c>
      <c r="Q121" s="167">
        <v>0</v>
      </c>
      <c r="R121" s="167">
        <v>0</v>
      </c>
      <c r="S121" s="167">
        <v>0</v>
      </c>
      <c r="T121" s="167">
        <v>0</v>
      </c>
      <c r="U121" s="168" t="e">
        <v>#DIV/0!</v>
      </c>
      <c r="V121" s="167">
        <v>0</v>
      </c>
      <c r="W121" s="167">
        <v>0</v>
      </c>
      <c r="X121" s="167">
        <v>0</v>
      </c>
      <c r="Y121" s="167">
        <v>0</v>
      </c>
      <c r="Z121" s="167">
        <v>0</v>
      </c>
      <c r="AA121" s="167">
        <v>0</v>
      </c>
    </row>
    <row r="122" spans="1:27" ht="12" customHeight="1" x14ac:dyDescent="0.25">
      <c r="A122" s="155" t="s">
        <v>1214</v>
      </c>
      <c r="B122" s="155" t="s">
        <v>513</v>
      </c>
      <c r="C122" s="167">
        <v>0</v>
      </c>
      <c r="D122" s="167">
        <v>0</v>
      </c>
      <c r="E122" s="167">
        <v>0</v>
      </c>
      <c r="F122" s="167">
        <v>0</v>
      </c>
      <c r="G122" s="167">
        <v>0</v>
      </c>
      <c r="H122" s="167">
        <v>0</v>
      </c>
      <c r="I122" s="167">
        <v>0</v>
      </c>
      <c r="J122" s="167">
        <v>0</v>
      </c>
      <c r="K122" s="167">
        <v>0</v>
      </c>
      <c r="L122" s="167">
        <v>0</v>
      </c>
      <c r="M122" s="167">
        <v>0</v>
      </c>
      <c r="N122" s="167">
        <v>0</v>
      </c>
      <c r="O122" s="167">
        <v>0</v>
      </c>
      <c r="P122" s="167">
        <v>0</v>
      </c>
      <c r="Q122" s="167">
        <v>0</v>
      </c>
      <c r="R122" s="167">
        <v>0</v>
      </c>
      <c r="S122" s="167">
        <v>0</v>
      </c>
      <c r="T122" s="167">
        <v>0</v>
      </c>
      <c r="U122" s="168" t="e">
        <v>#DIV/0!</v>
      </c>
      <c r="V122" s="167">
        <v>0</v>
      </c>
      <c r="W122" s="167">
        <v>0</v>
      </c>
      <c r="X122" s="167">
        <v>0</v>
      </c>
      <c r="Y122" s="167">
        <v>0</v>
      </c>
      <c r="Z122" s="167">
        <v>0</v>
      </c>
      <c r="AA122" s="167">
        <v>0</v>
      </c>
    </row>
    <row r="123" spans="1:27" ht="12" customHeight="1" x14ac:dyDescent="0.25">
      <c r="A123" s="155" t="s">
        <v>1215</v>
      </c>
      <c r="B123" s="162" t="s">
        <v>514</v>
      </c>
      <c r="C123" s="164">
        <v>0</v>
      </c>
      <c r="D123" s="164">
        <v>0</v>
      </c>
      <c r="E123" s="164">
        <v>0</v>
      </c>
      <c r="F123" s="164">
        <v>0</v>
      </c>
      <c r="G123" s="164">
        <v>0</v>
      </c>
      <c r="H123" s="164">
        <v>0</v>
      </c>
      <c r="I123" s="164">
        <v>0</v>
      </c>
      <c r="J123" s="164">
        <v>0</v>
      </c>
      <c r="K123" s="164">
        <v>0</v>
      </c>
      <c r="L123" s="164">
        <v>0</v>
      </c>
      <c r="M123" s="164">
        <v>0</v>
      </c>
      <c r="N123" s="164">
        <v>0</v>
      </c>
      <c r="O123" s="164">
        <v>0</v>
      </c>
      <c r="P123" s="164">
        <v>0</v>
      </c>
      <c r="Q123" s="164">
        <v>0</v>
      </c>
      <c r="R123" s="164">
        <v>0</v>
      </c>
      <c r="S123" s="164">
        <v>0</v>
      </c>
      <c r="T123" s="164">
        <v>0</v>
      </c>
      <c r="U123" s="165" t="e">
        <v>#DIV/0!</v>
      </c>
      <c r="V123" s="164">
        <v>0</v>
      </c>
      <c r="W123" s="164">
        <v>0</v>
      </c>
      <c r="X123" s="164">
        <v>0</v>
      </c>
      <c r="Y123" s="164">
        <v>0</v>
      </c>
      <c r="Z123" s="164">
        <v>0</v>
      </c>
      <c r="AA123" s="164">
        <v>0</v>
      </c>
    </row>
    <row r="124" spans="1:27" ht="12" customHeight="1" x14ac:dyDescent="0.25">
      <c r="A124" s="155"/>
      <c r="B124" s="162" t="s">
        <v>515</v>
      </c>
      <c r="C124" s="163">
        <v>0</v>
      </c>
      <c r="D124" s="163">
        <v>0</v>
      </c>
      <c r="E124" s="163">
        <v>0</v>
      </c>
      <c r="F124" s="163">
        <v>0</v>
      </c>
      <c r="G124" s="163">
        <v>0</v>
      </c>
      <c r="H124" s="163">
        <v>0</v>
      </c>
      <c r="I124" s="163">
        <v>0</v>
      </c>
      <c r="J124" s="163">
        <v>0</v>
      </c>
      <c r="K124" s="163">
        <v>0</v>
      </c>
      <c r="L124" s="163">
        <v>0</v>
      </c>
      <c r="M124" s="163">
        <v>0</v>
      </c>
      <c r="N124" s="163">
        <v>0</v>
      </c>
      <c r="O124" s="163">
        <v>0</v>
      </c>
      <c r="P124" s="163">
        <v>0</v>
      </c>
      <c r="Q124" s="163">
        <v>0</v>
      </c>
      <c r="R124" s="163">
        <v>0</v>
      </c>
      <c r="S124" s="163">
        <v>0</v>
      </c>
      <c r="T124" s="164">
        <v>0</v>
      </c>
      <c r="U124" s="165" t="e">
        <v>#DIV/0!</v>
      </c>
      <c r="V124" s="164">
        <v>0</v>
      </c>
      <c r="W124" s="164">
        <v>0</v>
      </c>
      <c r="X124" s="164">
        <v>0</v>
      </c>
      <c r="Y124" s="164">
        <v>0</v>
      </c>
      <c r="Z124" s="164">
        <v>0</v>
      </c>
      <c r="AA124" s="164">
        <v>0</v>
      </c>
    </row>
    <row r="125" spans="1:27" ht="12" customHeight="1" x14ac:dyDescent="0.25">
      <c r="A125" s="155" t="s">
        <v>1216</v>
      </c>
      <c r="B125" s="155" t="s">
        <v>516</v>
      </c>
      <c r="C125" s="167">
        <v>0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0</v>
      </c>
      <c r="O125" s="167">
        <v>0</v>
      </c>
      <c r="P125" s="167">
        <v>0</v>
      </c>
      <c r="Q125" s="167">
        <v>0</v>
      </c>
      <c r="R125" s="167">
        <v>0</v>
      </c>
      <c r="S125" s="167">
        <v>0</v>
      </c>
      <c r="T125" s="167">
        <v>0</v>
      </c>
      <c r="U125" s="168" t="e">
        <v>#DIV/0!</v>
      </c>
      <c r="V125" s="167">
        <v>0</v>
      </c>
      <c r="W125" s="167">
        <v>0</v>
      </c>
      <c r="X125" s="167">
        <v>0</v>
      </c>
      <c r="Y125" s="167">
        <v>0</v>
      </c>
      <c r="Z125" s="167">
        <v>0</v>
      </c>
      <c r="AA125" s="167">
        <v>0</v>
      </c>
    </row>
    <row r="126" spans="1:27" ht="12" customHeight="1" x14ac:dyDescent="0.25">
      <c r="A126" s="155" t="s">
        <v>1217</v>
      </c>
      <c r="B126" s="155" t="s">
        <v>517</v>
      </c>
      <c r="C126" s="167">
        <v>0</v>
      </c>
      <c r="D126" s="167">
        <v>0</v>
      </c>
      <c r="E126" s="167">
        <v>0</v>
      </c>
      <c r="F126" s="167">
        <v>0</v>
      </c>
      <c r="G126" s="167">
        <v>0</v>
      </c>
      <c r="H126" s="167">
        <v>0</v>
      </c>
      <c r="I126" s="167">
        <v>0</v>
      </c>
      <c r="J126" s="167">
        <v>0</v>
      </c>
      <c r="K126" s="167">
        <v>0</v>
      </c>
      <c r="L126" s="167">
        <v>0</v>
      </c>
      <c r="M126" s="167">
        <v>0</v>
      </c>
      <c r="N126" s="167">
        <v>0</v>
      </c>
      <c r="O126" s="167">
        <v>0</v>
      </c>
      <c r="P126" s="167">
        <v>0</v>
      </c>
      <c r="Q126" s="167">
        <v>0</v>
      </c>
      <c r="R126" s="167">
        <v>0</v>
      </c>
      <c r="S126" s="167">
        <v>0</v>
      </c>
      <c r="T126" s="167">
        <v>0</v>
      </c>
      <c r="U126" s="168" t="e">
        <v>#DIV/0!</v>
      </c>
      <c r="V126" s="167">
        <v>0</v>
      </c>
      <c r="W126" s="167">
        <v>0</v>
      </c>
      <c r="X126" s="167">
        <v>0</v>
      </c>
      <c r="Y126" s="167">
        <v>0</v>
      </c>
      <c r="Z126" s="167">
        <v>0</v>
      </c>
      <c r="AA126" s="167">
        <v>0</v>
      </c>
    </row>
    <row r="127" spans="1:27" ht="12" customHeight="1" x14ac:dyDescent="0.25">
      <c r="A127" s="155"/>
      <c r="B127" s="162" t="s">
        <v>518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3">
        <v>0</v>
      </c>
      <c r="R127" s="163">
        <v>0</v>
      </c>
      <c r="S127" s="163">
        <v>0</v>
      </c>
      <c r="T127" s="164">
        <v>0</v>
      </c>
      <c r="U127" s="165" t="e">
        <v>#DIV/0!</v>
      </c>
      <c r="V127" s="164">
        <v>0</v>
      </c>
      <c r="W127" s="164">
        <v>0</v>
      </c>
      <c r="X127" s="164">
        <v>0</v>
      </c>
      <c r="Y127" s="164">
        <v>0</v>
      </c>
      <c r="Z127" s="164">
        <v>0</v>
      </c>
      <c r="AA127" s="164">
        <v>0</v>
      </c>
    </row>
    <row r="128" spans="1:27" ht="12" customHeight="1" x14ac:dyDescent="0.25">
      <c r="A128" s="155" t="s">
        <v>1218</v>
      </c>
      <c r="B128" s="155" t="s">
        <v>519</v>
      </c>
      <c r="C128" s="167">
        <v>0</v>
      </c>
      <c r="D128" s="167">
        <v>0</v>
      </c>
      <c r="E128" s="167">
        <v>0</v>
      </c>
      <c r="F128" s="167">
        <v>0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7">
        <v>0</v>
      </c>
      <c r="P128" s="167">
        <v>0</v>
      </c>
      <c r="Q128" s="167">
        <v>0</v>
      </c>
      <c r="R128" s="167">
        <v>0</v>
      </c>
      <c r="S128" s="167">
        <v>0</v>
      </c>
      <c r="T128" s="167">
        <v>0</v>
      </c>
      <c r="U128" s="168" t="e">
        <v>#DIV/0!</v>
      </c>
      <c r="V128" s="167">
        <v>0</v>
      </c>
      <c r="W128" s="167">
        <v>0</v>
      </c>
      <c r="X128" s="167">
        <v>0</v>
      </c>
      <c r="Y128" s="167">
        <v>0</v>
      </c>
      <c r="Z128" s="167">
        <v>0</v>
      </c>
      <c r="AA128" s="167">
        <v>0</v>
      </c>
    </row>
    <row r="129" spans="1:27" ht="12" customHeight="1" x14ac:dyDescent="0.25">
      <c r="A129" s="155" t="s">
        <v>1219</v>
      </c>
      <c r="B129" s="155" t="s">
        <v>520</v>
      </c>
      <c r="C129" s="167">
        <v>0</v>
      </c>
      <c r="D129" s="167">
        <v>0</v>
      </c>
      <c r="E129" s="167">
        <v>0</v>
      </c>
      <c r="F129" s="167">
        <v>0</v>
      </c>
      <c r="G129" s="167">
        <v>0</v>
      </c>
      <c r="H129" s="167">
        <v>0</v>
      </c>
      <c r="I129" s="167">
        <v>0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0</v>
      </c>
      <c r="S129" s="167">
        <v>0</v>
      </c>
      <c r="T129" s="167">
        <v>0</v>
      </c>
      <c r="U129" s="168" t="e">
        <v>#DIV/0!</v>
      </c>
      <c r="V129" s="167">
        <v>0</v>
      </c>
      <c r="W129" s="167">
        <v>0</v>
      </c>
      <c r="X129" s="167">
        <v>0</v>
      </c>
      <c r="Y129" s="167">
        <v>0</v>
      </c>
      <c r="Z129" s="167">
        <v>0</v>
      </c>
      <c r="AA129" s="167">
        <v>0</v>
      </c>
    </row>
    <row r="130" spans="1:27" ht="12" customHeight="1" x14ac:dyDescent="0.25">
      <c r="A130" s="155"/>
      <c r="B130" s="162" t="s">
        <v>521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3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3">
        <v>0</v>
      </c>
      <c r="R130" s="163">
        <v>0</v>
      </c>
      <c r="S130" s="163">
        <v>0</v>
      </c>
      <c r="T130" s="164">
        <v>0</v>
      </c>
      <c r="U130" s="165" t="e">
        <v>#DIV/0!</v>
      </c>
      <c r="V130" s="164">
        <v>0</v>
      </c>
      <c r="W130" s="164">
        <v>0</v>
      </c>
      <c r="X130" s="164">
        <v>0</v>
      </c>
      <c r="Y130" s="164">
        <v>0</v>
      </c>
      <c r="Z130" s="164">
        <v>0</v>
      </c>
      <c r="AA130" s="164">
        <v>0</v>
      </c>
    </row>
    <row r="131" spans="1:27" ht="12" customHeight="1" x14ac:dyDescent="0.25">
      <c r="A131" s="155" t="s">
        <v>1220</v>
      </c>
      <c r="B131" s="166" t="s">
        <v>522</v>
      </c>
      <c r="C131" s="167">
        <v>0</v>
      </c>
      <c r="D131" s="167">
        <v>0</v>
      </c>
      <c r="E131" s="167">
        <v>0</v>
      </c>
      <c r="F131" s="167">
        <v>0</v>
      </c>
      <c r="G131" s="167">
        <v>0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8" t="e">
        <v>#DIV/0!</v>
      </c>
      <c r="V131" s="167">
        <v>0</v>
      </c>
      <c r="W131" s="167">
        <v>0</v>
      </c>
      <c r="X131" s="167">
        <v>0</v>
      </c>
      <c r="Y131" s="167">
        <v>0</v>
      </c>
      <c r="Z131" s="167">
        <v>0</v>
      </c>
      <c r="AA131" s="167">
        <v>0</v>
      </c>
    </row>
    <row r="132" spans="1:27" ht="12" customHeight="1" x14ac:dyDescent="0.25">
      <c r="A132" s="155" t="s">
        <v>1221</v>
      </c>
      <c r="B132" s="166" t="s">
        <v>523</v>
      </c>
      <c r="C132" s="167">
        <v>0</v>
      </c>
      <c r="D132" s="167">
        <v>0</v>
      </c>
      <c r="E132" s="167">
        <v>0</v>
      </c>
      <c r="F132" s="167">
        <v>0</v>
      </c>
      <c r="G132" s="167">
        <v>0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7">
        <v>0</v>
      </c>
      <c r="O132" s="167">
        <v>0</v>
      </c>
      <c r="P132" s="167">
        <v>0</v>
      </c>
      <c r="Q132" s="167">
        <v>0</v>
      </c>
      <c r="R132" s="167">
        <v>0</v>
      </c>
      <c r="S132" s="167">
        <v>0</v>
      </c>
      <c r="T132" s="167">
        <v>0</v>
      </c>
      <c r="U132" s="168" t="e">
        <v>#DIV/0!</v>
      </c>
      <c r="V132" s="167">
        <v>0</v>
      </c>
      <c r="W132" s="167">
        <v>0</v>
      </c>
      <c r="X132" s="167">
        <v>0</v>
      </c>
      <c r="Y132" s="167">
        <v>0</v>
      </c>
      <c r="Z132" s="167">
        <v>0</v>
      </c>
      <c r="AA132" s="167">
        <v>0</v>
      </c>
    </row>
    <row r="133" spans="1:27" ht="12" customHeight="1" x14ac:dyDescent="0.25">
      <c r="A133" s="155" t="s">
        <v>1222</v>
      </c>
      <c r="B133" s="166" t="s">
        <v>524</v>
      </c>
      <c r="C133" s="167">
        <v>0</v>
      </c>
      <c r="D133" s="167">
        <v>0</v>
      </c>
      <c r="E133" s="167">
        <v>0</v>
      </c>
      <c r="F133" s="167">
        <v>0</v>
      </c>
      <c r="G133" s="167">
        <v>0</v>
      </c>
      <c r="H133" s="167">
        <v>0</v>
      </c>
      <c r="I133" s="167">
        <v>0</v>
      </c>
      <c r="J133" s="167">
        <v>0</v>
      </c>
      <c r="K133" s="167">
        <v>0</v>
      </c>
      <c r="L133" s="167">
        <v>0</v>
      </c>
      <c r="M133" s="167">
        <v>0</v>
      </c>
      <c r="N133" s="167">
        <v>0</v>
      </c>
      <c r="O133" s="167">
        <v>0</v>
      </c>
      <c r="P133" s="167">
        <v>0</v>
      </c>
      <c r="Q133" s="167">
        <v>0</v>
      </c>
      <c r="R133" s="167">
        <v>0</v>
      </c>
      <c r="S133" s="167">
        <v>0</v>
      </c>
      <c r="T133" s="167">
        <v>0</v>
      </c>
      <c r="U133" s="168" t="e">
        <v>#DIV/0!</v>
      </c>
      <c r="V133" s="167">
        <v>0</v>
      </c>
      <c r="W133" s="167">
        <v>0</v>
      </c>
      <c r="X133" s="167">
        <v>0</v>
      </c>
      <c r="Y133" s="167">
        <v>0</v>
      </c>
      <c r="Z133" s="167">
        <v>0</v>
      </c>
      <c r="AA133" s="167">
        <v>0</v>
      </c>
    </row>
    <row r="134" spans="1:27" ht="12" customHeight="1" x14ac:dyDescent="0.25">
      <c r="A134" s="155"/>
      <c r="B134" s="162" t="s">
        <v>525</v>
      </c>
      <c r="C134" s="163">
        <v>0</v>
      </c>
      <c r="D134" s="163">
        <v>0</v>
      </c>
      <c r="E134" s="163">
        <v>0</v>
      </c>
      <c r="F134" s="163">
        <v>0</v>
      </c>
      <c r="G134" s="163">
        <v>0</v>
      </c>
      <c r="H134" s="163">
        <v>0</v>
      </c>
      <c r="I134" s="163">
        <v>0</v>
      </c>
      <c r="J134" s="163">
        <v>0</v>
      </c>
      <c r="K134" s="163">
        <v>0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3">
        <v>0</v>
      </c>
      <c r="R134" s="163">
        <v>0</v>
      </c>
      <c r="S134" s="163">
        <v>0</v>
      </c>
      <c r="T134" s="164">
        <v>0</v>
      </c>
      <c r="U134" s="165" t="e">
        <v>#DIV/0!</v>
      </c>
      <c r="V134" s="164">
        <v>0</v>
      </c>
      <c r="W134" s="164">
        <v>0</v>
      </c>
      <c r="X134" s="164">
        <v>0</v>
      </c>
      <c r="Y134" s="164">
        <v>0</v>
      </c>
      <c r="Z134" s="164">
        <v>0</v>
      </c>
      <c r="AA134" s="164">
        <v>0</v>
      </c>
    </row>
    <row r="135" spans="1:27" ht="12" customHeight="1" x14ac:dyDescent="0.25">
      <c r="A135" s="155" t="s">
        <v>1223</v>
      </c>
      <c r="B135" s="155" t="s">
        <v>526</v>
      </c>
      <c r="C135" s="167">
        <v>0</v>
      </c>
      <c r="D135" s="167">
        <v>0</v>
      </c>
      <c r="E135" s="167">
        <v>0</v>
      </c>
      <c r="F135" s="167">
        <v>0</v>
      </c>
      <c r="G135" s="167">
        <v>0</v>
      </c>
      <c r="H135" s="167">
        <v>0</v>
      </c>
      <c r="I135" s="167">
        <v>0</v>
      </c>
      <c r="J135" s="167">
        <v>0</v>
      </c>
      <c r="K135" s="167">
        <v>0</v>
      </c>
      <c r="L135" s="167">
        <v>0</v>
      </c>
      <c r="M135" s="167">
        <v>0</v>
      </c>
      <c r="N135" s="167">
        <v>0</v>
      </c>
      <c r="O135" s="167">
        <v>0</v>
      </c>
      <c r="P135" s="167">
        <v>0</v>
      </c>
      <c r="Q135" s="167">
        <v>0</v>
      </c>
      <c r="R135" s="167">
        <v>0</v>
      </c>
      <c r="S135" s="167">
        <v>0</v>
      </c>
      <c r="T135" s="167">
        <v>0</v>
      </c>
      <c r="U135" s="168" t="e">
        <v>#DIV/0!</v>
      </c>
      <c r="V135" s="167">
        <v>0</v>
      </c>
      <c r="W135" s="167">
        <v>0</v>
      </c>
      <c r="X135" s="167">
        <v>0</v>
      </c>
      <c r="Y135" s="167">
        <v>0</v>
      </c>
      <c r="Z135" s="167">
        <v>0</v>
      </c>
      <c r="AA135" s="167">
        <v>0</v>
      </c>
    </row>
    <row r="136" spans="1:27" ht="12" customHeight="1" x14ac:dyDescent="0.25">
      <c r="A136" s="155" t="s">
        <v>1224</v>
      </c>
      <c r="B136" s="155" t="s">
        <v>527</v>
      </c>
      <c r="C136" s="167">
        <v>0</v>
      </c>
      <c r="D136" s="167">
        <v>0</v>
      </c>
      <c r="E136" s="167">
        <v>0</v>
      </c>
      <c r="F136" s="167">
        <v>0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0</v>
      </c>
      <c r="M136" s="167">
        <v>0</v>
      </c>
      <c r="N136" s="167">
        <v>0</v>
      </c>
      <c r="O136" s="167">
        <v>0</v>
      </c>
      <c r="P136" s="167">
        <v>0</v>
      </c>
      <c r="Q136" s="167">
        <v>0</v>
      </c>
      <c r="R136" s="167">
        <v>0</v>
      </c>
      <c r="S136" s="167">
        <v>0</v>
      </c>
      <c r="T136" s="167">
        <v>0</v>
      </c>
      <c r="U136" s="168" t="e">
        <v>#DIV/0!</v>
      </c>
      <c r="V136" s="167">
        <v>0</v>
      </c>
      <c r="W136" s="167">
        <v>0</v>
      </c>
      <c r="X136" s="167">
        <v>0</v>
      </c>
      <c r="Y136" s="167">
        <v>0</v>
      </c>
      <c r="Z136" s="167">
        <v>0</v>
      </c>
      <c r="AA136" s="167">
        <v>0</v>
      </c>
    </row>
    <row r="137" spans="1:27" ht="12" customHeight="1" x14ac:dyDescent="0.25">
      <c r="A137" s="155" t="s">
        <v>1225</v>
      </c>
      <c r="B137" s="155" t="s">
        <v>528</v>
      </c>
      <c r="C137" s="167">
        <v>0</v>
      </c>
      <c r="D137" s="167">
        <v>0</v>
      </c>
      <c r="E137" s="167">
        <v>0</v>
      </c>
      <c r="F137" s="167">
        <v>0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0</v>
      </c>
      <c r="M137" s="167">
        <v>0</v>
      </c>
      <c r="N137" s="167">
        <v>0</v>
      </c>
      <c r="O137" s="167">
        <v>0</v>
      </c>
      <c r="P137" s="167">
        <v>0</v>
      </c>
      <c r="Q137" s="167">
        <v>0</v>
      </c>
      <c r="R137" s="167">
        <v>0</v>
      </c>
      <c r="S137" s="167">
        <v>0</v>
      </c>
      <c r="T137" s="167">
        <v>0</v>
      </c>
      <c r="U137" s="168" t="e">
        <v>#DIV/0!</v>
      </c>
      <c r="V137" s="167">
        <v>0</v>
      </c>
      <c r="W137" s="167">
        <v>0</v>
      </c>
      <c r="X137" s="167">
        <v>0</v>
      </c>
      <c r="Y137" s="167">
        <v>0</v>
      </c>
      <c r="Z137" s="167">
        <v>0</v>
      </c>
      <c r="AA137" s="167">
        <v>0</v>
      </c>
    </row>
    <row r="138" spans="1:27" ht="12" customHeight="1" x14ac:dyDescent="0.25">
      <c r="A138" s="155" t="s">
        <v>1226</v>
      </c>
      <c r="B138" s="155" t="s">
        <v>529</v>
      </c>
      <c r="C138" s="167">
        <v>0</v>
      </c>
      <c r="D138" s="167">
        <v>0</v>
      </c>
      <c r="E138" s="167">
        <v>0</v>
      </c>
      <c r="F138" s="167">
        <v>0</v>
      </c>
      <c r="G138" s="167">
        <v>0</v>
      </c>
      <c r="H138" s="167">
        <v>0</v>
      </c>
      <c r="I138" s="167">
        <v>0</v>
      </c>
      <c r="J138" s="167">
        <v>0</v>
      </c>
      <c r="K138" s="167">
        <v>0</v>
      </c>
      <c r="L138" s="167">
        <v>0</v>
      </c>
      <c r="M138" s="167">
        <v>0</v>
      </c>
      <c r="N138" s="167">
        <v>0</v>
      </c>
      <c r="O138" s="167">
        <v>0</v>
      </c>
      <c r="P138" s="167">
        <v>0</v>
      </c>
      <c r="Q138" s="167">
        <v>0</v>
      </c>
      <c r="R138" s="167">
        <v>0</v>
      </c>
      <c r="S138" s="167">
        <v>0</v>
      </c>
      <c r="T138" s="167">
        <v>0</v>
      </c>
      <c r="U138" s="168" t="e">
        <v>#DIV/0!</v>
      </c>
      <c r="V138" s="167">
        <v>0</v>
      </c>
      <c r="W138" s="167">
        <v>0</v>
      </c>
      <c r="X138" s="167">
        <v>0</v>
      </c>
      <c r="Y138" s="167">
        <v>0</v>
      </c>
      <c r="Z138" s="167">
        <v>0</v>
      </c>
      <c r="AA138" s="167">
        <v>0</v>
      </c>
    </row>
    <row r="139" spans="1:27" ht="12" customHeight="1" x14ac:dyDescent="0.25">
      <c r="A139" s="155" t="s">
        <v>1227</v>
      </c>
      <c r="B139" s="155" t="s">
        <v>530</v>
      </c>
      <c r="C139" s="167">
        <v>0</v>
      </c>
      <c r="D139" s="167">
        <v>0</v>
      </c>
      <c r="E139" s="167">
        <v>0</v>
      </c>
      <c r="F139" s="167">
        <v>0</v>
      </c>
      <c r="G139" s="167">
        <v>0</v>
      </c>
      <c r="H139" s="167">
        <v>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0</v>
      </c>
      <c r="O139" s="167">
        <v>0</v>
      </c>
      <c r="P139" s="167">
        <v>0</v>
      </c>
      <c r="Q139" s="167">
        <v>0</v>
      </c>
      <c r="R139" s="167">
        <v>0</v>
      </c>
      <c r="S139" s="167">
        <v>0</v>
      </c>
      <c r="T139" s="167">
        <v>0</v>
      </c>
      <c r="U139" s="168" t="e">
        <v>#DIV/0!</v>
      </c>
      <c r="V139" s="167">
        <v>0</v>
      </c>
      <c r="W139" s="167">
        <v>0</v>
      </c>
      <c r="X139" s="167">
        <v>0</v>
      </c>
      <c r="Y139" s="167">
        <v>0</v>
      </c>
      <c r="Z139" s="167">
        <v>0</v>
      </c>
      <c r="AA139" s="167">
        <v>0</v>
      </c>
    </row>
    <row r="140" spans="1:27" ht="12" customHeight="1" x14ac:dyDescent="0.25">
      <c r="A140" s="155" t="s">
        <v>1228</v>
      </c>
      <c r="B140" s="155" t="s">
        <v>531</v>
      </c>
      <c r="C140" s="167">
        <v>0</v>
      </c>
      <c r="D140" s="167">
        <v>0</v>
      </c>
      <c r="E140" s="167">
        <v>0</v>
      </c>
      <c r="F140" s="167">
        <v>0</v>
      </c>
      <c r="G140" s="167">
        <v>0</v>
      </c>
      <c r="H140" s="167">
        <v>0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67">
        <v>0</v>
      </c>
      <c r="U140" s="168" t="e">
        <v>#DIV/0!</v>
      </c>
      <c r="V140" s="167">
        <v>0</v>
      </c>
      <c r="W140" s="167">
        <v>0</v>
      </c>
      <c r="X140" s="167">
        <v>0</v>
      </c>
      <c r="Y140" s="167">
        <v>0</v>
      </c>
      <c r="Z140" s="167">
        <v>0</v>
      </c>
      <c r="AA140" s="167">
        <v>0</v>
      </c>
    </row>
    <row r="141" spans="1:27" ht="12" customHeight="1" x14ac:dyDescent="0.25">
      <c r="A141" s="155" t="s">
        <v>1229</v>
      </c>
      <c r="B141" s="155" t="s">
        <v>532</v>
      </c>
      <c r="C141" s="167">
        <v>0</v>
      </c>
      <c r="D141" s="167">
        <v>0</v>
      </c>
      <c r="E141" s="167">
        <v>0</v>
      </c>
      <c r="F141" s="167">
        <v>0</v>
      </c>
      <c r="G141" s="167">
        <v>0</v>
      </c>
      <c r="H141" s="167">
        <v>0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67">
        <v>0</v>
      </c>
      <c r="U141" s="168" t="e">
        <v>#DIV/0!</v>
      </c>
      <c r="V141" s="167">
        <v>0</v>
      </c>
      <c r="W141" s="167">
        <v>0</v>
      </c>
      <c r="X141" s="167">
        <v>0</v>
      </c>
      <c r="Y141" s="167">
        <v>0</v>
      </c>
      <c r="Z141" s="167">
        <v>0</v>
      </c>
      <c r="AA141" s="167">
        <v>0</v>
      </c>
    </row>
    <row r="142" spans="1:27" ht="12" customHeight="1" x14ac:dyDescent="0.25">
      <c r="A142" s="155" t="s">
        <v>1230</v>
      </c>
      <c r="B142" s="162" t="s">
        <v>533</v>
      </c>
      <c r="C142" s="164">
        <v>0</v>
      </c>
      <c r="D142" s="164">
        <v>0</v>
      </c>
      <c r="E142" s="164">
        <v>0</v>
      </c>
      <c r="F142" s="164">
        <v>0</v>
      </c>
      <c r="G142" s="164">
        <v>0</v>
      </c>
      <c r="H142" s="164">
        <v>0</v>
      </c>
      <c r="I142" s="164">
        <v>0</v>
      </c>
      <c r="J142" s="164">
        <v>0</v>
      </c>
      <c r="K142" s="164">
        <v>0</v>
      </c>
      <c r="L142" s="164">
        <v>0</v>
      </c>
      <c r="M142" s="164">
        <v>0</v>
      </c>
      <c r="N142" s="164">
        <v>0</v>
      </c>
      <c r="O142" s="164">
        <v>0</v>
      </c>
      <c r="P142" s="164">
        <v>0</v>
      </c>
      <c r="Q142" s="164">
        <v>0</v>
      </c>
      <c r="R142" s="164">
        <v>0</v>
      </c>
      <c r="S142" s="164">
        <v>0</v>
      </c>
      <c r="T142" s="164">
        <v>0</v>
      </c>
      <c r="U142" s="165" t="e">
        <v>#DIV/0!</v>
      </c>
      <c r="V142" s="164">
        <v>0</v>
      </c>
      <c r="W142" s="164">
        <v>0</v>
      </c>
      <c r="X142" s="164">
        <v>0</v>
      </c>
      <c r="Y142" s="164">
        <v>0</v>
      </c>
      <c r="Z142" s="164">
        <v>0</v>
      </c>
      <c r="AA142" s="164">
        <v>0</v>
      </c>
    </row>
    <row r="143" spans="1:27" ht="12" customHeight="1" x14ac:dyDescent="0.25">
      <c r="A143" s="155" t="s">
        <v>1231</v>
      </c>
      <c r="B143" s="162" t="s">
        <v>534</v>
      </c>
      <c r="C143" s="164">
        <v>0</v>
      </c>
      <c r="D143" s="164">
        <v>0</v>
      </c>
      <c r="E143" s="164">
        <v>0</v>
      </c>
      <c r="F143" s="164">
        <v>0</v>
      </c>
      <c r="G143" s="164">
        <v>0</v>
      </c>
      <c r="H143" s="164">
        <v>0</v>
      </c>
      <c r="I143" s="164">
        <v>0</v>
      </c>
      <c r="J143" s="164">
        <v>0</v>
      </c>
      <c r="K143" s="164">
        <v>0</v>
      </c>
      <c r="L143" s="164">
        <v>0</v>
      </c>
      <c r="M143" s="164">
        <v>0</v>
      </c>
      <c r="N143" s="164">
        <v>0</v>
      </c>
      <c r="O143" s="164">
        <v>0</v>
      </c>
      <c r="P143" s="164">
        <v>0</v>
      </c>
      <c r="Q143" s="164">
        <v>0</v>
      </c>
      <c r="R143" s="164">
        <v>0</v>
      </c>
      <c r="S143" s="164">
        <v>0</v>
      </c>
      <c r="T143" s="164">
        <v>0</v>
      </c>
      <c r="U143" s="165" t="e">
        <v>#DIV/0!</v>
      </c>
      <c r="V143" s="164">
        <v>0</v>
      </c>
      <c r="W143" s="164">
        <v>0</v>
      </c>
      <c r="X143" s="164">
        <v>0</v>
      </c>
      <c r="Y143" s="164">
        <v>0</v>
      </c>
      <c r="Z143" s="164">
        <v>0</v>
      </c>
      <c r="AA143" s="164">
        <v>0</v>
      </c>
    </row>
    <row r="144" spans="1:27" ht="12" customHeight="1" x14ac:dyDescent="0.25">
      <c r="A144" s="155"/>
      <c r="B144" s="162" t="s">
        <v>535</v>
      </c>
      <c r="C144" s="163">
        <v>0</v>
      </c>
      <c r="D144" s="163">
        <v>0</v>
      </c>
      <c r="E144" s="163">
        <v>0</v>
      </c>
      <c r="F144" s="163">
        <v>0</v>
      </c>
      <c r="G144" s="163">
        <v>0</v>
      </c>
      <c r="H144" s="163">
        <v>0</v>
      </c>
      <c r="I144" s="163">
        <v>0</v>
      </c>
      <c r="J144" s="163">
        <v>0</v>
      </c>
      <c r="K144" s="163">
        <v>0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3">
        <v>0</v>
      </c>
      <c r="R144" s="163">
        <v>0</v>
      </c>
      <c r="S144" s="163">
        <v>0</v>
      </c>
      <c r="T144" s="164">
        <v>0</v>
      </c>
      <c r="U144" s="165" t="e">
        <v>#DIV/0!</v>
      </c>
      <c r="V144" s="164">
        <v>0</v>
      </c>
      <c r="W144" s="164">
        <v>0</v>
      </c>
      <c r="X144" s="164">
        <v>0</v>
      </c>
      <c r="Y144" s="164">
        <v>0</v>
      </c>
      <c r="Z144" s="164">
        <v>0</v>
      </c>
      <c r="AA144" s="164">
        <v>0</v>
      </c>
    </row>
    <row r="145" spans="1:27" ht="12" customHeight="1" x14ac:dyDescent="0.25">
      <c r="A145" s="155" t="s">
        <v>1232</v>
      </c>
      <c r="B145" s="155" t="s">
        <v>536</v>
      </c>
      <c r="C145" s="167">
        <v>0</v>
      </c>
      <c r="D145" s="167">
        <v>0</v>
      </c>
      <c r="E145" s="167">
        <v>0</v>
      </c>
      <c r="F145" s="167">
        <v>0</v>
      </c>
      <c r="G145" s="167">
        <v>0</v>
      </c>
      <c r="H145" s="167">
        <v>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0</v>
      </c>
      <c r="T145" s="167">
        <v>0</v>
      </c>
      <c r="U145" s="168" t="e">
        <v>#DIV/0!</v>
      </c>
      <c r="V145" s="167">
        <v>0</v>
      </c>
      <c r="W145" s="167">
        <v>0</v>
      </c>
      <c r="X145" s="167">
        <v>0</v>
      </c>
      <c r="Y145" s="167">
        <v>0</v>
      </c>
      <c r="Z145" s="167">
        <v>0</v>
      </c>
      <c r="AA145" s="167">
        <v>0</v>
      </c>
    </row>
    <row r="146" spans="1:27" ht="12" customHeight="1" x14ac:dyDescent="0.25">
      <c r="A146" s="155" t="s">
        <v>1233</v>
      </c>
      <c r="B146" s="155" t="s">
        <v>537</v>
      </c>
      <c r="C146" s="167">
        <v>0</v>
      </c>
      <c r="D146" s="167">
        <v>0</v>
      </c>
      <c r="E146" s="167">
        <v>0</v>
      </c>
      <c r="F146" s="167">
        <v>0</v>
      </c>
      <c r="G146" s="167">
        <v>0</v>
      </c>
      <c r="H146" s="167">
        <v>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0</v>
      </c>
      <c r="O146" s="167">
        <v>0</v>
      </c>
      <c r="P146" s="167">
        <v>0</v>
      </c>
      <c r="Q146" s="167">
        <v>0</v>
      </c>
      <c r="R146" s="167">
        <v>0</v>
      </c>
      <c r="S146" s="167">
        <v>0</v>
      </c>
      <c r="T146" s="167">
        <v>0</v>
      </c>
      <c r="U146" s="168" t="e">
        <v>#DIV/0!</v>
      </c>
      <c r="V146" s="167">
        <v>0</v>
      </c>
      <c r="W146" s="167">
        <v>0</v>
      </c>
      <c r="X146" s="167">
        <v>0</v>
      </c>
      <c r="Y146" s="167">
        <v>0</v>
      </c>
      <c r="Z146" s="167">
        <v>0</v>
      </c>
      <c r="AA146" s="167">
        <v>0</v>
      </c>
    </row>
    <row r="147" spans="1:27" ht="12" customHeight="1" x14ac:dyDescent="0.25">
      <c r="A147" s="155" t="s">
        <v>1234</v>
      </c>
      <c r="B147" s="155" t="s">
        <v>538</v>
      </c>
      <c r="C147" s="167">
        <v>0</v>
      </c>
      <c r="D147" s="167">
        <v>0</v>
      </c>
      <c r="E147" s="167">
        <v>0</v>
      </c>
      <c r="F147" s="167">
        <v>0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0</v>
      </c>
      <c r="T147" s="167">
        <v>0</v>
      </c>
      <c r="U147" s="168" t="e">
        <v>#DIV/0!</v>
      </c>
      <c r="V147" s="167">
        <v>0</v>
      </c>
      <c r="W147" s="167">
        <v>0</v>
      </c>
      <c r="X147" s="167">
        <v>0</v>
      </c>
      <c r="Y147" s="167">
        <v>0</v>
      </c>
      <c r="Z147" s="167">
        <v>0</v>
      </c>
      <c r="AA147" s="167">
        <v>0</v>
      </c>
    </row>
    <row r="148" spans="1:27" ht="12" customHeight="1" x14ac:dyDescent="0.25">
      <c r="A148" s="155" t="s">
        <v>1235</v>
      </c>
      <c r="B148" s="155" t="s">
        <v>539</v>
      </c>
      <c r="C148" s="167">
        <v>0</v>
      </c>
      <c r="D148" s="167">
        <v>0</v>
      </c>
      <c r="E148" s="167">
        <v>0</v>
      </c>
      <c r="F148" s="167">
        <v>0</v>
      </c>
      <c r="G148" s="167">
        <v>0</v>
      </c>
      <c r="H148" s="167">
        <v>0</v>
      </c>
      <c r="I148" s="167">
        <v>0</v>
      </c>
      <c r="J148" s="167">
        <v>0</v>
      </c>
      <c r="K148" s="167">
        <v>0</v>
      </c>
      <c r="L148" s="167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0</v>
      </c>
      <c r="U148" s="168" t="e">
        <v>#DIV/0!</v>
      </c>
      <c r="V148" s="167">
        <v>0</v>
      </c>
      <c r="W148" s="167">
        <v>0</v>
      </c>
      <c r="X148" s="167">
        <v>0</v>
      </c>
      <c r="Y148" s="167">
        <v>0</v>
      </c>
      <c r="Z148" s="167">
        <v>0</v>
      </c>
      <c r="AA148" s="167">
        <v>0</v>
      </c>
    </row>
    <row r="149" spans="1:27" ht="12" customHeight="1" x14ac:dyDescent="0.25">
      <c r="A149" s="155" t="s">
        <v>1236</v>
      </c>
      <c r="B149" s="155" t="s">
        <v>540</v>
      </c>
      <c r="C149" s="167">
        <v>0</v>
      </c>
      <c r="D149" s="167">
        <v>0</v>
      </c>
      <c r="E149" s="167">
        <v>0</v>
      </c>
      <c r="F149" s="167">
        <v>0</v>
      </c>
      <c r="G149" s="167">
        <v>0</v>
      </c>
      <c r="H149" s="167">
        <v>0</v>
      </c>
      <c r="I149" s="167">
        <v>0</v>
      </c>
      <c r="J149" s="167">
        <v>0</v>
      </c>
      <c r="K149" s="167">
        <v>0</v>
      </c>
      <c r="L149" s="167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0</v>
      </c>
      <c r="U149" s="168" t="e">
        <v>#DIV/0!</v>
      </c>
      <c r="V149" s="167">
        <v>0</v>
      </c>
      <c r="W149" s="167">
        <v>0</v>
      </c>
      <c r="X149" s="167">
        <v>0</v>
      </c>
      <c r="Y149" s="167">
        <v>0</v>
      </c>
      <c r="Z149" s="167">
        <v>0</v>
      </c>
      <c r="AA149" s="167">
        <v>0</v>
      </c>
    </row>
    <row r="150" spans="1:27" ht="12" customHeight="1" x14ac:dyDescent="0.25">
      <c r="A150" s="155" t="s">
        <v>1237</v>
      </c>
      <c r="B150" s="155" t="s">
        <v>541</v>
      </c>
      <c r="C150" s="167">
        <v>0</v>
      </c>
      <c r="D150" s="167">
        <v>0</v>
      </c>
      <c r="E150" s="167">
        <v>0</v>
      </c>
      <c r="F150" s="167">
        <v>0</v>
      </c>
      <c r="G150" s="167">
        <v>0</v>
      </c>
      <c r="H150" s="167">
        <v>0</v>
      </c>
      <c r="I150" s="167">
        <v>0</v>
      </c>
      <c r="J150" s="167">
        <v>0</v>
      </c>
      <c r="K150" s="167">
        <v>0</v>
      </c>
      <c r="L150" s="167">
        <v>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67">
        <v>0</v>
      </c>
      <c r="U150" s="168" t="e">
        <v>#DIV/0!</v>
      </c>
      <c r="V150" s="167">
        <v>0</v>
      </c>
      <c r="W150" s="167">
        <v>0</v>
      </c>
      <c r="X150" s="167">
        <v>0</v>
      </c>
      <c r="Y150" s="167">
        <v>0</v>
      </c>
      <c r="Z150" s="167">
        <v>0</v>
      </c>
      <c r="AA150" s="167">
        <v>0</v>
      </c>
    </row>
    <row r="151" spans="1:27" ht="12" customHeight="1" x14ac:dyDescent="0.25">
      <c r="A151" s="155" t="s">
        <v>1238</v>
      </c>
      <c r="B151" s="162" t="s">
        <v>542</v>
      </c>
      <c r="C151" s="164">
        <v>0</v>
      </c>
      <c r="D151" s="164">
        <v>0</v>
      </c>
      <c r="E151" s="164">
        <v>0</v>
      </c>
      <c r="F151" s="164">
        <v>0</v>
      </c>
      <c r="G151" s="164">
        <v>0</v>
      </c>
      <c r="H151" s="164">
        <v>0</v>
      </c>
      <c r="I151" s="164">
        <v>0</v>
      </c>
      <c r="J151" s="164">
        <v>0</v>
      </c>
      <c r="K151" s="164">
        <v>0</v>
      </c>
      <c r="L151" s="164">
        <v>0</v>
      </c>
      <c r="M151" s="164">
        <v>0</v>
      </c>
      <c r="N151" s="164">
        <v>0</v>
      </c>
      <c r="O151" s="164">
        <v>0</v>
      </c>
      <c r="P151" s="164">
        <v>0</v>
      </c>
      <c r="Q151" s="164">
        <v>0</v>
      </c>
      <c r="R151" s="164">
        <v>0</v>
      </c>
      <c r="S151" s="164">
        <v>0</v>
      </c>
      <c r="T151" s="164">
        <v>0</v>
      </c>
      <c r="U151" s="165" t="e">
        <v>#DIV/0!</v>
      </c>
      <c r="V151" s="164">
        <v>0</v>
      </c>
      <c r="W151" s="164">
        <v>0</v>
      </c>
      <c r="X151" s="164">
        <v>0</v>
      </c>
      <c r="Y151" s="164">
        <v>0</v>
      </c>
      <c r="Z151" s="164">
        <v>0</v>
      </c>
      <c r="AA151" s="164">
        <v>0</v>
      </c>
    </row>
    <row r="152" spans="1:27" ht="12" customHeight="1" x14ac:dyDescent="0.25">
      <c r="A152" s="155" t="s">
        <v>1239</v>
      </c>
      <c r="B152" s="162" t="s">
        <v>543</v>
      </c>
      <c r="C152" s="164">
        <v>0</v>
      </c>
      <c r="D152" s="164">
        <v>0</v>
      </c>
      <c r="E152" s="164">
        <v>0</v>
      </c>
      <c r="F152" s="164">
        <v>0</v>
      </c>
      <c r="G152" s="164">
        <v>0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4">
        <v>0</v>
      </c>
      <c r="O152" s="164">
        <v>0</v>
      </c>
      <c r="P152" s="164">
        <v>0</v>
      </c>
      <c r="Q152" s="164">
        <v>0</v>
      </c>
      <c r="R152" s="164">
        <v>0</v>
      </c>
      <c r="S152" s="164">
        <v>0</v>
      </c>
      <c r="T152" s="164">
        <v>0</v>
      </c>
      <c r="U152" s="165" t="e">
        <v>#DIV/0!</v>
      </c>
      <c r="V152" s="164">
        <v>0</v>
      </c>
      <c r="W152" s="164">
        <v>0</v>
      </c>
      <c r="X152" s="164">
        <v>0</v>
      </c>
      <c r="Y152" s="164">
        <v>0</v>
      </c>
      <c r="Z152" s="164">
        <v>0</v>
      </c>
      <c r="AA152" s="164">
        <v>0</v>
      </c>
    </row>
    <row r="153" spans="1:27" ht="12" customHeight="1" x14ac:dyDescent="0.25">
      <c r="A153" s="155"/>
      <c r="B153" s="162" t="s">
        <v>544</v>
      </c>
      <c r="C153" s="163">
        <v>0</v>
      </c>
      <c r="D153" s="163">
        <v>0</v>
      </c>
      <c r="E153" s="163">
        <v>0</v>
      </c>
      <c r="F153" s="163">
        <v>0</v>
      </c>
      <c r="G153" s="163">
        <v>0</v>
      </c>
      <c r="H153" s="163">
        <v>0</v>
      </c>
      <c r="I153" s="163">
        <v>0</v>
      </c>
      <c r="J153" s="163">
        <v>0</v>
      </c>
      <c r="K153" s="163">
        <v>0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3">
        <v>0</v>
      </c>
      <c r="R153" s="163">
        <v>0</v>
      </c>
      <c r="S153" s="163">
        <v>0</v>
      </c>
      <c r="T153" s="164">
        <v>0</v>
      </c>
      <c r="U153" s="165" t="e">
        <v>#DIV/0!</v>
      </c>
      <c r="V153" s="164">
        <v>0</v>
      </c>
      <c r="W153" s="164">
        <v>0</v>
      </c>
      <c r="X153" s="164">
        <v>0</v>
      </c>
      <c r="Y153" s="164">
        <v>0</v>
      </c>
      <c r="Z153" s="164">
        <v>0</v>
      </c>
      <c r="AA153" s="164">
        <v>0</v>
      </c>
    </row>
    <row r="154" spans="1:27" ht="12" customHeight="1" x14ac:dyDescent="0.25">
      <c r="A154" s="155" t="s">
        <v>1240</v>
      </c>
      <c r="B154" s="155" t="s">
        <v>545</v>
      </c>
      <c r="C154" s="167">
        <v>0</v>
      </c>
      <c r="D154" s="167">
        <v>0</v>
      </c>
      <c r="E154" s="167">
        <v>0</v>
      </c>
      <c r="F154" s="167">
        <v>0</v>
      </c>
      <c r="G154" s="167">
        <v>0</v>
      </c>
      <c r="H154" s="167">
        <v>0</v>
      </c>
      <c r="I154" s="167">
        <v>0</v>
      </c>
      <c r="J154" s="167">
        <v>0</v>
      </c>
      <c r="K154" s="167">
        <v>0</v>
      </c>
      <c r="L154" s="167">
        <v>0</v>
      </c>
      <c r="M154" s="167">
        <v>0</v>
      </c>
      <c r="N154" s="167">
        <v>0</v>
      </c>
      <c r="O154" s="167">
        <v>0</v>
      </c>
      <c r="P154" s="167">
        <v>0</v>
      </c>
      <c r="Q154" s="167">
        <v>0</v>
      </c>
      <c r="R154" s="167">
        <v>0</v>
      </c>
      <c r="S154" s="167">
        <v>0</v>
      </c>
      <c r="T154" s="167">
        <v>0</v>
      </c>
      <c r="U154" s="168" t="e">
        <v>#DIV/0!</v>
      </c>
      <c r="V154" s="167">
        <v>0</v>
      </c>
      <c r="W154" s="167">
        <v>0</v>
      </c>
      <c r="X154" s="167">
        <v>0</v>
      </c>
      <c r="Y154" s="167">
        <v>0</v>
      </c>
      <c r="Z154" s="167">
        <v>0</v>
      </c>
      <c r="AA154" s="167">
        <v>0</v>
      </c>
    </row>
    <row r="155" spans="1:27" ht="12" customHeight="1" x14ac:dyDescent="0.25">
      <c r="A155" s="155" t="s">
        <v>1241</v>
      </c>
      <c r="B155" s="155" t="s">
        <v>546</v>
      </c>
      <c r="C155" s="167">
        <v>0</v>
      </c>
      <c r="D155" s="167">
        <v>0</v>
      </c>
      <c r="E155" s="167">
        <v>0</v>
      </c>
      <c r="F155" s="167">
        <v>0</v>
      </c>
      <c r="G155" s="167">
        <v>0</v>
      </c>
      <c r="H155" s="167">
        <v>0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0</v>
      </c>
      <c r="T155" s="167">
        <v>0</v>
      </c>
      <c r="U155" s="168" t="e">
        <v>#DIV/0!</v>
      </c>
      <c r="V155" s="167">
        <v>0</v>
      </c>
      <c r="W155" s="167">
        <v>0</v>
      </c>
      <c r="X155" s="167">
        <v>0</v>
      </c>
      <c r="Y155" s="167">
        <v>0</v>
      </c>
      <c r="Z155" s="167">
        <v>0</v>
      </c>
      <c r="AA155" s="167">
        <v>0</v>
      </c>
    </row>
    <row r="156" spans="1:27" ht="12" customHeight="1" x14ac:dyDescent="0.25">
      <c r="A156" s="155" t="s">
        <v>1242</v>
      </c>
      <c r="B156" s="155" t="s">
        <v>547</v>
      </c>
      <c r="C156" s="167">
        <v>0</v>
      </c>
      <c r="D156" s="167">
        <v>0</v>
      </c>
      <c r="E156" s="167">
        <v>0</v>
      </c>
      <c r="F156" s="167">
        <v>0</v>
      </c>
      <c r="G156" s="167">
        <v>0</v>
      </c>
      <c r="H156" s="167">
        <v>0</v>
      </c>
      <c r="I156" s="167">
        <v>0</v>
      </c>
      <c r="J156" s="167">
        <v>0</v>
      </c>
      <c r="K156" s="167">
        <v>0</v>
      </c>
      <c r="L156" s="167">
        <v>0</v>
      </c>
      <c r="M156" s="167">
        <v>0</v>
      </c>
      <c r="N156" s="167">
        <v>0</v>
      </c>
      <c r="O156" s="167">
        <v>0</v>
      </c>
      <c r="P156" s="167">
        <v>0</v>
      </c>
      <c r="Q156" s="167">
        <v>0</v>
      </c>
      <c r="R156" s="167">
        <v>0</v>
      </c>
      <c r="S156" s="167">
        <v>0</v>
      </c>
      <c r="T156" s="167">
        <v>0</v>
      </c>
      <c r="U156" s="168" t="e">
        <v>#DIV/0!</v>
      </c>
      <c r="V156" s="167">
        <v>0</v>
      </c>
      <c r="W156" s="167">
        <v>0</v>
      </c>
      <c r="X156" s="167">
        <v>0</v>
      </c>
      <c r="Y156" s="167">
        <v>0</v>
      </c>
      <c r="Z156" s="167">
        <v>0</v>
      </c>
      <c r="AA156" s="167">
        <v>0</v>
      </c>
    </row>
    <row r="157" spans="1:27" ht="12" customHeight="1" x14ac:dyDescent="0.25">
      <c r="A157" s="155" t="s">
        <v>1243</v>
      </c>
      <c r="B157" s="155" t="s">
        <v>548</v>
      </c>
      <c r="C157" s="167">
        <v>0</v>
      </c>
      <c r="D157" s="167">
        <v>0</v>
      </c>
      <c r="E157" s="167">
        <v>0</v>
      </c>
      <c r="F157" s="167">
        <v>0</v>
      </c>
      <c r="G157" s="167">
        <v>0</v>
      </c>
      <c r="H157" s="167">
        <v>0</v>
      </c>
      <c r="I157" s="167">
        <v>0</v>
      </c>
      <c r="J157" s="167">
        <v>0</v>
      </c>
      <c r="K157" s="167">
        <v>0</v>
      </c>
      <c r="L157" s="167">
        <v>0</v>
      </c>
      <c r="M157" s="167">
        <v>0</v>
      </c>
      <c r="N157" s="167">
        <v>0</v>
      </c>
      <c r="O157" s="167">
        <v>0</v>
      </c>
      <c r="P157" s="167">
        <v>0</v>
      </c>
      <c r="Q157" s="167">
        <v>0</v>
      </c>
      <c r="R157" s="167">
        <v>0</v>
      </c>
      <c r="S157" s="167">
        <v>0</v>
      </c>
      <c r="T157" s="167">
        <v>0</v>
      </c>
      <c r="U157" s="168" t="e">
        <v>#DIV/0!</v>
      </c>
      <c r="V157" s="167">
        <v>0</v>
      </c>
      <c r="W157" s="167">
        <v>0</v>
      </c>
      <c r="X157" s="167">
        <v>0</v>
      </c>
      <c r="Y157" s="167">
        <v>0</v>
      </c>
      <c r="Z157" s="167">
        <v>0</v>
      </c>
      <c r="AA157" s="167">
        <v>0</v>
      </c>
    </row>
    <row r="158" spans="1:27" ht="12" customHeight="1" x14ac:dyDescent="0.25">
      <c r="A158" s="155" t="s">
        <v>1244</v>
      </c>
      <c r="B158" s="155" t="s">
        <v>549</v>
      </c>
      <c r="C158" s="167">
        <v>0</v>
      </c>
      <c r="D158" s="167">
        <v>0</v>
      </c>
      <c r="E158" s="167">
        <v>0</v>
      </c>
      <c r="F158" s="167">
        <v>0</v>
      </c>
      <c r="G158" s="167">
        <v>0</v>
      </c>
      <c r="H158" s="167">
        <v>0</v>
      </c>
      <c r="I158" s="167">
        <v>0</v>
      </c>
      <c r="J158" s="167">
        <v>0</v>
      </c>
      <c r="K158" s="167">
        <v>0</v>
      </c>
      <c r="L158" s="167">
        <v>0</v>
      </c>
      <c r="M158" s="167">
        <v>0</v>
      </c>
      <c r="N158" s="167">
        <v>0</v>
      </c>
      <c r="O158" s="167">
        <v>0</v>
      </c>
      <c r="P158" s="167">
        <v>0</v>
      </c>
      <c r="Q158" s="167">
        <v>0</v>
      </c>
      <c r="R158" s="167">
        <v>0</v>
      </c>
      <c r="S158" s="167">
        <v>0</v>
      </c>
      <c r="T158" s="167">
        <v>0</v>
      </c>
      <c r="U158" s="168" t="e">
        <v>#DIV/0!</v>
      </c>
      <c r="V158" s="167">
        <v>0</v>
      </c>
      <c r="W158" s="167">
        <v>0</v>
      </c>
      <c r="X158" s="167">
        <v>0</v>
      </c>
      <c r="Y158" s="167">
        <v>0</v>
      </c>
      <c r="Z158" s="167">
        <v>0</v>
      </c>
      <c r="AA158" s="167">
        <v>0</v>
      </c>
    </row>
    <row r="159" spans="1:27" ht="12" customHeight="1" x14ac:dyDescent="0.25">
      <c r="A159" s="155" t="s">
        <v>1245</v>
      </c>
      <c r="B159" s="155" t="s">
        <v>550</v>
      </c>
      <c r="C159" s="167">
        <v>0</v>
      </c>
      <c r="D159" s="167">
        <v>0</v>
      </c>
      <c r="E159" s="167">
        <v>0</v>
      </c>
      <c r="F159" s="167">
        <v>0</v>
      </c>
      <c r="G159" s="167">
        <v>0</v>
      </c>
      <c r="H159" s="167">
        <v>0</v>
      </c>
      <c r="I159" s="167">
        <v>0</v>
      </c>
      <c r="J159" s="167">
        <v>0</v>
      </c>
      <c r="K159" s="167">
        <v>0</v>
      </c>
      <c r="L159" s="167">
        <v>0</v>
      </c>
      <c r="M159" s="167">
        <v>0</v>
      </c>
      <c r="N159" s="167">
        <v>0</v>
      </c>
      <c r="O159" s="167">
        <v>0</v>
      </c>
      <c r="P159" s="167">
        <v>0</v>
      </c>
      <c r="Q159" s="167">
        <v>0</v>
      </c>
      <c r="R159" s="167">
        <v>0</v>
      </c>
      <c r="S159" s="167">
        <v>0</v>
      </c>
      <c r="T159" s="167">
        <v>0</v>
      </c>
      <c r="U159" s="168" t="e">
        <v>#DIV/0!</v>
      </c>
      <c r="V159" s="167">
        <v>0</v>
      </c>
      <c r="W159" s="167">
        <v>0</v>
      </c>
      <c r="X159" s="167">
        <v>0</v>
      </c>
      <c r="Y159" s="167">
        <v>0</v>
      </c>
      <c r="Z159" s="167">
        <v>0</v>
      </c>
      <c r="AA159" s="167">
        <v>0</v>
      </c>
    </row>
    <row r="160" spans="1:27" ht="12" customHeight="1" x14ac:dyDescent="0.25">
      <c r="A160" s="155" t="s">
        <v>1246</v>
      </c>
      <c r="B160" s="155" t="s">
        <v>551</v>
      </c>
      <c r="C160" s="167">
        <v>0</v>
      </c>
      <c r="D160" s="167">
        <v>0</v>
      </c>
      <c r="E160" s="167">
        <v>0</v>
      </c>
      <c r="F160" s="167">
        <v>0</v>
      </c>
      <c r="G160" s="167">
        <v>0</v>
      </c>
      <c r="H160" s="167">
        <v>0</v>
      </c>
      <c r="I160" s="167">
        <v>0</v>
      </c>
      <c r="J160" s="167">
        <v>0</v>
      </c>
      <c r="K160" s="167">
        <v>0</v>
      </c>
      <c r="L160" s="167">
        <v>0</v>
      </c>
      <c r="M160" s="167">
        <v>0</v>
      </c>
      <c r="N160" s="167">
        <v>0</v>
      </c>
      <c r="O160" s="167">
        <v>0</v>
      </c>
      <c r="P160" s="167">
        <v>0</v>
      </c>
      <c r="Q160" s="167">
        <v>0</v>
      </c>
      <c r="R160" s="167">
        <v>0</v>
      </c>
      <c r="S160" s="167">
        <v>0</v>
      </c>
      <c r="T160" s="167">
        <v>0</v>
      </c>
      <c r="U160" s="168" t="e">
        <v>#DIV/0!</v>
      </c>
      <c r="V160" s="167">
        <v>0</v>
      </c>
      <c r="W160" s="167">
        <v>0</v>
      </c>
      <c r="X160" s="167">
        <v>0</v>
      </c>
      <c r="Y160" s="167">
        <v>0</v>
      </c>
      <c r="Z160" s="167">
        <v>0</v>
      </c>
      <c r="AA160" s="167">
        <v>0</v>
      </c>
    </row>
    <row r="161" spans="1:27" ht="12" customHeight="1" x14ac:dyDescent="0.25">
      <c r="A161" s="155" t="s">
        <v>1247</v>
      </c>
      <c r="B161" s="155" t="s">
        <v>552</v>
      </c>
      <c r="C161" s="167">
        <v>0</v>
      </c>
      <c r="D161" s="167">
        <v>0</v>
      </c>
      <c r="E161" s="167">
        <v>0</v>
      </c>
      <c r="F161" s="167">
        <v>0</v>
      </c>
      <c r="G161" s="167">
        <v>0</v>
      </c>
      <c r="H161" s="167">
        <v>0</v>
      </c>
      <c r="I161" s="167">
        <v>0</v>
      </c>
      <c r="J161" s="167">
        <v>0</v>
      </c>
      <c r="K161" s="167">
        <v>0</v>
      </c>
      <c r="L161" s="167">
        <v>0</v>
      </c>
      <c r="M161" s="167">
        <v>0</v>
      </c>
      <c r="N161" s="167">
        <v>0</v>
      </c>
      <c r="O161" s="167">
        <v>0</v>
      </c>
      <c r="P161" s="167">
        <v>0</v>
      </c>
      <c r="Q161" s="167">
        <v>0</v>
      </c>
      <c r="R161" s="167">
        <v>0</v>
      </c>
      <c r="S161" s="167">
        <v>0</v>
      </c>
      <c r="T161" s="167">
        <v>0</v>
      </c>
      <c r="U161" s="168" t="e">
        <v>#DIV/0!</v>
      </c>
      <c r="V161" s="167">
        <v>0</v>
      </c>
      <c r="W161" s="167">
        <v>0</v>
      </c>
      <c r="X161" s="167">
        <v>0</v>
      </c>
      <c r="Y161" s="167">
        <v>0</v>
      </c>
      <c r="Z161" s="167">
        <v>0</v>
      </c>
      <c r="AA161" s="167">
        <v>0</v>
      </c>
    </row>
    <row r="162" spans="1:27" ht="12" customHeight="1" x14ac:dyDescent="0.25">
      <c r="A162" s="155" t="s">
        <v>1248</v>
      </c>
      <c r="B162" s="155" t="s">
        <v>553</v>
      </c>
      <c r="C162" s="167">
        <v>0</v>
      </c>
      <c r="D162" s="167">
        <v>0</v>
      </c>
      <c r="E162" s="167">
        <v>0</v>
      </c>
      <c r="F162" s="167">
        <v>0</v>
      </c>
      <c r="G162" s="167">
        <v>0</v>
      </c>
      <c r="H162" s="167">
        <v>0</v>
      </c>
      <c r="I162" s="167">
        <v>0</v>
      </c>
      <c r="J162" s="167">
        <v>0</v>
      </c>
      <c r="K162" s="167">
        <v>0</v>
      </c>
      <c r="L162" s="167">
        <v>0</v>
      </c>
      <c r="M162" s="167">
        <v>0</v>
      </c>
      <c r="N162" s="167">
        <v>0</v>
      </c>
      <c r="O162" s="167">
        <v>0</v>
      </c>
      <c r="P162" s="167">
        <v>0</v>
      </c>
      <c r="Q162" s="167">
        <v>0</v>
      </c>
      <c r="R162" s="167">
        <v>0</v>
      </c>
      <c r="S162" s="167">
        <v>0</v>
      </c>
      <c r="T162" s="167">
        <v>0</v>
      </c>
      <c r="U162" s="168" t="e">
        <v>#DIV/0!</v>
      </c>
      <c r="V162" s="167">
        <v>0</v>
      </c>
      <c r="W162" s="167">
        <v>0</v>
      </c>
      <c r="X162" s="167">
        <v>0</v>
      </c>
      <c r="Y162" s="167">
        <v>0</v>
      </c>
      <c r="Z162" s="167">
        <v>0</v>
      </c>
      <c r="AA162" s="167">
        <v>0</v>
      </c>
    </row>
    <row r="163" spans="1:27" ht="12" customHeight="1" x14ac:dyDescent="0.25">
      <c r="A163" s="155" t="s">
        <v>1249</v>
      </c>
      <c r="B163" s="155" t="s">
        <v>554</v>
      </c>
      <c r="C163" s="167">
        <v>0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7">
        <v>0</v>
      </c>
      <c r="P163" s="167">
        <v>0</v>
      </c>
      <c r="Q163" s="167">
        <v>0</v>
      </c>
      <c r="R163" s="167">
        <v>0</v>
      </c>
      <c r="S163" s="167">
        <v>0</v>
      </c>
      <c r="T163" s="167">
        <v>0</v>
      </c>
      <c r="U163" s="168" t="e">
        <v>#DIV/0!</v>
      </c>
      <c r="V163" s="167">
        <v>0</v>
      </c>
      <c r="W163" s="167">
        <v>0</v>
      </c>
      <c r="X163" s="167">
        <v>0</v>
      </c>
      <c r="Y163" s="167">
        <v>0</v>
      </c>
      <c r="Z163" s="167">
        <v>0</v>
      </c>
      <c r="AA163" s="167">
        <v>0</v>
      </c>
    </row>
    <row r="164" spans="1:27" ht="12" customHeight="1" x14ac:dyDescent="0.25">
      <c r="A164" s="155" t="s">
        <v>1250</v>
      </c>
      <c r="B164" s="155" t="s">
        <v>555</v>
      </c>
      <c r="C164" s="167">
        <v>0</v>
      </c>
      <c r="D164" s="167">
        <v>0</v>
      </c>
      <c r="E164" s="167">
        <v>0</v>
      </c>
      <c r="F164" s="167">
        <v>0</v>
      </c>
      <c r="G164" s="167">
        <v>0</v>
      </c>
      <c r="H164" s="167">
        <v>0</v>
      </c>
      <c r="I164" s="167">
        <v>0</v>
      </c>
      <c r="J164" s="167">
        <v>0</v>
      </c>
      <c r="K164" s="167">
        <v>0</v>
      </c>
      <c r="L164" s="167">
        <v>0</v>
      </c>
      <c r="M164" s="167">
        <v>0</v>
      </c>
      <c r="N164" s="167">
        <v>0</v>
      </c>
      <c r="O164" s="167">
        <v>0</v>
      </c>
      <c r="P164" s="167">
        <v>0</v>
      </c>
      <c r="Q164" s="167">
        <v>0</v>
      </c>
      <c r="R164" s="167">
        <v>0</v>
      </c>
      <c r="S164" s="167">
        <v>0</v>
      </c>
      <c r="T164" s="167">
        <v>0</v>
      </c>
      <c r="U164" s="168" t="e">
        <v>#DIV/0!</v>
      </c>
      <c r="V164" s="167">
        <v>0</v>
      </c>
      <c r="W164" s="167">
        <v>0</v>
      </c>
      <c r="X164" s="167">
        <v>0</v>
      </c>
      <c r="Y164" s="167">
        <v>0</v>
      </c>
      <c r="Z164" s="167">
        <v>0</v>
      </c>
      <c r="AA164" s="167">
        <v>0</v>
      </c>
    </row>
    <row r="165" spans="1:27" ht="12" customHeight="1" x14ac:dyDescent="0.25">
      <c r="A165" s="155" t="s">
        <v>1251</v>
      </c>
      <c r="B165" s="155" t="s">
        <v>556</v>
      </c>
      <c r="C165" s="167">
        <v>0</v>
      </c>
      <c r="D165" s="167">
        <v>0</v>
      </c>
      <c r="E165" s="167">
        <v>0</v>
      </c>
      <c r="F165" s="167">
        <v>0</v>
      </c>
      <c r="G165" s="167">
        <v>0</v>
      </c>
      <c r="H165" s="167">
        <v>0</v>
      </c>
      <c r="I165" s="167">
        <v>0</v>
      </c>
      <c r="J165" s="167">
        <v>0</v>
      </c>
      <c r="K165" s="167">
        <v>0</v>
      </c>
      <c r="L165" s="167">
        <v>0</v>
      </c>
      <c r="M165" s="167">
        <v>0</v>
      </c>
      <c r="N165" s="167">
        <v>0</v>
      </c>
      <c r="O165" s="167">
        <v>0</v>
      </c>
      <c r="P165" s="167">
        <v>0</v>
      </c>
      <c r="Q165" s="167">
        <v>0</v>
      </c>
      <c r="R165" s="167">
        <v>0</v>
      </c>
      <c r="S165" s="167">
        <v>0</v>
      </c>
      <c r="T165" s="167">
        <v>0</v>
      </c>
      <c r="U165" s="168" t="e">
        <v>#DIV/0!</v>
      </c>
      <c r="V165" s="167">
        <v>0</v>
      </c>
      <c r="W165" s="167">
        <v>0</v>
      </c>
      <c r="X165" s="167">
        <v>0</v>
      </c>
      <c r="Y165" s="167">
        <v>0</v>
      </c>
      <c r="Z165" s="167">
        <v>0</v>
      </c>
      <c r="AA165" s="167">
        <v>0</v>
      </c>
    </row>
    <row r="166" spans="1:27" ht="12" customHeight="1" x14ac:dyDescent="0.25">
      <c r="A166" s="155"/>
      <c r="B166" s="162" t="s">
        <v>557</v>
      </c>
      <c r="C166" s="163">
        <v>0</v>
      </c>
      <c r="D166" s="163">
        <v>0</v>
      </c>
      <c r="E166" s="163">
        <v>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3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3">
        <v>0</v>
      </c>
      <c r="R166" s="163">
        <v>0</v>
      </c>
      <c r="S166" s="163">
        <v>0</v>
      </c>
      <c r="T166" s="164">
        <v>0</v>
      </c>
      <c r="U166" s="165" t="e">
        <v>#DIV/0!</v>
      </c>
      <c r="V166" s="164">
        <v>0</v>
      </c>
      <c r="W166" s="164">
        <v>0</v>
      </c>
      <c r="X166" s="164">
        <v>0</v>
      </c>
      <c r="Y166" s="164">
        <v>0</v>
      </c>
      <c r="Z166" s="164">
        <v>0</v>
      </c>
      <c r="AA166" s="164">
        <v>0</v>
      </c>
    </row>
    <row r="167" spans="1:27" ht="12" customHeight="1" x14ac:dyDescent="0.25">
      <c r="A167" s="155" t="s">
        <v>1252</v>
      </c>
      <c r="B167" s="155" t="s">
        <v>558</v>
      </c>
      <c r="C167" s="167">
        <v>0</v>
      </c>
      <c r="D167" s="167">
        <v>0</v>
      </c>
      <c r="E167" s="167">
        <v>0</v>
      </c>
      <c r="F167" s="167">
        <v>0</v>
      </c>
      <c r="G167" s="167">
        <v>0</v>
      </c>
      <c r="H167" s="167">
        <v>0</v>
      </c>
      <c r="I167" s="167">
        <v>0</v>
      </c>
      <c r="J167" s="167">
        <v>0</v>
      </c>
      <c r="K167" s="167">
        <v>0</v>
      </c>
      <c r="L167" s="167">
        <v>0</v>
      </c>
      <c r="M167" s="167">
        <v>0</v>
      </c>
      <c r="N167" s="167">
        <v>0</v>
      </c>
      <c r="O167" s="167">
        <v>0</v>
      </c>
      <c r="P167" s="167">
        <v>0</v>
      </c>
      <c r="Q167" s="167">
        <v>0</v>
      </c>
      <c r="R167" s="167">
        <v>0</v>
      </c>
      <c r="S167" s="167">
        <v>0</v>
      </c>
      <c r="T167" s="167">
        <v>0</v>
      </c>
      <c r="U167" s="168" t="e">
        <v>#DIV/0!</v>
      </c>
      <c r="V167" s="167">
        <v>0</v>
      </c>
      <c r="W167" s="167">
        <v>0</v>
      </c>
      <c r="X167" s="167">
        <v>0</v>
      </c>
      <c r="Y167" s="167">
        <v>0</v>
      </c>
      <c r="Z167" s="167">
        <v>0</v>
      </c>
      <c r="AA167" s="167">
        <v>0</v>
      </c>
    </row>
    <row r="168" spans="1:27" ht="12" customHeight="1" x14ac:dyDescent="0.25">
      <c r="A168" s="155" t="s">
        <v>1253</v>
      </c>
      <c r="B168" s="155" t="s">
        <v>559</v>
      </c>
      <c r="C168" s="167">
        <v>0</v>
      </c>
      <c r="D168" s="167">
        <v>0</v>
      </c>
      <c r="E168" s="167">
        <v>0</v>
      </c>
      <c r="F168" s="167">
        <v>0</v>
      </c>
      <c r="G168" s="167">
        <v>0</v>
      </c>
      <c r="H168" s="167">
        <v>0</v>
      </c>
      <c r="I168" s="167">
        <v>0</v>
      </c>
      <c r="J168" s="167">
        <v>0</v>
      </c>
      <c r="K168" s="167">
        <v>0</v>
      </c>
      <c r="L168" s="167">
        <v>0</v>
      </c>
      <c r="M168" s="167">
        <v>0</v>
      </c>
      <c r="N168" s="167">
        <v>0</v>
      </c>
      <c r="O168" s="167">
        <v>0</v>
      </c>
      <c r="P168" s="167">
        <v>0</v>
      </c>
      <c r="Q168" s="167">
        <v>0</v>
      </c>
      <c r="R168" s="167">
        <v>0</v>
      </c>
      <c r="S168" s="167">
        <v>0</v>
      </c>
      <c r="T168" s="167">
        <v>0</v>
      </c>
      <c r="U168" s="168" t="e">
        <v>#DIV/0!</v>
      </c>
      <c r="V168" s="167">
        <v>0</v>
      </c>
      <c r="W168" s="167">
        <v>0</v>
      </c>
      <c r="X168" s="167">
        <v>0</v>
      </c>
      <c r="Y168" s="167">
        <v>0</v>
      </c>
      <c r="Z168" s="167">
        <v>0</v>
      </c>
      <c r="AA168" s="167">
        <v>0</v>
      </c>
    </row>
    <row r="169" spans="1:27" ht="12" customHeight="1" x14ac:dyDescent="0.25">
      <c r="A169" s="155" t="s">
        <v>1254</v>
      </c>
      <c r="B169" s="155" t="s">
        <v>560</v>
      </c>
      <c r="C169" s="167">
        <v>0</v>
      </c>
      <c r="D169" s="167">
        <v>0</v>
      </c>
      <c r="E169" s="167">
        <v>0</v>
      </c>
      <c r="F169" s="167">
        <v>0</v>
      </c>
      <c r="G169" s="167">
        <v>0</v>
      </c>
      <c r="H169" s="167">
        <v>0</v>
      </c>
      <c r="I169" s="167">
        <v>0</v>
      </c>
      <c r="J169" s="167">
        <v>0</v>
      </c>
      <c r="K169" s="167">
        <v>0</v>
      </c>
      <c r="L169" s="167">
        <v>0</v>
      </c>
      <c r="M169" s="167">
        <v>0</v>
      </c>
      <c r="N169" s="167">
        <v>0</v>
      </c>
      <c r="O169" s="167">
        <v>0</v>
      </c>
      <c r="P169" s="167">
        <v>0</v>
      </c>
      <c r="Q169" s="167">
        <v>0</v>
      </c>
      <c r="R169" s="167">
        <v>0</v>
      </c>
      <c r="S169" s="167">
        <v>0</v>
      </c>
      <c r="T169" s="167">
        <v>0</v>
      </c>
      <c r="U169" s="168" t="e">
        <v>#DIV/0!</v>
      </c>
      <c r="V169" s="167">
        <v>0</v>
      </c>
      <c r="W169" s="167">
        <v>0</v>
      </c>
      <c r="X169" s="167">
        <v>0</v>
      </c>
      <c r="Y169" s="167">
        <v>0</v>
      </c>
      <c r="Z169" s="167">
        <v>0</v>
      </c>
      <c r="AA169" s="167">
        <v>0</v>
      </c>
    </row>
    <row r="170" spans="1:27" ht="12" customHeight="1" x14ac:dyDescent="0.25">
      <c r="A170" s="155"/>
      <c r="B170" s="156" t="s">
        <v>561</v>
      </c>
      <c r="C170" s="157">
        <v>0</v>
      </c>
      <c r="D170" s="157">
        <v>0</v>
      </c>
      <c r="E170" s="157">
        <v>0</v>
      </c>
      <c r="F170" s="157">
        <v>0</v>
      </c>
      <c r="G170" s="157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7">
        <v>0</v>
      </c>
      <c r="Q170" s="157">
        <v>0</v>
      </c>
      <c r="R170" s="157">
        <v>0</v>
      </c>
      <c r="S170" s="157">
        <v>0</v>
      </c>
      <c r="T170" s="158">
        <v>0</v>
      </c>
      <c r="U170" s="159" t="e">
        <v>#DIV/0!</v>
      </c>
      <c r="V170" s="158">
        <v>0</v>
      </c>
      <c r="W170" s="158">
        <v>0</v>
      </c>
      <c r="X170" s="158">
        <v>0</v>
      </c>
      <c r="Y170" s="158">
        <v>0</v>
      </c>
      <c r="Z170" s="158">
        <v>0</v>
      </c>
      <c r="AA170" s="158">
        <v>0</v>
      </c>
    </row>
    <row r="171" spans="1:27" ht="12" customHeight="1" x14ac:dyDescent="0.25">
      <c r="A171" s="155"/>
      <c r="B171" s="162" t="s">
        <v>562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3">
        <v>0</v>
      </c>
      <c r="R171" s="163">
        <v>0</v>
      </c>
      <c r="S171" s="163">
        <v>0</v>
      </c>
      <c r="T171" s="164">
        <v>0</v>
      </c>
      <c r="U171" s="165" t="e">
        <v>#DIV/0!</v>
      </c>
      <c r="V171" s="164">
        <v>0</v>
      </c>
      <c r="W171" s="164">
        <v>0</v>
      </c>
      <c r="X171" s="164">
        <v>0</v>
      </c>
      <c r="Y171" s="164">
        <v>0</v>
      </c>
      <c r="Z171" s="164">
        <v>0</v>
      </c>
      <c r="AA171" s="164">
        <v>0</v>
      </c>
    </row>
    <row r="172" spans="1:27" ht="12" customHeight="1" x14ac:dyDescent="0.25">
      <c r="A172" s="155"/>
      <c r="B172" s="155" t="s">
        <v>563</v>
      </c>
      <c r="C172" s="169">
        <v>0</v>
      </c>
      <c r="D172" s="169">
        <v>0</v>
      </c>
      <c r="E172" s="169">
        <v>0</v>
      </c>
      <c r="F172" s="169">
        <v>0</v>
      </c>
      <c r="G172" s="169">
        <v>0</v>
      </c>
      <c r="H172" s="169">
        <v>0</v>
      </c>
      <c r="I172" s="169">
        <v>0</v>
      </c>
      <c r="J172" s="169">
        <v>0</v>
      </c>
      <c r="K172" s="169">
        <v>0</v>
      </c>
      <c r="L172" s="169">
        <v>0</v>
      </c>
      <c r="M172" s="169">
        <v>0</v>
      </c>
      <c r="N172" s="169">
        <v>0</v>
      </c>
      <c r="O172" s="169">
        <v>0</v>
      </c>
      <c r="P172" s="169">
        <v>0</v>
      </c>
      <c r="Q172" s="169">
        <v>0</v>
      </c>
      <c r="R172" s="169">
        <v>0</v>
      </c>
      <c r="S172" s="169">
        <v>0</v>
      </c>
      <c r="T172" s="167">
        <v>0</v>
      </c>
      <c r="U172" s="168" t="e">
        <v>#DIV/0!</v>
      </c>
      <c r="V172" s="167">
        <v>0</v>
      </c>
      <c r="W172" s="167">
        <v>0</v>
      </c>
      <c r="X172" s="167">
        <v>0</v>
      </c>
      <c r="Y172" s="167">
        <v>0</v>
      </c>
      <c r="Z172" s="167">
        <v>0</v>
      </c>
      <c r="AA172" s="167">
        <v>0</v>
      </c>
    </row>
    <row r="173" spans="1:27" ht="12" customHeight="1" x14ac:dyDescent="0.25">
      <c r="A173" s="155" t="s">
        <v>1255</v>
      </c>
      <c r="B173" s="166" t="s">
        <v>564</v>
      </c>
      <c r="C173" s="167">
        <v>0</v>
      </c>
      <c r="D173" s="167">
        <v>0</v>
      </c>
      <c r="E173" s="167">
        <v>0</v>
      </c>
      <c r="F173" s="167">
        <v>0</v>
      </c>
      <c r="G173" s="167">
        <v>0</v>
      </c>
      <c r="H173" s="167">
        <v>0</v>
      </c>
      <c r="I173" s="167">
        <v>0</v>
      </c>
      <c r="J173" s="167">
        <v>0</v>
      </c>
      <c r="K173" s="167">
        <v>0</v>
      </c>
      <c r="L173" s="167">
        <v>0</v>
      </c>
      <c r="M173" s="167">
        <v>0</v>
      </c>
      <c r="N173" s="167">
        <v>0</v>
      </c>
      <c r="O173" s="167">
        <v>0</v>
      </c>
      <c r="P173" s="167">
        <v>0</v>
      </c>
      <c r="Q173" s="167">
        <v>0</v>
      </c>
      <c r="R173" s="167">
        <v>0</v>
      </c>
      <c r="S173" s="167">
        <v>0</v>
      </c>
      <c r="T173" s="167">
        <v>0</v>
      </c>
      <c r="U173" s="168" t="e">
        <v>#DIV/0!</v>
      </c>
      <c r="V173" s="167">
        <v>0</v>
      </c>
      <c r="W173" s="167">
        <v>0</v>
      </c>
      <c r="X173" s="167">
        <v>0</v>
      </c>
      <c r="Y173" s="167">
        <v>0</v>
      </c>
      <c r="Z173" s="167">
        <v>0</v>
      </c>
      <c r="AA173" s="167">
        <v>0</v>
      </c>
    </row>
    <row r="174" spans="1:27" ht="12" customHeight="1" x14ac:dyDescent="0.25">
      <c r="A174" s="155" t="s">
        <v>1256</v>
      </c>
      <c r="B174" s="166" t="s">
        <v>565</v>
      </c>
      <c r="C174" s="167">
        <v>0</v>
      </c>
      <c r="D174" s="167">
        <v>0</v>
      </c>
      <c r="E174" s="167">
        <v>0</v>
      </c>
      <c r="F174" s="167">
        <v>0</v>
      </c>
      <c r="G174" s="167">
        <v>0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7">
        <v>0</v>
      </c>
      <c r="O174" s="167">
        <v>0</v>
      </c>
      <c r="P174" s="167">
        <v>0</v>
      </c>
      <c r="Q174" s="167">
        <v>0</v>
      </c>
      <c r="R174" s="167">
        <v>0</v>
      </c>
      <c r="S174" s="167">
        <v>0</v>
      </c>
      <c r="T174" s="167">
        <v>0</v>
      </c>
      <c r="U174" s="168" t="e">
        <v>#DIV/0!</v>
      </c>
      <c r="V174" s="167">
        <v>0</v>
      </c>
      <c r="W174" s="167">
        <v>0</v>
      </c>
      <c r="X174" s="167">
        <v>0</v>
      </c>
      <c r="Y174" s="167">
        <v>0</v>
      </c>
      <c r="Z174" s="167">
        <v>0</v>
      </c>
      <c r="AA174" s="167">
        <v>0</v>
      </c>
    </row>
    <row r="175" spans="1:27" ht="12" customHeight="1" x14ac:dyDescent="0.25">
      <c r="A175" s="155"/>
      <c r="B175" s="155" t="s">
        <v>1257</v>
      </c>
      <c r="C175" s="167">
        <v>0</v>
      </c>
      <c r="D175" s="167">
        <v>0</v>
      </c>
      <c r="E175" s="167">
        <v>0</v>
      </c>
      <c r="F175" s="167">
        <v>0</v>
      </c>
      <c r="G175" s="167">
        <v>0</v>
      </c>
      <c r="H175" s="167">
        <v>0</v>
      </c>
      <c r="I175" s="167">
        <v>0</v>
      </c>
      <c r="J175" s="167">
        <v>0</v>
      </c>
      <c r="K175" s="167">
        <v>0</v>
      </c>
      <c r="L175" s="167">
        <v>0</v>
      </c>
      <c r="M175" s="167">
        <v>0</v>
      </c>
      <c r="N175" s="167">
        <v>0</v>
      </c>
      <c r="O175" s="167">
        <v>0</v>
      </c>
      <c r="P175" s="167">
        <v>0</v>
      </c>
      <c r="Q175" s="167">
        <v>0</v>
      </c>
      <c r="R175" s="167">
        <v>0</v>
      </c>
      <c r="S175" s="167">
        <v>0</v>
      </c>
      <c r="T175" s="167">
        <v>0</v>
      </c>
      <c r="U175" s="168" t="e">
        <v>#DIV/0!</v>
      </c>
      <c r="V175" s="167">
        <v>0</v>
      </c>
      <c r="W175" s="167">
        <v>0</v>
      </c>
      <c r="X175" s="167">
        <v>0</v>
      </c>
      <c r="Y175" s="167">
        <v>0</v>
      </c>
      <c r="Z175" s="167">
        <v>0</v>
      </c>
      <c r="AA175" s="167">
        <v>0</v>
      </c>
    </row>
    <row r="176" spans="1:27" ht="12" customHeight="1" x14ac:dyDescent="0.25">
      <c r="A176" s="155" t="s">
        <v>1258</v>
      </c>
      <c r="B176" s="166" t="s">
        <v>1259</v>
      </c>
      <c r="C176" s="167">
        <v>0</v>
      </c>
      <c r="D176" s="167">
        <v>0</v>
      </c>
      <c r="E176" s="167">
        <v>0</v>
      </c>
      <c r="F176" s="167">
        <v>0</v>
      </c>
      <c r="G176" s="167">
        <v>0</v>
      </c>
      <c r="H176" s="167">
        <v>0</v>
      </c>
      <c r="I176" s="167">
        <v>0</v>
      </c>
      <c r="J176" s="167">
        <v>0</v>
      </c>
      <c r="K176" s="167">
        <v>0</v>
      </c>
      <c r="L176" s="167">
        <v>0</v>
      </c>
      <c r="M176" s="167">
        <v>0</v>
      </c>
      <c r="N176" s="167">
        <v>0</v>
      </c>
      <c r="O176" s="167">
        <v>0</v>
      </c>
      <c r="P176" s="167">
        <v>0</v>
      </c>
      <c r="Q176" s="167">
        <v>0</v>
      </c>
      <c r="R176" s="167">
        <v>0</v>
      </c>
      <c r="S176" s="167">
        <v>0</v>
      </c>
      <c r="T176" s="167">
        <v>0</v>
      </c>
      <c r="U176" s="168" t="e">
        <v>#DIV/0!</v>
      </c>
      <c r="V176" s="167">
        <v>0</v>
      </c>
      <c r="W176" s="167">
        <v>0</v>
      </c>
      <c r="X176" s="167">
        <v>0</v>
      </c>
      <c r="Y176" s="167">
        <v>0</v>
      </c>
      <c r="Z176" s="167">
        <v>0</v>
      </c>
      <c r="AA176" s="167">
        <v>0</v>
      </c>
    </row>
    <row r="177" spans="1:27" ht="12" customHeight="1" x14ac:dyDescent="0.25">
      <c r="A177" s="155" t="s">
        <v>1260</v>
      </c>
      <c r="B177" s="166" t="s">
        <v>1261</v>
      </c>
      <c r="C177" s="167">
        <v>0</v>
      </c>
      <c r="D177" s="167">
        <v>0</v>
      </c>
      <c r="E177" s="167">
        <v>0</v>
      </c>
      <c r="F177" s="167">
        <v>0</v>
      </c>
      <c r="G177" s="167">
        <v>0</v>
      </c>
      <c r="H177" s="167">
        <v>0</v>
      </c>
      <c r="I177" s="167">
        <v>0</v>
      </c>
      <c r="J177" s="167">
        <v>0</v>
      </c>
      <c r="K177" s="167">
        <v>0</v>
      </c>
      <c r="L177" s="167">
        <v>0</v>
      </c>
      <c r="M177" s="167">
        <v>0</v>
      </c>
      <c r="N177" s="167">
        <v>0</v>
      </c>
      <c r="O177" s="167">
        <v>0</v>
      </c>
      <c r="P177" s="167">
        <v>0</v>
      </c>
      <c r="Q177" s="167">
        <v>0</v>
      </c>
      <c r="R177" s="167">
        <v>0</v>
      </c>
      <c r="S177" s="167">
        <v>0</v>
      </c>
      <c r="T177" s="167">
        <v>0</v>
      </c>
      <c r="U177" s="168" t="e">
        <v>#DIV/0!</v>
      </c>
      <c r="V177" s="167">
        <v>0</v>
      </c>
      <c r="W177" s="167">
        <v>0</v>
      </c>
      <c r="X177" s="167">
        <v>0</v>
      </c>
      <c r="Y177" s="167">
        <v>0</v>
      </c>
      <c r="Z177" s="167">
        <v>0</v>
      </c>
      <c r="AA177" s="167">
        <v>0</v>
      </c>
    </row>
    <row r="178" spans="1:27" ht="12" customHeight="1" x14ac:dyDescent="0.25">
      <c r="A178" s="155" t="s">
        <v>1262</v>
      </c>
      <c r="B178" s="155" t="s">
        <v>566</v>
      </c>
      <c r="C178" s="167">
        <v>0</v>
      </c>
      <c r="D178" s="167">
        <v>0</v>
      </c>
      <c r="E178" s="167">
        <v>0</v>
      </c>
      <c r="F178" s="167">
        <v>0</v>
      </c>
      <c r="G178" s="167">
        <v>0</v>
      </c>
      <c r="H178" s="167">
        <v>0</v>
      </c>
      <c r="I178" s="167">
        <v>0</v>
      </c>
      <c r="J178" s="167">
        <v>0</v>
      </c>
      <c r="K178" s="167">
        <v>0</v>
      </c>
      <c r="L178" s="167">
        <v>0</v>
      </c>
      <c r="M178" s="167">
        <v>0</v>
      </c>
      <c r="N178" s="167">
        <v>0</v>
      </c>
      <c r="O178" s="167">
        <v>0</v>
      </c>
      <c r="P178" s="167">
        <v>0</v>
      </c>
      <c r="Q178" s="167">
        <v>0</v>
      </c>
      <c r="R178" s="167">
        <v>0</v>
      </c>
      <c r="S178" s="167">
        <v>0</v>
      </c>
      <c r="T178" s="167">
        <v>0</v>
      </c>
      <c r="U178" s="168" t="e">
        <v>#DIV/0!</v>
      </c>
      <c r="V178" s="167">
        <v>0</v>
      </c>
      <c r="W178" s="167">
        <v>0</v>
      </c>
      <c r="X178" s="167">
        <v>0</v>
      </c>
      <c r="Y178" s="167">
        <v>0</v>
      </c>
      <c r="Z178" s="167">
        <v>0</v>
      </c>
      <c r="AA178" s="167">
        <v>0</v>
      </c>
    </row>
    <row r="179" spans="1:27" ht="12" customHeight="1" x14ac:dyDescent="0.25">
      <c r="A179" s="155" t="s">
        <v>1263</v>
      </c>
      <c r="B179" s="155" t="s">
        <v>567</v>
      </c>
      <c r="C179" s="167">
        <v>0</v>
      </c>
      <c r="D179" s="167">
        <v>0</v>
      </c>
      <c r="E179" s="167">
        <v>0</v>
      </c>
      <c r="F179" s="167">
        <v>0</v>
      </c>
      <c r="G179" s="167">
        <v>0</v>
      </c>
      <c r="H179" s="167">
        <v>0</v>
      </c>
      <c r="I179" s="167">
        <v>0</v>
      </c>
      <c r="J179" s="167">
        <v>0</v>
      </c>
      <c r="K179" s="167">
        <v>0</v>
      </c>
      <c r="L179" s="167">
        <v>0</v>
      </c>
      <c r="M179" s="167">
        <v>0</v>
      </c>
      <c r="N179" s="167">
        <v>0</v>
      </c>
      <c r="O179" s="167">
        <v>0</v>
      </c>
      <c r="P179" s="167">
        <v>0</v>
      </c>
      <c r="Q179" s="167">
        <v>0</v>
      </c>
      <c r="R179" s="167">
        <v>0</v>
      </c>
      <c r="S179" s="167">
        <v>0</v>
      </c>
      <c r="T179" s="167">
        <v>0</v>
      </c>
      <c r="U179" s="168" t="e">
        <v>#DIV/0!</v>
      </c>
      <c r="V179" s="167">
        <v>0</v>
      </c>
      <c r="W179" s="167">
        <v>0</v>
      </c>
      <c r="X179" s="167">
        <v>0</v>
      </c>
      <c r="Y179" s="167">
        <v>0</v>
      </c>
      <c r="Z179" s="167">
        <v>0</v>
      </c>
      <c r="AA179" s="167">
        <v>0</v>
      </c>
    </row>
    <row r="180" spans="1:27" ht="12" customHeight="1" x14ac:dyDescent="0.25">
      <c r="A180" s="155"/>
      <c r="B180" s="162" t="s">
        <v>568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3">
        <v>0</v>
      </c>
      <c r="R180" s="163">
        <v>0</v>
      </c>
      <c r="S180" s="163">
        <v>0</v>
      </c>
      <c r="T180" s="164">
        <v>0</v>
      </c>
      <c r="U180" s="165" t="e">
        <v>#DIV/0!</v>
      </c>
      <c r="V180" s="164">
        <v>0</v>
      </c>
      <c r="W180" s="164">
        <v>0</v>
      </c>
      <c r="X180" s="164">
        <v>0</v>
      </c>
      <c r="Y180" s="164">
        <v>0</v>
      </c>
      <c r="Z180" s="164">
        <v>0</v>
      </c>
      <c r="AA180" s="164">
        <v>0</v>
      </c>
    </row>
    <row r="181" spans="1:27" ht="12" customHeight="1" x14ac:dyDescent="0.25">
      <c r="A181" s="155" t="s">
        <v>1264</v>
      </c>
      <c r="B181" s="155" t="s">
        <v>569</v>
      </c>
      <c r="C181" s="167">
        <v>0</v>
      </c>
      <c r="D181" s="167">
        <v>0</v>
      </c>
      <c r="E181" s="167">
        <v>0</v>
      </c>
      <c r="F181" s="167">
        <v>0</v>
      </c>
      <c r="G181" s="167">
        <v>0</v>
      </c>
      <c r="H181" s="167">
        <v>0</v>
      </c>
      <c r="I181" s="167">
        <v>0</v>
      </c>
      <c r="J181" s="167">
        <v>0</v>
      </c>
      <c r="K181" s="167">
        <v>0</v>
      </c>
      <c r="L181" s="167">
        <v>0</v>
      </c>
      <c r="M181" s="167">
        <v>0</v>
      </c>
      <c r="N181" s="167">
        <v>0</v>
      </c>
      <c r="O181" s="167">
        <v>0</v>
      </c>
      <c r="P181" s="167">
        <v>0</v>
      </c>
      <c r="Q181" s="167">
        <v>0</v>
      </c>
      <c r="R181" s="167">
        <v>0</v>
      </c>
      <c r="S181" s="167">
        <v>0</v>
      </c>
      <c r="T181" s="167">
        <v>0</v>
      </c>
      <c r="U181" s="168" t="e">
        <v>#DIV/0!</v>
      </c>
      <c r="V181" s="167">
        <v>0</v>
      </c>
      <c r="W181" s="167">
        <v>0</v>
      </c>
      <c r="X181" s="167">
        <v>0</v>
      </c>
      <c r="Y181" s="167">
        <v>0</v>
      </c>
      <c r="Z181" s="167">
        <v>0</v>
      </c>
      <c r="AA181" s="167">
        <v>0</v>
      </c>
    </row>
    <row r="182" spans="1:27" ht="12" customHeight="1" x14ac:dyDescent="0.25">
      <c r="A182" s="155" t="s">
        <v>1265</v>
      </c>
      <c r="B182" s="155" t="s">
        <v>570</v>
      </c>
      <c r="C182" s="167">
        <v>0</v>
      </c>
      <c r="D182" s="167">
        <v>0</v>
      </c>
      <c r="E182" s="167">
        <v>0</v>
      </c>
      <c r="F182" s="167">
        <v>0</v>
      </c>
      <c r="G182" s="167">
        <v>0</v>
      </c>
      <c r="H182" s="167">
        <v>0</v>
      </c>
      <c r="I182" s="167">
        <v>0</v>
      </c>
      <c r="J182" s="167">
        <v>0</v>
      </c>
      <c r="K182" s="167">
        <v>0</v>
      </c>
      <c r="L182" s="167">
        <v>0</v>
      </c>
      <c r="M182" s="167">
        <v>0</v>
      </c>
      <c r="N182" s="167">
        <v>0</v>
      </c>
      <c r="O182" s="167">
        <v>0</v>
      </c>
      <c r="P182" s="167">
        <v>0</v>
      </c>
      <c r="Q182" s="167">
        <v>0</v>
      </c>
      <c r="R182" s="167">
        <v>0</v>
      </c>
      <c r="S182" s="167">
        <v>0</v>
      </c>
      <c r="T182" s="167">
        <v>0</v>
      </c>
      <c r="U182" s="168" t="e">
        <v>#DIV/0!</v>
      </c>
      <c r="V182" s="167">
        <v>0</v>
      </c>
      <c r="W182" s="167">
        <v>0</v>
      </c>
      <c r="X182" s="167">
        <v>0</v>
      </c>
      <c r="Y182" s="167">
        <v>0</v>
      </c>
      <c r="Z182" s="167">
        <v>0</v>
      </c>
      <c r="AA182" s="167">
        <v>0</v>
      </c>
    </row>
    <row r="183" spans="1:27" ht="12" customHeight="1" x14ac:dyDescent="0.25">
      <c r="A183" s="155" t="s">
        <v>1266</v>
      </c>
      <c r="B183" s="155" t="s">
        <v>571</v>
      </c>
      <c r="C183" s="167">
        <v>0</v>
      </c>
      <c r="D183" s="167">
        <v>0</v>
      </c>
      <c r="E183" s="167">
        <v>0</v>
      </c>
      <c r="F183" s="167">
        <v>0</v>
      </c>
      <c r="G183" s="167">
        <v>0</v>
      </c>
      <c r="H183" s="167">
        <v>0</v>
      </c>
      <c r="I183" s="167">
        <v>0</v>
      </c>
      <c r="J183" s="167">
        <v>0</v>
      </c>
      <c r="K183" s="167">
        <v>0</v>
      </c>
      <c r="L183" s="167">
        <v>0</v>
      </c>
      <c r="M183" s="167">
        <v>0</v>
      </c>
      <c r="N183" s="167">
        <v>0</v>
      </c>
      <c r="O183" s="167">
        <v>0</v>
      </c>
      <c r="P183" s="167">
        <v>0</v>
      </c>
      <c r="Q183" s="167">
        <v>0</v>
      </c>
      <c r="R183" s="167">
        <v>0</v>
      </c>
      <c r="S183" s="167">
        <v>0</v>
      </c>
      <c r="T183" s="167">
        <v>0</v>
      </c>
      <c r="U183" s="168" t="e">
        <v>#DIV/0!</v>
      </c>
      <c r="V183" s="167">
        <v>0</v>
      </c>
      <c r="W183" s="167">
        <v>0</v>
      </c>
      <c r="X183" s="167">
        <v>0</v>
      </c>
      <c r="Y183" s="167">
        <v>0</v>
      </c>
      <c r="Z183" s="167">
        <v>0</v>
      </c>
      <c r="AA183" s="167">
        <v>0</v>
      </c>
    </row>
    <row r="184" spans="1:27" ht="12" customHeight="1" x14ac:dyDescent="0.25">
      <c r="A184" s="155"/>
      <c r="B184" s="162" t="s">
        <v>572</v>
      </c>
      <c r="C184" s="163">
        <v>0</v>
      </c>
      <c r="D184" s="163">
        <v>0</v>
      </c>
      <c r="E184" s="163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3">
        <v>0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3">
        <v>0</v>
      </c>
      <c r="R184" s="163">
        <v>0</v>
      </c>
      <c r="S184" s="163">
        <v>0</v>
      </c>
      <c r="T184" s="164">
        <v>0</v>
      </c>
      <c r="U184" s="165" t="e">
        <v>#DIV/0!</v>
      </c>
      <c r="V184" s="164">
        <v>0</v>
      </c>
      <c r="W184" s="164">
        <v>0</v>
      </c>
      <c r="X184" s="164">
        <v>0</v>
      </c>
      <c r="Y184" s="164">
        <v>0</v>
      </c>
      <c r="Z184" s="164">
        <v>0</v>
      </c>
      <c r="AA184" s="164">
        <v>0</v>
      </c>
    </row>
    <row r="185" spans="1:27" ht="12" customHeight="1" x14ac:dyDescent="0.25">
      <c r="A185" s="155" t="s">
        <v>1267</v>
      </c>
      <c r="B185" s="155" t="s">
        <v>573</v>
      </c>
      <c r="C185" s="167">
        <v>0</v>
      </c>
      <c r="D185" s="167">
        <v>0</v>
      </c>
      <c r="E185" s="167">
        <v>0</v>
      </c>
      <c r="F185" s="167">
        <v>0</v>
      </c>
      <c r="G185" s="167">
        <v>0</v>
      </c>
      <c r="H185" s="167">
        <v>0</v>
      </c>
      <c r="I185" s="167">
        <v>0</v>
      </c>
      <c r="J185" s="167">
        <v>0</v>
      </c>
      <c r="K185" s="167">
        <v>0</v>
      </c>
      <c r="L185" s="167">
        <v>0</v>
      </c>
      <c r="M185" s="167">
        <v>0</v>
      </c>
      <c r="N185" s="167">
        <v>0</v>
      </c>
      <c r="O185" s="167">
        <v>0</v>
      </c>
      <c r="P185" s="167">
        <v>0</v>
      </c>
      <c r="Q185" s="167">
        <v>0</v>
      </c>
      <c r="R185" s="167">
        <v>0</v>
      </c>
      <c r="S185" s="167">
        <v>0</v>
      </c>
      <c r="T185" s="167">
        <v>0</v>
      </c>
      <c r="U185" s="168" t="e">
        <v>#DIV/0!</v>
      </c>
      <c r="V185" s="167">
        <v>0</v>
      </c>
      <c r="W185" s="167">
        <v>0</v>
      </c>
      <c r="X185" s="167">
        <v>0</v>
      </c>
      <c r="Y185" s="167">
        <v>0</v>
      </c>
      <c r="Z185" s="167">
        <v>0</v>
      </c>
      <c r="AA185" s="167">
        <v>0</v>
      </c>
    </row>
    <row r="186" spans="1:27" ht="12" customHeight="1" x14ac:dyDescent="0.25">
      <c r="A186" s="155" t="s">
        <v>1268</v>
      </c>
      <c r="B186" s="155" t="s">
        <v>574</v>
      </c>
      <c r="C186" s="167">
        <v>0</v>
      </c>
      <c r="D186" s="167">
        <v>0</v>
      </c>
      <c r="E186" s="167">
        <v>0</v>
      </c>
      <c r="F186" s="167">
        <v>0</v>
      </c>
      <c r="G186" s="167">
        <v>0</v>
      </c>
      <c r="H186" s="167">
        <v>0</v>
      </c>
      <c r="I186" s="167">
        <v>0</v>
      </c>
      <c r="J186" s="167">
        <v>0</v>
      </c>
      <c r="K186" s="167">
        <v>0</v>
      </c>
      <c r="L186" s="167">
        <v>0</v>
      </c>
      <c r="M186" s="167">
        <v>0</v>
      </c>
      <c r="N186" s="167">
        <v>0</v>
      </c>
      <c r="O186" s="167">
        <v>0</v>
      </c>
      <c r="P186" s="167">
        <v>0</v>
      </c>
      <c r="Q186" s="167">
        <v>0</v>
      </c>
      <c r="R186" s="167">
        <v>0</v>
      </c>
      <c r="S186" s="167">
        <v>0</v>
      </c>
      <c r="T186" s="167">
        <v>0</v>
      </c>
      <c r="U186" s="168" t="e">
        <v>#DIV/0!</v>
      </c>
      <c r="V186" s="167">
        <v>0</v>
      </c>
      <c r="W186" s="167">
        <v>0</v>
      </c>
      <c r="X186" s="167">
        <v>0</v>
      </c>
      <c r="Y186" s="167">
        <v>0</v>
      </c>
      <c r="Z186" s="167">
        <v>0</v>
      </c>
      <c r="AA186" s="167">
        <v>0</v>
      </c>
    </row>
    <row r="187" spans="1:27" ht="12" customHeight="1" x14ac:dyDescent="0.25">
      <c r="A187" s="155" t="s">
        <v>1269</v>
      </c>
      <c r="B187" s="155" t="s">
        <v>575</v>
      </c>
      <c r="C187" s="167">
        <v>0</v>
      </c>
      <c r="D187" s="167">
        <v>0</v>
      </c>
      <c r="E187" s="167">
        <v>0</v>
      </c>
      <c r="F187" s="167">
        <v>0</v>
      </c>
      <c r="G187" s="167">
        <v>0</v>
      </c>
      <c r="H187" s="167">
        <v>0</v>
      </c>
      <c r="I187" s="167">
        <v>0</v>
      </c>
      <c r="J187" s="167">
        <v>0</v>
      </c>
      <c r="K187" s="167">
        <v>0</v>
      </c>
      <c r="L187" s="167">
        <v>0</v>
      </c>
      <c r="M187" s="167">
        <v>0</v>
      </c>
      <c r="N187" s="167">
        <v>0</v>
      </c>
      <c r="O187" s="167">
        <v>0</v>
      </c>
      <c r="P187" s="167">
        <v>0</v>
      </c>
      <c r="Q187" s="167">
        <v>0</v>
      </c>
      <c r="R187" s="167">
        <v>0</v>
      </c>
      <c r="S187" s="167">
        <v>0</v>
      </c>
      <c r="T187" s="167">
        <v>0</v>
      </c>
      <c r="U187" s="168" t="e">
        <v>#DIV/0!</v>
      </c>
      <c r="V187" s="167">
        <v>0</v>
      </c>
      <c r="W187" s="167">
        <v>0</v>
      </c>
      <c r="X187" s="167">
        <v>0</v>
      </c>
      <c r="Y187" s="167">
        <v>0</v>
      </c>
      <c r="Z187" s="167">
        <v>0</v>
      </c>
      <c r="AA187" s="167">
        <v>0</v>
      </c>
    </row>
    <row r="188" spans="1:27" ht="12" customHeight="1" x14ac:dyDescent="0.25">
      <c r="A188" s="155" t="s">
        <v>1270</v>
      </c>
      <c r="B188" s="155" t="s">
        <v>576</v>
      </c>
      <c r="C188" s="167">
        <v>0</v>
      </c>
      <c r="D188" s="167">
        <v>0</v>
      </c>
      <c r="E188" s="167">
        <v>0</v>
      </c>
      <c r="F188" s="167">
        <v>0</v>
      </c>
      <c r="G188" s="167">
        <v>0</v>
      </c>
      <c r="H188" s="167">
        <v>0</v>
      </c>
      <c r="I188" s="167">
        <v>0</v>
      </c>
      <c r="J188" s="167">
        <v>0</v>
      </c>
      <c r="K188" s="167">
        <v>0</v>
      </c>
      <c r="L188" s="167">
        <v>0</v>
      </c>
      <c r="M188" s="167">
        <v>0</v>
      </c>
      <c r="N188" s="167">
        <v>0</v>
      </c>
      <c r="O188" s="167">
        <v>0</v>
      </c>
      <c r="P188" s="167">
        <v>0</v>
      </c>
      <c r="Q188" s="167">
        <v>0</v>
      </c>
      <c r="R188" s="167">
        <v>0</v>
      </c>
      <c r="S188" s="167">
        <v>0</v>
      </c>
      <c r="T188" s="167">
        <v>0</v>
      </c>
      <c r="U188" s="168" t="e">
        <v>#DIV/0!</v>
      </c>
      <c r="V188" s="167">
        <v>0</v>
      </c>
      <c r="W188" s="167">
        <v>0</v>
      </c>
      <c r="X188" s="167">
        <v>0</v>
      </c>
      <c r="Y188" s="167">
        <v>0</v>
      </c>
      <c r="Z188" s="167">
        <v>0</v>
      </c>
      <c r="AA188" s="167">
        <v>0</v>
      </c>
    </row>
    <row r="189" spans="1:27" ht="12" customHeight="1" x14ac:dyDescent="0.25">
      <c r="A189" s="155" t="s">
        <v>1271</v>
      </c>
      <c r="B189" s="155" t="s">
        <v>577</v>
      </c>
      <c r="C189" s="167">
        <v>0</v>
      </c>
      <c r="D189" s="167">
        <v>0</v>
      </c>
      <c r="E189" s="167">
        <v>0</v>
      </c>
      <c r="F189" s="167">
        <v>0</v>
      </c>
      <c r="G189" s="167">
        <v>0</v>
      </c>
      <c r="H189" s="167">
        <v>0</v>
      </c>
      <c r="I189" s="167">
        <v>0</v>
      </c>
      <c r="J189" s="167">
        <v>0</v>
      </c>
      <c r="K189" s="167">
        <v>0</v>
      </c>
      <c r="L189" s="167">
        <v>0</v>
      </c>
      <c r="M189" s="167">
        <v>0</v>
      </c>
      <c r="N189" s="167">
        <v>0</v>
      </c>
      <c r="O189" s="167">
        <v>0</v>
      </c>
      <c r="P189" s="167">
        <v>0</v>
      </c>
      <c r="Q189" s="167">
        <v>0</v>
      </c>
      <c r="R189" s="167">
        <v>0</v>
      </c>
      <c r="S189" s="167">
        <v>0</v>
      </c>
      <c r="T189" s="167">
        <v>0</v>
      </c>
      <c r="U189" s="168" t="e">
        <v>#DIV/0!</v>
      </c>
      <c r="V189" s="167">
        <v>0</v>
      </c>
      <c r="W189" s="167">
        <v>0</v>
      </c>
      <c r="X189" s="167">
        <v>0</v>
      </c>
      <c r="Y189" s="167">
        <v>0</v>
      </c>
      <c r="Z189" s="167">
        <v>0</v>
      </c>
      <c r="AA189" s="167">
        <v>0</v>
      </c>
    </row>
    <row r="190" spans="1:27" ht="12" customHeight="1" x14ac:dyDescent="0.25">
      <c r="A190" s="155" t="s">
        <v>1272</v>
      </c>
      <c r="B190" s="155" t="s">
        <v>578</v>
      </c>
      <c r="C190" s="167">
        <v>0</v>
      </c>
      <c r="D190" s="167">
        <v>0</v>
      </c>
      <c r="E190" s="167">
        <v>0</v>
      </c>
      <c r="F190" s="167">
        <v>0</v>
      </c>
      <c r="G190" s="167">
        <v>0</v>
      </c>
      <c r="H190" s="167">
        <v>0</v>
      </c>
      <c r="I190" s="167">
        <v>0</v>
      </c>
      <c r="J190" s="167">
        <v>0</v>
      </c>
      <c r="K190" s="167">
        <v>0</v>
      </c>
      <c r="L190" s="167">
        <v>0</v>
      </c>
      <c r="M190" s="167">
        <v>0</v>
      </c>
      <c r="N190" s="167">
        <v>0</v>
      </c>
      <c r="O190" s="167">
        <v>0</v>
      </c>
      <c r="P190" s="167">
        <v>0</v>
      </c>
      <c r="Q190" s="167">
        <v>0</v>
      </c>
      <c r="R190" s="167">
        <v>0</v>
      </c>
      <c r="S190" s="167">
        <v>0</v>
      </c>
      <c r="T190" s="167">
        <v>0</v>
      </c>
      <c r="U190" s="168" t="e">
        <v>#DIV/0!</v>
      </c>
      <c r="V190" s="167">
        <v>0</v>
      </c>
      <c r="W190" s="167">
        <v>0</v>
      </c>
      <c r="X190" s="167">
        <v>0</v>
      </c>
      <c r="Y190" s="167">
        <v>0</v>
      </c>
      <c r="Z190" s="167">
        <v>0</v>
      </c>
      <c r="AA190" s="167">
        <v>0</v>
      </c>
    </row>
    <row r="191" spans="1:27" ht="12" customHeight="1" x14ac:dyDescent="0.25">
      <c r="A191" s="155" t="s">
        <v>1273</v>
      </c>
      <c r="B191" s="155" t="s">
        <v>579</v>
      </c>
      <c r="C191" s="167">
        <v>0</v>
      </c>
      <c r="D191" s="167">
        <v>0</v>
      </c>
      <c r="E191" s="167">
        <v>0</v>
      </c>
      <c r="F191" s="167">
        <v>0</v>
      </c>
      <c r="G191" s="167">
        <v>0</v>
      </c>
      <c r="H191" s="167">
        <v>0</v>
      </c>
      <c r="I191" s="167">
        <v>0</v>
      </c>
      <c r="J191" s="167">
        <v>0</v>
      </c>
      <c r="K191" s="167">
        <v>0</v>
      </c>
      <c r="L191" s="167">
        <v>0</v>
      </c>
      <c r="M191" s="167">
        <v>0</v>
      </c>
      <c r="N191" s="167">
        <v>0</v>
      </c>
      <c r="O191" s="167">
        <v>0</v>
      </c>
      <c r="P191" s="167">
        <v>0</v>
      </c>
      <c r="Q191" s="167">
        <v>0</v>
      </c>
      <c r="R191" s="167">
        <v>0</v>
      </c>
      <c r="S191" s="167">
        <v>0</v>
      </c>
      <c r="T191" s="167">
        <v>0</v>
      </c>
      <c r="U191" s="168" t="e">
        <v>#DIV/0!</v>
      </c>
      <c r="V191" s="167">
        <v>0</v>
      </c>
      <c r="W191" s="167">
        <v>0</v>
      </c>
      <c r="X191" s="167">
        <v>0</v>
      </c>
      <c r="Y191" s="167">
        <v>0</v>
      </c>
      <c r="Z191" s="167">
        <v>0</v>
      </c>
      <c r="AA191" s="167">
        <v>0</v>
      </c>
    </row>
    <row r="192" spans="1:27" ht="12" customHeight="1" x14ac:dyDescent="0.25">
      <c r="A192" s="155" t="s">
        <v>1274</v>
      </c>
      <c r="B192" s="155" t="s">
        <v>580</v>
      </c>
      <c r="C192" s="167">
        <v>0</v>
      </c>
      <c r="D192" s="167">
        <v>0</v>
      </c>
      <c r="E192" s="167">
        <v>0</v>
      </c>
      <c r="F192" s="167">
        <v>0</v>
      </c>
      <c r="G192" s="167">
        <v>0</v>
      </c>
      <c r="H192" s="167">
        <v>0</v>
      </c>
      <c r="I192" s="167">
        <v>0</v>
      </c>
      <c r="J192" s="167">
        <v>0</v>
      </c>
      <c r="K192" s="167">
        <v>0</v>
      </c>
      <c r="L192" s="167">
        <v>0</v>
      </c>
      <c r="M192" s="167">
        <v>0</v>
      </c>
      <c r="N192" s="167">
        <v>0</v>
      </c>
      <c r="O192" s="167">
        <v>0</v>
      </c>
      <c r="P192" s="167">
        <v>0</v>
      </c>
      <c r="Q192" s="167">
        <v>0</v>
      </c>
      <c r="R192" s="167">
        <v>0</v>
      </c>
      <c r="S192" s="167">
        <v>0</v>
      </c>
      <c r="T192" s="167">
        <v>0</v>
      </c>
      <c r="U192" s="168" t="e">
        <v>#DIV/0!</v>
      </c>
      <c r="V192" s="167">
        <v>0</v>
      </c>
      <c r="W192" s="167">
        <v>0</v>
      </c>
      <c r="X192" s="167">
        <v>0</v>
      </c>
      <c r="Y192" s="167">
        <v>0</v>
      </c>
      <c r="Z192" s="167">
        <v>0</v>
      </c>
      <c r="AA192" s="167">
        <v>0</v>
      </c>
    </row>
    <row r="193" spans="1:27" ht="12" customHeight="1" x14ac:dyDescent="0.25">
      <c r="A193" s="155" t="s">
        <v>1275</v>
      </c>
      <c r="B193" s="155" t="s">
        <v>581</v>
      </c>
      <c r="C193" s="167">
        <v>0</v>
      </c>
      <c r="D193" s="167">
        <v>0</v>
      </c>
      <c r="E193" s="167">
        <v>0</v>
      </c>
      <c r="F193" s="167">
        <v>0</v>
      </c>
      <c r="G193" s="167">
        <v>0</v>
      </c>
      <c r="H193" s="167">
        <v>0</v>
      </c>
      <c r="I193" s="167">
        <v>0</v>
      </c>
      <c r="J193" s="167">
        <v>0</v>
      </c>
      <c r="K193" s="167">
        <v>0</v>
      </c>
      <c r="L193" s="167">
        <v>0</v>
      </c>
      <c r="M193" s="167">
        <v>0</v>
      </c>
      <c r="N193" s="167">
        <v>0</v>
      </c>
      <c r="O193" s="167">
        <v>0</v>
      </c>
      <c r="P193" s="167">
        <v>0</v>
      </c>
      <c r="Q193" s="167">
        <v>0</v>
      </c>
      <c r="R193" s="167">
        <v>0</v>
      </c>
      <c r="S193" s="167">
        <v>0</v>
      </c>
      <c r="T193" s="167">
        <v>0</v>
      </c>
      <c r="U193" s="168" t="e">
        <v>#DIV/0!</v>
      </c>
      <c r="V193" s="167">
        <v>0</v>
      </c>
      <c r="W193" s="167">
        <v>0</v>
      </c>
      <c r="X193" s="167">
        <v>0</v>
      </c>
      <c r="Y193" s="167">
        <v>0</v>
      </c>
      <c r="Z193" s="167">
        <v>0</v>
      </c>
      <c r="AA193" s="167">
        <v>0</v>
      </c>
    </row>
    <row r="194" spans="1:27" ht="12" customHeight="1" x14ac:dyDescent="0.25">
      <c r="A194" s="155" t="s">
        <v>1276</v>
      </c>
      <c r="B194" s="155" t="s">
        <v>582</v>
      </c>
      <c r="C194" s="167">
        <v>0</v>
      </c>
      <c r="D194" s="167">
        <v>0</v>
      </c>
      <c r="E194" s="167">
        <v>0</v>
      </c>
      <c r="F194" s="167">
        <v>0</v>
      </c>
      <c r="G194" s="167">
        <v>0</v>
      </c>
      <c r="H194" s="167">
        <v>0</v>
      </c>
      <c r="I194" s="167">
        <v>0</v>
      </c>
      <c r="J194" s="167">
        <v>0</v>
      </c>
      <c r="K194" s="167">
        <v>0</v>
      </c>
      <c r="L194" s="167">
        <v>0</v>
      </c>
      <c r="M194" s="167">
        <v>0</v>
      </c>
      <c r="N194" s="167">
        <v>0</v>
      </c>
      <c r="O194" s="167">
        <v>0</v>
      </c>
      <c r="P194" s="167">
        <v>0</v>
      </c>
      <c r="Q194" s="167">
        <v>0</v>
      </c>
      <c r="R194" s="167">
        <v>0</v>
      </c>
      <c r="S194" s="167">
        <v>0</v>
      </c>
      <c r="T194" s="167">
        <v>0</v>
      </c>
      <c r="U194" s="168" t="e">
        <v>#DIV/0!</v>
      </c>
      <c r="V194" s="167">
        <v>0</v>
      </c>
      <c r="W194" s="167">
        <v>0</v>
      </c>
      <c r="X194" s="167">
        <v>0</v>
      </c>
      <c r="Y194" s="167">
        <v>0</v>
      </c>
      <c r="Z194" s="167">
        <v>0</v>
      </c>
      <c r="AA194" s="167">
        <v>0</v>
      </c>
    </row>
    <row r="195" spans="1:27" ht="12" customHeight="1" x14ac:dyDescent="0.25">
      <c r="A195" s="155" t="s">
        <v>1277</v>
      </c>
      <c r="B195" s="155" t="s">
        <v>583</v>
      </c>
      <c r="C195" s="167">
        <v>0</v>
      </c>
      <c r="D195" s="167">
        <v>0</v>
      </c>
      <c r="E195" s="167">
        <v>0</v>
      </c>
      <c r="F195" s="167">
        <v>0</v>
      </c>
      <c r="G195" s="167">
        <v>0</v>
      </c>
      <c r="H195" s="167">
        <v>0</v>
      </c>
      <c r="I195" s="167">
        <v>0</v>
      </c>
      <c r="J195" s="167">
        <v>0</v>
      </c>
      <c r="K195" s="167">
        <v>0</v>
      </c>
      <c r="L195" s="167">
        <v>0</v>
      </c>
      <c r="M195" s="167">
        <v>0</v>
      </c>
      <c r="N195" s="167">
        <v>0</v>
      </c>
      <c r="O195" s="167">
        <v>0</v>
      </c>
      <c r="P195" s="167">
        <v>0</v>
      </c>
      <c r="Q195" s="167">
        <v>0</v>
      </c>
      <c r="R195" s="167">
        <v>0</v>
      </c>
      <c r="S195" s="167">
        <v>0</v>
      </c>
      <c r="T195" s="167">
        <v>0</v>
      </c>
      <c r="U195" s="168" t="e">
        <v>#DIV/0!</v>
      </c>
      <c r="V195" s="167">
        <v>0</v>
      </c>
      <c r="W195" s="167">
        <v>0</v>
      </c>
      <c r="X195" s="167">
        <v>0</v>
      </c>
      <c r="Y195" s="167">
        <v>0</v>
      </c>
      <c r="Z195" s="167">
        <v>0</v>
      </c>
      <c r="AA195" s="167">
        <v>0</v>
      </c>
    </row>
    <row r="196" spans="1:27" ht="12" customHeight="1" x14ac:dyDescent="0.25">
      <c r="A196" s="155" t="s">
        <v>1278</v>
      </c>
      <c r="B196" s="155" t="s">
        <v>584</v>
      </c>
      <c r="C196" s="167">
        <v>0</v>
      </c>
      <c r="D196" s="167">
        <v>0</v>
      </c>
      <c r="E196" s="167">
        <v>0</v>
      </c>
      <c r="F196" s="167">
        <v>0</v>
      </c>
      <c r="G196" s="167">
        <v>0</v>
      </c>
      <c r="H196" s="167">
        <v>0</v>
      </c>
      <c r="I196" s="167">
        <v>0</v>
      </c>
      <c r="J196" s="167">
        <v>0</v>
      </c>
      <c r="K196" s="167">
        <v>0</v>
      </c>
      <c r="L196" s="167">
        <v>0</v>
      </c>
      <c r="M196" s="167">
        <v>0</v>
      </c>
      <c r="N196" s="167">
        <v>0</v>
      </c>
      <c r="O196" s="167">
        <v>0</v>
      </c>
      <c r="P196" s="167">
        <v>0</v>
      </c>
      <c r="Q196" s="167">
        <v>0</v>
      </c>
      <c r="R196" s="167">
        <v>0</v>
      </c>
      <c r="S196" s="167">
        <v>0</v>
      </c>
      <c r="T196" s="167">
        <v>0</v>
      </c>
      <c r="U196" s="168" t="e">
        <v>#DIV/0!</v>
      </c>
      <c r="V196" s="167">
        <v>0</v>
      </c>
      <c r="W196" s="167">
        <v>0</v>
      </c>
      <c r="X196" s="167">
        <v>0</v>
      </c>
      <c r="Y196" s="167">
        <v>0</v>
      </c>
      <c r="Z196" s="167">
        <v>0</v>
      </c>
      <c r="AA196" s="167">
        <v>0</v>
      </c>
    </row>
    <row r="197" spans="1:27" ht="12" customHeight="1" x14ac:dyDescent="0.25">
      <c r="A197" s="155" t="s">
        <v>1279</v>
      </c>
      <c r="B197" s="155" t="s">
        <v>585</v>
      </c>
      <c r="C197" s="167">
        <v>0</v>
      </c>
      <c r="D197" s="167">
        <v>0</v>
      </c>
      <c r="E197" s="167">
        <v>0</v>
      </c>
      <c r="F197" s="167">
        <v>0</v>
      </c>
      <c r="G197" s="167">
        <v>0</v>
      </c>
      <c r="H197" s="167">
        <v>0</v>
      </c>
      <c r="I197" s="167">
        <v>0</v>
      </c>
      <c r="J197" s="167">
        <v>0</v>
      </c>
      <c r="K197" s="167">
        <v>0</v>
      </c>
      <c r="L197" s="167">
        <v>0</v>
      </c>
      <c r="M197" s="167">
        <v>0</v>
      </c>
      <c r="N197" s="167">
        <v>0</v>
      </c>
      <c r="O197" s="167">
        <v>0</v>
      </c>
      <c r="P197" s="167">
        <v>0</v>
      </c>
      <c r="Q197" s="167">
        <v>0</v>
      </c>
      <c r="R197" s="167">
        <v>0</v>
      </c>
      <c r="S197" s="167">
        <v>0</v>
      </c>
      <c r="T197" s="167">
        <v>0</v>
      </c>
      <c r="U197" s="168" t="e">
        <v>#DIV/0!</v>
      </c>
      <c r="V197" s="167">
        <v>0</v>
      </c>
      <c r="W197" s="167">
        <v>0</v>
      </c>
      <c r="X197" s="167">
        <v>0</v>
      </c>
      <c r="Y197" s="167">
        <v>0</v>
      </c>
      <c r="Z197" s="167">
        <v>0</v>
      </c>
      <c r="AA197" s="167">
        <v>0</v>
      </c>
    </row>
    <row r="198" spans="1:27" ht="12" customHeight="1" x14ac:dyDescent="0.25">
      <c r="A198" s="155" t="s">
        <v>1280</v>
      </c>
      <c r="B198" s="155" t="s">
        <v>586</v>
      </c>
      <c r="C198" s="167">
        <v>0</v>
      </c>
      <c r="D198" s="167">
        <v>0</v>
      </c>
      <c r="E198" s="167">
        <v>0</v>
      </c>
      <c r="F198" s="167">
        <v>0</v>
      </c>
      <c r="G198" s="167">
        <v>0</v>
      </c>
      <c r="H198" s="167">
        <v>0</v>
      </c>
      <c r="I198" s="167">
        <v>0</v>
      </c>
      <c r="J198" s="167">
        <v>0</v>
      </c>
      <c r="K198" s="167">
        <v>0</v>
      </c>
      <c r="L198" s="167">
        <v>0</v>
      </c>
      <c r="M198" s="167">
        <v>0</v>
      </c>
      <c r="N198" s="167">
        <v>0</v>
      </c>
      <c r="O198" s="167">
        <v>0</v>
      </c>
      <c r="P198" s="167">
        <v>0</v>
      </c>
      <c r="Q198" s="167">
        <v>0</v>
      </c>
      <c r="R198" s="167">
        <v>0</v>
      </c>
      <c r="S198" s="167">
        <v>0</v>
      </c>
      <c r="T198" s="167">
        <v>0</v>
      </c>
      <c r="U198" s="168" t="e">
        <v>#DIV/0!</v>
      </c>
      <c r="V198" s="167">
        <v>0</v>
      </c>
      <c r="W198" s="167">
        <v>0</v>
      </c>
      <c r="X198" s="167">
        <v>0</v>
      </c>
      <c r="Y198" s="167">
        <v>0</v>
      </c>
      <c r="Z198" s="167">
        <v>0</v>
      </c>
      <c r="AA198" s="167">
        <v>0</v>
      </c>
    </row>
    <row r="199" spans="1:27" ht="12" customHeight="1" x14ac:dyDescent="0.25">
      <c r="A199" s="155" t="s">
        <v>1281</v>
      </c>
      <c r="B199" s="155" t="s">
        <v>587</v>
      </c>
      <c r="C199" s="167">
        <v>0</v>
      </c>
      <c r="D199" s="167">
        <v>0</v>
      </c>
      <c r="E199" s="167">
        <v>0</v>
      </c>
      <c r="F199" s="167">
        <v>0</v>
      </c>
      <c r="G199" s="167">
        <v>0</v>
      </c>
      <c r="H199" s="167">
        <v>0</v>
      </c>
      <c r="I199" s="167">
        <v>0</v>
      </c>
      <c r="J199" s="167">
        <v>0</v>
      </c>
      <c r="K199" s="167">
        <v>0</v>
      </c>
      <c r="L199" s="167">
        <v>0</v>
      </c>
      <c r="M199" s="167">
        <v>0</v>
      </c>
      <c r="N199" s="167">
        <v>0</v>
      </c>
      <c r="O199" s="167">
        <v>0</v>
      </c>
      <c r="P199" s="167">
        <v>0</v>
      </c>
      <c r="Q199" s="167">
        <v>0</v>
      </c>
      <c r="R199" s="167">
        <v>0</v>
      </c>
      <c r="S199" s="167">
        <v>0</v>
      </c>
      <c r="T199" s="167">
        <v>0</v>
      </c>
      <c r="U199" s="168" t="e">
        <v>#DIV/0!</v>
      </c>
      <c r="V199" s="167">
        <v>0</v>
      </c>
      <c r="W199" s="167">
        <v>0</v>
      </c>
      <c r="X199" s="167">
        <v>0</v>
      </c>
      <c r="Y199" s="167">
        <v>0</v>
      </c>
      <c r="Z199" s="167">
        <v>0</v>
      </c>
      <c r="AA199" s="167">
        <v>0</v>
      </c>
    </row>
    <row r="200" spans="1:27" ht="12" customHeight="1" x14ac:dyDescent="0.25">
      <c r="A200" s="155" t="s">
        <v>1282</v>
      </c>
      <c r="B200" s="155" t="s">
        <v>588</v>
      </c>
      <c r="C200" s="167">
        <v>0</v>
      </c>
      <c r="D200" s="167">
        <v>0</v>
      </c>
      <c r="E200" s="167">
        <v>0</v>
      </c>
      <c r="F200" s="167">
        <v>0</v>
      </c>
      <c r="G200" s="167">
        <v>0</v>
      </c>
      <c r="H200" s="167">
        <v>0</v>
      </c>
      <c r="I200" s="167">
        <v>0</v>
      </c>
      <c r="J200" s="167">
        <v>0</v>
      </c>
      <c r="K200" s="167">
        <v>0</v>
      </c>
      <c r="L200" s="167">
        <v>0</v>
      </c>
      <c r="M200" s="167">
        <v>0</v>
      </c>
      <c r="N200" s="167">
        <v>0</v>
      </c>
      <c r="O200" s="167">
        <v>0</v>
      </c>
      <c r="P200" s="167">
        <v>0</v>
      </c>
      <c r="Q200" s="167">
        <v>0</v>
      </c>
      <c r="R200" s="167">
        <v>0</v>
      </c>
      <c r="S200" s="167">
        <v>0</v>
      </c>
      <c r="T200" s="167">
        <v>0</v>
      </c>
      <c r="U200" s="168" t="e">
        <v>#DIV/0!</v>
      </c>
      <c r="V200" s="167">
        <v>0</v>
      </c>
      <c r="W200" s="167">
        <v>0</v>
      </c>
      <c r="X200" s="167">
        <v>0</v>
      </c>
      <c r="Y200" s="167">
        <v>0</v>
      </c>
      <c r="Z200" s="167">
        <v>0</v>
      </c>
      <c r="AA200" s="167">
        <v>0</v>
      </c>
    </row>
    <row r="201" spans="1:27" ht="12" customHeight="1" x14ac:dyDescent="0.25">
      <c r="A201" s="155" t="s">
        <v>1283</v>
      </c>
      <c r="B201" s="155" t="s">
        <v>589</v>
      </c>
      <c r="C201" s="167">
        <v>0</v>
      </c>
      <c r="D201" s="167">
        <v>0</v>
      </c>
      <c r="E201" s="167">
        <v>0</v>
      </c>
      <c r="F201" s="167">
        <v>0</v>
      </c>
      <c r="G201" s="167">
        <v>0</v>
      </c>
      <c r="H201" s="167">
        <v>0</v>
      </c>
      <c r="I201" s="167">
        <v>0</v>
      </c>
      <c r="J201" s="167">
        <v>0</v>
      </c>
      <c r="K201" s="167">
        <v>0</v>
      </c>
      <c r="L201" s="167">
        <v>0</v>
      </c>
      <c r="M201" s="167">
        <v>0</v>
      </c>
      <c r="N201" s="167">
        <v>0</v>
      </c>
      <c r="O201" s="167">
        <v>0</v>
      </c>
      <c r="P201" s="167">
        <v>0</v>
      </c>
      <c r="Q201" s="167">
        <v>0</v>
      </c>
      <c r="R201" s="167">
        <v>0</v>
      </c>
      <c r="S201" s="167">
        <v>0</v>
      </c>
      <c r="T201" s="167">
        <v>0</v>
      </c>
      <c r="U201" s="168" t="e">
        <v>#DIV/0!</v>
      </c>
      <c r="V201" s="167">
        <v>0</v>
      </c>
      <c r="W201" s="167">
        <v>0</v>
      </c>
      <c r="X201" s="167">
        <v>0</v>
      </c>
      <c r="Y201" s="167">
        <v>0</v>
      </c>
      <c r="Z201" s="167">
        <v>0</v>
      </c>
      <c r="AA201" s="167">
        <v>0</v>
      </c>
    </row>
    <row r="202" spans="1:27" ht="12" customHeight="1" x14ac:dyDescent="0.25">
      <c r="A202" s="155" t="s">
        <v>1284</v>
      </c>
      <c r="B202" s="155" t="s">
        <v>590</v>
      </c>
      <c r="C202" s="167">
        <v>0</v>
      </c>
      <c r="D202" s="167">
        <v>0</v>
      </c>
      <c r="E202" s="167">
        <v>0</v>
      </c>
      <c r="F202" s="167">
        <v>0</v>
      </c>
      <c r="G202" s="167">
        <v>0</v>
      </c>
      <c r="H202" s="167">
        <v>0</v>
      </c>
      <c r="I202" s="167">
        <v>0</v>
      </c>
      <c r="J202" s="167">
        <v>0</v>
      </c>
      <c r="K202" s="167">
        <v>0</v>
      </c>
      <c r="L202" s="167">
        <v>0</v>
      </c>
      <c r="M202" s="167">
        <v>0</v>
      </c>
      <c r="N202" s="167">
        <v>0</v>
      </c>
      <c r="O202" s="167">
        <v>0</v>
      </c>
      <c r="P202" s="167">
        <v>0</v>
      </c>
      <c r="Q202" s="167">
        <v>0</v>
      </c>
      <c r="R202" s="167">
        <v>0</v>
      </c>
      <c r="S202" s="167">
        <v>0</v>
      </c>
      <c r="T202" s="167">
        <v>0</v>
      </c>
      <c r="U202" s="168" t="e">
        <v>#DIV/0!</v>
      </c>
      <c r="V202" s="167">
        <v>0</v>
      </c>
      <c r="W202" s="167">
        <v>0</v>
      </c>
      <c r="X202" s="167">
        <v>0</v>
      </c>
      <c r="Y202" s="167">
        <v>0</v>
      </c>
      <c r="Z202" s="167">
        <v>0</v>
      </c>
      <c r="AA202" s="167">
        <v>0</v>
      </c>
    </row>
    <row r="203" spans="1:27" ht="12" customHeight="1" x14ac:dyDescent="0.25">
      <c r="A203" s="155" t="s">
        <v>1285</v>
      </c>
      <c r="B203" s="155" t="s">
        <v>591</v>
      </c>
      <c r="C203" s="167">
        <v>0</v>
      </c>
      <c r="D203" s="167">
        <v>0</v>
      </c>
      <c r="E203" s="167">
        <v>0</v>
      </c>
      <c r="F203" s="167">
        <v>0</v>
      </c>
      <c r="G203" s="167">
        <v>0</v>
      </c>
      <c r="H203" s="167">
        <v>0</v>
      </c>
      <c r="I203" s="167">
        <v>0</v>
      </c>
      <c r="J203" s="167">
        <v>0</v>
      </c>
      <c r="K203" s="167">
        <v>0</v>
      </c>
      <c r="L203" s="167">
        <v>0</v>
      </c>
      <c r="M203" s="167">
        <v>0</v>
      </c>
      <c r="N203" s="167">
        <v>0</v>
      </c>
      <c r="O203" s="167">
        <v>0</v>
      </c>
      <c r="P203" s="167">
        <v>0</v>
      </c>
      <c r="Q203" s="167">
        <v>0</v>
      </c>
      <c r="R203" s="167">
        <v>0</v>
      </c>
      <c r="S203" s="167">
        <v>0</v>
      </c>
      <c r="T203" s="167">
        <v>0</v>
      </c>
      <c r="U203" s="168" t="e">
        <v>#DIV/0!</v>
      </c>
      <c r="V203" s="167">
        <v>0</v>
      </c>
      <c r="W203" s="167">
        <v>0</v>
      </c>
      <c r="X203" s="167">
        <v>0</v>
      </c>
      <c r="Y203" s="167">
        <v>0</v>
      </c>
      <c r="Z203" s="167">
        <v>0</v>
      </c>
      <c r="AA203" s="167">
        <v>0</v>
      </c>
    </row>
    <row r="204" spans="1:27" ht="12" customHeight="1" x14ac:dyDescent="0.25">
      <c r="A204" s="155" t="s">
        <v>1286</v>
      </c>
      <c r="B204" s="155" t="s">
        <v>592</v>
      </c>
      <c r="C204" s="167">
        <v>0</v>
      </c>
      <c r="D204" s="167">
        <v>0</v>
      </c>
      <c r="E204" s="167">
        <v>0</v>
      </c>
      <c r="F204" s="167">
        <v>0</v>
      </c>
      <c r="G204" s="167">
        <v>0</v>
      </c>
      <c r="H204" s="167">
        <v>0</v>
      </c>
      <c r="I204" s="167">
        <v>0</v>
      </c>
      <c r="J204" s="167">
        <v>0</v>
      </c>
      <c r="K204" s="167">
        <v>0</v>
      </c>
      <c r="L204" s="167">
        <v>0</v>
      </c>
      <c r="M204" s="167">
        <v>0</v>
      </c>
      <c r="N204" s="167">
        <v>0</v>
      </c>
      <c r="O204" s="167">
        <v>0</v>
      </c>
      <c r="P204" s="167">
        <v>0</v>
      </c>
      <c r="Q204" s="167">
        <v>0</v>
      </c>
      <c r="R204" s="167">
        <v>0</v>
      </c>
      <c r="S204" s="167">
        <v>0</v>
      </c>
      <c r="T204" s="167">
        <v>0</v>
      </c>
      <c r="U204" s="168" t="e">
        <v>#DIV/0!</v>
      </c>
      <c r="V204" s="167">
        <v>0</v>
      </c>
      <c r="W204" s="167">
        <v>0</v>
      </c>
      <c r="X204" s="167">
        <v>0</v>
      </c>
      <c r="Y204" s="167">
        <v>0</v>
      </c>
      <c r="Z204" s="167">
        <v>0</v>
      </c>
      <c r="AA204" s="167">
        <v>0</v>
      </c>
    </row>
    <row r="205" spans="1:27" ht="12" customHeight="1" x14ac:dyDescent="0.25">
      <c r="A205" s="155" t="s">
        <v>1287</v>
      </c>
      <c r="B205" s="155" t="s">
        <v>593</v>
      </c>
      <c r="C205" s="167">
        <v>0</v>
      </c>
      <c r="D205" s="167">
        <v>0</v>
      </c>
      <c r="E205" s="167">
        <v>0</v>
      </c>
      <c r="F205" s="167">
        <v>0</v>
      </c>
      <c r="G205" s="167">
        <v>0</v>
      </c>
      <c r="H205" s="167">
        <v>0</v>
      </c>
      <c r="I205" s="167">
        <v>0</v>
      </c>
      <c r="J205" s="167">
        <v>0</v>
      </c>
      <c r="K205" s="167">
        <v>0</v>
      </c>
      <c r="L205" s="167">
        <v>0</v>
      </c>
      <c r="M205" s="167">
        <v>0</v>
      </c>
      <c r="N205" s="167">
        <v>0</v>
      </c>
      <c r="O205" s="167">
        <v>0</v>
      </c>
      <c r="P205" s="167">
        <v>0</v>
      </c>
      <c r="Q205" s="167">
        <v>0</v>
      </c>
      <c r="R205" s="167">
        <v>0</v>
      </c>
      <c r="S205" s="167">
        <v>0</v>
      </c>
      <c r="T205" s="167">
        <v>0</v>
      </c>
      <c r="U205" s="168" t="e">
        <v>#DIV/0!</v>
      </c>
      <c r="V205" s="167">
        <v>0</v>
      </c>
      <c r="W205" s="167">
        <v>0</v>
      </c>
      <c r="X205" s="167">
        <v>0</v>
      </c>
      <c r="Y205" s="167">
        <v>0</v>
      </c>
      <c r="Z205" s="167">
        <v>0</v>
      </c>
      <c r="AA205" s="167">
        <v>0</v>
      </c>
    </row>
    <row r="206" spans="1:27" ht="12" customHeight="1" x14ac:dyDescent="0.25">
      <c r="A206" s="155" t="s">
        <v>1288</v>
      </c>
      <c r="B206" s="155" t="s">
        <v>594</v>
      </c>
      <c r="C206" s="167">
        <v>0</v>
      </c>
      <c r="D206" s="167">
        <v>0</v>
      </c>
      <c r="E206" s="167">
        <v>0</v>
      </c>
      <c r="F206" s="167">
        <v>0</v>
      </c>
      <c r="G206" s="167">
        <v>0</v>
      </c>
      <c r="H206" s="167">
        <v>0</v>
      </c>
      <c r="I206" s="167">
        <v>0</v>
      </c>
      <c r="J206" s="167">
        <v>0</v>
      </c>
      <c r="K206" s="167">
        <v>0</v>
      </c>
      <c r="L206" s="167">
        <v>0</v>
      </c>
      <c r="M206" s="167">
        <v>0</v>
      </c>
      <c r="N206" s="167">
        <v>0</v>
      </c>
      <c r="O206" s="167">
        <v>0</v>
      </c>
      <c r="P206" s="167">
        <v>0</v>
      </c>
      <c r="Q206" s="167">
        <v>0</v>
      </c>
      <c r="R206" s="167">
        <v>0</v>
      </c>
      <c r="S206" s="167">
        <v>0</v>
      </c>
      <c r="T206" s="167">
        <v>0</v>
      </c>
      <c r="U206" s="168" t="e">
        <v>#DIV/0!</v>
      </c>
      <c r="V206" s="167">
        <v>0</v>
      </c>
      <c r="W206" s="167">
        <v>0</v>
      </c>
      <c r="X206" s="167">
        <v>0</v>
      </c>
      <c r="Y206" s="167">
        <v>0</v>
      </c>
      <c r="Z206" s="167">
        <v>0</v>
      </c>
      <c r="AA206" s="167">
        <v>0</v>
      </c>
    </row>
    <row r="207" spans="1:27" ht="12" customHeight="1" x14ac:dyDescent="0.25">
      <c r="A207" s="155" t="s">
        <v>1289</v>
      </c>
      <c r="B207" s="155" t="s">
        <v>595</v>
      </c>
      <c r="C207" s="167">
        <v>0</v>
      </c>
      <c r="D207" s="167">
        <v>0</v>
      </c>
      <c r="E207" s="167">
        <v>0</v>
      </c>
      <c r="F207" s="167">
        <v>0</v>
      </c>
      <c r="G207" s="167">
        <v>0</v>
      </c>
      <c r="H207" s="167">
        <v>0</v>
      </c>
      <c r="I207" s="167">
        <v>0</v>
      </c>
      <c r="J207" s="167">
        <v>0</v>
      </c>
      <c r="K207" s="167">
        <v>0</v>
      </c>
      <c r="L207" s="167">
        <v>0</v>
      </c>
      <c r="M207" s="167">
        <v>0</v>
      </c>
      <c r="N207" s="167">
        <v>0</v>
      </c>
      <c r="O207" s="167">
        <v>0</v>
      </c>
      <c r="P207" s="167">
        <v>0</v>
      </c>
      <c r="Q207" s="167">
        <v>0</v>
      </c>
      <c r="R207" s="167">
        <v>0</v>
      </c>
      <c r="S207" s="167">
        <v>0</v>
      </c>
      <c r="T207" s="167">
        <v>0</v>
      </c>
      <c r="U207" s="168" t="e">
        <v>#DIV/0!</v>
      </c>
      <c r="V207" s="167">
        <v>0</v>
      </c>
      <c r="W207" s="167">
        <v>0</v>
      </c>
      <c r="X207" s="167">
        <v>0</v>
      </c>
      <c r="Y207" s="167">
        <v>0</v>
      </c>
      <c r="Z207" s="167">
        <v>0</v>
      </c>
      <c r="AA207" s="167">
        <v>0</v>
      </c>
    </row>
    <row r="208" spans="1:27" ht="12" customHeight="1" x14ac:dyDescent="0.25">
      <c r="A208" s="155" t="s">
        <v>1290</v>
      </c>
      <c r="B208" s="155" t="s">
        <v>596</v>
      </c>
      <c r="C208" s="167">
        <v>0</v>
      </c>
      <c r="D208" s="167">
        <v>0</v>
      </c>
      <c r="E208" s="167">
        <v>0</v>
      </c>
      <c r="F208" s="167">
        <v>0</v>
      </c>
      <c r="G208" s="167">
        <v>0</v>
      </c>
      <c r="H208" s="167">
        <v>0</v>
      </c>
      <c r="I208" s="167">
        <v>0</v>
      </c>
      <c r="J208" s="167">
        <v>0</v>
      </c>
      <c r="K208" s="167">
        <v>0</v>
      </c>
      <c r="L208" s="167">
        <v>0</v>
      </c>
      <c r="M208" s="167">
        <v>0</v>
      </c>
      <c r="N208" s="167">
        <v>0</v>
      </c>
      <c r="O208" s="167">
        <v>0</v>
      </c>
      <c r="P208" s="167">
        <v>0</v>
      </c>
      <c r="Q208" s="167">
        <v>0</v>
      </c>
      <c r="R208" s="167">
        <v>0</v>
      </c>
      <c r="S208" s="167">
        <v>0</v>
      </c>
      <c r="T208" s="167">
        <v>0</v>
      </c>
      <c r="U208" s="168" t="e">
        <v>#DIV/0!</v>
      </c>
      <c r="V208" s="167">
        <v>0</v>
      </c>
      <c r="W208" s="167">
        <v>0</v>
      </c>
      <c r="X208" s="167">
        <v>0</v>
      </c>
      <c r="Y208" s="167">
        <v>0</v>
      </c>
      <c r="Z208" s="167">
        <v>0</v>
      </c>
      <c r="AA208" s="167">
        <v>0</v>
      </c>
    </row>
    <row r="209" spans="1:27" ht="12" customHeight="1" x14ac:dyDescent="0.25">
      <c r="A209" s="155" t="s">
        <v>1291</v>
      </c>
      <c r="B209" s="155" t="s">
        <v>597</v>
      </c>
      <c r="C209" s="167">
        <v>0</v>
      </c>
      <c r="D209" s="167">
        <v>0</v>
      </c>
      <c r="E209" s="167">
        <v>0</v>
      </c>
      <c r="F209" s="167">
        <v>0</v>
      </c>
      <c r="G209" s="167">
        <v>0</v>
      </c>
      <c r="H209" s="167">
        <v>0</v>
      </c>
      <c r="I209" s="167">
        <v>0</v>
      </c>
      <c r="J209" s="167">
        <v>0</v>
      </c>
      <c r="K209" s="167">
        <v>0</v>
      </c>
      <c r="L209" s="167">
        <v>0</v>
      </c>
      <c r="M209" s="167">
        <v>0</v>
      </c>
      <c r="N209" s="167">
        <v>0</v>
      </c>
      <c r="O209" s="167">
        <v>0</v>
      </c>
      <c r="P209" s="167">
        <v>0</v>
      </c>
      <c r="Q209" s="167">
        <v>0</v>
      </c>
      <c r="R209" s="167">
        <v>0</v>
      </c>
      <c r="S209" s="167">
        <v>0</v>
      </c>
      <c r="T209" s="167">
        <v>0</v>
      </c>
      <c r="U209" s="168" t="e">
        <v>#DIV/0!</v>
      </c>
      <c r="V209" s="167">
        <v>0</v>
      </c>
      <c r="W209" s="167">
        <v>0</v>
      </c>
      <c r="X209" s="167">
        <v>0</v>
      </c>
      <c r="Y209" s="167">
        <v>0</v>
      </c>
      <c r="Z209" s="167">
        <v>0</v>
      </c>
      <c r="AA209" s="167">
        <v>0</v>
      </c>
    </row>
    <row r="210" spans="1:27" ht="12" customHeight="1" x14ac:dyDescent="0.25">
      <c r="A210" s="155" t="s">
        <v>1292</v>
      </c>
      <c r="B210" s="155" t="s">
        <v>598</v>
      </c>
      <c r="C210" s="167">
        <v>0</v>
      </c>
      <c r="D210" s="167">
        <v>0</v>
      </c>
      <c r="E210" s="167">
        <v>0</v>
      </c>
      <c r="F210" s="167">
        <v>0</v>
      </c>
      <c r="G210" s="167">
        <v>0</v>
      </c>
      <c r="H210" s="167">
        <v>0</v>
      </c>
      <c r="I210" s="167">
        <v>0</v>
      </c>
      <c r="J210" s="167">
        <v>0</v>
      </c>
      <c r="K210" s="167">
        <v>0</v>
      </c>
      <c r="L210" s="167">
        <v>0</v>
      </c>
      <c r="M210" s="167">
        <v>0</v>
      </c>
      <c r="N210" s="167">
        <v>0</v>
      </c>
      <c r="O210" s="167">
        <v>0</v>
      </c>
      <c r="P210" s="167">
        <v>0</v>
      </c>
      <c r="Q210" s="167">
        <v>0</v>
      </c>
      <c r="R210" s="167">
        <v>0</v>
      </c>
      <c r="S210" s="167">
        <v>0</v>
      </c>
      <c r="T210" s="167">
        <v>0</v>
      </c>
      <c r="U210" s="168" t="e">
        <v>#DIV/0!</v>
      </c>
      <c r="V210" s="167">
        <v>0</v>
      </c>
      <c r="W210" s="167">
        <v>0</v>
      </c>
      <c r="X210" s="167">
        <v>0</v>
      </c>
      <c r="Y210" s="167">
        <v>0</v>
      </c>
      <c r="Z210" s="167">
        <v>0</v>
      </c>
      <c r="AA210" s="167">
        <v>0</v>
      </c>
    </row>
    <row r="211" spans="1:27" ht="12" customHeight="1" x14ac:dyDescent="0.25">
      <c r="A211" s="155" t="s">
        <v>1293</v>
      </c>
      <c r="B211" s="155" t="s">
        <v>599</v>
      </c>
      <c r="C211" s="167">
        <v>0</v>
      </c>
      <c r="D211" s="167">
        <v>0</v>
      </c>
      <c r="E211" s="167">
        <v>0</v>
      </c>
      <c r="F211" s="167">
        <v>0</v>
      </c>
      <c r="G211" s="167">
        <v>0</v>
      </c>
      <c r="H211" s="167">
        <v>0</v>
      </c>
      <c r="I211" s="167">
        <v>0</v>
      </c>
      <c r="J211" s="167">
        <v>0</v>
      </c>
      <c r="K211" s="167">
        <v>0</v>
      </c>
      <c r="L211" s="167">
        <v>0</v>
      </c>
      <c r="M211" s="167">
        <v>0</v>
      </c>
      <c r="N211" s="167">
        <v>0</v>
      </c>
      <c r="O211" s="167">
        <v>0</v>
      </c>
      <c r="P211" s="167">
        <v>0</v>
      </c>
      <c r="Q211" s="167">
        <v>0</v>
      </c>
      <c r="R211" s="167">
        <v>0</v>
      </c>
      <c r="S211" s="167">
        <v>0</v>
      </c>
      <c r="T211" s="167">
        <v>0</v>
      </c>
      <c r="U211" s="168" t="e">
        <v>#DIV/0!</v>
      </c>
      <c r="V211" s="167">
        <v>0</v>
      </c>
      <c r="W211" s="167">
        <v>0</v>
      </c>
      <c r="X211" s="167">
        <v>0</v>
      </c>
      <c r="Y211" s="167">
        <v>0</v>
      </c>
      <c r="Z211" s="167">
        <v>0</v>
      </c>
      <c r="AA211" s="167">
        <v>0</v>
      </c>
    </row>
    <row r="212" spans="1:27" ht="12" customHeight="1" x14ac:dyDescent="0.25">
      <c r="A212" s="155" t="s">
        <v>1294</v>
      </c>
      <c r="B212" s="155" t="s">
        <v>600</v>
      </c>
      <c r="C212" s="167">
        <v>0</v>
      </c>
      <c r="D212" s="167">
        <v>0</v>
      </c>
      <c r="E212" s="167">
        <v>0</v>
      </c>
      <c r="F212" s="167">
        <v>0</v>
      </c>
      <c r="G212" s="167">
        <v>0</v>
      </c>
      <c r="H212" s="167">
        <v>0</v>
      </c>
      <c r="I212" s="167">
        <v>0</v>
      </c>
      <c r="J212" s="167">
        <v>0</v>
      </c>
      <c r="K212" s="167">
        <v>0</v>
      </c>
      <c r="L212" s="167">
        <v>0</v>
      </c>
      <c r="M212" s="167">
        <v>0</v>
      </c>
      <c r="N212" s="167">
        <v>0</v>
      </c>
      <c r="O212" s="167">
        <v>0</v>
      </c>
      <c r="P212" s="167">
        <v>0</v>
      </c>
      <c r="Q212" s="167">
        <v>0</v>
      </c>
      <c r="R212" s="167">
        <v>0</v>
      </c>
      <c r="S212" s="167">
        <v>0</v>
      </c>
      <c r="T212" s="167">
        <v>0</v>
      </c>
      <c r="U212" s="168" t="e">
        <v>#DIV/0!</v>
      </c>
      <c r="V212" s="167">
        <v>0</v>
      </c>
      <c r="W212" s="167">
        <v>0</v>
      </c>
      <c r="X212" s="167">
        <v>0</v>
      </c>
      <c r="Y212" s="167">
        <v>0</v>
      </c>
      <c r="Z212" s="167">
        <v>0</v>
      </c>
      <c r="AA212" s="167">
        <v>0</v>
      </c>
    </row>
    <row r="213" spans="1:27" ht="12" customHeight="1" x14ac:dyDescent="0.25">
      <c r="A213" s="155" t="s">
        <v>1295</v>
      </c>
      <c r="B213" s="155" t="s">
        <v>601</v>
      </c>
      <c r="C213" s="167">
        <v>0</v>
      </c>
      <c r="D213" s="167">
        <v>0</v>
      </c>
      <c r="E213" s="167">
        <v>0</v>
      </c>
      <c r="F213" s="167">
        <v>0</v>
      </c>
      <c r="G213" s="167">
        <v>0</v>
      </c>
      <c r="H213" s="167">
        <v>0</v>
      </c>
      <c r="I213" s="167">
        <v>0</v>
      </c>
      <c r="J213" s="167">
        <v>0</v>
      </c>
      <c r="K213" s="167">
        <v>0</v>
      </c>
      <c r="L213" s="167">
        <v>0</v>
      </c>
      <c r="M213" s="167">
        <v>0</v>
      </c>
      <c r="N213" s="167">
        <v>0</v>
      </c>
      <c r="O213" s="167">
        <v>0</v>
      </c>
      <c r="P213" s="167">
        <v>0</v>
      </c>
      <c r="Q213" s="167">
        <v>0</v>
      </c>
      <c r="R213" s="167">
        <v>0</v>
      </c>
      <c r="S213" s="167">
        <v>0</v>
      </c>
      <c r="T213" s="167">
        <v>0</v>
      </c>
      <c r="U213" s="168" t="e">
        <v>#DIV/0!</v>
      </c>
      <c r="V213" s="167">
        <v>0</v>
      </c>
      <c r="W213" s="167">
        <v>0</v>
      </c>
      <c r="X213" s="167">
        <v>0</v>
      </c>
      <c r="Y213" s="167">
        <v>0</v>
      </c>
      <c r="Z213" s="167">
        <v>0</v>
      </c>
      <c r="AA213" s="167">
        <v>0</v>
      </c>
    </row>
    <row r="214" spans="1:27" ht="12" customHeight="1" x14ac:dyDescent="0.25">
      <c r="A214" s="155" t="s">
        <v>1296</v>
      </c>
      <c r="B214" s="155" t="s">
        <v>602</v>
      </c>
      <c r="C214" s="167">
        <v>0</v>
      </c>
      <c r="D214" s="167">
        <v>0</v>
      </c>
      <c r="E214" s="167">
        <v>0</v>
      </c>
      <c r="F214" s="167">
        <v>0</v>
      </c>
      <c r="G214" s="167">
        <v>0</v>
      </c>
      <c r="H214" s="167">
        <v>0</v>
      </c>
      <c r="I214" s="167">
        <v>0</v>
      </c>
      <c r="J214" s="167">
        <v>0</v>
      </c>
      <c r="K214" s="167">
        <v>0</v>
      </c>
      <c r="L214" s="167">
        <v>0</v>
      </c>
      <c r="M214" s="167">
        <v>0</v>
      </c>
      <c r="N214" s="167">
        <v>0</v>
      </c>
      <c r="O214" s="167">
        <v>0</v>
      </c>
      <c r="P214" s="167">
        <v>0</v>
      </c>
      <c r="Q214" s="167">
        <v>0</v>
      </c>
      <c r="R214" s="167">
        <v>0</v>
      </c>
      <c r="S214" s="167">
        <v>0</v>
      </c>
      <c r="T214" s="167">
        <v>0</v>
      </c>
      <c r="U214" s="168" t="e">
        <v>#DIV/0!</v>
      </c>
      <c r="V214" s="167">
        <v>0</v>
      </c>
      <c r="W214" s="167">
        <v>0</v>
      </c>
      <c r="X214" s="167">
        <v>0</v>
      </c>
      <c r="Y214" s="167">
        <v>0</v>
      </c>
      <c r="Z214" s="167">
        <v>0</v>
      </c>
      <c r="AA214" s="167">
        <v>0</v>
      </c>
    </row>
    <row r="215" spans="1:27" ht="12" customHeight="1" x14ac:dyDescent="0.25">
      <c r="A215" s="155" t="s">
        <v>1297</v>
      </c>
      <c r="B215" s="155" t="s">
        <v>603</v>
      </c>
      <c r="C215" s="167">
        <v>0</v>
      </c>
      <c r="D215" s="167">
        <v>0</v>
      </c>
      <c r="E215" s="167">
        <v>0</v>
      </c>
      <c r="F215" s="167">
        <v>0</v>
      </c>
      <c r="G215" s="167">
        <v>0</v>
      </c>
      <c r="H215" s="167">
        <v>0</v>
      </c>
      <c r="I215" s="167">
        <v>0</v>
      </c>
      <c r="J215" s="167">
        <v>0</v>
      </c>
      <c r="K215" s="167">
        <v>0</v>
      </c>
      <c r="L215" s="167">
        <v>0</v>
      </c>
      <c r="M215" s="167">
        <v>0</v>
      </c>
      <c r="N215" s="167">
        <v>0</v>
      </c>
      <c r="O215" s="167">
        <v>0</v>
      </c>
      <c r="P215" s="167">
        <v>0</v>
      </c>
      <c r="Q215" s="167">
        <v>0</v>
      </c>
      <c r="R215" s="167">
        <v>0</v>
      </c>
      <c r="S215" s="167">
        <v>0</v>
      </c>
      <c r="T215" s="167">
        <v>0</v>
      </c>
      <c r="U215" s="168" t="e">
        <v>#DIV/0!</v>
      </c>
      <c r="V215" s="167">
        <v>0</v>
      </c>
      <c r="W215" s="167">
        <v>0</v>
      </c>
      <c r="X215" s="167">
        <v>0</v>
      </c>
      <c r="Y215" s="167">
        <v>0</v>
      </c>
      <c r="Z215" s="167">
        <v>0</v>
      </c>
      <c r="AA215" s="167">
        <v>0</v>
      </c>
    </row>
    <row r="216" spans="1:27" ht="12" customHeight="1" x14ac:dyDescent="0.25">
      <c r="A216" s="155"/>
      <c r="B216" s="162" t="s">
        <v>604</v>
      </c>
      <c r="C216" s="163">
        <v>0</v>
      </c>
      <c r="D216" s="163">
        <v>0</v>
      </c>
      <c r="E216" s="163">
        <v>0</v>
      </c>
      <c r="F216" s="163">
        <v>0</v>
      </c>
      <c r="G216" s="163">
        <v>0</v>
      </c>
      <c r="H216" s="163">
        <v>0</v>
      </c>
      <c r="I216" s="163">
        <v>0</v>
      </c>
      <c r="J216" s="163">
        <v>0</v>
      </c>
      <c r="K216" s="163">
        <v>0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3">
        <v>0</v>
      </c>
      <c r="R216" s="163">
        <v>0</v>
      </c>
      <c r="S216" s="163">
        <v>0</v>
      </c>
      <c r="T216" s="164">
        <v>0</v>
      </c>
      <c r="U216" s="165" t="e">
        <v>#DIV/0!</v>
      </c>
      <c r="V216" s="164">
        <v>0</v>
      </c>
      <c r="W216" s="164">
        <v>0</v>
      </c>
      <c r="X216" s="164">
        <v>0</v>
      </c>
      <c r="Y216" s="164">
        <v>0</v>
      </c>
      <c r="Z216" s="164">
        <v>0</v>
      </c>
      <c r="AA216" s="164">
        <v>0</v>
      </c>
    </row>
    <row r="217" spans="1:27" ht="12" customHeight="1" x14ac:dyDescent="0.25">
      <c r="A217" s="155" t="s">
        <v>1298</v>
      </c>
      <c r="B217" s="155" t="s">
        <v>605</v>
      </c>
      <c r="C217" s="167">
        <v>0</v>
      </c>
      <c r="D217" s="167">
        <v>0</v>
      </c>
      <c r="E217" s="167">
        <v>0</v>
      </c>
      <c r="F217" s="167">
        <v>0</v>
      </c>
      <c r="G217" s="167">
        <v>0</v>
      </c>
      <c r="H217" s="167">
        <v>0</v>
      </c>
      <c r="I217" s="167">
        <v>0</v>
      </c>
      <c r="J217" s="167">
        <v>0</v>
      </c>
      <c r="K217" s="167">
        <v>0</v>
      </c>
      <c r="L217" s="167">
        <v>0</v>
      </c>
      <c r="M217" s="167">
        <v>0</v>
      </c>
      <c r="N217" s="167">
        <v>0</v>
      </c>
      <c r="O217" s="167">
        <v>0</v>
      </c>
      <c r="P217" s="167">
        <v>0</v>
      </c>
      <c r="Q217" s="167">
        <v>0</v>
      </c>
      <c r="R217" s="167">
        <v>0</v>
      </c>
      <c r="S217" s="167">
        <v>0</v>
      </c>
      <c r="T217" s="167">
        <v>0</v>
      </c>
      <c r="U217" s="168" t="e">
        <v>#DIV/0!</v>
      </c>
      <c r="V217" s="167">
        <v>0</v>
      </c>
      <c r="W217" s="167">
        <v>0</v>
      </c>
      <c r="X217" s="167">
        <v>0</v>
      </c>
      <c r="Y217" s="167">
        <v>0</v>
      </c>
      <c r="Z217" s="167">
        <v>0</v>
      </c>
      <c r="AA217" s="167">
        <v>0</v>
      </c>
    </row>
    <row r="218" spans="1:27" ht="12" customHeight="1" x14ac:dyDescent="0.25">
      <c r="A218" s="155" t="s">
        <v>1299</v>
      </c>
      <c r="B218" s="155" t="s">
        <v>606</v>
      </c>
      <c r="C218" s="167">
        <v>0</v>
      </c>
      <c r="D218" s="167">
        <v>0</v>
      </c>
      <c r="E218" s="167">
        <v>0</v>
      </c>
      <c r="F218" s="167">
        <v>0</v>
      </c>
      <c r="G218" s="167">
        <v>0</v>
      </c>
      <c r="H218" s="167">
        <v>0</v>
      </c>
      <c r="I218" s="167">
        <v>0</v>
      </c>
      <c r="J218" s="167">
        <v>0</v>
      </c>
      <c r="K218" s="167">
        <v>0</v>
      </c>
      <c r="L218" s="167">
        <v>0</v>
      </c>
      <c r="M218" s="167">
        <v>0</v>
      </c>
      <c r="N218" s="167">
        <v>0</v>
      </c>
      <c r="O218" s="167">
        <v>0</v>
      </c>
      <c r="P218" s="167">
        <v>0</v>
      </c>
      <c r="Q218" s="167">
        <v>0</v>
      </c>
      <c r="R218" s="167">
        <v>0</v>
      </c>
      <c r="S218" s="167">
        <v>0</v>
      </c>
      <c r="T218" s="167">
        <v>0</v>
      </c>
      <c r="U218" s="168" t="e">
        <v>#DIV/0!</v>
      </c>
      <c r="V218" s="167">
        <v>0</v>
      </c>
      <c r="W218" s="167">
        <v>0</v>
      </c>
      <c r="X218" s="167">
        <v>0</v>
      </c>
      <c r="Y218" s="167">
        <v>0</v>
      </c>
      <c r="Z218" s="167">
        <v>0</v>
      </c>
      <c r="AA218" s="167">
        <v>0</v>
      </c>
    </row>
    <row r="219" spans="1:27" ht="12" customHeight="1" x14ac:dyDescent="0.25">
      <c r="A219" s="155" t="s">
        <v>1300</v>
      </c>
      <c r="B219" s="155" t="s">
        <v>607</v>
      </c>
      <c r="C219" s="167">
        <v>0</v>
      </c>
      <c r="D219" s="167">
        <v>0</v>
      </c>
      <c r="E219" s="167">
        <v>0</v>
      </c>
      <c r="F219" s="167">
        <v>0</v>
      </c>
      <c r="G219" s="167">
        <v>0</v>
      </c>
      <c r="H219" s="167">
        <v>0</v>
      </c>
      <c r="I219" s="167">
        <v>0</v>
      </c>
      <c r="J219" s="167">
        <v>0</v>
      </c>
      <c r="K219" s="167">
        <v>0</v>
      </c>
      <c r="L219" s="167">
        <v>0</v>
      </c>
      <c r="M219" s="167">
        <v>0</v>
      </c>
      <c r="N219" s="167">
        <v>0</v>
      </c>
      <c r="O219" s="167">
        <v>0</v>
      </c>
      <c r="P219" s="167">
        <v>0</v>
      </c>
      <c r="Q219" s="167">
        <v>0</v>
      </c>
      <c r="R219" s="167">
        <v>0</v>
      </c>
      <c r="S219" s="167">
        <v>0</v>
      </c>
      <c r="T219" s="167">
        <v>0</v>
      </c>
      <c r="U219" s="168" t="e">
        <v>#DIV/0!</v>
      </c>
      <c r="V219" s="167">
        <v>0</v>
      </c>
      <c r="W219" s="167">
        <v>0</v>
      </c>
      <c r="X219" s="167">
        <v>0</v>
      </c>
      <c r="Y219" s="167">
        <v>0</v>
      </c>
      <c r="Z219" s="167">
        <v>0</v>
      </c>
      <c r="AA219" s="167">
        <v>0</v>
      </c>
    </row>
    <row r="220" spans="1:27" ht="12" customHeight="1" x14ac:dyDescent="0.25">
      <c r="A220" s="155"/>
      <c r="B220" s="162" t="s">
        <v>608</v>
      </c>
      <c r="C220" s="163">
        <v>0</v>
      </c>
      <c r="D220" s="163">
        <v>0</v>
      </c>
      <c r="E220" s="163">
        <v>0</v>
      </c>
      <c r="F220" s="163">
        <v>0</v>
      </c>
      <c r="G220" s="163">
        <v>0</v>
      </c>
      <c r="H220" s="163">
        <v>0</v>
      </c>
      <c r="I220" s="163">
        <v>0</v>
      </c>
      <c r="J220" s="163">
        <v>0</v>
      </c>
      <c r="K220" s="163">
        <v>0</v>
      </c>
      <c r="L220" s="163">
        <v>0</v>
      </c>
      <c r="M220" s="163">
        <v>0</v>
      </c>
      <c r="N220" s="163">
        <v>0</v>
      </c>
      <c r="O220" s="163">
        <v>0</v>
      </c>
      <c r="P220" s="163">
        <v>0</v>
      </c>
      <c r="Q220" s="163">
        <v>0</v>
      </c>
      <c r="R220" s="163">
        <v>0</v>
      </c>
      <c r="S220" s="163">
        <v>0</v>
      </c>
      <c r="T220" s="164">
        <v>0</v>
      </c>
      <c r="U220" s="165" t="e">
        <v>#DIV/0!</v>
      </c>
      <c r="V220" s="164">
        <v>0</v>
      </c>
      <c r="W220" s="164">
        <v>0</v>
      </c>
      <c r="X220" s="164">
        <v>0</v>
      </c>
      <c r="Y220" s="164">
        <v>0</v>
      </c>
      <c r="Z220" s="164">
        <v>0</v>
      </c>
      <c r="AA220" s="164">
        <v>0</v>
      </c>
    </row>
    <row r="221" spans="1:27" ht="12" customHeight="1" x14ac:dyDescent="0.25">
      <c r="A221" s="155" t="s">
        <v>1301</v>
      </c>
      <c r="B221" s="155" t="s">
        <v>609</v>
      </c>
      <c r="C221" s="167">
        <v>0</v>
      </c>
      <c r="D221" s="167">
        <v>0</v>
      </c>
      <c r="E221" s="167">
        <v>0</v>
      </c>
      <c r="F221" s="167">
        <v>0</v>
      </c>
      <c r="G221" s="167">
        <v>0</v>
      </c>
      <c r="H221" s="167">
        <v>0</v>
      </c>
      <c r="I221" s="167">
        <v>0</v>
      </c>
      <c r="J221" s="167">
        <v>0</v>
      </c>
      <c r="K221" s="167">
        <v>0</v>
      </c>
      <c r="L221" s="167">
        <v>0</v>
      </c>
      <c r="M221" s="167">
        <v>0</v>
      </c>
      <c r="N221" s="167">
        <v>0</v>
      </c>
      <c r="O221" s="167">
        <v>0</v>
      </c>
      <c r="P221" s="167">
        <v>0</v>
      </c>
      <c r="Q221" s="167">
        <v>0</v>
      </c>
      <c r="R221" s="167">
        <v>0</v>
      </c>
      <c r="S221" s="167">
        <v>0</v>
      </c>
      <c r="T221" s="167">
        <v>0</v>
      </c>
      <c r="U221" s="168" t="e">
        <v>#DIV/0!</v>
      </c>
      <c r="V221" s="167">
        <v>0</v>
      </c>
      <c r="W221" s="167">
        <v>0</v>
      </c>
      <c r="X221" s="167">
        <v>0</v>
      </c>
      <c r="Y221" s="167">
        <v>0</v>
      </c>
      <c r="Z221" s="167">
        <v>0</v>
      </c>
      <c r="AA221" s="167">
        <v>0</v>
      </c>
    </row>
    <row r="222" spans="1:27" ht="12" customHeight="1" x14ac:dyDescent="0.25">
      <c r="A222" s="155" t="s">
        <v>1302</v>
      </c>
      <c r="B222" s="155" t="s">
        <v>610</v>
      </c>
      <c r="C222" s="167">
        <v>0</v>
      </c>
      <c r="D222" s="167">
        <v>0</v>
      </c>
      <c r="E222" s="167">
        <v>0</v>
      </c>
      <c r="F222" s="167">
        <v>0</v>
      </c>
      <c r="G222" s="167">
        <v>0</v>
      </c>
      <c r="H222" s="167">
        <v>0</v>
      </c>
      <c r="I222" s="167">
        <v>0</v>
      </c>
      <c r="J222" s="167">
        <v>0</v>
      </c>
      <c r="K222" s="167">
        <v>0</v>
      </c>
      <c r="L222" s="167">
        <v>0</v>
      </c>
      <c r="M222" s="167">
        <v>0</v>
      </c>
      <c r="N222" s="167">
        <v>0</v>
      </c>
      <c r="O222" s="167">
        <v>0</v>
      </c>
      <c r="P222" s="167">
        <v>0</v>
      </c>
      <c r="Q222" s="167">
        <v>0</v>
      </c>
      <c r="R222" s="167">
        <v>0</v>
      </c>
      <c r="S222" s="167">
        <v>0</v>
      </c>
      <c r="T222" s="167">
        <v>0</v>
      </c>
      <c r="U222" s="168" t="e">
        <v>#DIV/0!</v>
      </c>
      <c r="V222" s="167">
        <v>0</v>
      </c>
      <c r="W222" s="167">
        <v>0</v>
      </c>
      <c r="X222" s="167">
        <v>0</v>
      </c>
      <c r="Y222" s="167">
        <v>0</v>
      </c>
      <c r="Z222" s="167">
        <v>0</v>
      </c>
      <c r="AA222" s="167">
        <v>0</v>
      </c>
    </row>
    <row r="223" spans="1:27" ht="12" customHeight="1" x14ac:dyDescent="0.25">
      <c r="A223" s="155" t="s">
        <v>1303</v>
      </c>
      <c r="B223" s="155" t="s">
        <v>611</v>
      </c>
      <c r="C223" s="167">
        <v>0</v>
      </c>
      <c r="D223" s="167">
        <v>0</v>
      </c>
      <c r="E223" s="167">
        <v>0</v>
      </c>
      <c r="F223" s="167">
        <v>0</v>
      </c>
      <c r="G223" s="167">
        <v>0</v>
      </c>
      <c r="H223" s="167">
        <v>0</v>
      </c>
      <c r="I223" s="167">
        <v>0</v>
      </c>
      <c r="J223" s="167">
        <v>0</v>
      </c>
      <c r="K223" s="167">
        <v>0</v>
      </c>
      <c r="L223" s="167">
        <v>0</v>
      </c>
      <c r="M223" s="167">
        <v>0</v>
      </c>
      <c r="N223" s="167">
        <v>0</v>
      </c>
      <c r="O223" s="167">
        <v>0</v>
      </c>
      <c r="P223" s="167">
        <v>0</v>
      </c>
      <c r="Q223" s="167">
        <v>0</v>
      </c>
      <c r="R223" s="167">
        <v>0</v>
      </c>
      <c r="S223" s="167">
        <v>0</v>
      </c>
      <c r="T223" s="167">
        <v>0</v>
      </c>
      <c r="U223" s="168" t="e">
        <v>#DIV/0!</v>
      </c>
      <c r="V223" s="167">
        <v>0</v>
      </c>
      <c r="W223" s="167">
        <v>0</v>
      </c>
      <c r="X223" s="167">
        <v>0</v>
      </c>
      <c r="Y223" s="167">
        <v>0</v>
      </c>
      <c r="Z223" s="167">
        <v>0</v>
      </c>
      <c r="AA223" s="167">
        <v>0</v>
      </c>
    </row>
    <row r="224" spans="1:27" ht="12" customHeight="1" x14ac:dyDescent="0.25">
      <c r="A224" s="155"/>
      <c r="B224" s="162" t="s">
        <v>612</v>
      </c>
      <c r="C224" s="163">
        <v>0</v>
      </c>
      <c r="D224" s="163">
        <v>0</v>
      </c>
      <c r="E224" s="163">
        <v>0</v>
      </c>
      <c r="F224" s="163">
        <v>0</v>
      </c>
      <c r="G224" s="163">
        <v>0</v>
      </c>
      <c r="H224" s="163">
        <v>0</v>
      </c>
      <c r="I224" s="163">
        <v>0</v>
      </c>
      <c r="J224" s="163">
        <v>0</v>
      </c>
      <c r="K224" s="163">
        <v>0</v>
      </c>
      <c r="L224" s="163">
        <v>0</v>
      </c>
      <c r="M224" s="163">
        <v>0</v>
      </c>
      <c r="N224" s="163">
        <v>0</v>
      </c>
      <c r="O224" s="163">
        <v>0</v>
      </c>
      <c r="P224" s="163">
        <v>0</v>
      </c>
      <c r="Q224" s="163">
        <v>0</v>
      </c>
      <c r="R224" s="163">
        <v>0</v>
      </c>
      <c r="S224" s="163">
        <v>0</v>
      </c>
      <c r="T224" s="164">
        <v>0</v>
      </c>
      <c r="U224" s="165" t="e">
        <v>#DIV/0!</v>
      </c>
      <c r="V224" s="164">
        <v>0</v>
      </c>
      <c r="W224" s="164">
        <v>0</v>
      </c>
      <c r="X224" s="164">
        <v>0</v>
      </c>
      <c r="Y224" s="164">
        <v>0</v>
      </c>
      <c r="Z224" s="164">
        <v>0</v>
      </c>
      <c r="AA224" s="164">
        <v>0</v>
      </c>
    </row>
    <row r="225" spans="1:27" ht="12" customHeight="1" x14ac:dyDescent="0.25">
      <c r="A225" s="155" t="s">
        <v>1304</v>
      </c>
      <c r="B225" s="155" t="s">
        <v>613</v>
      </c>
      <c r="C225" s="167">
        <v>0</v>
      </c>
      <c r="D225" s="167">
        <v>0</v>
      </c>
      <c r="E225" s="167">
        <v>0</v>
      </c>
      <c r="F225" s="167">
        <v>0</v>
      </c>
      <c r="G225" s="167">
        <v>0</v>
      </c>
      <c r="H225" s="167">
        <v>0</v>
      </c>
      <c r="I225" s="167">
        <v>0</v>
      </c>
      <c r="J225" s="167">
        <v>0</v>
      </c>
      <c r="K225" s="167">
        <v>0</v>
      </c>
      <c r="L225" s="167">
        <v>0</v>
      </c>
      <c r="M225" s="167">
        <v>0</v>
      </c>
      <c r="N225" s="167">
        <v>0</v>
      </c>
      <c r="O225" s="167">
        <v>0</v>
      </c>
      <c r="P225" s="167">
        <v>0</v>
      </c>
      <c r="Q225" s="167">
        <v>0</v>
      </c>
      <c r="R225" s="167">
        <v>0</v>
      </c>
      <c r="S225" s="167">
        <v>0</v>
      </c>
      <c r="T225" s="167">
        <v>0</v>
      </c>
      <c r="U225" s="168" t="e">
        <v>#DIV/0!</v>
      </c>
      <c r="V225" s="167">
        <v>0</v>
      </c>
      <c r="W225" s="167">
        <v>0</v>
      </c>
      <c r="X225" s="167">
        <v>0</v>
      </c>
      <c r="Y225" s="167">
        <v>0</v>
      </c>
      <c r="Z225" s="167">
        <v>0</v>
      </c>
      <c r="AA225" s="167">
        <v>0</v>
      </c>
    </row>
    <row r="226" spans="1:27" ht="12" customHeight="1" x14ac:dyDescent="0.25">
      <c r="A226" s="155" t="s">
        <v>1305</v>
      </c>
      <c r="B226" s="155" t="s">
        <v>614</v>
      </c>
      <c r="C226" s="167">
        <v>0</v>
      </c>
      <c r="D226" s="167">
        <v>0</v>
      </c>
      <c r="E226" s="167">
        <v>0</v>
      </c>
      <c r="F226" s="167">
        <v>0</v>
      </c>
      <c r="G226" s="167">
        <v>0</v>
      </c>
      <c r="H226" s="167">
        <v>0</v>
      </c>
      <c r="I226" s="167">
        <v>0</v>
      </c>
      <c r="J226" s="167">
        <v>0</v>
      </c>
      <c r="K226" s="167">
        <v>0</v>
      </c>
      <c r="L226" s="167">
        <v>0</v>
      </c>
      <c r="M226" s="167">
        <v>0</v>
      </c>
      <c r="N226" s="167">
        <v>0</v>
      </c>
      <c r="O226" s="167">
        <v>0</v>
      </c>
      <c r="P226" s="167">
        <v>0</v>
      </c>
      <c r="Q226" s="167">
        <v>0</v>
      </c>
      <c r="R226" s="167">
        <v>0</v>
      </c>
      <c r="S226" s="167">
        <v>0</v>
      </c>
      <c r="T226" s="167">
        <v>0</v>
      </c>
      <c r="U226" s="168" t="e">
        <v>#DIV/0!</v>
      </c>
      <c r="V226" s="167">
        <v>0</v>
      </c>
      <c r="W226" s="167">
        <v>0</v>
      </c>
      <c r="X226" s="167">
        <v>0</v>
      </c>
      <c r="Y226" s="167">
        <v>0</v>
      </c>
      <c r="Z226" s="167">
        <v>0</v>
      </c>
      <c r="AA226" s="167">
        <v>0</v>
      </c>
    </row>
    <row r="227" spans="1:27" ht="12" customHeight="1" x14ac:dyDescent="0.25">
      <c r="A227" s="155" t="s">
        <v>1306</v>
      </c>
      <c r="B227" s="155" t="s">
        <v>615</v>
      </c>
      <c r="C227" s="167">
        <v>0</v>
      </c>
      <c r="D227" s="167">
        <v>0</v>
      </c>
      <c r="E227" s="167">
        <v>0</v>
      </c>
      <c r="F227" s="167">
        <v>0</v>
      </c>
      <c r="G227" s="167">
        <v>0</v>
      </c>
      <c r="H227" s="167">
        <v>0</v>
      </c>
      <c r="I227" s="167">
        <v>0</v>
      </c>
      <c r="J227" s="167">
        <v>0</v>
      </c>
      <c r="K227" s="167">
        <v>0</v>
      </c>
      <c r="L227" s="167">
        <v>0</v>
      </c>
      <c r="M227" s="167">
        <v>0</v>
      </c>
      <c r="N227" s="167">
        <v>0</v>
      </c>
      <c r="O227" s="167">
        <v>0</v>
      </c>
      <c r="P227" s="167">
        <v>0</v>
      </c>
      <c r="Q227" s="167">
        <v>0</v>
      </c>
      <c r="R227" s="167">
        <v>0</v>
      </c>
      <c r="S227" s="167">
        <v>0</v>
      </c>
      <c r="T227" s="167">
        <v>0</v>
      </c>
      <c r="U227" s="168" t="e">
        <v>#DIV/0!</v>
      </c>
      <c r="V227" s="167">
        <v>0</v>
      </c>
      <c r="W227" s="167">
        <v>0</v>
      </c>
      <c r="X227" s="167">
        <v>0</v>
      </c>
      <c r="Y227" s="167">
        <v>0</v>
      </c>
      <c r="Z227" s="167">
        <v>0</v>
      </c>
      <c r="AA227" s="167">
        <v>0</v>
      </c>
    </row>
    <row r="228" spans="1:27" ht="12" customHeight="1" x14ac:dyDescent="0.25">
      <c r="A228" s="155" t="s">
        <v>1307</v>
      </c>
      <c r="B228" s="155" t="s">
        <v>616</v>
      </c>
      <c r="C228" s="167">
        <v>0</v>
      </c>
      <c r="D228" s="167">
        <v>0</v>
      </c>
      <c r="E228" s="167">
        <v>0</v>
      </c>
      <c r="F228" s="167">
        <v>0</v>
      </c>
      <c r="G228" s="167">
        <v>0</v>
      </c>
      <c r="H228" s="167">
        <v>0</v>
      </c>
      <c r="I228" s="167">
        <v>0</v>
      </c>
      <c r="J228" s="167">
        <v>0</v>
      </c>
      <c r="K228" s="167">
        <v>0</v>
      </c>
      <c r="L228" s="167">
        <v>0</v>
      </c>
      <c r="M228" s="167">
        <v>0</v>
      </c>
      <c r="N228" s="167">
        <v>0</v>
      </c>
      <c r="O228" s="167">
        <v>0</v>
      </c>
      <c r="P228" s="167">
        <v>0</v>
      </c>
      <c r="Q228" s="167">
        <v>0</v>
      </c>
      <c r="R228" s="167">
        <v>0</v>
      </c>
      <c r="S228" s="167">
        <v>0</v>
      </c>
      <c r="T228" s="167">
        <v>0</v>
      </c>
      <c r="U228" s="168" t="e">
        <v>#DIV/0!</v>
      </c>
      <c r="V228" s="167">
        <v>0</v>
      </c>
      <c r="W228" s="167">
        <v>0</v>
      </c>
      <c r="X228" s="167">
        <v>0</v>
      </c>
      <c r="Y228" s="167">
        <v>0</v>
      </c>
      <c r="Z228" s="167">
        <v>0</v>
      </c>
      <c r="AA228" s="167">
        <v>0</v>
      </c>
    </row>
    <row r="229" spans="1:27" ht="12" customHeight="1" x14ac:dyDescent="0.25">
      <c r="A229" s="155" t="s">
        <v>1308</v>
      </c>
      <c r="B229" s="155" t="s">
        <v>617</v>
      </c>
      <c r="C229" s="167">
        <v>0</v>
      </c>
      <c r="D229" s="167">
        <v>0</v>
      </c>
      <c r="E229" s="167">
        <v>0</v>
      </c>
      <c r="F229" s="167">
        <v>0</v>
      </c>
      <c r="G229" s="167">
        <v>0</v>
      </c>
      <c r="H229" s="167">
        <v>0</v>
      </c>
      <c r="I229" s="167">
        <v>0</v>
      </c>
      <c r="J229" s="167">
        <v>0</v>
      </c>
      <c r="K229" s="167">
        <v>0</v>
      </c>
      <c r="L229" s="167">
        <v>0</v>
      </c>
      <c r="M229" s="167">
        <v>0</v>
      </c>
      <c r="N229" s="167">
        <v>0</v>
      </c>
      <c r="O229" s="167">
        <v>0</v>
      </c>
      <c r="P229" s="167">
        <v>0</v>
      </c>
      <c r="Q229" s="167">
        <v>0</v>
      </c>
      <c r="R229" s="167">
        <v>0</v>
      </c>
      <c r="S229" s="167">
        <v>0</v>
      </c>
      <c r="T229" s="167">
        <v>0</v>
      </c>
      <c r="U229" s="168" t="e">
        <v>#DIV/0!</v>
      </c>
      <c r="V229" s="167">
        <v>0</v>
      </c>
      <c r="W229" s="167">
        <v>0</v>
      </c>
      <c r="X229" s="167">
        <v>0</v>
      </c>
      <c r="Y229" s="167">
        <v>0</v>
      </c>
      <c r="Z229" s="167">
        <v>0</v>
      </c>
      <c r="AA229" s="167">
        <v>0</v>
      </c>
    </row>
    <row r="230" spans="1:27" ht="12" customHeight="1" x14ac:dyDescent="0.25">
      <c r="A230" s="155" t="s">
        <v>1309</v>
      </c>
      <c r="B230" s="155" t="s">
        <v>618</v>
      </c>
      <c r="C230" s="167">
        <v>0</v>
      </c>
      <c r="D230" s="167">
        <v>0</v>
      </c>
      <c r="E230" s="167">
        <v>0</v>
      </c>
      <c r="F230" s="167">
        <v>0</v>
      </c>
      <c r="G230" s="167">
        <v>0</v>
      </c>
      <c r="H230" s="167">
        <v>0</v>
      </c>
      <c r="I230" s="167">
        <v>0</v>
      </c>
      <c r="J230" s="167">
        <v>0</v>
      </c>
      <c r="K230" s="167">
        <v>0</v>
      </c>
      <c r="L230" s="167">
        <v>0</v>
      </c>
      <c r="M230" s="167">
        <v>0</v>
      </c>
      <c r="N230" s="167">
        <v>0</v>
      </c>
      <c r="O230" s="167">
        <v>0</v>
      </c>
      <c r="P230" s="167">
        <v>0</v>
      </c>
      <c r="Q230" s="167">
        <v>0</v>
      </c>
      <c r="R230" s="167">
        <v>0</v>
      </c>
      <c r="S230" s="167">
        <v>0</v>
      </c>
      <c r="T230" s="167">
        <v>0</v>
      </c>
      <c r="U230" s="168" t="e">
        <v>#DIV/0!</v>
      </c>
      <c r="V230" s="167">
        <v>0</v>
      </c>
      <c r="W230" s="167">
        <v>0</v>
      </c>
      <c r="X230" s="167">
        <v>0</v>
      </c>
      <c r="Y230" s="167">
        <v>0</v>
      </c>
      <c r="Z230" s="167">
        <v>0</v>
      </c>
      <c r="AA230" s="167">
        <v>0</v>
      </c>
    </row>
    <row r="231" spans="1:27" ht="12" customHeight="1" x14ac:dyDescent="0.25">
      <c r="A231" s="155" t="s">
        <v>1310</v>
      </c>
      <c r="B231" s="155" t="s">
        <v>619</v>
      </c>
      <c r="C231" s="167">
        <v>0</v>
      </c>
      <c r="D231" s="167">
        <v>0</v>
      </c>
      <c r="E231" s="167">
        <v>0</v>
      </c>
      <c r="F231" s="167">
        <v>0</v>
      </c>
      <c r="G231" s="167">
        <v>0</v>
      </c>
      <c r="H231" s="167">
        <v>0</v>
      </c>
      <c r="I231" s="167">
        <v>0</v>
      </c>
      <c r="J231" s="167">
        <v>0</v>
      </c>
      <c r="K231" s="167">
        <v>0</v>
      </c>
      <c r="L231" s="167">
        <v>0</v>
      </c>
      <c r="M231" s="167">
        <v>0</v>
      </c>
      <c r="N231" s="167">
        <v>0</v>
      </c>
      <c r="O231" s="167">
        <v>0</v>
      </c>
      <c r="P231" s="167">
        <v>0</v>
      </c>
      <c r="Q231" s="167">
        <v>0</v>
      </c>
      <c r="R231" s="167">
        <v>0</v>
      </c>
      <c r="S231" s="167">
        <v>0</v>
      </c>
      <c r="T231" s="167">
        <v>0</v>
      </c>
      <c r="U231" s="168" t="e">
        <v>#DIV/0!</v>
      </c>
      <c r="V231" s="167">
        <v>0</v>
      </c>
      <c r="W231" s="167">
        <v>0</v>
      </c>
      <c r="X231" s="167">
        <v>0</v>
      </c>
      <c r="Y231" s="167">
        <v>0</v>
      </c>
      <c r="Z231" s="167">
        <v>0</v>
      </c>
      <c r="AA231" s="167">
        <v>0</v>
      </c>
    </row>
    <row r="232" spans="1:27" ht="12" customHeight="1" x14ac:dyDescent="0.25">
      <c r="A232" s="155" t="s">
        <v>1311</v>
      </c>
      <c r="B232" s="162" t="s">
        <v>620</v>
      </c>
      <c r="C232" s="164">
        <v>0</v>
      </c>
      <c r="D232" s="164">
        <v>0</v>
      </c>
      <c r="E232" s="164">
        <v>0</v>
      </c>
      <c r="F232" s="164">
        <v>0</v>
      </c>
      <c r="G232" s="164">
        <v>0</v>
      </c>
      <c r="H232" s="164">
        <v>0</v>
      </c>
      <c r="I232" s="164">
        <v>0</v>
      </c>
      <c r="J232" s="164">
        <v>0</v>
      </c>
      <c r="K232" s="164">
        <v>0</v>
      </c>
      <c r="L232" s="164">
        <v>0</v>
      </c>
      <c r="M232" s="164">
        <v>0</v>
      </c>
      <c r="N232" s="164">
        <v>0</v>
      </c>
      <c r="O232" s="164">
        <v>0</v>
      </c>
      <c r="P232" s="164">
        <v>0</v>
      </c>
      <c r="Q232" s="164">
        <v>0</v>
      </c>
      <c r="R232" s="164">
        <v>0</v>
      </c>
      <c r="S232" s="164">
        <v>0</v>
      </c>
      <c r="T232" s="164">
        <v>0</v>
      </c>
      <c r="U232" s="165" t="e">
        <v>#DIV/0!</v>
      </c>
      <c r="V232" s="164">
        <v>0</v>
      </c>
      <c r="W232" s="164">
        <v>0</v>
      </c>
      <c r="X232" s="164">
        <v>0</v>
      </c>
      <c r="Y232" s="164">
        <v>0</v>
      </c>
      <c r="Z232" s="164">
        <v>0</v>
      </c>
      <c r="AA232" s="164">
        <v>0</v>
      </c>
    </row>
    <row r="233" spans="1:27" ht="12" customHeight="1" x14ac:dyDescent="0.25">
      <c r="A233" s="155" t="s">
        <v>1312</v>
      </c>
      <c r="B233" s="162" t="s">
        <v>621</v>
      </c>
      <c r="C233" s="164">
        <v>0</v>
      </c>
      <c r="D233" s="164">
        <v>0</v>
      </c>
      <c r="E233" s="164">
        <v>0</v>
      </c>
      <c r="F233" s="164">
        <v>0</v>
      </c>
      <c r="G233" s="164">
        <v>0</v>
      </c>
      <c r="H233" s="164">
        <v>0</v>
      </c>
      <c r="I233" s="164">
        <v>0</v>
      </c>
      <c r="J233" s="164">
        <v>0</v>
      </c>
      <c r="K233" s="164">
        <v>0</v>
      </c>
      <c r="L233" s="164">
        <v>0</v>
      </c>
      <c r="M233" s="164">
        <v>0</v>
      </c>
      <c r="N233" s="164">
        <v>0</v>
      </c>
      <c r="O233" s="164">
        <v>0</v>
      </c>
      <c r="P233" s="164">
        <v>0</v>
      </c>
      <c r="Q233" s="164">
        <v>0</v>
      </c>
      <c r="R233" s="164">
        <v>0</v>
      </c>
      <c r="S233" s="164">
        <v>0</v>
      </c>
      <c r="T233" s="164">
        <v>0</v>
      </c>
      <c r="U233" s="165" t="e">
        <v>#DIV/0!</v>
      </c>
      <c r="V233" s="164">
        <v>0</v>
      </c>
      <c r="W233" s="164">
        <v>0</v>
      </c>
      <c r="X233" s="164">
        <v>0</v>
      </c>
      <c r="Y233" s="164">
        <v>0</v>
      </c>
      <c r="Z233" s="164">
        <v>0</v>
      </c>
      <c r="AA233" s="164">
        <v>0</v>
      </c>
    </row>
    <row r="234" spans="1:27" ht="12" customHeight="1" x14ac:dyDescent="0.25">
      <c r="A234" s="155" t="s">
        <v>1313</v>
      </c>
      <c r="B234" s="162" t="s">
        <v>622</v>
      </c>
      <c r="C234" s="164">
        <v>0</v>
      </c>
      <c r="D234" s="164">
        <v>0</v>
      </c>
      <c r="E234" s="164">
        <v>0</v>
      </c>
      <c r="F234" s="164">
        <v>0</v>
      </c>
      <c r="G234" s="164">
        <v>0</v>
      </c>
      <c r="H234" s="164">
        <v>0</v>
      </c>
      <c r="I234" s="164">
        <v>0</v>
      </c>
      <c r="J234" s="164">
        <v>0</v>
      </c>
      <c r="K234" s="164">
        <v>0</v>
      </c>
      <c r="L234" s="164">
        <v>0</v>
      </c>
      <c r="M234" s="164">
        <v>0</v>
      </c>
      <c r="N234" s="164">
        <v>0</v>
      </c>
      <c r="O234" s="164">
        <v>0</v>
      </c>
      <c r="P234" s="164">
        <v>0</v>
      </c>
      <c r="Q234" s="164">
        <v>0</v>
      </c>
      <c r="R234" s="164">
        <v>0</v>
      </c>
      <c r="S234" s="164">
        <v>0</v>
      </c>
      <c r="T234" s="164">
        <v>0</v>
      </c>
      <c r="U234" s="165" t="e">
        <v>#DIV/0!</v>
      </c>
      <c r="V234" s="164">
        <v>0</v>
      </c>
      <c r="W234" s="164">
        <v>0</v>
      </c>
      <c r="X234" s="164">
        <v>0</v>
      </c>
      <c r="Y234" s="164">
        <v>0</v>
      </c>
      <c r="Z234" s="164">
        <v>0</v>
      </c>
      <c r="AA234" s="164">
        <v>0</v>
      </c>
    </row>
    <row r="235" spans="1:27" ht="12" customHeight="1" x14ac:dyDescent="0.25">
      <c r="A235" s="155" t="s">
        <v>1314</v>
      </c>
      <c r="B235" s="162" t="s">
        <v>623</v>
      </c>
      <c r="C235" s="164">
        <v>0</v>
      </c>
      <c r="D235" s="164">
        <v>0</v>
      </c>
      <c r="E235" s="164">
        <v>0</v>
      </c>
      <c r="F235" s="164">
        <v>0</v>
      </c>
      <c r="G235" s="164">
        <v>0</v>
      </c>
      <c r="H235" s="164">
        <v>0</v>
      </c>
      <c r="I235" s="164">
        <v>0</v>
      </c>
      <c r="J235" s="164">
        <v>0</v>
      </c>
      <c r="K235" s="164">
        <v>0</v>
      </c>
      <c r="L235" s="164">
        <v>0</v>
      </c>
      <c r="M235" s="164">
        <v>0</v>
      </c>
      <c r="N235" s="164">
        <v>0</v>
      </c>
      <c r="O235" s="164">
        <v>0</v>
      </c>
      <c r="P235" s="164">
        <v>0</v>
      </c>
      <c r="Q235" s="164">
        <v>0</v>
      </c>
      <c r="R235" s="164">
        <v>0</v>
      </c>
      <c r="S235" s="164">
        <v>0</v>
      </c>
      <c r="T235" s="164">
        <v>0</v>
      </c>
      <c r="U235" s="165" t="e">
        <v>#DIV/0!</v>
      </c>
      <c r="V235" s="164">
        <v>0</v>
      </c>
      <c r="W235" s="164">
        <v>0</v>
      </c>
      <c r="X235" s="164">
        <v>0</v>
      </c>
      <c r="Y235" s="164">
        <v>0</v>
      </c>
      <c r="Z235" s="164">
        <v>0</v>
      </c>
      <c r="AA235" s="164">
        <v>0</v>
      </c>
    </row>
    <row r="236" spans="1:27" ht="12" customHeight="1" x14ac:dyDescent="0.25">
      <c r="A236" s="155"/>
      <c r="B236" s="162" t="s">
        <v>624</v>
      </c>
      <c r="C236" s="163">
        <v>0</v>
      </c>
      <c r="D236" s="163">
        <v>0</v>
      </c>
      <c r="E236" s="163">
        <v>0</v>
      </c>
      <c r="F236" s="163">
        <v>0</v>
      </c>
      <c r="G236" s="163">
        <v>0</v>
      </c>
      <c r="H236" s="163">
        <v>0</v>
      </c>
      <c r="I236" s="163">
        <v>0</v>
      </c>
      <c r="J236" s="163">
        <v>0</v>
      </c>
      <c r="K236" s="163">
        <v>0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3">
        <v>0</v>
      </c>
      <c r="R236" s="163">
        <v>0</v>
      </c>
      <c r="S236" s="163">
        <v>0</v>
      </c>
      <c r="T236" s="164">
        <v>0</v>
      </c>
      <c r="U236" s="165" t="e">
        <v>#DIV/0!</v>
      </c>
      <c r="V236" s="164">
        <v>0</v>
      </c>
      <c r="W236" s="164">
        <v>0</v>
      </c>
      <c r="X236" s="164">
        <v>0</v>
      </c>
      <c r="Y236" s="164">
        <v>0</v>
      </c>
      <c r="Z236" s="164">
        <v>0</v>
      </c>
      <c r="AA236" s="164">
        <v>0</v>
      </c>
    </row>
    <row r="237" spans="1:27" ht="12" customHeight="1" x14ac:dyDescent="0.25">
      <c r="A237" s="155"/>
      <c r="B237" s="155" t="s">
        <v>625</v>
      </c>
      <c r="C237" s="169">
        <v>0</v>
      </c>
      <c r="D237" s="169">
        <v>0</v>
      </c>
      <c r="E237" s="169">
        <v>0</v>
      </c>
      <c r="F237" s="169">
        <v>0</v>
      </c>
      <c r="G237" s="169">
        <v>0</v>
      </c>
      <c r="H237" s="169">
        <v>0</v>
      </c>
      <c r="I237" s="169">
        <v>0</v>
      </c>
      <c r="J237" s="169">
        <v>0</v>
      </c>
      <c r="K237" s="169">
        <v>0</v>
      </c>
      <c r="L237" s="169">
        <v>0</v>
      </c>
      <c r="M237" s="169">
        <v>0</v>
      </c>
      <c r="N237" s="169">
        <v>0</v>
      </c>
      <c r="O237" s="169">
        <v>0</v>
      </c>
      <c r="P237" s="169">
        <v>0</v>
      </c>
      <c r="Q237" s="169">
        <v>0</v>
      </c>
      <c r="R237" s="169">
        <v>0</v>
      </c>
      <c r="S237" s="169">
        <v>0</v>
      </c>
      <c r="T237" s="167">
        <v>0</v>
      </c>
      <c r="U237" s="168" t="e">
        <v>#DIV/0!</v>
      </c>
      <c r="V237" s="167">
        <v>0</v>
      </c>
      <c r="W237" s="167">
        <v>0</v>
      </c>
      <c r="X237" s="167">
        <v>0</v>
      </c>
      <c r="Y237" s="167">
        <v>0</v>
      </c>
      <c r="Z237" s="167">
        <v>0</v>
      </c>
      <c r="AA237" s="167">
        <v>0</v>
      </c>
    </row>
    <row r="238" spans="1:27" ht="12" customHeight="1" x14ac:dyDescent="0.25">
      <c r="A238" s="155"/>
      <c r="B238" s="166" t="s">
        <v>626</v>
      </c>
      <c r="C238" s="169">
        <v>0</v>
      </c>
      <c r="D238" s="169">
        <v>0</v>
      </c>
      <c r="E238" s="169">
        <v>0</v>
      </c>
      <c r="F238" s="169">
        <v>0</v>
      </c>
      <c r="G238" s="169">
        <v>0</v>
      </c>
      <c r="H238" s="169">
        <v>0</v>
      </c>
      <c r="I238" s="169">
        <v>0</v>
      </c>
      <c r="J238" s="169">
        <v>0</v>
      </c>
      <c r="K238" s="169">
        <v>0</v>
      </c>
      <c r="L238" s="169">
        <v>0</v>
      </c>
      <c r="M238" s="169">
        <v>0</v>
      </c>
      <c r="N238" s="169">
        <v>0</v>
      </c>
      <c r="O238" s="169">
        <v>0</v>
      </c>
      <c r="P238" s="169">
        <v>0</v>
      </c>
      <c r="Q238" s="169">
        <v>0</v>
      </c>
      <c r="R238" s="169">
        <v>0</v>
      </c>
      <c r="S238" s="169">
        <v>0</v>
      </c>
      <c r="T238" s="167">
        <v>0</v>
      </c>
      <c r="U238" s="168" t="e">
        <v>#DIV/0!</v>
      </c>
      <c r="V238" s="167">
        <v>0</v>
      </c>
      <c r="W238" s="167">
        <v>0</v>
      </c>
      <c r="X238" s="167">
        <v>0</v>
      </c>
      <c r="Y238" s="167">
        <v>0</v>
      </c>
      <c r="Z238" s="167">
        <v>0</v>
      </c>
      <c r="AA238" s="167">
        <v>0</v>
      </c>
    </row>
    <row r="239" spans="1:27" ht="12" customHeight="1" x14ac:dyDescent="0.25">
      <c r="A239" s="155" t="s">
        <v>1315</v>
      </c>
      <c r="B239" s="170" t="s">
        <v>627</v>
      </c>
      <c r="C239" s="167">
        <v>0</v>
      </c>
      <c r="D239" s="167">
        <v>0</v>
      </c>
      <c r="E239" s="167">
        <v>0</v>
      </c>
      <c r="F239" s="167">
        <v>0</v>
      </c>
      <c r="G239" s="167">
        <v>0</v>
      </c>
      <c r="H239" s="167">
        <v>0</v>
      </c>
      <c r="I239" s="167">
        <v>0</v>
      </c>
      <c r="J239" s="167">
        <v>0</v>
      </c>
      <c r="K239" s="167">
        <v>0</v>
      </c>
      <c r="L239" s="167">
        <v>0</v>
      </c>
      <c r="M239" s="167">
        <v>0</v>
      </c>
      <c r="N239" s="167">
        <v>0</v>
      </c>
      <c r="O239" s="167">
        <v>0</v>
      </c>
      <c r="P239" s="167">
        <v>0</v>
      </c>
      <c r="Q239" s="167">
        <v>0</v>
      </c>
      <c r="R239" s="167">
        <v>0</v>
      </c>
      <c r="S239" s="167">
        <v>0</v>
      </c>
      <c r="T239" s="167">
        <v>0</v>
      </c>
      <c r="U239" s="168" t="e">
        <v>#DIV/0!</v>
      </c>
      <c r="V239" s="167">
        <v>0</v>
      </c>
      <c r="W239" s="167">
        <v>0</v>
      </c>
      <c r="X239" s="167">
        <v>0</v>
      </c>
      <c r="Y239" s="167">
        <v>0</v>
      </c>
      <c r="Z239" s="167">
        <v>0</v>
      </c>
      <c r="AA239" s="167">
        <v>0</v>
      </c>
    </row>
    <row r="240" spans="1:27" ht="12" customHeight="1" x14ac:dyDescent="0.25">
      <c r="A240" s="155" t="s">
        <v>1316</v>
      </c>
      <c r="B240" s="170" t="s">
        <v>628</v>
      </c>
      <c r="C240" s="167">
        <v>0</v>
      </c>
      <c r="D240" s="167">
        <v>0</v>
      </c>
      <c r="E240" s="167">
        <v>0</v>
      </c>
      <c r="F240" s="167">
        <v>0</v>
      </c>
      <c r="G240" s="167">
        <v>0</v>
      </c>
      <c r="H240" s="167">
        <v>0</v>
      </c>
      <c r="I240" s="167">
        <v>0</v>
      </c>
      <c r="J240" s="167">
        <v>0</v>
      </c>
      <c r="K240" s="167">
        <v>0</v>
      </c>
      <c r="L240" s="167">
        <v>0</v>
      </c>
      <c r="M240" s="167">
        <v>0</v>
      </c>
      <c r="N240" s="167">
        <v>0</v>
      </c>
      <c r="O240" s="167">
        <v>0</v>
      </c>
      <c r="P240" s="167">
        <v>0</v>
      </c>
      <c r="Q240" s="167">
        <v>0</v>
      </c>
      <c r="R240" s="167">
        <v>0</v>
      </c>
      <c r="S240" s="167">
        <v>0</v>
      </c>
      <c r="T240" s="167">
        <v>0</v>
      </c>
      <c r="U240" s="168" t="e">
        <v>#DIV/0!</v>
      </c>
      <c r="V240" s="167">
        <v>0</v>
      </c>
      <c r="W240" s="167">
        <v>0</v>
      </c>
      <c r="X240" s="167">
        <v>0</v>
      </c>
      <c r="Y240" s="167">
        <v>0</v>
      </c>
      <c r="Z240" s="167">
        <v>0</v>
      </c>
      <c r="AA240" s="167">
        <v>0</v>
      </c>
    </row>
    <row r="241" spans="1:27" ht="12" customHeight="1" x14ac:dyDescent="0.25">
      <c r="A241" s="155"/>
      <c r="B241" s="166" t="s">
        <v>1317</v>
      </c>
      <c r="C241" s="167">
        <v>0</v>
      </c>
      <c r="D241" s="167">
        <v>0</v>
      </c>
      <c r="E241" s="167">
        <v>0</v>
      </c>
      <c r="F241" s="167">
        <v>0</v>
      </c>
      <c r="G241" s="167">
        <v>0</v>
      </c>
      <c r="H241" s="167">
        <v>0</v>
      </c>
      <c r="I241" s="167">
        <v>0</v>
      </c>
      <c r="J241" s="167">
        <v>0</v>
      </c>
      <c r="K241" s="167">
        <v>0</v>
      </c>
      <c r="L241" s="167">
        <v>0</v>
      </c>
      <c r="M241" s="167">
        <v>0</v>
      </c>
      <c r="N241" s="167">
        <v>0</v>
      </c>
      <c r="O241" s="167">
        <v>0</v>
      </c>
      <c r="P241" s="167">
        <v>0</v>
      </c>
      <c r="Q241" s="167">
        <v>0</v>
      </c>
      <c r="R241" s="167">
        <v>0</v>
      </c>
      <c r="S241" s="167">
        <v>0</v>
      </c>
      <c r="T241" s="167">
        <v>0</v>
      </c>
      <c r="U241" s="168" t="e">
        <v>#DIV/0!</v>
      </c>
      <c r="V241" s="167">
        <v>0</v>
      </c>
      <c r="W241" s="167">
        <v>0</v>
      </c>
      <c r="X241" s="167">
        <v>0</v>
      </c>
      <c r="Y241" s="167">
        <v>0</v>
      </c>
      <c r="Z241" s="167">
        <v>0</v>
      </c>
      <c r="AA241" s="167">
        <v>0</v>
      </c>
    </row>
    <row r="242" spans="1:27" ht="12" customHeight="1" x14ac:dyDescent="0.25">
      <c r="A242" s="155" t="s">
        <v>1318</v>
      </c>
      <c r="B242" s="170" t="s">
        <v>1319</v>
      </c>
      <c r="C242" s="167">
        <v>0</v>
      </c>
      <c r="D242" s="167">
        <v>0</v>
      </c>
      <c r="E242" s="167">
        <v>0</v>
      </c>
      <c r="F242" s="167">
        <v>0</v>
      </c>
      <c r="G242" s="167">
        <v>0</v>
      </c>
      <c r="H242" s="167">
        <v>0</v>
      </c>
      <c r="I242" s="167">
        <v>0</v>
      </c>
      <c r="J242" s="167">
        <v>0</v>
      </c>
      <c r="K242" s="167">
        <v>0</v>
      </c>
      <c r="L242" s="167">
        <v>0</v>
      </c>
      <c r="M242" s="167">
        <v>0</v>
      </c>
      <c r="N242" s="167">
        <v>0</v>
      </c>
      <c r="O242" s="167">
        <v>0</v>
      </c>
      <c r="P242" s="167">
        <v>0</v>
      </c>
      <c r="Q242" s="167">
        <v>0</v>
      </c>
      <c r="R242" s="167">
        <v>0</v>
      </c>
      <c r="S242" s="167">
        <v>0</v>
      </c>
      <c r="T242" s="167">
        <v>0</v>
      </c>
      <c r="U242" s="168" t="e">
        <v>#DIV/0!</v>
      </c>
      <c r="V242" s="167">
        <v>0</v>
      </c>
      <c r="W242" s="167">
        <v>0</v>
      </c>
      <c r="X242" s="167">
        <v>0</v>
      </c>
      <c r="Y242" s="167">
        <v>0</v>
      </c>
      <c r="Z242" s="167">
        <v>0</v>
      </c>
      <c r="AA242" s="167">
        <v>0</v>
      </c>
    </row>
    <row r="243" spans="1:27" ht="12" customHeight="1" x14ac:dyDescent="0.25">
      <c r="A243" s="155" t="s">
        <v>1320</v>
      </c>
      <c r="B243" s="170" t="s">
        <v>1321</v>
      </c>
      <c r="C243" s="167">
        <v>0</v>
      </c>
      <c r="D243" s="167">
        <v>0</v>
      </c>
      <c r="E243" s="167">
        <v>0</v>
      </c>
      <c r="F243" s="167">
        <v>0</v>
      </c>
      <c r="G243" s="167">
        <v>0</v>
      </c>
      <c r="H243" s="167">
        <v>0</v>
      </c>
      <c r="I243" s="167">
        <v>0</v>
      </c>
      <c r="J243" s="167">
        <v>0</v>
      </c>
      <c r="K243" s="167">
        <v>0</v>
      </c>
      <c r="L243" s="167">
        <v>0</v>
      </c>
      <c r="M243" s="167">
        <v>0</v>
      </c>
      <c r="N243" s="167">
        <v>0</v>
      </c>
      <c r="O243" s="167">
        <v>0</v>
      </c>
      <c r="P243" s="167">
        <v>0</v>
      </c>
      <c r="Q243" s="167">
        <v>0</v>
      </c>
      <c r="R243" s="167">
        <v>0</v>
      </c>
      <c r="S243" s="167">
        <v>0</v>
      </c>
      <c r="T243" s="167">
        <v>0</v>
      </c>
      <c r="U243" s="168" t="e">
        <v>#DIV/0!</v>
      </c>
      <c r="V243" s="167">
        <v>0</v>
      </c>
      <c r="W243" s="167">
        <v>0</v>
      </c>
      <c r="X243" s="167">
        <v>0</v>
      </c>
      <c r="Y243" s="167">
        <v>0</v>
      </c>
      <c r="Z243" s="167">
        <v>0</v>
      </c>
      <c r="AA243" s="167">
        <v>0</v>
      </c>
    </row>
    <row r="244" spans="1:27" ht="12" customHeight="1" x14ac:dyDescent="0.25">
      <c r="A244" s="155" t="s">
        <v>1322</v>
      </c>
      <c r="B244" s="166" t="s">
        <v>629</v>
      </c>
      <c r="C244" s="167">
        <v>0</v>
      </c>
      <c r="D244" s="167">
        <v>0</v>
      </c>
      <c r="E244" s="167">
        <v>0</v>
      </c>
      <c r="F244" s="167">
        <v>0</v>
      </c>
      <c r="G244" s="167">
        <v>0</v>
      </c>
      <c r="H244" s="167">
        <v>0</v>
      </c>
      <c r="I244" s="167">
        <v>0</v>
      </c>
      <c r="J244" s="167">
        <v>0</v>
      </c>
      <c r="K244" s="167">
        <v>0</v>
      </c>
      <c r="L244" s="167">
        <v>0</v>
      </c>
      <c r="M244" s="167">
        <v>0</v>
      </c>
      <c r="N244" s="167">
        <v>0</v>
      </c>
      <c r="O244" s="167">
        <v>0</v>
      </c>
      <c r="P244" s="167">
        <v>0</v>
      </c>
      <c r="Q244" s="167">
        <v>0</v>
      </c>
      <c r="R244" s="167">
        <v>0</v>
      </c>
      <c r="S244" s="167">
        <v>0</v>
      </c>
      <c r="T244" s="167">
        <v>0</v>
      </c>
      <c r="U244" s="168" t="e">
        <v>#DIV/0!</v>
      </c>
      <c r="V244" s="167">
        <v>0</v>
      </c>
      <c r="W244" s="167">
        <v>0</v>
      </c>
      <c r="X244" s="167">
        <v>0</v>
      </c>
      <c r="Y244" s="167">
        <v>0</v>
      </c>
      <c r="Z244" s="167">
        <v>0</v>
      </c>
      <c r="AA244" s="167">
        <v>0</v>
      </c>
    </row>
    <row r="245" spans="1:27" ht="12" customHeight="1" x14ac:dyDescent="0.25">
      <c r="A245" s="155" t="s">
        <v>1323</v>
      </c>
      <c r="B245" s="166" t="s">
        <v>630</v>
      </c>
      <c r="C245" s="167">
        <v>0</v>
      </c>
      <c r="D245" s="167">
        <v>0</v>
      </c>
      <c r="E245" s="167">
        <v>0</v>
      </c>
      <c r="F245" s="167">
        <v>0</v>
      </c>
      <c r="G245" s="167">
        <v>0</v>
      </c>
      <c r="H245" s="167">
        <v>0</v>
      </c>
      <c r="I245" s="167">
        <v>0</v>
      </c>
      <c r="J245" s="167">
        <v>0</v>
      </c>
      <c r="K245" s="167">
        <v>0</v>
      </c>
      <c r="L245" s="167">
        <v>0</v>
      </c>
      <c r="M245" s="167">
        <v>0</v>
      </c>
      <c r="N245" s="167">
        <v>0</v>
      </c>
      <c r="O245" s="167">
        <v>0</v>
      </c>
      <c r="P245" s="167">
        <v>0</v>
      </c>
      <c r="Q245" s="167">
        <v>0</v>
      </c>
      <c r="R245" s="167">
        <v>0</v>
      </c>
      <c r="S245" s="167">
        <v>0</v>
      </c>
      <c r="T245" s="167">
        <v>0</v>
      </c>
      <c r="U245" s="168" t="e">
        <v>#DIV/0!</v>
      </c>
      <c r="V245" s="167">
        <v>0</v>
      </c>
      <c r="W245" s="167">
        <v>0</v>
      </c>
      <c r="X245" s="167">
        <v>0</v>
      </c>
      <c r="Y245" s="167">
        <v>0</v>
      </c>
      <c r="Z245" s="167">
        <v>0</v>
      </c>
      <c r="AA245" s="167">
        <v>0</v>
      </c>
    </row>
    <row r="246" spans="1:27" ht="12" customHeight="1" x14ac:dyDescent="0.25">
      <c r="A246" s="155" t="s">
        <v>1324</v>
      </c>
      <c r="B246" s="155" t="s">
        <v>631</v>
      </c>
      <c r="C246" s="167">
        <v>0</v>
      </c>
      <c r="D246" s="167">
        <v>0</v>
      </c>
      <c r="E246" s="167">
        <v>0</v>
      </c>
      <c r="F246" s="167">
        <v>0</v>
      </c>
      <c r="G246" s="167">
        <v>0</v>
      </c>
      <c r="H246" s="167">
        <v>0</v>
      </c>
      <c r="I246" s="167">
        <v>0</v>
      </c>
      <c r="J246" s="167">
        <v>0</v>
      </c>
      <c r="K246" s="167">
        <v>0</v>
      </c>
      <c r="L246" s="167">
        <v>0</v>
      </c>
      <c r="M246" s="167">
        <v>0</v>
      </c>
      <c r="N246" s="167">
        <v>0</v>
      </c>
      <c r="O246" s="167">
        <v>0</v>
      </c>
      <c r="P246" s="167">
        <v>0</v>
      </c>
      <c r="Q246" s="167">
        <v>0</v>
      </c>
      <c r="R246" s="167">
        <v>0</v>
      </c>
      <c r="S246" s="167">
        <v>0</v>
      </c>
      <c r="T246" s="167">
        <v>0</v>
      </c>
      <c r="U246" s="168" t="e">
        <v>#DIV/0!</v>
      </c>
      <c r="V246" s="167">
        <v>0</v>
      </c>
      <c r="W246" s="167">
        <v>0</v>
      </c>
      <c r="X246" s="167">
        <v>0</v>
      </c>
      <c r="Y246" s="167">
        <v>0</v>
      </c>
      <c r="Z246" s="167">
        <v>0</v>
      </c>
      <c r="AA246" s="167">
        <v>0</v>
      </c>
    </row>
    <row r="247" spans="1:27" ht="12" customHeight="1" x14ac:dyDescent="0.25">
      <c r="A247" s="155" t="s">
        <v>1325</v>
      </c>
      <c r="B247" s="155" t="s">
        <v>632</v>
      </c>
      <c r="C247" s="167">
        <v>0</v>
      </c>
      <c r="D247" s="167">
        <v>0</v>
      </c>
      <c r="E247" s="167">
        <v>0</v>
      </c>
      <c r="F247" s="167">
        <v>0</v>
      </c>
      <c r="G247" s="167">
        <v>0</v>
      </c>
      <c r="H247" s="167">
        <v>0</v>
      </c>
      <c r="I247" s="167">
        <v>0</v>
      </c>
      <c r="J247" s="167">
        <v>0</v>
      </c>
      <c r="K247" s="167">
        <v>0</v>
      </c>
      <c r="L247" s="167">
        <v>0</v>
      </c>
      <c r="M247" s="167">
        <v>0</v>
      </c>
      <c r="N247" s="167">
        <v>0</v>
      </c>
      <c r="O247" s="167">
        <v>0</v>
      </c>
      <c r="P247" s="167">
        <v>0</v>
      </c>
      <c r="Q247" s="167">
        <v>0</v>
      </c>
      <c r="R247" s="167">
        <v>0</v>
      </c>
      <c r="S247" s="167">
        <v>0</v>
      </c>
      <c r="T247" s="167">
        <v>0</v>
      </c>
      <c r="U247" s="168" t="e">
        <v>#DIV/0!</v>
      </c>
      <c r="V247" s="167">
        <v>0</v>
      </c>
      <c r="W247" s="167">
        <v>0</v>
      </c>
      <c r="X247" s="167">
        <v>0</v>
      </c>
      <c r="Y247" s="167">
        <v>0</v>
      </c>
      <c r="Z247" s="167">
        <v>0</v>
      </c>
      <c r="AA247" s="167">
        <v>0</v>
      </c>
    </row>
    <row r="248" spans="1:27" ht="12" customHeight="1" x14ac:dyDescent="0.25">
      <c r="A248" s="155" t="s">
        <v>1326</v>
      </c>
      <c r="B248" s="155" t="s">
        <v>633</v>
      </c>
      <c r="C248" s="167">
        <v>0</v>
      </c>
      <c r="D248" s="167">
        <v>0</v>
      </c>
      <c r="E248" s="167">
        <v>0</v>
      </c>
      <c r="F248" s="167">
        <v>0</v>
      </c>
      <c r="G248" s="167">
        <v>0</v>
      </c>
      <c r="H248" s="167">
        <v>0</v>
      </c>
      <c r="I248" s="167">
        <v>0</v>
      </c>
      <c r="J248" s="167">
        <v>0</v>
      </c>
      <c r="K248" s="167">
        <v>0</v>
      </c>
      <c r="L248" s="167">
        <v>0</v>
      </c>
      <c r="M248" s="167">
        <v>0</v>
      </c>
      <c r="N248" s="167">
        <v>0</v>
      </c>
      <c r="O248" s="167">
        <v>0</v>
      </c>
      <c r="P248" s="167">
        <v>0</v>
      </c>
      <c r="Q248" s="167">
        <v>0</v>
      </c>
      <c r="R248" s="167">
        <v>0</v>
      </c>
      <c r="S248" s="167">
        <v>0</v>
      </c>
      <c r="T248" s="167">
        <v>0</v>
      </c>
      <c r="U248" s="168" t="e">
        <v>#DIV/0!</v>
      </c>
      <c r="V248" s="167">
        <v>0</v>
      </c>
      <c r="W248" s="167">
        <v>0</v>
      </c>
      <c r="X248" s="167">
        <v>0</v>
      </c>
      <c r="Y248" s="167">
        <v>0</v>
      </c>
      <c r="Z248" s="167">
        <v>0</v>
      </c>
      <c r="AA248" s="167">
        <v>0</v>
      </c>
    </row>
    <row r="249" spans="1:27" ht="12" customHeight="1" x14ac:dyDescent="0.25">
      <c r="A249" s="155" t="s">
        <v>1327</v>
      </c>
      <c r="B249" s="155" t="s">
        <v>634</v>
      </c>
      <c r="C249" s="167">
        <v>0</v>
      </c>
      <c r="D249" s="167">
        <v>0</v>
      </c>
      <c r="E249" s="167">
        <v>0</v>
      </c>
      <c r="F249" s="167">
        <v>0</v>
      </c>
      <c r="G249" s="167">
        <v>0</v>
      </c>
      <c r="H249" s="167">
        <v>0</v>
      </c>
      <c r="I249" s="167">
        <v>0</v>
      </c>
      <c r="J249" s="167">
        <v>0</v>
      </c>
      <c r="K249" s="167">
        <v>0</v>
      </c>
      <c r="L249" s="167">
        <v>0</v>
      </c>
      <c r="M249" s="167">
        <v>0</v>
      </c>
      <c r="N249" s="167">
        <v>0</v>
      </c>
      <c r="O249" s="167">
        <v>0</v>
      </c>
      <c r="P249" s="167">
        <v>0</v>
      </c>
      <c r="Q249" s="167">
        <v>0</v>
      </c>
      <c r="R249" s="167">
        <v>0</v>
      </c>
      <c r="S249" s="167">
        <v>0</v>
      </c>
      <c r="T249" s="167">
        <v>0</v>
      </c>
      <c r="U249" s="168" t="e">
        <v>#DIV/0!</v>
      </c>
      <c r="V249" s="167">
        <v>0</v>
      </c>
      <c r="W249" s="167">
        <v>0</v>
      </c>
      <c r="X249" s="167">
        <v>0</v>
      </c>
      <c r="Y249" s="167">
        <v>0</v>
      </c>
      <c r="Z249" s="167">
        <v>0</v>
      </c>
      <c r="AA249" s="167">
        <v>0</v>
      </c>
    </row>
    <row r="250" spans="1:27" ht="12" customHeight="1" x14ac:dyDescent="0.25">
      <c r="A250" s="155" t="s">
        <v>1328</v>
      </c>
      <c r="B250" s="155" t="s">
        <v>635</v>
      </c>
      <c r="C250" s="167">
        <v>0</v>
      </c>
      <c r="D250" s="167">
        <v>0</v>
      </c>
      <c r="E250" s="167">
        <v>0</v>
      </c>
      <c r="F250" s="167">
        <v>0</v>
      </c>
      <c r="G250" s="167">
        <v>0</v>
      </c>
      <c r="H250" s="167">
        <v>0</v>
      </c>
      <c r="I250" s="167">
        <v>0</v>
      </c>
      <c r="J250" s="167">
        <v>0</v>
      </c>
      <c r="K250" s="167">
        <v>0</v>
      </c>
      <c r="L250" s="167">
        <v>0</v>
      </c>
      <c r="M250" s="167">
        <v>0</v>
      </c>
      <c r="N250" s="167">
        <v>0</v>
      </c>
      <c r="O250" s="167">
        <v>0</v>
      </c>
      <c r="P250" s="167">
        <v>0</v>
      </c>
      <c r="Q250" s="167">
        <v>0</v>
      </c>
      <c r="R250" s="167">
        <v>0</v>
      </c>
      <c r="S250" s="167">
        <v>0</v>
      </c>
      <c r="T250" s="167">
        <v>0</v>
      </c>
      <c r="U250" s="168" t="e">
        <v>#DIV/0!</v>
      </c>
      <c r="V250" s="167">
        <v>0</v>
      </c>
      <c r="W250" s="167">
        <v>0</v>
      </c>
      <c r="X250" s="167">
        <v>0</v>
      </c>
      <c r="Y250" s="167">
        <v>0</v>
      </c>
      <c r="Z250" s="167">
        <v>0</v>
      </c>
      <c r="AA250" s="167">
        <v>0</v>
      </c>
    </row>
    <row r="251" spans="1:27" ht="12" customHeight="1" x14ac:dyDescent="0.25">
      <c r="A251" s="155"/>
      <c r="B251" s="162" t="s">
        <v>636</v>
      </c>
      <c r="C251" s="163">
        <v>0</v>
      </c>
      <c r="D251" s="163">
        <v>0</v>
      </c>
      <c r="E251" s="163">
        <v>0</v>
      </c>
      <c r="F251" s="163">
        <v>0</v>
      </c>
      <c r="G251" s="163">
        <v>0</v>
      </c>
      <c r="H251" s="163">
        <v>0</v>
      </c>
      <c r="I251" s="163">
        <v>0</v>
      </c>
      <c r="J251" s="163">
        <v>0</v>
      </c>
      <c r="K251" s="163">
        <v>0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3">
        <v>0</v>
      </c>
      <c r="R251" s="163">
        <v>0</v>
      </c>
      <c r="S251" s="163">
        <v>0</v>
      </c>
      <c r="T251" s="164">
        <v>0</v>
      </c>
      <c r="U251" s="165" t="e">
        <v>#DIV/0!</v>
      </c>
      <c r="V251" s="164">
        <v>0</v>
      </c>
      <c r="W251" s="164">
        <v>0</v>
      </c>
      <c r="X251" s="164">
        <v>0</v>
      </c>
      <c r="Y251" s="164">
        <v>0</v>
      </c>
      <c r="Z251" s="164">
        <v>0</v>
      </c>
      <c r="AA251" s="164">
        <v>0</v>
      </c>
    </row>
    <row r="252" spans="1:27" ht="12" customHeight="1" x14ac:dyDescent="0.25">
      <c r="A252" s="155" t="s">
        <v>1329</v>
      </c>
      <c r="B252" s="155" t="s">
        <v>637</v>
      </c>
      <c r="C252" s="167">
        <v>0</v>
      </c>
      <c r="D252" s="167">
        <v>0</v>
      </c>
      <c r="E252" s="167">
        <v>0</v>
      </c>
      <c r="F252" s="167">
        <v>0</v>
      </c>
      <c r="G252" s="167">
        <v>0</v>
      </c>
      <c r="H252" s="167">
        <v>0</v>
      </c>
      <c r="I252" s="167">
        <v>0</v>
      </c>
      <c r="J252" s="167">
        <v>0</v>
      </c>
      <c r="K252" s="167">
        <v>0</v>
      </c>
      <c r="L252" s="167">
        <v>0</v>
      </c>
      <c r="M252" s="167">
        <v>0</v>
      </c>
      <c r="N252" s="167">
        <v>0</v>
      </c>
      <c r="O252" s="167">
        <v>0</v>
      </c>
      <c r="P252" s="167">
        <v>0</v>
      </c>
      <c r="Q252" s="167">
        <v>0</v>
      </c>
      <c r="R252" s="167">
        <v>0</v>
      </c>
      <c r="S252" s="167">
        <v>0</v>
      </c>
      <c r="T252" s="167">
        <v>0</v>
      </c>
      <c r="U252" s="168" t="e">
        <v>#DIV/0!</v>
      </c>
      <c r="V252" s="167">
        <v>0</v>
      </c>
      <c r="W252" s="167">
        <v>0</v>
      </c>
      <c r="X252" s="167">
        <v>0</v>
      </c>
      <c r="Y252" s="167">
        <v>0</v>
      </c>
      <c r="Z252" s="167">
        <v>0</v>
      </c>
      <c r="AA252" s="167">
        <v>0</v>
      </c>
    </row>
    <row r="253" spans="1:27" ht="12" customHeight="1" x14ac:dyDescent="0.25">
      <c r="A253" s="155" t="s">
        <v>1330</v>
      </c>
      <c r="B253" s="155" t="s">
        <v>638</v>
      </c>
      <c r="C253" s="167">
        <v>0</v>
      </c>
      <c r="D253" s="167">
        <v>0</v>
      </c>
      <c r="E253" s="167">
        <v>0</v>
      </c>
      <c r="F253" s="167">
        <v>0</v>
      </c>
      <c r="G253" s="167">
        <v>0</v>
      </c>
      <c r="H253" s="167">
        <v>0</v>
      </c>
      <c r="I253" s="167">
        <v>0</v>
      </c>
      <c r="J253" s="167">
        <v>0</v>
      </c>
      <c r="K253" s="167">
        <v>0</v>
      </c>
      <c r="L253" s="167">
        <v>0</v>
      </c>
      <c r="M253" s="167">
        <v>0</v>
      </c>
      <c r="N253" s="167">
        <v>0</v>
      </c>
      <c r="O253" s="167">
        <v>0</v>
      </c>
      <c r="P253" s="167">
        <v>0</v>
      </c>
      <c r="Q253" s="167">
        <v>0</v>
      </c>
      <c r="R253" s="167">
        <v>0</v>
      </c>
      <c r="S253" s="167">
        <v>0</v>
      </c>
      <c r="T253" s="167">
        <v>0</v>
      </c>
      <c r="U253" s="168" t="e">
        <v>#DIV/0!</v>
      </c>
      <c r="V253" s="167">
        <v>0</v>
      </c>
      <c r="W253" s="167">
        <v>0</v>
      </c>
      <c r="X253" s="167">
        <v>0</v>
      </c>
      <c r="Y253" s="167">
        <v>0</v>
      </c>
      <c r="Z253" s="167">
        <v>0</v>
      </c>
      <c r="AA253" s="167">
        <v>0</v>
      </c>
    </row>
    <row r="254" spans="1:27" ht="12" customHeight="1" x14ac:dyDescent="0.25">
      <c r="A254" s="155" t="s">
        <v>1331</v>
      </c>
      <c r="B254" s="155" t="s">
        <v>639</v>
      </c>
      <c r="C254" s="167">
        <v>0</v>
      </c>
      <c r="D254" s="167">
        <v>0</v>
      </c>
      <c r="E254" s="167">
        <v>0</v>
      </c>
      <c r="F254" s="167">
        <v>0</v>
      </c>
      <c r="G254" s="167">
        <v>0</v>
      </c>
      <c r="H254" s="167">
        <v>0</v>
      </c>
      <c r="I254" s="167">
        <v>0</v>
      </c>
      <c r="J254" s="167">
        <v>0</v>
      </c>
      <c r="K254" s="167">
        <v>0</v>
      </c>
      <c r="L254" s="167">
        <v>0</v>
      </c>
      <c r="M254" s="167">
        <v>0</v>
      </c>
      <c r="N254" s="167">
        <v>0</v>
      </c>
      <c r="O254" s="167">
        <v>0</v>
      </c>
      <c r="P254" s="167">
        <v>0</v>
      </c>
      <c r="Q254" s="167">
        <v>0</v>
      </c>
      <c r="R254" s="167">
        <v>0</v>
      </c>
      <c r="S254" s="167">
        <v>0</v>
      </c>
      <c r="T254" s="167">
        <v>0</v>
      </c>
      <c r="U254" s="168" t="e">
        <v>#DIV/0!</v>
      </c>
      <c r="V254" s="167">
        <v>0</v>
      </c>
      <c r="W254" s="167">
        <v>0</v>
      </c>
      <c r="X254" s="167">
        <v>0</v>
      </c>
      <c r="Y254" s="167">
        <v>0</v>
      </c>
      <c r="Z254" s="167">
        <v>0</v>
      </c>
      <c r="AA254" s="167">
        <v>0</v>
      </c>
    </row>
    <row r="255" spans="1:27" ht="12" customHeight="1" x14ac:dyDescent="0.25">
      <c r="A255" s="155"/>
      <c r="B255" s="162" t="s">
        <v>640</v>
      </c>
      <c r="C255" s="163">
        <v>0</v>
      </c>
      <c r="D255" s="163">
        <v>0</v>
      </c>
      <c r="E255" s="163">
        <v>0</v>
      </c>
      <c r="F255" s="163">
        <v>0</v>
      </c>
      <c r="G255" s="163">
        <v>0</v>
      </c>
      <c r="H255" s="163">
        <v>0</v>
      </c>
      <c r="I255" s="163">
        <v>0</v>
      </c>
      <c r="J255" s="163">
        <v>0</v>
      </c>
      <c r="K255" s="163">
        <v>0</v>
      </c>
      <c r="L255" s="163">
        <v>0</v>
      </c>
      <c r="M255" s="163">
        <v>0</v>
      </c>
      <c r="N255" s="163">
        <v>0</v>
      </c>
      <c r="O255" s="163">
        <v>0</v>
      </c>
      <c r="P255" s="163">
        <v>0</v>
      </c>
      <c r="Q255" s="163">
        <v>0</v>
      </c>
      <c r="R255" s="163">
        <v>0</v>
      </c>
      <c r="S255" s="163">
        <v>0</v>
      </c>
      <c r="T255" s="164">
        <v>0</v>
      </c>
      <c r="U255" s="165" t="e">
        <v>#DIV/0!</v>
      </c>
      <c r="V255" s="164">
        <v>0</v>
      </c>
      <c r="W255" s="164">
        <v>0</v>
      </c>
      <c r="X255" s="164">
        <v>0</v>
      </c>
      <c r="Y255" s="164">
        <v>0</v>
      </c>
      <c r="Z255" s="164">
        <v>0</v>
      </c>
      <c r="AA255" s="164">
        <v>0</v>
      </c>
    </row>
    <row r="256" spans="1:27" ht="12" customHeight="1" x14ac:dyDescent="0.25">
      <c r="A256" s="155" t="s">
        <v>1332</v>
      </c>
      <c r="B256" s="155" t="s">
        <v>641</v>
      </c>
      <c r="C256" s="167">
        <v>0</v>
      </c>
      <c r="D256" s="167">
        <v>0</v>
      </c>
      <c r="E256" s="167">
        <v>0</v>
      </c>
      <c r="F256" s="167">
        <v>0</v>
      </c>
      <c r="G256" s="167">
        <v>0</v>
      </c>
      <c r="H256" s="167">
        <v>0</v>
      </c>
      <c r="I256" s="167">
        <v>0</v>
      </c>
      <c r="J256" s="167">
        <v>0</v>
      </c>
      <c r="K256" s="167">
        <v>0</v>
      </c>
      <c r="L256" s="167">
        <v>0</v>
      </c>
      <c r="M256" s="167">
        <v>0</v>
      </c>
      <c r="N256" s="167">
        <v>0</v>
      </c>
      <c r="O256" s="167">
        <v>0</v>
      </c>
      <c r="P256" s="167">
        <v>0</v>
      </c>
      <c r="Q256" s="167">
        <v>0</v>
      </c>
      <c r="R256" s="167">
        <v>0</v>
      </c>
      <c r="S256" s="167">
        <v>0</v>
      </c>
      <c r="T256" s="167">
        <v>0</v>
      </c>
      <c r="U256" s="168" t="e">
        <v>#DIV/0!</v>
      </c>
      <c r="V256" s="167">
        <v>0</v>
      </c>
      <c r="W256" s="167">
        <v>0</v>
      </c>
      <c r="X256" s="167">
        <v>0</v>
      </c>
      <c r="Y256" s="167">
        <v>0</v>
      </c>
      <c r="Z256" s="167">
        <v>0</v>
      </c>
      <c r="AA256" s="167">
        <v>0</v>
      </c>
    </row>
    <row r="257" spans="1:27" ht="12" customHeight="1" x14ac:dyDescent="0.25">
      <c r="A257" s="155" t="s">
        <v>1333</v>
      </c>
      <c r="B257" s="155" t="s">
        <v>642</v>
      </c>
      <c r="C257" s="167">
        <v>0</v>
      </c>
      <c r="D257" s="167">
        <v>0</v>
      </c>
      <c r="E257" s="167">
        <v>0</v>
      </c>
      <c r="F257" s="167">
        <v>0</v>
      </c>
      <c r="G257" s="167">
        <v>0</v>
      </c>
      <c r="H257" s="167">
        <v>0</v>
      </c>
      <c r="I257" s="167">
        <v>0</v>
      </c>
      <c r="J257" s="167">
        <v>0</v>
      </c>
      <c r="K257" s="167">
        <v>0</v>
      </c>
      <c r="L257" s="167">
        <v>0</v>
      </c>
      <c r="M257" s="167">
        <v>0</v>
      </c>
      <c r="N257" s="167">
        <v>0</v>
      </c>
      <c r="O257" s="167">
        <v>0</v>
      </c>
      <c r="P257" s="167">
        <v>0</v>
      </c>
      <c r="Q257" s="167">
        <v>0</v>
      </c>
      <c r="R257" s="167">
        <v>0</v>
      </c>
      <c r="S257" s="167">
        <v>0</v>
      </c>
      <c r="T257" s="167">
        <v>0</v>
      </c>
      <c r="U257" s="168" t="e">
        <v>#DIV/0!</v>
      </c>
      <c r="V257" s="167">
        <v>0</v>
      </c>
      <c r="W257" s="167">
        <v>0</v>
      </c>
      <c r="X257" s="167">
        <v>0</v>
      </c>
      <c r="Y257" s="167">
        <v>0</v>
      </c>
      <c r="Z257" s="167">
        <v>0</v>
      </c>
      <c r="AA257" s="167">
        <v>0</v>
      </c>
    </row>
    <row r="258" spans="1:27" ht="12" customHeight="1" x14ac:dyDescent="0.25">
      <c r="A258" s="155" t="s">
        <v>1334</v>
      </c>
      <c r="B258" s="155" t="s">
        <v>643</v>
      </c>
      <c r="C258" s="167">
        <v>0</v>
      </c>
      <c r="D258" s="167">
        <v>0</v>
      </c>
      <c r="E258" s="167">
        <v>0</v>
      </c>
      <c r="F258" s="167">
        <v>0</v>
      </c>
      <c r="G258" s="167">
        <v>0</v>
      </c>
      <c r="H258" s="167">
        <v>0</v>
      </c>
      <c r="I258" s="167">
        <v>0</v>
      </c>
      <c r="J258" s="167">
        <v>0</v>
      </c>
      <c r="K258" s="167">
        <v>0</v>
      </c>
      <c r="L258" s="167">
        <v>0</v>
      </c>
      <c r="M258" s="167">
        <v>0</v>
      </c>
      <c r="N258" s="167">
        <v>0</v>
      </c>
      <c r="O258" s="167">
        <v>0</v>
      </c>
      <c r="P258" s="167">
        <v>0</v>
      </c>
      <c r="Q258" s="167">
        <v>0</v>
      </c>
      <c r="R258" s="167">
        <v>0</v>
      </c>
      <c r="S258" s="167">
        <v>0</v>
      </c>
      <c r="T258" s="167">
        <v>0</v>
      </c>
      <c r="U258" s="168" t="e">
        <v>#DIV/0!</v>
      </c>
      <c r="V258" s="167">
        <v>0</v>
      </c>
      <c r="W258" s="167">
        <v>0</v>
      </c>
      <c r="X258" s="167">
        <v>0</v>
      </c>
      <c r="Y258" s="167">
        <v>0</v>
      </c>
      <c r="Z258" s="167">
        <v>0</v>
      </c>
      <c r="AA258" s="167">
        <v>0</v>
      </c>
    </row>
    <row r="259" spans="1:27" ht="12" customHeight="1" x14ac:dyDescent="0.25">
      <c r="A259" s="155" t="s">
        <v>1335</v>
      </c>
      <c r="B259" s="155" t="s">
        <v>644</v>
      </c>
      <c r="C259" s="167">
        <v>0</v>
      </c>
      <c r="D259" s="167">
        <v>0</v>
      </c>
      <c r="E259" s="167">
        <v>0</v>
      </c>
      <c r="F259" s="167">
        <v>0</v>
      </c>
      <c r="G259" s="167">
        <v>0</v>
      </c>
      <c r="H259" s="167">
        <v>0</v>
      </c>
      <c r="I259" s="167">
        <v>0</v>
      </c>
      <c r="J259" s="167">
        <v>0</v>
      </c>
      <c r="K259" s="167">
        <v>0</v>
      </c>
      <c r="L259" s="167">
        <v>0</v>
      </c>
      <c r="M259" s="167">
        <v>0</v>
      </c>
      <c r="N259" s="167">
        <v>0</v>
      </c>
      <c r="O259" s="167">
        <v>0</v>
      </c>
      <c r="P259" s="167">
        <v>0</v>
      </c>
      <c r="Q259" s="167">
        <v>0</v>
      </c>
      <c r="R259" s="167">
        <v>0</v>
      </c>
      <c r="S259" s="167">
        <v>0</v>
      </c>
      <c r="T259" s="167">
        <v>0</v>
      </c>
      <c r="U259" s="168" t="e">
        <v>#DIV/0!</v>
      </c>
      <c r="V259" s="167">
        <v>0</v>
      </c>
      <c r="W259" s="167">
        <v>0</v>
      </c>
      <c r="X259" s="167">
        <v>0</v>
      </c>
      <c r="Y259" s="167">
        <v>0</v>
      </c>
      <c r="Z259" s="167">
        <v>0</v>
      </c>
      <c r="AA259" s="167">
        <v>0</v>
      </c>
    </row>
    <row r="260" spans="1:27" ht="12" customHeight="1" x14ac:dyDescent="0.25">
      <c r="A260" s="155" t="s">
        <v>1336</v>
      </c>
      <c r="B260" s="155" t="s">
        <v>645</v>
      </c>
      <c r="C260" s="167">
        <v>0</v>
      </c>
      <c r="D260" s="167">
        <v>0</v>
      </c>
      <c r="E260" s="167">
        <v>0</v>
      </c>
      <c r="F260" s="167">
        <v>0</v>
      </c>
      <c r="G260" s="167">
        <v>0</v>
      </c>
      <c r="H260" s="167">
        <v>0</v>
      </c>
      <c r="I260" s="167">
        <v>0</v>
      </c>
      <c r="J260" s="167">
        <v>0</v>
      </c>
      <c r="K260" s="167">
        <v>0</v>
      </c>
      <c r="L260" s="167">
        <v>0</v>
      </c>
      <c r="M260" s="167">
        <v>0</v>
      </c>
      <c r="N260" s="167">
        <v>0</v>
      </c>
      <c r="O260" s="167">
        <v>0</v>
      </c>
      <c r="P260" s="167">
        <v>0</v>
      </c>
      <c r="Q260" s="167">
        <v>0</v>
      </c>
      <c r="R260" s="167">
        <v>0</v>
      </c>
      <c r="S260" s="167">
        <v>0</v>
      </c>
      <c r="T260" s="167">
        <v>0</v>
      </c>
      <c r="U260" s="168" t="e">
        <v>#DIV/0!</v>
      </c>
      <c r="V260" s="167">
        <v>0</v>
      </c>
      <c r="W260" s="167">
        <v>0</v>
      </c>
      <c r="X260" s="167">
        <v>0</v>
      </c>
      <c r="Y260" s="167">
        <v>0</v>
      </c>
      <c r="Z260" s="167">
        <v>0</v>
      </c>
      <c r="AA260" s="167">
        <v>0</v>
      </c>
    </row>
    <row r="261" spans="1:27" ht="12" customHeight="1" x14ac:dyDescent="0.25">
      <c r="A261" s="155" t="s">
        <v>1337</v>
      </c>
      <c r="B261" s="155" t="s">
        <v>646</v>
      </c>
      <c r="C261" s="167">
        <v>0</v>
      </c>
      <c r="D261" s="167">
        <v>0</v>
      </c>
      <c r="E261" s="167">
        <v>0</v>
      </c>
      <c r="F261" s="167">
        <v>0</v>
      </c>
      <c r="G261" s="167">
        <v>0</v>
      </c>
      <c r="H261" s="167">
        <v>0</v>
      </c>
      <c r="I261" s="167">
        <v>0</v>
      </c>
      <c r="J261" s="167">
        <v>0</v>
      </c>
      <c r="K261" s="167">
        <v>0</v>
      </c>
      <c r="L261" s="167">
        <v>0</v>
      </c>
      <c r="M261" s="167">
        <v>0</v>
      </c>
      <c r="N261" s="167">
        <v>0</v>
      </c>
      <c r="O261" s="167">
        <v>0</v>
      </c>
      <c r="P261" s="167">
        <v>0</v>
      </c>
      <c r="Q261" s="167">
        <v>0</v>
      </c>
      <c r="R261" s="167">
        <v>0</v>
      </c>
      <c r="S261" s="167">
        <v>0</v>
      </c>
      <c r="T261" s="167">
        <v>0</v>
      </c>
      <c r="U261" s="168" t="e">
        <v>#DIV/0!</v>
      </c>
      <c r="V261" s="167">
        <v>0</v>
      </c>
      <c r="W261" s="167">
        <v>0</v>
      </c>
      <c r="X261" s="167">
        <v>0</v>
      </c>
      <c r="Y261" s="167">
        <v>0</v>
      </c>
      <c r="Z261" s="167">
        <v>0</v>
      </c>
      <c r="AA261" s="167">
        <v>0</v>
      </c>
    </row>
    <row r="262" spans="1:27" ht="12" customHeight="1" x14ac:dyDescent="0.25">
      <c r="A262" s="155"/>
      <c r="B262" s="156" t="s">
        <v>647</v>
      </c>
      <c r="C262" s="157">
        <v>0</v>
      </c>
      <c r="D262" s="157">
        <v>0</v>
      </c>
      <c r="E262" s="157">
        <v>0</v>
      </c>
      <c r="F262" s="157">
        <v>0</v>
      </c>
      <c r="G262" s="157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7">
        <v>0</v>
      </c>
      <c r="Q262" s="157">
        <v>0</v>
      </c>
      <c r="R262" s="157">
        <v>0</v>
      </c>
      <c r="S262" s="157">
        <v>0</v>
      </c>
      <c r="T262" s="158">
        <v>0</v>
      </c>
      <c r="U262" s="159" t="e">
        <v>#DIV/0!</v>
      </c>
      <c r="V262" s="158">
        <v>0</v>
      </c>
      <c r="W262" s="158">
        <v>0</v>
      </c>
      <c r="X262" s="158">
        <v>0</v>
      </c>
      <c r="Y262" s="158">
        <v>0</v>
      </c>
      <c r="Z262" s="158">
        <v>0</v>
      </c>
      <c r="AA262" s="158">
        <v>0</v>
      </c>
    </row>
    <row r="263" spans="1:27" ht="12" customHeight="1" x14ac:dyDescent="0.25">
      <c r="A263" s="155"/>
      <c r="B263" s="162" t="s">
        <v>648</v>
      </c>
      <c r="C263" s="163">
        <v>0</v>
      </c>
      <c r="D263" s="163">
        <v>0</v>
      </c>
      <c r="E263" s="163">
        <v>0</v>
      </c>
      <c r="F263" s="163">
        <v>0</v>
      </c>
      <c r="G263" s="163">
        <v>0</v>
      </c>
      <c r="H263" s="163">
        <v>0</v>
      </c>
      <c r="I263" s="163">
        <v>0</v>
      </c>
      <c r="J263" s="163">
        <v>0</v>
      </c>
      <c r="K263" s="163">
        <v>0</v>
      </c>
      <c r="L263" s="163">
        <v>0</v>
      </c>
      <c r="M263" s="163">
        <v>0</v>
      </c>
      <c r="N263" s="163">
        <v>0</v>
      </c>
      <c r="O263" s="163">
        <v>0</v>
      </c>
      <c r="P263" s="163">
        <v>0</v>
      </c>
      <c r="Q263" s="163">
        <v>0</v>
      </c>
      <c r="R263" s="163">
        <v>0</v>
      </c>
      <c r="S263" s="163">
        <v>0</v>
      </c>
      <c r="T263" s="164">
        <v>0</v>
      </c>
      <c r="U263" s="165" t="e">
        <v>#DIV/0!</v>
      </c>
      <c r="V263" s="164">
        <v>0</v>
      </c>
      <c r="W263" s="164">
        <v>0</v>
      </c>
      <c r="X263" s="164">
        <v>0</v>
      </c>
      <c r="Y263" s="164">
        <v>0</v>
      </c>
      <c r="Z263" s="164">
        <v>0</v>
      </c>
      <c r="AA263" s="164">
        <v>0</v>
      </c>
    </row>
    <row r="264" spans="1:27" ht="12" customHeight="1" x14ac:dyDescent="0.25">
      <c r="A264" s="155" t="s">
        <v>1338</v>
      </c>
      <c r="B264" s="155" t="s">
        <v>649</v>
      </c>
      <c r="C264" s="167">
        <v>0</v>
      </c>
      <c r="D264" s="167">
        <v>0</v>
      </c>
      <c r="E264" s="167">
        <v>0</v>
      </c>
      <c r="F264" s="167">
        <v>0</v>
      </c>
      <c r="G264" s="167">
        <v>0</v>
      </c>
      <c r="H264" s="167">
        <v>0</v>
      </c>
      <c r="I264" s="167">
        <v>0</v>
      </c>
      <c r="J264" s="167">
        <v>0</v>
      </c>
      <c r="K264" s="167">
        <v>0</v>
      </c>
      <c r="L264" s="167">
        <v>0</v>
      </c>
      <c r="M264" s="167">
        <v>0</v>
      </c>
      <c r="N264" s="167">
        <v>0</v>
      </c>
      <c r="O264" s="167">
        <v>0</v>
      </c>
      <c r="P264" s="167">
        <v>0</v>
      </c>
      <c r="Q264" s="167">
        <v>0</v>
      </c>
      <c r="R264" s="167">
        <v>0</v>
      </c>
      <c r="S264" s="167">
        <v>0</v>
      </c>
      <c r="T264" s="167">
        <v>0</v>
      </c>
      <c r="U264" s="168" t="e">
        <v>#DIV/0!</v>
      </c>
      <c r="V264" s="167">
        <v>0</v>
      </c>
      <c r="W264" s="167">
        <v>0</v>
      </c>
      <c r="X264" s="167">
        <v>0</v>
      </c>
      <c r="Y264" s="167">
        <v>0</v>
      </c>
      <c r="Z264" s="167">
        <v>0</v>
      </c>
      <c r="AA264" s="167">
        <v>0</v>
      </c>
    </row>
    <row r="265" spans="1:27" ht="12" customHeight="1" x14ac:dyDescent="0.25">
      <c r="A265" s="155" t="s">
        <v>1339</v>
      </c>
      <c r="B265" s="155" t="s">
        <v>650</v>
      </c>
      <c r="C265" s="167">
        <v>0</v>
      </c>
      <c r="D265" s="167">
        <v>0</v>
      </c>
      <c r="E265" s="167">
        <v>0</v>
      </c>
      <c r="F265" s="167">
        <v>0</v>
      </c>
      <c r="G265" s="167">
        <v>0</v>
      </c>
      <c r="H265" s="167">
        <v>0</v>
      </c>
      <c r="I265" s="167">
        <v>0</v>
      </c>
      <c r="J265" s="167">
        <v>0</v>
      </c>
      <c r="K265" s="167">
        <v>0</v>
      </c>
      <c r="L265" s="167">
        <v>0</v>
      </c>
      <c r="M265" s="167">
        <v>0</v>
      </c>
      <c r="N265" s="167">
        <v>0</v>
      </c>
      <c r="O265" s="167">
        <v>0</v>
      </c>
      <c r="P265" s="167">
        <v>0</v>
      </c>
      <c r="Q265" s="167">
        <v>0</v>
      </c>
      <c r="R265" s="167">
        <v>0</v>
      </c>
      <c r="S265" s="167">
        <v>0</v>
      </c>
      <c r="T265" s="167">
        <v>0</v>
      </c>
      <c r="U265" s="168" t="e">
        <v>#DIV/0!</v>
      </c>
      <c r="V265" s="167">
        <v>0</v>
      </c>
      <c r="W265" s="167">
        <v>0</v>
      </c>
      <c r="X265" s="167">
        <v>0</v>
      </c>
      <c r="Y265" s="167">
        <v>0</v>
      </c>
      <c r="Z265" s="167">
        <v>0</v>
      </c>
      <c r="AA265" s="167">
        <v>0</v>
      </c>
    </row>
    <row r="266" spans="1:27" ht="12" customHeight="1" x14ac:dyDescent="0.25">
      <c r="A266" s="155" t="s">
        <v>1340</v>
      </c>
      <c r="B266" s="155" t="s">
        <v>651</v>
      </c>
      <c r="C266" s="167">
        <v>0</v>
      </c>
      <c r="D266" s="167">
        <v>0</v>
      </c>
      <c r="E266" s="167">
        <v>0</v>
      </c>
      <c r="F266" s="167">
        <v>0</v>
      </c>
      <c r="G266" s="167">
        <v>0</v>
      </c>
      <c r="H266" s="167">
        <v>0</v>
      </c>
      <c r="I266" s="167">
        <v>0</v>
      </c>
      <c r="J266" s="167">
        <v>0</v>
      </c>
      <c r="K266" s="167">
        <v>0</v>
      </c>
      <c r="L266" s="167">
        <v>0</v>
      </c>
      <c r="M266" s="167">
        <v>0</v>
      </c>
      <c r="N266" s="167">
        <v>0</v>
      </c>
      <c r="O266" s="167">
        <v>0</v>
      </c>
      <c r="P266" s="167">
        <v>0</v>
      </c>
      <c r="Q266" s="167">
        <v>0</v>
      </c>
      <c r="R266" s="167">
        <v>0</v>
      </c>
      <c r="S266" s="167">
        <v>0</v>
      </c>
      <c r="T266" s="167">
        <v>0</v>
      </c>
      <c r="U266" s="168" t="e">
        <v>#DIV/0!</v>
      </c>
      <c r="V266" s="167">
        <v>0</v>
      </c>
      <c r="W266" s="167">
        <v>0</v>
      </c>
      <c r="X266" s="167">
        <v>0</v>
      </c>
      <c r="Y266" s="167">
        <v>0</v>
      </c>
      <c r="Z266" s="167">
        <v>0</v>
      </c>
      <c r="AA266" s="167">
        <v>0</v>
      </c>
    </row>
    <row r="267" spans="1:27" ht="12" customHeight="1" x14ac:dyDescent="0.25">
      <c r="A267" s="155" t="s">
        <v>1341</v>
      </c>
      <c r="B267" s="155" t="s">
        <v>652</v>
      </c>
      <c r="C267" s="167">
        <v>0</v>
      </c>
      <c r="D267" s="167">
        <v>0</v>
      </c>
      <c r="E267" s="167">
        <v>0</v>
      </c>
      <c r="F267" s="167">
        <v>0</v>
      </c>
      <c r="G267" s="167">
        <v>0</v>
      </c>
      <c r="H267" s="167">
        <v>0</v>
      </c>
      <c r="I267" s="167">
        <v>0</v>
      </c>
      <c r="J267" s="167">
        <v>0</v>
      </c>
      <c r="K267" s="167">
        <v>0</v>
      </c>
      <c r="L267" s="167">
        <v>0</v>
      </c>
      <c r="M267" s="167">
        <v>0</v>
      </c>
      <c r="N267" s="167">
        <v>0</v>
      </c>
      <c r="O267" s="167">
        <v>0</v>
      </c>
      <c r="P267" s="167">
        <v>0</v>
      </c>
      <c r="Q267" s="167">
        <v>0</v>
      </c>
      <c r="R267" s="167">
        <v>0</v>
      </c>
      <c r="S267" s="167">
        <v>0</v>
      </c>
      <c r="T267" s="167">
        <v>0</v>
      </c>
      <c r="U267" s="168" t="e">
        <v>#DIV/0!</v>
      </c>
      <c r="V267" s="167">
        <v>0</v>
      </c>
      <c r="W267" s="167">
        <v>0</v>
      </c>
      <c r="X267" s="167">
        <v>0</v>
      </c>
      <c r="Y267" s="167">
        <v>0</v>
      </c>
      <c r="Z267" s="167">
        <v>0</v>
      </c>
      <c r="AA267" s="167">
        <v>0</v>
      </c>
    </row>
    <row r="268" spans="1:27" ht="12" customHeight="1" x14ac:dyDescent="0.25">
      <c r="A268" s="155" t="s">
        <v>1342</v>
      </c>
      <c r="B268" s="155" t="s">
        <v>653</v>
      </c>
      <c r="C268" s="167">
        <v>0</v>
      </c>
      <c r="D268" s="167">
        <v>0</v>
      </c>
      <c r="E268" s="167">
        <v>0</v>
      </c>
      <c r="F268" s="167">
        <v>0</v>
      </c>
      <c r="G268" s="167">
        <v>0</v>
      </c>
      <c r="H268" s="167">
        <v>0</v>
      </c>
      <c r="I268" s="167">
        <v>0</v>
      </c>
      <c r="J268" s="167">
        <v>0</v>
      </c>
      <c r="K268" s="167">
        <v>0</v>
      </c>
      <c r="L268" s="167">
        <v>0</v>
      </c>
      <c r="M268" s="167">
        <v>0</v>
      </c>
      <c r="N268" s="167">
        <v>0</v>
      </c>
      <c r="O268" s="167">
        <v>0</v>
      </c>
      <c r="P268" s="167">
        <v>0</v>
      </c>
      <c r="Q268" s="167">
        <v>0</v>
      </c>
      <c r="R268" s="167">
        <v>0</v>
      </c>
      <c r="S268" s="167">
        <v>0</v>
      </c>
      <c r="T268" s="167">
        <v>0</v>
      </c>
      <c r="U268" s="168" t="e">
        <v>#DIV/0!</v>
      </c>
      <c r="V268" s="167">
        <v>0</v>
      </c>
      <c r="W268" s="167">
        <v>0</v>
      </c>
      <c r="X268" s="167">
        <v>0</v>
      </c>
      <c r="Y268" s="167">
        <v>0</v>
      </c>
      <c r="Z268" s="167">
        <v>0</v>
      </c>
      <c r="AA268" s="167">
        <v>0</v>
      </c>
    </row>
    <row r="269" spans="1:27" ht="12" customHeight="1" x14ac:dyDescent="0.25">
      <c r="A269" s="155" t="s">
        <v>1343</v>
      </c>
      <c r="B269" s="155" t="s">
        <v>654</v>
      </c>
      <c r="C269" s="167">
        <v>0</v>
      </c>
      <c r="D269" s="167">
        <v>0</v>
      </c>
      <c r="E269" s="167">
        <v>0</v>
      </c>
      <c r="F269" s="167">
        <v>0</v>
      </c>
      <c r="G269" s="167">
        <v>0</v>
      </c>
      <c r="H269" s="167">
        <v>0</v>
      </c>
      <c r="I269" s="167">
        <v>0</v>
      </c>
      <c r="J269" s="167">
        <v>0</v>
      </c>
      <c r="K269" s="167">
        <v>0</v>
      </c>
      <c r="L269" s="167">
        <v>0</v>
      </c>
      <c r="M269" s="167">
        <v>0</v>
      </c>
      <c r="N269" s="167">
        <v>0</v>
      </c>
      <c r="O269" s="167">
        <v>0</v>
      </c>
      <c r="P269" s="167">
        <v>0</v>
      </c>
      <c r="Q269" s="167">
        <v>0</v>
      </c>
      <c r="R269" s="167">
        <v>0</v>
      </c>
      <c r="S269" s="167">
        <v>0</v>
      </c>
      <c r="T269" s="167">
        <v>0</v>
      </c>
      <c r="U269" s="168" t="e">
        <v>#DIV/0!</v>
      </c>
      <c r="V269" s="167">
        <v>0</v>
      </c>
      <c r="W269" s="167">
        <v>0</v>
      </c>
      <c r="X269" s="167">
        <v>0</v>
      </c>
      <c r="Y269" s="167">
        <v>0</v>
      </c>
      <c r="Z269" s="167">
        <v>0</v>
      </c>
      <c r="AA269" s="167">
        <v>0</v>
      </c>
    </row>
    <row r="270" spans="1:27" ht="12" customHeight="1" x14ac:dyDescent="0.25">
      <c r="A270" s="155" t="s">
        <v>1344</v>
      </c>
      <c r="B270" s="155" t="s">
        <v>655</v>
      </c>
      <c r="C270" s="167">
        <v>0</v>
      </c>
      <c r="D270" s="167">
        <v>0</v>
      </c>
      <c r="E270" s="167">
        <v>0</v>
      </c>
      <c r="F270" s="167">
        <v>0</v>
      </c>
      <c r="G270" s="167">
        <v>0</v>
      </c>
      <c r="H270" s="167">
        <v>0</v>
      </c>
      <c r="I270" s="167">
        <v>0</v>
      </c>
      <c r="J270" s="167">
        <v>0</v>
      </c>
      <c r="K270" s="167">
        <v>0</v>
      </c>
      <c r="L270" s="167">
        <v>0</v>
      </c>
      <c r="M270" s="167">
        <v>0</v>
      </c>
      <c r="N270" s="167">
        <v>0</v>
      </c>
      <c r="O270" s="167">
        <v>0</v>
      </c>
      <c r="P270" s="167">
        <v>0</v>
      </c>
      <c r="Q270" s="167">
        <v>0</v>
      </c>
      <c r="R270" s="167">
        <v>0</v>
      </c>
      <c r="S270" s="167">
        <v>0</v>
      </c>
      <c r="T270" s="167">
        <v>0</v>
      </c>
      <c r="U270" s="168" t="e">
        <v>#DIV/0!</v>
      </c>
      <c r="V270" s="167">
        <v>0</v>
      </c>
      <c r="W270" s="167">
        <v>0</v>
      </c>
      <c r="X270" s="167">
        <v>0</v>
      </c>
      <c r="Y270" s="167">
        <v>0</v>
      </c>
      <c r="Z270" s="167">
        <v>0</v>
      </c>
      <c r="AA270" s="167">
        <v>0</v>
      </c>
    </row>
    <row r="271" spans="1:27" ht="12" customHeight="1" x14ac:dyDescent="0.25">
      <c r="A271" s="155" t="s">
        <v>1345</v>
      </c>
      <c r="B271" s="155" t="s">
        <v>656</v>
      </c>
      <c r="C271" s="167">
        <v>0</v>
      </c>
      <c r="D271" s="167">
        <v>0</v>
      </c>
      <c r="E271" s="167">
        <v>0</v>
      </c>
      <c r="F271" s="167">
        <v>0</v>
      </c>
      <c r="G271" s="167">
        <v>0</v>
      </c>
      <c r="H271" s="167">
        <v>0</v>
      </c>
      <c r="I271" s="167">
        <v>0</v>
      </c>
      <c r="J271" s="167">
        <v>0</v>
      </c>
      <c r="K271" s="167">
        <v>0</v>
      </c>
      <c r="L271" s="167">
        <v>0</v>
      </c>
      <c r="M271" s="167">
        <v>0</v>
      </c>
      <c r="N271" s="167">
        <v>0</v>
      </c>
      <c r="O271" s="167">
        <v>0</v>
      </c>
      <c r="P271" s="167">
        <v>0</v>
      </c>
      <c r="Q271" s="167">
        <v>0</v>
      </c>
      <c r="R271" s="167">
        <v>0</v>
      </c>
      <c r="S271" s="167">
        <v>0</v>
      </c>
      <c r="T271" s="167">
        <v>0</v>
      </c>
      <c r="U271" s="168" t="e">
        <v>#DIV/0!</v>
      </c>
      <c r="V271" s="167">
        <v>0</v>
      </c>
      <c r="W271" s="167">
        <v>0</v>
      </c>
      <c r="X271" s="167">
        <v>0</v>
      </c>
      <c r="Y271" s="167">
        <v>0</v>
      </c>
      <c r="Z271" s="167">
        <v>0</v>
      </c>
      <c r="AA271" s="167">
        <v>0</v>
      </c>
    </row>
    <row r="272" spans="1:27" ht="12" customHeight="1" x14ac:dyDescent="0.25">
      <c r="A272" s="155" t="s">
        <v>1346</v>
      </c>
      <c r="B272" s="155" t="s">
        <v>657</v>
      </c>
      <c r="C272" s="167">
        <v>0</v>
      </c>
      <c r="D272" s="167">
        <v>0</v>
      </c>
      <c r="E272" s="167">
        <v>0</v>
      </c>
      <c r="F272" s="167">
        <v>0</v>
      </c>
      <c r="G272" s="167">
        <v>0</v>
      </c>
      <c r="H272" s="167">
        <v>0</v>
      </c>
      <c r="I272" s="167">
        <v>0</v>
      </c>
      <c r="J272" s="167">
        <v>0</v>
      </c>
      <c r="K272" s="167">
        <v>0</v>
      </c>
      <c r="L272" s="167">
        <v>0</v>
      </c>
      <c r="M272" s="167">
        <v>0</v>
      </c>
      <c r="N272" s="167">
        <v>0</v>
      </c>
      <c r="O272" s="167">
        <v>0</v>
      </c>
      <c r="P272" s="167">
        <v>0</v>
      </c>
      <c r="Q272" s="167">
        <v>0</v>
      </c>
      <c r="R272" s="167">
        <v>0</v>
      </c>
      <c r="S272" s="167">
        <v>0</v>
      </c>
      <c r="T272" s="167">
        <v>0</v>
      </c>
      <c r="U272" s="168" t="e">
        <v>#DIV/0!</v>
      </c>
      <c r="V272" s="167">
        <v>0</v>
      </c>
      <c r="W272" s="167">
        <v>0</v>
      </c>
      <c r="X272" s="167">
        <v>0</v>
      </c>
      <c r="Y272" s="167">
        <v>0</v>
      </c>
      <c r="Z272" s="167">
        <v>0</v>
      </c>
      <c r="AA272" s="167">
        <v>0</v>
      </c>
    </row>
    <row r="273" spans="1:27" ht="12" customHeight="1" x14ac:dyDescent="0.25">
      <c r="A273" s="155" t="s">
        <v>1347</v>
      </c>
      <c r="B273" s="155" t="s">
        <v>658</v>
      </c>
      <c r="C273" s="167">
        <v>0</v>
      </c>
      <c r="D273" s="167">
        <v>0</v>
      </c>
      <c r="E273" s="167">
        <v>0</v>
      </c>
      <c r="F273" s="167">
        <v>0</v>
      </c>
      <c r="G273" s="167">
        <v>0</v>
      </c>
      <c r="H273" s="167">
        <v>0</v>
      </c>
      <c r="I273" s="167">
        <v>0</v>
      </c>
      <c r="J273" s="167">
        <v>0</v>
      </c>
      <c r="K273" s="167">
        <v>0</v>
      </c>
      <c r="L273" s="167">
        <v>0</v>
      </c>
      <c r="M273" s="167">
        <v>0</v>
      </c>
      <c r="N273" s="167">
        <v>0</v>
      </c>
      <c r="O273" s="167">
        <v>0</v>
      </c>
      <c r="P273" s="167">
        <v>0</v>
      </c>
      <c r="Q273" s="167">
        <v>0</v>
      </c>
      <c r="R273" s="167">
        <v>0</v>
      </c>
      <c r="S273" s="167">
        <v>0</v>
      </c>
      <c r="T273" s="167">
        <v>0</v>
      </c>
      <c r="U273" s="168" t="e">
        <v>#DIV/0!</v>
      </c>
      <c r="V273" s="167">
        <v>0</v>
      </c>
      <c r="W273" s="167">
        <v>0</v>
      </c>
      <c r="X273" s="167">
        <v>0</v>
      </c>
      <c r="Y273" s="167">
        <v>0</v>
      </c>
      <c r="Z273" s="167">
        <v>0</v>
      </c>
      <c r="AA273" s="167">
        <v>0</v>
      </c>
    </row>
    <row r="274" spans="1:27" ht="12" customHeight="1" x14ac:dyDescent="0.25">
      <c r="A274" s="155" t="s">
        <v>1348</v>
      </c>
      <c r="B274" s="155" t="s">
        <v>659</v>
      </c>
      <c r="C274" s="167">
        <v>0</v>
      </c>
      <c r="D274" s="167">
        <v>0</v>
      </c>
      <c r="E274" s="167">
        <v>0</v>
      </c>
      <c r="F274" s="167">
        <v>0</v>
      </c>
      <c r="G274" s="167">
        <v>0</v>
      </c>
      <c r="H274" s="167">
        <v>0</v>
      </c>
      <c r="I274" s="167">
        <v>0</v>
      </c>
      <c r="J274" s="167">
        <v>0</v>
      </c>
      <c r="K274" s="167">
        <v>0</v>
      </c>
      <c r="L274" s="167">
        <v>0</v>
      </c>
      <c r="M274" s="167">
        <v>0</v>
      </c>
      <c r="N274" s="167">
        <v>0</v>
      </c>
      <c r="O274" s="167">
        <v>0</v>
      </c>
      <c r="P274" s="167">
        <v>0</v>
      </c>
      <c r="Q274" s="167">
        <v>0</v>
      </c>
      <c r="R274" s="167">
        <v>0</v>
      </c>
      <c r="S274" s="167">
        <v>0</v>
      </c>
      <c r="T274" s="167">
        <v>0</v>
      </c>
      <c r="U274" s="168" t="e">
        <v>#DIV/0!</v>
      </c>
      <c r="V274" s="167">
        <v>0</v>
      </c>
      <c r="W274" s="167">
        <v>0</v>
      </c>
      <c r="X274" s="167">
        <v>0</v>
      </c>
      <c r="Y274" s="167">
        <v>0</v>
      </c>
      <c r="Z274" s="167">
        <v>0</v>
      </c>
      <c r="AA274" s="167">
        <v>0</v>
      </c>
    </row>
    <row r="275" spans="1:27" ht="12" customHeight="1" x14ac:dyDescent="0.25">
      <c r="A275" s="155" t="s">
        <v>1349</v>
      </c>
      <c r="B275" s="155" t="s">
        <v>660</v>
      </c>
      <c r="C275" s="167">
        <v>0</v>
      </c>
      <c r="D275" s="167">
        <v>0</v>
      </c>
      <c r="E275" s="167">
        <v>0</v>
      </c>
      <c r="F275" s="167">
        <v>0</v>
      </c>
      <c r="G275" s="167">
        <v>0</v>
      </c>
      <c r="H275" s="167">
        <v>0</v>
      </c>
      <c r="I275" s="167">
        <v>0</v>
      </c>
      <c r="J275" s="167">
        <v>0</v>
      </c>
      <c r="K275" s="167">
        <v>0</v>
      </c>
      <c r="L275" s="167">
        <v>0</v>
      </c>
      <c r="M275" s="167">
        <v>0</v>
      </c>
      <c r="N275" s="167">
        <v>0</v>
      </c>
      <c r="O275" s="167">
        <v>0</v>
      </c>
      <c r="P275" s="167">
        <v>0</v>
      </c>
      <c r="Q275" s="167">
        <v>0</v>
      </c>
      <c r="R275" s="167">
        <v>0</v>
      </c>
      <c r="S275" s="167">
        <v>0</v>
      </c>
      <c r="T275" s="167">
        <v>0</v>
      </c>
      <c r="U275" s="168" t="e">
        <v>#DIV/0!</v>
      </c>
      <c r="V275" s="167">
        <v>0</v>
      </c>
      <c r="W275" s="167">
        <v>0</v>
      </c>
      <c r="X275" s="167">
        <v>0</v>
      </c>
      <c r="Y275" s="167">
        <v>0</v>
      </c>
      <c r="Z275" s="167">
        <v>0</v>
      </c>
      <c r="AA275" s="167">
        <v>0</v>
      </c>
    </row>
    <row r="276" spans="1:27" ht="12" customHeight="1" x14ac:dyDescent="0.25">
      <c r="A276" s="155" t="s">
        <v>1350</v>
      </c>
      <c r="B276" s="155" t="s">
        <v>661</v>
      </c>
      <c r="C276" s="167">
        <v>0</v>
      </c>
      <c r="D276" s="167">
        <v>0</v>
      </c>
      <c r="E276" s="167">
        <v>0</v>
      </c>
      <c r="F276" s="167">
        <v>0</v>
      </c>
      <c r="G276" s="167">
        <v>0</v>
      </c>
      <c r="H276" s="167">
        <v>0</v>
      </c>
      <c r="I276" s="167">
        <v>0</v>
      </c>
      <c r="J276" s="167">
        <v>0</v>
      </c>
      <c r="K276" s="167">
        <v>0</v>
      </c>
      <c r="L276" s="167">
        <v>0</v>
      </c>
      <c r="M276" s="167">
        <v>0</v>
      </c>
      <c r="N276" s="167">
        <v>0</v>
      </c>
      <c r="O276" s="167">
        <v>0</v>
      </c>
      <c r="P276" s="167">
        <v>0</v>
      </c>
      <c r="Q276" s="167">
        <v>0</v>
      </c>
      <c r="R276" s="167">
        <v>0</v>
      </c>
      <c r="S276" s="167">
        <v>0</v>
      </c>
      <c r="T276" s="167">
        <v>0</v>
      </c>
      <c r="U276" s="168" t="e">
        <v>#DIV/0!</v>
      </c>
      <c r="V276" s="167">
        <v>0</v>
      </c>
      <c r="W276" s="167">
        <v>0</v>
      </c>
      <c r="X276" s="167">
        <v>0</v>
      </c>
      <c r="Y276" s="167">
        <v>0</v>
      </c>
      <c r="Z276" s="167">
        <v>0</v>
      </c>
      <c r="AA276" s="167">
        <v>0</v>
      </c>
    </row>
    <row r="277" spans="1:27" ht="12" customHeight="1" x14ac:dyDescent="0.25">
      <c r="A277" s="155" t="s">
        <v>1351</v>
      </c>
      <c r="B277" s="155" t="s">
        <v>662</v>
      </c>
      <c r="C277" s="167">
        <v>0</v>
      </c>
      <c r="D277" s="167">
        <v>0</v>
      </c>
      <c r="E277" s="167">
        <v>0</v>
      </c>
      <c r="F277" s="167">
        <v>0</v>
      </c>
      <c r="G277" s="167">
        <v>0</v>
      </c>
      <c r="H277" s="167">
        <v>0</v>
      </c>
      <c r="I277" s="167">
        <v>0</v>
      </c>
      <c r="J277" s="167">
        <v>0</v>
      </c>
      <c r="K277" s="167">
        <v>0</v>
      </c>
      <c r="L277" s="167">
        <v>0</v>
      </c>
      <c r="M277" s="167">
        <v>0</v>
      </c>
      <c r="N277" s="167">
        <v>0</v>
      </c>
      <c r="O277" s="167">
        <v>0</v>
      </c>
      <c r="P277" s="167">
        <v>0</v>
      </c>
      <c r="Q277" s="167">
        <v>0</v>
      </c>
      <c r="R277" s="167">
        <v>0</v>
      </c>
      <c r="S277" s="167">
        <v>0</v>
      </c>
      <c r="T277" s="167">
        <v>0</v>
      </c>
      <c r="U277" s="168" t="e">
        <v>#DIV/0!</v>
      </c>
      <c r="V277" s="167">
        <v>0</v>
      </c>
      <c r="W277" s="167">
        <v>0</v>
      </c>
      <c r="X277" s="167">
        <v>0</v>
      </c>
      <c r="Y277" s="167">
        <v>0</v>
      </c>
      <c r="Z277" s="167">
        <v>0</v>
      </c>
      <c r="AA277" s="167">
        <v>0</v>
      </c>
    </row>
    <row r="278" spans="1:27" ht="12" customHeight="1" x14ac:dyDescent="0.25">
      <c r="A278" s="155" t="s">
        <v>1352</v>
      </c>
      <c r="B278" s="162" t="s">
        <v>663</v>
      </c>
      <c r="C278" s="164">
        <v>0</v>
      </c>
      <c r="D278" s="164">
        <v>0</v>
      </c>
      <c r="E278" s="164">
        <v>0</v>
      </c>
      <c r="F278" s="164">
        <v>0</v>
      </c>
      <c r="G278" s="164">
        <v>0</v>
      </c>
      <c r="H278" s="164">
        <v>0</v>
      </c>
      <c r="I278" s="164">
        <v>0</v>
      </c>
      <c r="J278" s="164">
        <v>0</v>
      </c>
      <c r="K278" s="164">
        <v>0</v>
      </c>
      <c r="L278" s="164">
        <v>0</v>
      </c>
      <c r="M278" s="164">
        <v>0</v>
      </c>
      <c r="N278" s="164">
        <v>0</v>
      </c>
      <c r="O278" s="164">
        <v>0</v>
      </c>
      <c r="P278" s="164">
        <v>0</v>
      </c>
      <c r="Q278" s="164">
        <v>0</v>
      </c>
      <c r="R278" s="164">
        <v>0</v>
      </c>
      <c r="S278" s="164">
        <v>0</v>
      </c>
      <c r="T278" s="164">
        <v>0</v>
      </c>
      <c r="U278" s="165" t="e">
        <v>#DIV/0!</v>
      </c>
      <c r="V278" s="164">
        <v>0</v>
      </c>
      <c r="W278" s="164">
        <v>0</v>
      </c>
      <c r="X278" s="164">
        <v>0</v>
      </c>
      <c r="Y278" s="164">
        <v>0</v>
      </c>
      <c r="Z278" s="164">
        <v>0</v>
      </c>
      <c r="AA278" s="164">
        <v>0</v>
      </c>
    </row>
    <row r="279" spans="1:27" ht="12" customHeight="1" x14ac:dyDescent="0.25">
      <c r="A279" s="155"/>
      <c r="B279" s="156" t="s">
        <v>664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>
        <v>0</v>
      </c>
      <c r="S279" s="157">
        <v>0</v>
      </c>
      <c r="T279" s="158">
        <v>0</v>
      </c>
      <c r="U279" s="159" t="e">
        <v>#DIV/0!</v>
      </c>
      <c r="V279" s="158">
        <v>0</v>
      </c>
      <c r="W279" s="158">
        <v>0</v>
      </c>
      <c r="X279" s="158">
        <v>0</v>
      </c>
      <c r="Y279" s="158">
        <v>0</v>
      </c>
      <c r="Z279" s="158">
        <v>0</v>
      </c>
      <c r="AA279" s="158">
        <v>0</v>
      </c>
    </row>
    <row r="280" spans="1:27" ht="12" customHeight="1" x14ac:dyDescent="0.25">
      <c r="A280" s="155"/>
      <c r="B280" s="162" t="s">
        <v>665</v>
      </c>
      <c r="C280" s="163">
        <v>0</v>
      </c>
      <c r="D280" s="163">
        <v>0</v>
      </c>
      <c r="E280" s="163">
        <v>0</v>
      </c>
      <c r="F280" s="163">
        <v>0</v>
      </c>
      <c r="G280" s="163">
        <v>0</v>
      </c>
      <c r="H280" s="163">
        <v>0</v>
      </c>
      <c r="I280" s="163">
        <v>0</v>
      </c>
      <c r="J280" s="163">
        <v>0</v>
      </c>
      <c r="K280" s="163">
        <v>0</v>
      </c>
      <c r="L280" s="163">
        <v>0</v>
      </c>
      <c r="M280" s="163">
        <v>0</v>
      </c>
      <c r="N280" s="163">
        <v>0</v>
      </c>
      <c r="O280" s="163">
        <v>0</v>
      </c>
      <c r="P280" s="163">
        <v>0</v>
      </c>
      <c r="Q280" s="163">
        <v>0</v>
      </c>
      <c r="R280" s="163">
        <v>0</v>
      </c>
      <c r="S280" s="163">
        <v>0</v>
      </c>
      <c r="T280" s="164">
        <v>0</v>
      </c>
      <c r="U280" s="165" t="e">
        <v>#DIV/0!</v>
      </c>
      <c r="V280" s="164">
        <v>0</v>
      </c>
      <c r="W280" s="164">
        <v>0</v>
      </c>
      <c r="X280" s="164">
        <v>0</v>
      </c>
      <c r="Y280" s="164">
        <v>0</v>
      </c>
      <c r="Z280" s="164">
        <v>0</v>
      </c>
      <c r="AA280" s="164">
        <v>0</v>
      </c>
    </row>
    <row r="281" spans="1:27" ht="12" customHeight="1" x14ac:dyDescent="0.25">
      <c r="A281" s="155" t="s">
        <v>1353</v>
      </c>
      <c r="B281" s="155" t="s">
        <v>666</v>
      </c>
      <c r="C281" s="167">
        <v>0</v>
      </c>
      <c r="D281" s="167">
        <v>0</v>
      </c>
      <c r="E281" s="167">
        <v>0</v>
      </c>
      <c r="F281" s="167">
        <v>0</v>
      </c>
      <c r="G281" s="167">
        <v>0</v>
      </c>
      <c r="H281" s="167">
        <v>0</v>
      </c>
      <c r="I281" s="167">
        <v>0</v>
      </c>
      <c r="J281" s="167">
        <v>0</v>
      </c>
      <c r="K281" s="167">
        <v>0</v>
      </c>
      <c r="L281" s="167">
        <v>0</v>
      </c>
      <c r="M281" s="167">
        <v>0</v>
      </c>
      <c r="N281" s="167">
        <v>0</v>
      </c>
      <c r="O281" s="167">
        <v>0</v>
      </c>
      <c r="P281" s="167">
        <v>0</v>
      </c>
      <c r="Q281" s="167">
        <v>0</v>
      </c>
      <c r="R281" s="167">
        <v>0</v>
      </c>
      <c r="S281" s="167">
        <v>0</v>
      </c>
      <c r="T281" s="167">
        <v>0</v>
      </c>
      <c r="U281" s="168" t="e">
        <v>#DIV/0!</v>
      </c>
      <c r="V281" s="167">
        <v>0</v>
      </c>
      <c r="W281" s="167">
        <v>0</v>
      </c>
      <c r="X281" s="167">
        <v>0</v>
      </c>
      <c r="Y281" s="167">
        <v>0</v>
      </c>
      <c r="Z281" s="167">
        <v>0</v>
      </c>
      <c r="AA281" s="167">
        <v>0</v>
      </c>
    </row>
    <row r="282" spans="1:27" ht="12" customHeight="1" x14ac:dyDescent="0.25">
      <c r="A282" s="155" t="s">
        <v>1354</v>
      </c>
      <c r="B282" s="155" t="s">
        <v>667</v>
      </c>
      <c r="C282" s="167">
        <v>0</v>
      </c>
      <c r="D282" s="167">
        <v>0</v>
      </c>
      <c r="E282" s="167">
        <v>0</v>
      </c>
      <c r="F282" s="167">
        <v>0</v>
      </c>
      <c r="G282" s="167">
        <v>0</v>
      </c>
      <c r="H282" s="167">
        <v>0</v>
      </c>
      <c r="I282" s="167">
        <v>0</v>
      </c>
      <c r="J282" s="167">
        <v>0</v>
      </c>
      <c r="K282" s="167">
        <v>0</v>
      </c>
      <c r="L282" s="167">
        <v>0</v>
      </c>
      <c r="M282" s="167">
        <v>0</v>
      </c>
      <c r="N282" s="167">
        <v>0</v>
      </c>
      <c r="O282" s="167">
        <v>0</v>
      </c>
      <c r="P282" s="167">
        <v>0</v>
      </c>
      <c r="Q282" s="167">
        <v>0</v>
      </c>
      <c r="R282" s="167">
        <v>0</v>
      </c>
      <c r="S282" s="167">
        <v>0</v>
      </c>
      <c r="T282" s="167">
        <v>0</v>
      </c>
      <c r="U282" s="168" t="e">
        <v>#DIV/0!</v>
      </c>
      <c r="V282" s="167">
        <v>0</v>
      </c>
      <c r="W282" s="167">
        <v>0</v>
      </c>
      <c r="X282" s="167">
        <v>0</v>
      </c>
      <c r="Y282" s="167">
        <v>0</v>
      </c>
      <c r="Z282" s="167">
        <v>0</v>
      </c>
      <c r="AA282" s="167">
        <v>0</v>
      </c>
    </row>
    <row r="283" spans="1:27" ht="12" customHeight="1" x14ac:dyDescent="0.25">
      <c r="A283" s="155" t="s">
        <v>1355</v>
      </c>
      <c r="B283" s="155" t="s">
        <v>668</v>
      </c>
      <c r="C283" s="167">
        <v>0</v>
      </c>
      <c r="D283" s="167">
        <v>0</v>
      </c>
      <c r="E283" s="167">
        <v>0</v>
      </c>
      <c r="F283" s="167">
        <v>0</v>
      </c>
      <c r="G283" s="167">
        <v>0</v>
      </c>
      <c r="H283" s="167">
        <v>0</v>
      </c>
      <c r="I283" s="167">
        <v>0</v>
      </c>
      <c r="J283" s="167">
        <v>0</v>
      </c>
      <c r="K283" s="167">
        <v>0</v>
      </c>
      <c r="L283" s="167">
        <v>0</v>
      </c>
      <c r="M283" s="167">
        <v>0</v>
      </c>
      <c r="N283" s="167">
        <v>0</v>
      </c>
      <c r="O283" s="167">
        <v>0</v>
      </c>
      <c r="P283" s="167">
        <v>0</v>
      </c>
      <c r="Q283" s="167">
        <v>0</v>
      </c>
      <c r="R283" s="167">
        <v>0</v>
      </c>
      <c r="S283" s="167">
        <v>0</v>
      </c>
      <c r="T283" s="167">
        <v>0</v>
      </c>
      <c r="U283" s="168" t="e">
        <v>#DIV/0!</v>
      </c>
      <c r="V283" s="167">
        <v>0</v>
      </c>
      <c r="W283" s="167">
        <v>0</v>
      </c>
      <c r="X283" s="167">
        <v>0</v>
      </c>
      <c r="Y283" s="167">
        <v>0</v>
      </c>
      <c r="Z283" s="167">
        <v>0</v>
      </c>
      <c r="AA283" s="167">
        <v>0</v>
      </c>
    </row>
    <row r="284" spans="1:27" ht="12" customHeight="1" x14ac:dyDescent="0.25">
      <c r="A284" s="155" t="s">
        <v>1356</v>
      </c>
      <c r="B284" s="155" t="s">
        <v>669</v>
      </c>
      <c r="C284" s="167">
        <v>0</v>
      </c>
      <c r="D284" s="167">
        <v>0</v>
      </c>
      <c r="E284" s="167">
        <v>0</v>
      </c>
      <c r="F284" s="167">
        <v>0</v>
      </c>
      <c r="G284" s="167">
        <v>0</v>
      </c>
      <c r="H284" s="167">
        <v>0</v>
      </c>
      <c r="I284" s="167">
        <v>0</v>
      </c>
      <c r="J284" s="167">
        <v>0</v>
      </c>
      <c r="K284" s="167">
        <v>0</v>
      </c>
      <c r="L284" s="167">
        <v>0</v>
      </c>
      <c r="M284" s="167">
        <v>0</v>
      </c>
      <c r="N284" s="167">
        <v>0</v>
      </c>
      <c r="O284" s="167">
        <v>0</v>
      </c>
      <c r="P284" s="167">
        <v>0</v>
      </c>
      <c r="Q284" s="167">
        <v>0</v>
      </c>
      <c r="R284" s="167">
        <v>0</v>
      </c>
      <c r="S284" s="167">
        <v>0</v>
      </c>
      <c r="T284" s="167">
        <v>0</v>
      </c>
      <c r="U284" s="168" t="e">
        <v>#DIV/0!</v>
      </c>
      <c r="V284" s="167">
        <v>0</v>
      </c>
      <c r="W284" s="167">
        <v>0</v>
      </c>
      <c r="X284" s="167">
        <v>0</v>
      </c>
      <c r="Y284" s="167">
        <v>0</v>
      </c>
      <c r="Z284" s="167">
        <v>0</v>
      </c>
      <c r="AA284" s="167">
        <v>0</v>
      </c>
    </row>
    <row r="285" spans="1:27" ht="12" customHeight="1" x14ac:dyDescent="0.25">
      <c r="A285" s="155" t="s">
        <v>1357</v>
      </c>
      <c r="B285" s="155" t="s">
        <v>670</v>
      </c>
      <c r="C285" s="167">
        <v>0</v>
      </c>
      <c r="D285" s="167">
        <v>0</v>
      </c>
      <c r="E285" s="167">
        <v>0</v>
      </c>
      <c r="F285" s="167">
        <v>0</v>
      </c>
      <c r="G285" s="167">
        <v>0</v>
      </c>
      <c r="H285" s="167">
        <v>0</v>
      </c>
      <c r="I285" s="167">
        <v>0</v>
      </c>
      <c r="J285" s="167">
        <v>0</v>
      </c>
      <c r="K285" s="167">
        <v>0</v>
      </c>
      <c r="L285" s="167">
        <v>0</v>
      </c>
      <c r="M285" s="167">
        <v>0</v>
      </c>
      <c r="N285" s="167">
        <v>0</v>
      </c>
      <c r="O285" s="167">
        <v>0</v>
      </c>
      <c r="P285" s="167">
        <v>0</v>
      </c>
      <c r="Q285" s="167">
        <v>0</v>
      </c>
      <c r="R285" s="167">
        <v>0</v>
      </c>
      <c r="S285" s="167">
        <v>0</v>
      </c>
      <c r="T285" s="167">
        <v>0</v>
      </c>
      <c r="U285" s="168" t="e">
        <v>#DIV/0!</v>
      </c>
      <c r="V285" s="167">
        <v>0</v>
      </c>
      <c r="W285" s="167">
        <v>0</v>
      </c>
      <c r="X285" s="167">
        <v>0</v>
      </c>
      <c r="Y285" s="167">
        <v>0</v>
      </c>
      <c r="Z285" s="167">
        <v>0</v>
      </c>
      <c r="AA285" s="167">
        <v>0</v>
      </c>
    </row>
    <row r="286" spans="1:27" ht="12" customHeight="1" x14ac:dyDescent="0.25">
      <c r="A286" s="155" t="s">
        <v>1358</v>
      </c>
      <c r="B286" s="155" t="s">
        <v>671</v>
      </c>
      <c r="C286" s="167">
        <v>0</v>
      </c>
      <c r="D286" s="167">
        <v>0</v>
      </c>
      <c r="E286" s="167">
        <v>0</v>
      </c>
      <c r="F286" s="167">
        <v>0</v>
      </c>
      <c r="G286" s="167">
        <v>0</v>
      </c>
      <c r="H286" s="167">
        <v>0</v>
      </c>
      <c r="I286" s="167">
        <v>0</v>
      </c>
      <c r="J286" s="167">
        <v>0</v>
      </c>
      <c r="K286" s="167">
        <v>0</v>
      </c>
      <c r="L286" s="167">
        <v>0</v>
      </c>
      <c r="M286" s="167">
        <v>0</v>
      </c>
      <c r="N286" s="167">
        <v>0</v>
      </c>
      <c r="O286" s="167">
        <v>0</v>
      </c>
      <c r="P286" s="167">
        <v>0</v>
      </c>
      <c r="Q286" s="167">
        <v>0</v>
      </c>
      <c r="R286" s="167">
        <v>0</v>
      </c>
      <c r="S286" s="167">
        <v>0</v>
      </c>
      <c r="T286" s="167">
        <v>0</v>
      </c>
      <c r="U286" s="168" t="e">
        <v>#DIV/0!</v>
      </c>
      <c r="V286" s="167">
        <v>0</v>
      </c>
      <c r="W286" s="167">
        <v>0</v>
      </c>
      <c r="X286" s="167">
        <v>0</v>
      </c>
      <c r="Y286" s="167">
        <v>0</v>
      </c>
      <c r="Z286" s="167">
        <v>0</v>
      </c>
      <c r="AA286" s="167">
        <v>0</v>
      </c>
    </row>
    <row r="287" spans="1:27" ht="12" customHeight="1" x14ac:dyDescent="0.25">
      <c r="A287" s="155" t="s">
        <v>1359</v>
      </c>
      <c r="B287" s="155" t="s">
        <v>672</v>
      </c>
      <c r="C287" s="167">
        <v>0</v>
      </c>
      <c r="D287" s="167">
        <v>0</v>
      </c>
      <c r="E287" s="167">
        <v>0</v>
      </c>
      <c r="F287" s="167">
        <v>0</v>
      </c>
      <c r="G287" s="167">
        <v>0</v>
      </c>
      <c r="H287" s="167">
        <v>0</v>
      </c>
      <c r="I287" s="167">
        <v>0</v>
      </c>
      <c r="J287" s="167">
        <v>0</v>
      </c>
      <c r="K287" s="167">
        <v>0</v>
      </c>
      <c r="L287" s="167">
        <v>0</v>
      </c>
      <c r="M287" s="167">
        <v>0</v>
      </c>
      <c r="N287" s="167">
        <v>0</v>
      </c>
      <c r="O287" s="167">
        <v>0</v>
      </c>
      <c r="P287" s="167">
        <v>0</v>
      </c>
      <c r="Q287" s="167">
        <v>0</v>
      </c>
      <c r="R287" s="167">
        <v>0</v>
      </c>
      <c r="S287" s="167">
        <v>0</v>
      </c>
      <c r="T287" s="167">
        <v>0</v>
      </c>
      <c r="U287" s="168" t="e">
        <v>#DIV/0!</v>
      </c>
      <c r="V287" s="167">
        <v>0</v>
      </c>
      <c r="W287" s="167">
        <v>0</v>
      </c>
      <c r="X287" s="167">
        <v>0</v>
      </c>
      <c r="Y287" s="167">
        <v>0</v>
      </c>
      <c r="Z287" s="167">
        <v>0</v>
      </c>
      <c r="AA287" s="167">
        <v>0</v>
      </c>
    </row>
    <row r="288" spans="1:27" ht="12" customHeight="1" x14ac:dyDescent="0.25">
      <c r="A288" s="155" t="s">
        <v>1360</v>
      </c>
      <c r="B288" s="155" t="s">
        <v>673</v>
      </c>
      <c r="C288" s="167">
        <v>0</v>
      </c>
      <c r="D288" s="167">
        <v>0</v>
      </c>
      <c r="E288" s="167">
        <v>0</v>
      </c>
      <c r="F288" s="167">
        <v>0</v>
      </c>
      <c r="G288" s="167">
        <v>0</v>
      </c>
      <c r="H288" s="167">
        <v>0</v>
      </c>
      <c r="I288" s="167">
        <v>0</v>
      </c>
      <c r="J288" s="167">
        <v>0</v>
      </c>
      <c r="K288" s="167">
        <v>0</v>
      </c>
      <c r="L288" s="167">
        <v>0</v>
      </c>
      <c r="M288" s="167">
        <v>0</v>
      </c>
      <c r="N288" s="167">
        <v>0</v>
      </c>
      <c r="O288" s="167">
        <v>0</v>
      </c>
      <c r="P288" s="167">
        <v>0</v>
      </c>
      <c r="Q288" s="167">
        <v>0</v>
      </c>
      <c r="R288" s="167">
        <v>0</v>
      </c>
      <c r="S288" s="167">
        <v>0</v>
      </c>
      <c r="T288" s="167">
        <v>0</v>
      </c>
      <c r="U288" s="168" t="e">
        <v>#DIV/0!</v>
      </c>
      <c r="V288" s="167">
        <v>0</v>
      </c>
      <c r="W288" s="167">
        <v>0</v>
      </c>
      <c r="X288" s="167">
        <v>0</v>
      </c>
      <c r="Y288" s="167">
        <v>0</v>
      </c>
      <c r="Z288" s="167">
        <v>0</v>
      </c>
      <c r="AA288" s="167">
        <v>0</v>
      </c>
    </row>
    <row r="289" spans="1:27" ht="12" customHeight="1" x14ac:dyDescent="0.25">
      <c r="A289" s="155" t="s">
        <v>1361</v>
      </c>
      <c r="B289" s="155" t="s">
        <v>674</v>
      </c>
      <c r="C289" s="167">
        <v>0</v>
      </c>
      <c r="D289" s="167">
        <v>0</v>
      </c>
      <c r="E289" s="167">
        <v>0</v>
      </c>
      <c r="F289" s="167">
        <v>0</v>
      </c>
      <c r="G289" s="167">
        <v>0</v>
      </c>
      <c r="H289" s="167">
        <v>0</v>
      </c>
      <c r="I289" s="167">
        <v>0</v>
      </c>
      <c r="J289" s="167">
        <v>0</v>
      </c>
      <c r="K289" s="167">
        <v>0</v>
      </c>
      <c r="L289" s="167">
        <v>0</v>
      </c>
      <c r="M289" s="167">
        <v>0</v>
      </c>
      <c r="N289" s="167">
        <v>0</v>
      </c>
      <c r="O289" s="167">
        <v>0</v>
      </c>
      <c r="P289" s="167">
        <v>0</v>
      </c>
      <c r="Q289" s="167">
        <v>0</v>
      </c>
      <c r="R289" s="167">
        <v>0</v>
      </c>
      <c r="S289" s="167">
        <v>0</v>
      </c>
      <c r="T289" s="167">
        <v>0</v>
      </c>
      <c r="U289" s="168" t="e">
        <v>#DIV/0!</v>
      </c>
      <c r="V289" s="167">
        <v>0</v>
      </c>
      <c r="W289" s="167">
        <v>0</v>
      </c>
      <c r="X289" s="167">
        <v>0</v>
      </c>
      <c r="Y289" s="167">
        <v>0</v>
      </c>
      <c r="Z289" s="167">
        <v>0</v>
      </c>
      <c r="AA289" s="167">
        <v>0</v>
      </c>
    </row>
    <row r="290" spans="1:27" ht="12" customHeight="1" x14ac:dyDescent="0.25">
      <c r="A290" s="155" t="s">
        <v>1362</v>
      </c>
      <c r="B290" s="155" t="s">
        <v>675</v>
      </c>
      <c r="C290" s="167">
        <v>0</v>
      </c>
      <c r="D290" s="167">
        <v>0</v>
      </c>
      <c r="E290" s="167">
        <v>0</v>
      </c>
      <c r="F290" s="167">
        <v>0</v>
      </c>
      <c r="G290" s="167">
        <v>0</v>
      </c>
      <c r="H290" s="167">
        <v>0</v>
      </c>
      <c r="I290" s="167">
        <v>0</v>
      </c>
      <c r="J290" s="167">
        <v>0</v>
      </c>
      <c r="K290" s="167">
        <v>0</v>
      </c>
      <c r="L290" s="167">
        <v>0</v>
      </c>
      <c r="M290" s="167">
        <v>0</v>
      </c>
      <c r="N290" s="167">
        <v>0</v>
      </c>
      <c r="O290" s="167">
        <v>0</v>
      </c>
      <c r="P290" s="167">
        <v>0</v>
      </c>
      <c r="Q290" s="167">
        <v>0</v>
      </c>
      <c r="R290" s="167">
        <v>0</v>
      </c>
      <c r="S290" s="167">
        <v>0</v>
      </c>
      <c r="T290" s="167">
        <v>0</v>
      </c>
      <c r="U290" s="168" t="e">
        <v>#DIV/0!</v>
      </c>
      <c r="V290" s="167">
        <v>0</v>
      </c>
      <c r="W290" s="167">
        <v>0</v>
      </c>
      <c r="X290" s="167">
        <v>0</v>
      </c>
      <c r="Y290" s="167">
        <v>0</v>
      </c>
      <c r="Z290" s="167">
        <v>0</v>
      </c>
      <c r="AA290" s="167">
        <v>0</v>
      </c>
    </row>
    <row r="291" spans="1:27" ht="12" customHeight="1" x14ac:dyDescent="0.25">
      <c r="A291" s="155" t="s">
        <v>1363</v>
      </c>
      <c r="B291" s="155" t="s">
        <v>676</v>
      </c>
      <c r="C291" s="167">
        <v>0</v>
      </c>
      <c r="D291" s="167">
        <v>0</v>
      </c>
      <c r="E291" s="167">
        <v>0</v>
      </c>
      <c r="F291" s="167">
        <v>0</v>
      </c>
      <c r="G291" s="167">
        <v>0</v>
      </c>
      <c r="H291" s="167">
        <v>0</v>
      </c>
      <c r="I291" s="167">
        <v>0</v>
      </c>
      <c r="J291" s="167">
        <v>0</v>
      </c>
      <c r="K291" s="167">
        <v>0</v>
      </c>
      <c r="L291" s="167">
        <v>0</v>
      </c>
      <c r="M291" s="167">
        <v>0</v>
      </c>
      <c r="N291" s="167">
        <v>0</v>
      </c>
      <c r="O291" s="167">
        <v>0</v>
      </c>
      <c r="P291" s="167">
        <v>0</v>
      </c>
      <c r="Q291" s="167">
        <v>0</v>
      </c>
      <c r="R291" s="167">
        <v>0</v>
      </c>
      <c r="S291" s="167">
        <v>0</v>
      </c>
      <c r="T291" s="167">
        <v>0</v>
      </c>
      <c r="U291" s="168" t="e">
        <v>#DIV/0!</v>
      </c>
      <c r="V291" s="167">
        <v>0</v>
      </c>
      <c r="W291" s="167">
        <v>0</v>
      </c>
      <c r="X291" s="167">
        <v>0</v>
      </c>
      <c r="Y291" s="167">
        <v>0</v>
      </c>
      <c r="Z291" s="167">
        <v>0</v>
      </c>
      <c r="AA291" s="167">
        <v>0</v>
      </c>
    </row>
    <row r="292" spans="1:27" ht="12" customHeight="1" x14ac:dyDescent="0.25">
      <c r="A292" s="155" t="s">
        <v>1364</v>
      </c>
      <c r="B292" s="155" t="s">
        <v>677</v>
      </c>
      <c r="C292" s="167">
        <v>0</v>
      </c>
      <c r="D292" s="167">
        <v>0</v>
      </c>
      <c r="E292" s="167">
        <v>0</v>
      </c>
      <c r="F292" s="167">
        <v>0</v>
      </c>
      <c r="G292" s="167">
        <v>0</v>
      </c>
      <c r="H292" s="167">
        <v>0</v>
      </c>
      <c r="I292" s="167">
        <v>0</v>
      </c>
      <c r="J292" s="167">
        <v>0</v>
      </c>
      <c r="K292" s="167">
        <v>0</v>
      </c>
      <c r="L292" s="167">
        <v>0</v>
      </c>
      <c r="M292" s="167">
        <v>0</v>
      </c>
      <c r="N292" s="167">
        <v>0</v>
      </c>
      <c r="O292" s="167">
        <v>0</v>
      </c>
      <c r="P292" s="167">
        <v>0</v>
      </c>
      <c r="Q292" s="167">
        <v>0</v>
      </c>
      <c r="R292" s="167">
        <v>0</v>
      </c>
      <c r="S292" s="167">
        <v>0</v>
      </c>
      <c r="T292" s="167">
        <v>0</v>
      </c>
      <c r="U292" s="168" t="e">
        <v>#DIV/0!</v>
      </c>
      <c r="V292" s="167">
        <v>0</v>
      </c>
      <c r="W292" s="167">
        <v>0</v>
      </c>
      <c r="X292" s="167">
        <v>0</v>
      </c>
      <c r="Y292" s="167">
        <v>0</v>
      </c>
      <c r="Z292" s="167">
        <v>0</v>
      </c>
      <c r="AA292" s="167">
        <v>0</v>
      </c>
    </row>
    <row r="293" spans="1:27" ht="12" customHeight="1" x14ac:dyDescent="0.25">
      <c r="A293" s="155" t="s">
        <v>1365</v>
      </c>
      <c r="B293" s="155" t="s">
        <v>678</v>
      </c>
      <c r="C293" s="167">
        <v>0</v>
      </c>
      <c r="D293" s="167">
        <v>0</v>
      </c>
      <c r="E293" s="167">
        <v>0</v>
      </c>
      <c r="F293" s="167">
        <v>0</v>
      </c>
      <c r="G293" s="167">
        <v>0</v>
      </c>
      <c r="H293" s="167">
        <v>0</v>
      </c>
      <c r="I293" s="167">
        <v>0</v>
      </c>
      <c r="J293" s="167">
        <v>0</v>
      </c>
      <c r="K293" s="167">
        <v>0</v>
      </c>
      <c r="L293" s="167">
        <v>0</v>
      </c>
      <c r="M293" s="167">
        <v>0</v>
      </c>
      <c r="N293" s="167">
        <v>0</v>
      </c>
      <c r="O293" s="167">
        <v>0</v>
      </c>
      <c r="P293" s="167">
        <v>0</v>
      </c>
      <c r="Q293" s="167">
        <v>0</v>
      </c>
      <c r="R293" s="167">
        <v>0</v>
      </c>
      <c r="S293" s="167">
        <v>0</v>
      </c>
      <c r="T293" s="167">
        <v>0</v>
      </c>
      <c r="U293" s="168" t="e">
        <v>#DIV/0!</v>
      </c>
      <c r="V293" s="167">
        <v>0</v>
      </c>
      <c r="W293" s="167">
        <v>0</v>
      </c>
      <c r="X293" s="167">
        <v>0</v>
      </c>
      <c r="Y293" s="167">
        <v>0</v>
      </c>
      <c r="Z293" s="167">
        <v>0</v>
      </c>
      <c r="AA293" s="167">
        <v>0</v>
      </c>
    </row>
    <row r="294" spans="1:27" ht="12" customHeight="1" x14ac:dyDescent="0.25">
      <c r="A294" s="155" t="s">
        <v>1366</v>
      </c>
      <c r="B294" s="155" t="s">
        <v>679</v>
      </c>
      <c r="C294" s="167">
        <v>0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0</v>
      </c>
      <c r="K294" s="167">
        <v>0</v>
      </c>
      <c r="L294" s="167">
        <v>0</v>
      </c>
      <c r="M294" s="167">
        <v>0</v>
      </c>
      <c r="N294" s="167">
        <v>0</v>
      </c>
      <c r="O294" s="167">
        <v>0</v>
      </c>
      <c r="P294" s="167">
        <v>0</v>
      </c>
      <c r="Q294" s="167">
        <v>0</v>
      </c>
      <c r="R294" s="167">
        <v>0</v>
      </c>
      <c r="S294" s="167">
        <v>0</v>
      </c>
      <c r="T294" s="167">
        <v>0</v>
      </c>
      <c r="U294" s="168" t="e">
        <v>#DIV/0!</v>
      </c>
      <c r="V294" s="167">
        <v>0</v>
      </c>
      <c r="W294" s="167">
        <v>0</v>
      </c>
      <c r="X294" s="167">
        <v>0</v>
      </c>
      <c r="Y294" s="167">
        <v>0</v>
      </c>
      <c r="Z294" s="167">
        <v>0</v>
      </c>
      <c r="AA294" s="167">
        <v>0</v>
      </c>
    </row>
    <row r="295" spans="1:27" ht="12" customHeight="1" x14ac:dyDescent="0.25">
      <c r="A295" s="155" t="s">
        <v>1367</v>
      </c>
      <c r="B295" s="155" t="s">
        <v>680</v>
      </c>
      <c r="C295" s="167">
        <v>0</v>
      </c>
      <c r="D295" s="167">
        <v>0</v>
      </c>
      <c r="E295" s="167">
        <v>0</v>
      </c>
      <c r="F295" s="167">
        <v>0</v>
      </c>
      <c r="G295" s="167">
        <v>0</v>
      </c>
      <c r="H295" s="167">
        <v>0</v>
      </c>
      <c r="I295" s="167">
        <v>0</v>
      </c>
      <c r="J295" s="167">
        <v>0</v>
      </c>
      <c r="K295" s="167">
        <v>0</v>
      </c>
      <c r="L295" s="167">
        <v>0</v>
      </c>
      <c r="M295" s="167">
        <v>0</v>
      </c>
      <c r="N295" s="167">
        <v>0</v>
      </c>
      <c r="O295" s="167">
        <v>0</v>
      </c>
      <c r="P295" s="167">
        <v>0</v>
      </c>
      <c r="Q295" s="167">
        <v>0</v>
      </c>
      <c r="R295" s="167">
        <v>0</v>
      </c>
      <c r="S295" s="167">
        <v>0</v>
      </c>
      <c r="T295" s="167">
        <v>0</v>
      </c>
      <c r="U295" s="168" t="e">
        <v>#DIV/0!</v>
      </c>
      <c r="V295" s="167">
        <v>0</v>
      </c>
      <c r="W295" s="167">
        <v>0</v>
      </c>
      <c r="X295" s="167">
        <v>0</v>
      </c>
      <c r="Y295" s="167">
        <v>0</v>
      </c>
      <c r="Z295" s="167">
        <v>0</v>
      </c>
      <c r="AA295" s="167">
        <v>0</v>
      </c>
    </row>
    <row r="296" spans="1:27" ht="12" customHeight="1" x14ac:dyDescent="0.25">
      <c r="A296" s="155" t="s">
        <v>1368</v>
      </c>
      <c r="B296" s="155" t="s">
        <v>681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0</v>
      </c>
      <c r="K296" s="167">
        <v>0</v>
      </c>
      <c r="L296" s="167">
        <v>0</v>
      </c>
      <c r="M296" s="167">
        <v>0</v>
      </c>
      <c r="N296" s="167">
        <v>0</v>
      </c>
      <c r="O296" s="167">
        <v>0</v>
      </c>
      <c r="P296" s="167">
        <v>0</v>
      </c>
      <c r="Q296" s="167">
        <v>0</v>
      </c>
      <c r="R296" s="167">
        <v>0</v>
      </c>
      <c r="S296" s="167">
        <v>0</v>
      </c>
      <c r="T296" s="167">
        <v>0</v>
      </c>
      <c r="U296" s="168" t="e">
        <v>#DIV/0!</v>
      </c>
      <c r="V296" s="167">
        <v>0</v>
      </c>
      <c r="W296" s="167">
        <v>0</v>
      </c>
      <c r="X296" s="167">
        <v>0</v>
      </c>
      <c r="Y296" s="167">
        <v>0</v>
      </c>
      <c r="Z296" s="167">
        <v>0</v>
      </c>
      <c r="AA296" s="167">
        <v>0</v>
      </c>
    </row>
    <row r="297" spans="1:27" ht="12" customHeight="1" x14ac:dyDescent="0.25">
      <c r="A297" s="155" t="s">
        <v>1369</v>
      </c>
      <c r="B297" s="155" t="s">
        <v>682</v>
      </c>
      <c r="C297" s="167">
        <v>0</v>
      </c>
      <c r="D297" s="167">
        <v>0</v>
      </c>
      <c r="E297" s="167">
        <v>0</v>
      </c>
      <c r="F297" s="167">
        <v>0</v>
      </c>
      <c r="G297" s="167">
        <v>0</v>
      </c>
      <c r="H297" s="167">
        <v>0</v>
      </c>
      <c r="I297" s="167">
        <v>0</v>
      </c>
      <c r="J297" s="167">
        <v>0</v>
      </c>
      <c r="K297" s="167">
        <v>0</v>
      </c>
      <c r="L297" s="167">
        <v>0</v>
      </c>
      <c r="M297" s="167">
        <v>0</v>
      </c>
      <c r="N297" s="167">
        <v>0</v>
      </c>
      <c r="O297" s="167">
        <v>0</v>
      </c>
      <c r="P297" s="167">
        <v>0</v>
      </c>
      <c r="Q297" s="167">
        <v>0</v>
      </c>
      <c r="R297" s="167">
        <v>0</v>
      </c>
      <c r="S297" s="167">
        <v>0</v>
      </c>
      <c r="T297" s="167">
        <v>0</v>
      </c>
      <c r="U297" s="168" t="e">
        <v>#DIV/0!</v>
      </c>
      <c r="V297" s="167">
        <v>0</v>
      </c>
      <c r="W297" s="167">
        <v>0</v>
      </c>
      <c r="X297" s="167">
        <v>0</v>
      </c>
      <c r="Y297" s="167">
        <v>0</v>
      </c>
      <c r="Z297" s="167">
        <v>0</v>
      </c>
      <c r="AA297" s="167">
        <v>0</v>
      </c>
    </row>
    <row r="298" spans="1:27" ht="12" customHeight="1" x14ac:dyDescent="0.25">
      <c r="A298" s="155" t="s">
        <v>1370</v>
      </c>
      <c r="B298" s="155" t="s">
        <v>683</v>
      </c>
      <c r="C298" s="167">
        <v>0</v>
      </c>
      <c r="D298" s="167">
        <v>0</v>
      </c>
      <c r="E298" s="167">
        <v>0</v>
      </c>
      <c r="F298" s="167">
        <v>0</v>
      </c>
      <c r="G298" s="167">
        <v>0</v>
      </c>
      <c r="H298" s="167">
        <v>0</v>
      </c>
      <c r="I298" s="167">
        <v>0</v>
      </c>
      <c r="J298" s="167">
        <v>0</v>
      </c>
      <c r="K298" s="167">
        <v>0</v>
      </c>
      <c r="L298" s="167">
        <v>0</v>
      </c>
      <c r="M298" s="167">
        <v>0</v>
      </c>
      <c r="N298" s="167">
        <v>0</v>
      </c>
      <c r="O298" s="167">
        <v>0</v>
      </c>
      <c r="P298" s="167">
        <v>0</v>
      </c>
      <c r="Q298" s="167">
        <v>0</v>
      </c>
      <c r="R298" s="167">
        <v>0</v>
      </c>
      <c r="S298" s="167">
        <v>0</v>
      </c>
      <c r="T298" s="167">
        <v>0</v>
      </c>
      <c r="U298" s="168" t="e">
        <v>#DIV/0!</v>
      </c>
      <c r="V298" s="167">
        <v>0</v>
      </c>
      <c r="W298" s="167">
        <v>0</v>
      </c>
      <c r="X298" s="167">
        <v>0</v>
      </c>
      <c r="Y298" s="167">
        <v>0</v>
      </c>
      <c r="Z298" s="167">
        <v>0</v>
      </c>
      <c r="AA298" s="167">
        <v>0</v>
      </c>
    </row>
    <row r="299" spans="1:27" ht="12" customHeight="1" x14ac:dyDescent="0.25">
      <c r="A299" s="155"/>
      <c r="B299" s="171" t="s">
        <v>684</v>
      </c>
      <c r="C299" s="172">
        <v>0</v>
      </c>
      <c r="D299" s="172">
        <v>0</v>
      </c>
      <c r="E299" s="172">
        <v>0</v>
      </c>
      <c r="F299" s="172">
        <v>0</v>
      </c>
      <c r="G299" s="172">
        <v>0</v>
      </c>
      <c r="H299" s="172">
        <v>0</v>
      </c>
      <c r="I299" s="172">
        <v>0</v>
      </c>
      <c r="J299" s="172">
        <v>0</v>
      </c>
      <c r="K299" s="172">
        <v>0</v>
      </c>
      <c r="L299" s="172">
        <v>0</v>
      </c>
      <c r="M299" s="172">
        <v>0</v>
      </c>
      <c r="N299" s="172">
        <v>0</v>
      </c>
      <c r="O299" s="172">
        <v>0</v>
      </c>
      <c r="P299" s="172">
        <v>0</v>
      </c>
      <c r="Q299" s="172">
        <v>0</v>
      </c>
      <c r="R299" s="172">
        <v>0</v>
      </c>
      <c r="S299" s="172">
        <v>0</v>
      </c>
      <c r="T299" s="173">
        <v>0</v>
      </c>
      <c r="U299" s="174" t="e">
        <v>#DIV/0!</v>
      </c>
      <c r="V299" s="173">
        <v>0</v>
      </c>
      <c r="W299" s="173">
        <v>0</v>
      </c>
      <c r="X299" s="173">
        <v>0</v>
      </c>
      <c r="Y299" s="173">
        <v>0</v>
      </c>
      <c r="Z299" s="173">
        <v>0</v>
      </c>
      <c r="AA299" s="173">
        <v>0</v>
      </c>
    </row>
    <row r="300" spans="1:27" ht="12" customHeight="1" x14ac:dyDescent="0.25">
      <c r="A300" s="155" t="s">
        <v>1371</v>
      </c>
      <c r="B300" s="162" t="s">
        <v>685</v>
      </c>
      <c r="C300" s="164">
        <v>0</v>
      </c>
      <c r="D300" s="164">
        <v>0</v>
      </c>
      <c r="E300" s="164">
        <v>0</v>
      </c>
      <c r="F300" s="164">
        <v>0</v>
      </c>
      <c r="G300" s="164">
        <v>0</v>
      </c>
      <c r="H300" s="164">
        <v>0</v>
      </c>
      <c r="I300" s="164">
        <v>0</v>
      </c>
      <c r="J300" s="164">
        <v>0</v>
      </c>
      <c r="K300" s="164">
        <v>0</v>
      </c>
      <c r="L300" s="164">
        <v>0</v>
      </c>
      <c r="M300" s="164">
        <v>0</v>
      </c>
      <c r="N300" s="164">
        <v>0</v>
      </c>
      <c r="O300" s="164">
        <v>0</v>
      </c>
      <c r="P300" s="164">
        <v>0</v>
      </c>
      <c r="Q300" s="164">
        <v>0</v>
      </c>
      <c r="R300" s="164">
        <v>0</v>
      </c>
      <c r="S300" s="164">
        <v>0</v>
      </c>
      <c r="T300" s="164">
        <v>0</v>
      </c>
      <c r="U300" s="165" t="e">
        <v>#DIV/0!</v>
      </c>
      <c r="V300" s="164">
        <v>0</v>
      </c>
      <c r="W300" s="164">
        <v>0</v>
      </c>
      <c r="X300" s="164">
        <v>0</v>
      </c>
      <c r="Y300" s="164">
        <v>0</v>
      </c>
      <c r="Z300" s="164">
        <v>0</v>
      </c>
      <c r="AA300" s="164">
        <v>0</v>
      </c>
    </row>
    <row r="301" spans="1:27" ht="12" customHeight="1" x14ac:dyDescent="0.25">
      <c r="A301" s="155"/>
      <c r="B301" s="162" t="s">
        <v>686</v>
      </c>
      <c r="C301" s="163">
        <v>0</v>
      </c>
      <c r="D301" s="163">
        <v>0</v>
      </c>
      <c r="E301" s="163">
        <v>0</v>
      </c>
      <c r="F301" s="163">
        <v>0</v>
      </c>
      <c r="G301" s="163">
        <v>0</v>
      </c>
      <c r="H301" s="163">
        <v>0</v>
      </c>
      <c r="I301" s="163">
        <v>0</v>
      </c>
      <c r="J301" s="163">
        <v>0</v>
      </c>
      <c r="K301" s="163">
        <v>0</v>
      </c>
      <c r="L301" s="163">
        <v>0</v>
      </c>
      <c r="M301" s="163">
        <v>0</v>
      </c>
      <c r="N301" s="163">
        <v>0</v>
      </c>
      <c r="O301" s="163">
        <v>0</v>
      </c>
      <c r="P301" s="163">
        <v>0</v>
      </c>
      <c r="Q301" s="163">
        <v>0</v>
      </c>
      <c r="R301" s="163">
        <v>0</v>
      </c>
      <c r="S301" s="163">
        <v>0</v>
      </c>
      <c r="T301" s="164">
        <v>0</v>
      </c>
      <c r="U301" s="165" t="e">
        <v>#DIV/0!</v>
      </c>
      <c r="V301" s="164">
        <v>0</v>
      </c>
      <c r="W301" s="164">
        <v>0</v>
      </c>
      <c r="X301" s="164">
        <v>0</v>
      </c>
      <c r="Y301" s="164">
        <v>0</v>
      </c>
      <c r="Z301" s="164">
        <v>0</v>
      </c>
      <c r="AA301" s="164">
        <v>0</v>
      </c>
    </row>
    <row r="302" spans="1:27" ht="12" customHeight="1" x14ac:dyDescent="0.25">
      <c r="A302" s="155" t="s">
        <v>1372</v>
      </c>
      <c r="B302" s="155" t="s">
        <v>687</v>
      </c>
      <c r="C302" s="167">
        <v>0</v>
      </c>
      <c r="D302" s="167">
        <v>0</v>
      </c>
      <c r="E302" s="167">
        <v>0</v>
      </c>
      <c r="F302" s="167">
        <v>0</v>
      </c>
      <c r="G302" s="167">
        <v>0</v>
      </c>
      <c r="H302" s="167">
        <v>0</v>
      </c>
      <c r="I302" s="167">
        <v>0</v>
      </c>
      <c r="J302" s="167">
        <v>0</v>
      </c>
      <c r="K302" s="167">
        <v>0</v>
      </c>
      <c r="L302" s="167">
        <v>0</v>
      </c>
      <c r="M302" s="167">
        <v>0</v>
      </c>
      <c r="N302" s="167">
        <v>0</v>
      </c>
      <c r="O302" s="167">
        <v>0</v>
      </c>
      <c r="P302" s="167">
        <v>0</v>
      </c>
      <c r="Q302" s="167">
        <v>0</v>
      </c>
      <c r="R302" s="167">
        <v>0</v>
      </c>
      <c r="S302" s="167">
        <v>0</v>
      </c>
      <c r="T302" s="167">
        <v>0</v>
      </c>
      <c r="U302" s="168" t="e">
        <v>#DIV/0!</v>
      </c>
      <c r="V302" s="167">
        <v>0</v>
      </c>
      <c r="W302" s="167">
        <v>0</v>
      </c>
      <c r="X302" s="167">
        <v>0</v>
      </c>
      <c r="Y302" s="167">
        <v>0</v>
      </c>
      <c r="Z302" s="167">
        <v>0</v>
      </c>
      <c r="AA302" s="167">
        <v>0</v>
      </c>
    </row>
    <row r="303" spans="1:27" ht="12" customHeight="1" x14ac:dyDescent="0.25">
      <c r="A303" s="155" t="s">
        <v>1373</v>
      </c>
      <c r="B303" s="155" t="s">
        <v>688</v>
      </c>
      <c r="C303" s="167">
        <v>0</v>
      </c>
      <c r="D303" s="167">
        <v>0</v>
      </c>
      <c r="E303" s="167">
        <v>0</v>
      </c>
      <c r="F303" s="167">
        <v>0</v>
      </c>
      <c r="G303" s="167">
        <v>0</v>
      </c>
      <c r="H303" s="167">
        <v>0</v>
      </c>
      <c r="I303" s="167">
        <v>0</v>
      </c>
      <c r="J303" s="167">
        <v>0</v>
      </c>
      <c r="K303" s="167">
        <v>0</v>
      </c>
      <c r="L303" s="167">
        <v>0</v>
      </c>
      <c r="M303" s="167">
        <v>0</v>
      </c>
      <c r="N303" s="167">
        <v>0</v>
      </c>
      <c r="O303" s="167">
        <v>0</v>
      </c>
      <c r="P303" s="167">
        <v>0</v>
      </c>
      <c r="Q303" s="167">
        <v>0</v>
      </c>
      <c r="R303" s="167">
        <v>0</v>
      </c>
      <c r="S303" s="167">
        <v>0</v>
      </c>
      <c r="T303" s="167">
        <v>0</v>
      </c>
      <c r="U303" s="168" t="e">
        <v>#DIV/0!</v>
      </c>
      <c r="V303" s="167">
        <v>0</v>
      </c>
      <c r="W303" s="167">
        <v>0</v>
      </c>
      <c r="X303" s="167">
        <v>0</v>
      </c>
      <c r="Y303" s="167">
        <v>0</v>
      </c>
      <c r="Z303" s="167">
        <v>0</v>
      </c>
      <c r="AA303" s="167">
        <v>0</v>
      </c>
    </row>
    <row r="304" spans="1:27" ht="12" customHeight="1" x14ac:dyDescent="0.25">
      <c r="A304" s="155" t="s">
        <v>1374</v>
      </c>
      <c r="B304" s="155" t="s">
        <v>689</v>
      </c>
      <c r="C304" s="167">
        <v>0</v>
      </c>
      <c r="D304" s="167">
        <v>0</v>
      </c>
      <c r="E304" s="167">
        <v>0</v>
      </c>
      <c r="F304" s="167">
        <v>0</v>
      </c>
      <c r="G304" s="167">
        <v>0</v>
      </c>
      <c r="H304" s="167">
        <v>0</v>
      </c>
      <c r="I304" s="167">
        <v>0</v>
      </c>
      <c r="J304" s="167">
        <v>0</v>
      </c>
      <c r="K304" s="167">
        <v>0</v>
      </c>
      <c r="L304" s="167">
        <v>0</v>
      </c>
      <c r="M304" s="167">
        <v>0</v>
      </c>
      <c r="N304" s="167">
        <v>0</v>
      </c>
      <c r="O304" s="167">
        <v>0</v>
      </c>
      <c r="P304" s="167">
        <v>0</v>
      </c>
      <c r="Q304" s="167">
        <v>0</v>
      </c>
      <c r="R304" s="167">
        <v>0</v>
      </c>
      <c r="S304" s="167">
        <v>0</v>
      </c>
      <c r="T304" s="167">
        <v>0</v>
      </c>
      <c r="U304" s="168" t="e">
        <v>#DIV/0!</v>
      </c>
      <c r="V304" s="167">
        <v>0</v>
      </c>
      <c r="W304" s="167">
        <v>0</v>
      </c>
      <c r="X304" s="167">
        <v>0</v>
      </c>
      <c r="Y304" s="167">
        <v>0</v>
      </c>
      <c r="Z304" s="167">
        <v>0</v>
      </c>
      <c r="AA304" s="167">
        <v>0</v>
      </c>
    </row>
    <row r="305" spans="1:27" ht="12" customHeight="1" x14ac:dyDescent="0.25">
      <c r="A305" s="155"/>
      <c r="B305" s="162" t="s">
        <v>690</v>
      </c>
      <c r="C305" s="163">
        <v>0</v>
      </c>
      <c r="D305" s="163">
        <v>0</v>
      </c>
      <c r="E305" s="163">
        <v>0</v>
      </c>
      <c r="F305" s="163">
        <v>0</v>
      </c>
      <c r="G305" s="163">
        <v>0</v>
      </c>
      <c r="H305" s="163">
        <v>0</v>
      </c>
      <c r="I305" s="163">
        <v>0</v>
      </c>
      <c r="J305" s="163">
        <v>0</v>
      </c>
      <c r="K305" s="163">
        <v>0</v>
      </c>
      <c r="L305" s="163">
        <v>0</v>
      </c>
      <c r="M305" s="163">
        <v>0</v>
      </c>
      <c r="N305" s="163">
        <v>0</v>
      </c>
      <c r="O305" s="163">
        <v>0</v>
      </c>
      <c r="P305" s="163">
        <v>0</v>
      </c>
      <c r="Q305" s="163">
        <v>0</v>
      </c>
      <c r="R305" s="163">
        <v>0</v>
      </c>
      <c r="S305" s="163">
        <v>0</v>
      </c>
      <c r="T305" s="164">
        <v>0</v>
      </c>
      <c r="U305" s="165" t="e">
        <v>#DIV/0!</v>
      </c>
      <c r="V305" s="164">
        <v>0</v>
      </c>
      <c r="W305" s="164">
        <v>0</v>
      </c>
      <c r="X305" s="164">
        <v>0</v>
      </c>
      <c r="Y305" s="164">
        <v>0</v>
      </c>
      <c r="Z305" s="164">
        <v>0</v>
      </c>
      <c r="AA305" s="164">
        <v>0</v>
      </c>
    </row>
    <row r="306" spans="1:27" ht="12" customHeight="1" x14ac:dyDescent="0.25">
      <c r="A306" s="155" t="s">
        <v>1375</v>
      </c>
      <c r="B306" s="155" t="s">
        <v>691</v>
      </c>
      <c r="C306" s="167">
        <v>0</v>
      </c>
      <c r="D306" s="167">
        <v>0</v>
      </c>
      <c r="E306" s="167">
        <v>0</v>
      </c>
      <c r="F306" s="167">
        <v>0</v>
      </c>
      <c r="G306" s="167">
        <v>0</v>
      </c>
      <c r="H306" s="167">
        <v>0</v>
      </c>
      <c r="I306" s="167">
        <v>0</v>
      </c>
      <c r="J306" s="167">
        <v>0</v>
      </c>
      <c r="K306" s="167">
        <v>0</v>
      </c>
      <c r="L306" s="167">
        <v>0</v>
      </c>
      <c r="M306" s="167">
        <v>0</v>
      </c>
      <c r="N306" s="167">
        <v>0</v>
      </c>
      <c r="O306" s="167">
        <v>0</v>
      </c>
      <c r="P306" s="167">
        <v>0</v>
      </c>
      <c r="Q306" s="167">
        <v>0</v>
      </c>
      <c r="R306" s="167">
        <v>0</v>
      </c>
      <c r="S306" s="167">
        <v>0</v>
      </c>
      <c r="T306" s="167">
        <v>0</v>
      </c>
      <c r="U306" s="168" t="e">
        <v>#DIV/0!</v>
      </c>
      <c r="V306" s="167">
        <v>0</v>
      </c>
      <c r="W306" s="167">
        <v>0</v>
      </c>
      <c r="X306" s="167">
        <v>0</v>
      </c>
      <c r="Y306" s="167">
        <v>0</v>
      </c>
      <c r="Z306" s="167">
        <v>0</v>
      </c>
      <c r="AA306" s="167">
        <v>0</v>
      </c>
    </row>
    <row r="307" spans="1:27" ht="12" customHeight="1" x14ac:dyDescent="0.25">
      <c r="A307" s="155" t="s">
        <v>1376</v>
      </c>
      <c r="B307" s="155" t="s">
        <v>692</v>
      </c>
      <c r="C307" s="167">
        <v>0</v>
      </c>
      <c r="D307" s="167">
        <v>0</v>
      </c>
      <c r="E307" s="167">
        <v>0</v>
      </c>
      <c r="F307" s="167">
        <v>0</v>
      </c>
      <c r="G307" s="167">
        <v>0</v>
      </c>
      <c r="H307" s="167">
        <v>0</v>
      </c>
      <c r="I307" s="167">
        <v>0</v>
      </c>
      <c r="J307" s="167">
        <v>0</v>
      </c>
      <c r="K307" s="167">
        <v>0</v>
      </c>
      <c r="L307" s="167">
        <v>0</v>
      </c>
      <c r="M307" s="167">
        <v>0</v>
      </c>
      <c r="N307" s="167">
        <v>0</v>
      </c>
      <c r="O307" s="167">
        <v>0</v>
      </c>
      <c r="P307" s="167">
        <v>0</v>
      </c>
      <c r="Q307" s="167">
        <v>0</v>
      </c>
      <c r="R307" s="167">
        <v>0</v>
      </c>
      <c r="S307" s="167">
        <v>0</v>
      </c>
      <c r="T307" s="167">
        <v>0</v>
      </c>
      <c r="U307" s="168" t="e">
        <v>#DIV/0!</v>
      </c>
      <c r="V307" s="167">
        <v>0</v>
      </c>
      <c r="W307" s="167">
        <v>0</v>
      </c>
      <c r="X307" s="167">
        <v>0</v>
      </c>
      <c r="Y307" s="167">
        <v>0</v>
      </c>
      <c r="Z307" s="167">
        <v>0</v>
      </c>
      <c r="AA307" s="167">
        <v>0</v>
      </c>
    </row>
    <row r="308" spans="1:27" ht="12" customHeight="1" x14ac:dyDescent="0.25">
      <c r="A308" s="155" t="s">
        <v>1377</v>
      </c>
      <c r="B308" s="155" t="s">
        <v>693</v>
      </c>
      <c r="C308" s="167">
        <v>0</v>
      </c>
      <c r="D308" s="167">
        <v>0</v>
      </c>
      <c r="E308" s="167">
        <v>0</v>
      </c>
      <c r="F308" s="167">
        <v>0</v>
      </c>
      <c r="G308" s="167">
        <v>0</v>
      </c>
      <c r="H308" s="167">
        <v>0</v>
      </c>
      <c r="I308" s="167">
        <v>0</v>
      </c>
      <c r="J308" s="167">
        <v>0</v>
      </c>
      <c r="K308" s="167">
        <v>0</v>
      </c>
      <c r="L308" s="167">
        <v>0</v>
      </c>
      <c r="M308" s="167">
        <v>0</v>
      </c>
      <c r="N308" s="167">
        <v>0</v>
      </c>
      <c r="O308" s="167">
        <v>0</v>
      </c>
      <c r="P308" s="167">
        <v>0</v>
      </c>
      <c r="Q308" s="167">
        <v>0</v>
      </c>
      <c r="R308" s="167">
        <v>0</v>
      </c>
      <c r="S308" s="167">
        <v>0</v>
      </c>
      <c r="T308" s="167">
        <v>0</v>
      </c>
      <c r="U308" s="168" t="e">
        <v>#DIV/0!</v>
      </c>
      <c r="V308" s="167">
        <v>0</v>
      </c>
      <c r="W308" s="167">
        <v>0</v>
      </c>
      <c r="X308" s="167">
        <v>0</v>
      </c>
      <c r="Y308" s="167">
        <v>0</v>
      </c>
      <c r="Z308" s="167">
        <v>0</v>
      </c>
      <c r="AA308" s="167">
        <v>0</v>
      </c>
    </row>
    <row r="309" spans="1:27" ht="12" customHeight="1" x14ac:dyDescent="0.25">
      <c r="A309" s="155" t="s">
        <v>1378</v>
      </c>
      <c r="B309" s="162" t="s">
        <v>694</v>
      </c>
      <c r="C309" s="164">
        <v>0</v>
      </c>
      <c r="D309" s="164">
        <v>0</v>
      </c>
      <c r="E309" s="164">
        <v>0</v>
      </c>
      <c r="F309" s="164">
        <v>0</v>
      </c>
      <c r="G309" s="164">
        <v>0</v>
      </c>
      <c r="H309" s="164">
        <v>0</v>
      </c>
      <c r="I309" s="164">
        <v>0</v>
      </c>
      <c r="J309" s="164">
        <v>0</v>
      </c>
      <c r="K309" s="164">
        <v>0</v>
      </c>
      <c r="L309" s="164">
        <v>0</v>
      </c>
      <c r="M309" s="164">
        <v>0</v>
      </c>
      <c r="N309" s="164">
        <v>0</v>
      </c>
      <c r="O309" s="164">
        <v>0</v>
      </c>
      <c r="P309" s="164">
        <v>0</v>
      </c>
      <c r="Q309" s="164">
        <v>0</v>
      </c>
      <c r="R309" s="164">
        <v>0</v>
      </c>
      <c r="S309" s="164">
        <v>0</v>
      </c>
      <c r="T309" s="164">
        <v>0</v>
      </c>
      <c r="U309" s="165" t="e">
        <v>#DIV/0!</v>
      </c>
      <c r="V309" s="164">
        <v>0</v>
      </c>
      <c r="W309" s="164">
        <v>0</v>
      </c>
      <c r="X309" s="164">
        <v>0</v>
      </c>
      <c r="Y309" s="164">
        <v>0</v>
      </c>
      <c r="Z309" s="164">
        <v>0</v>
      </c>
      <c r="AA309" s="164">
        <v>0</v>
      </c>
    </row>
    <row r="310" spans="1:27" ht="12" customHeight="1" x14ac:dyDescent="0.25">
      <c r="A310" s="155"/>
      <c r="B310" s="175" t="s">
        <v>35</v>
      </c>
      <c r="C310" s="176">
        <v>0</v>
      </c>
      <c r="D310" s="176">
        <v>0</v>
      </c>
      <c r="E310" s="176">
        <v>0</v>
      </c>
      <c r="F310" s="176">
        <v>0</v>
      </c>
      <c r="G310" s="176">
        <v>0</v>
      </c>
      <c r="H310" s="176">
        <v>0</v>
      </c>
      <c r="I310" s="176">
        <v>0</v>
      </c>
      <c r="J310" s="176">
        <v>0</v>
      </c>
      <c r="K310" s="176">
        <v>0</v>
      </c>
      <c r="L310" s="176">
        <v>0</v>
      </c>
      <c r="M310" s="176">
        <v>0</v>
      </c>
      <c r="N310" s="176">
        <v>0</v>
      </c>
      <c r="O310" s="176">
        <v>0</v>
      </c>
      <c r="P310" s="176">
        <v>0</v>
      </c>
      <c r="Q310" s="176">
        <v>0</v>
      </c>
      <c r="R310" s="176">
        <v>0</v>
      </c>
      <c r="S310" s="176">
        <v>0</v>
      </c>
      <c r="T310" s="177">
        <v>0</v>
      </c>
      <c r="U310" s="178" t="e">
        <v>#DIV/0!</v>
      </c>
      <c r="V310" s="177">
        <v>0</v>
      </c>
      <c r="W310" s="177">
        <v>0</v>
      </c>
      <c r="X310" s="177">
        <v>0</v>
      </c>
      <c r="Y310" s="177">
        <v>0</v>
      </c>
      <c r="Z310" s="177">
        <v>0</v>
      </c>
      <c r="AA310" s="177">
        <v>0</v>
      </c>
    </row>
    <row r="311" spans="1:27" ht="12" customHeight="1" x14ac:dyDescent="0.25">
      <c r="A311" s="155"/>
      <c r="B311" s="179" t="s">
        <v>1379</v>
      </c>
      <c r="C311" s="180">
        <v>0</v>
      </c>
      <c r="D311" s="180">
        <v>0</v>
      </c>
      <c r="E311" s="180">
        <v>0</v>
      </c>
      <c r="F311" s="180">
        <v>0</v>
      </c>
      <c r="G311" s="180">
        <v>0</v>
      </c>
      <c r="H311" s="180">
        <v>0</v>
      </c>
      <c r="I311" s="180">
        <v>0</v>
      </c>
      <c r="J311" s="180">
        <v>0</v>
      </c>
      <c r="K311" s="180">
        <v>0</v>
      </c>
      <c r="L311" s="180">
        <v>0</v>
      </c>
      <c r="M311" s="180">
        <v>0</v>
      </c>
      <c r="N311" s="180">
        <v>0</v>
      </c>
      <c r="O311" s="180">
        <v>0</v>
      </c>
      <c r="P311" s="180">
        <v>0</v>
      </c>
      <c r="Q311" s="180">
        <v>0</v>
      </c>
      <c r="R311" s="180">
        <v>0</v>
      </c>
      <c r="S311" s="180">
        <v>0</v>
      </c>
      <c r="T311" s="181">
        <v>0</v>
      </c>
      <c r="U311" s="182" t="e">
        <v>#DIV/0!</v>
      </c>
      <c r="V311" s="181">
        <v>0</v>
      </c>
      <c r="W311" s="181">
        <v>0</v>
      </c>
      <c r="X311" s="181">
        <v>0</v>
      </c>
      <c r="Y311" s="181">
        <v>0</v>
      </c>
      <c r="Z311" s="181">
        <v>0</v>
      </c>
      <c r="AA311" s="181">
        <v>0</v>
      </c>
    </row>
    <row r="312" spans="1:27" ht="12" customHeight="1" x14ac:dyDescent="0.25">
      <c r="A312" s="155"/>
      <c r="B312" s="183" t="s">
        <v>74</v>
      </c>
      <c r="C312" s="184">
        <v>0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5">
        <v>0</v>
      </c>
      <c r="U312" s="186" t="e">
        <v>#DIV/0!</v>
      </c>
      <c r="V312" s="185">
        <v>0</v>
      </c>
      <c r="W312" s="185">
        <v>0</v>
      </c>
      <c r="X312" s="185">
        <v>0</v>
      </c>
      <c r="Y312" s="185">
        <v>0</v>
      </c>
      <c r="Z312" s="185">
        <v>0</v>
      </c>
      <c r="AA312" s="185">
        <v>0</v>
      </c>
    </row>
    <row r="313" spans="1:27" ht="12" customHeight="1" x14ac:dyDescent="0.25">
      <c r="A313" s="161"/>
      <c r="B313" s="161"/>
      <c r="C313" s="161"/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</row>
    <row r="314" spans="1:27" ht="12" customHeight="1" x14ac:dyDescent="0.25">
      <c r="A314" s="161"/>
      <c r="B314" s="161"/>
      <c r="C314" s="161"/>
      <c r="D314" s="161"/>
      <c r="E314" s="160"/>
      <c r="F314" s="160"/>
      <c r="G314" s="160"/>
      <c r="H314" s="161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</row>
    <row r="315" spans="1:27" ht="12" customHeight="1" x14ac:dyDescent="0.25">
      <c r="A315" s="161"/>
      <c r="B315" s="161"/>
      <c r="C315" s="161"/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</row>
    <row r="316" spans="1:27" ht="12" customHeight="1" x14ac:dyDescent="0.25">
      <c r="A316" s="161"/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</row>
    <row r="317" spans="1:27" ht="12" customHeight="1" x14ac:dyDescent="0.25">
      <c r="A317" s="161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</row>
    <row r="318" spans="1:27" ht="12" customHeight="1" x14ac:dyDescent="0.25">
      <c r="A318" s="161"/>
      <c r="B318" s="161"/>
      <c r="C318" s="161"/>
      <c r="D318" s="161"/>
      <c r="E318" s="161"/>
      <c r="F318" s="161"/>
      <c r="G318" s="161"/>
      <c r="H318" s="161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</row>
    <row r="319" spans="1:27" ht="12" customHeight="1" x14ac:dyDescent="0.25">
      <c r="A319" s="161"/>
      <c r="B319" s="161"/>
      <c r="C319" s="161"/>
      <c r="D319" s="161"/>
      <c r="E319" s="161"/>
      <c r="F319" s="161"/>
      <c r="G319" s="161"/>
      <c r="H319" s="161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</row>
    <row r="320" spans="1:27" ht="12" customHeight="1" x14ac:dyDescent="0.25">
      <c r="A320" s="161"/>
      <c r="B320" s="161"/>
      <c r="C320" s="161"/>
      <c r="D320" s="161"/>
      <c r="E320" s="161"/>
      <c r="F320" s="161"/>
      <c r="G320" s="161"/>
      <c r="H320" s="161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</row>
    <row r="321" spans="1:27" ht="12" customHeight="1" x14ac:dyDescent="0.25">
      <c r="A321" s="161"/>
      <c r="B321" s="161"/>
      <c r="C321" s="161"/>
      <c r="D321" s="161"/>
      <c r="E321" s="161"/>
      <c r="F321" s="161"/>
      <c r="G321" s="161"/>
      <c r="H321" s="161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</row>
    <row r="322" spans="1:27" ht="12" customHeight="1" x14ac:dyDescent="0.25">
      <c r="A322" s="161"/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</row>
    <row r="323" spans="1:27" ht="12" customHeight="1" x14ac:dyDescent="0.25">
      <c r="A323" s="161"/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</row>
    <row r="324" spans="1:27" ht="12" customHeight="1" x14ac:dyDescent="0.25">
      <c r="A324" s="161"/>
      <c r="B324" s="161"/>
      <c r="C324" s="161"/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</row>
    <row r="325" spans="1:27" ht="12" customHeight="1" x14ac:dyDescent="0.25">
      <c r="A325" s="161"/>
      <c r="B325" s="161"/>
      <c r="C325" s="161"/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</row>
    <row r="326" spans="1:27" ht="12" customHeight="1" x14ac:dyDescent="0.25">
      <c r="A326" s="161"/>
      <c r="B326" s="161"/>
      <c r="C326" s="161"/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</row>
    <row r="327" spans="1:27" ht="12" customHeight="1" x14ac:dyDescent="0.25">
      <c r="A327" s="161"/>
      <c r="B327" s="161"/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</row>
    <row r="328" spans="1:27" ht="12" customHeight="1" x14ac:dyDescent="0.25">
      <c r="A328" s="161"/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</row>
    <row r="329" spans="1:27" ht="12" customHeight="1" x14ac:dyDescent="0.25">
      <c r="A329" s="161"/>
      <c r="B329" s="161"/>
      <c r="C329" s="161"/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</row>
    <row r="330" spans="1:27" ht="12" customHeight="1" x14ac:dyDescent="0.25">
      <c r="A330" s="161"/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</row>
    <row r="331" spans="1:27" ht="12" customHeight="1" x14ac:dyDescent="0.25">
      <c r="A331" s="161"/>
      <c r="B331" s="161"/>
      <c r="C331" s="161"/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</row>
    <row r="332" spans="1:27" ht="12" customHeight="1" x14ac:dyDescent="0.25">
      <c r="A332" s="161"/>
      <c r="B332" s="161"/>
      <c r="C332" s="161"/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</row>
    <row r="333" spans="1:27" ht="12" customHeight="1" x14ac:dyDescent="0.25">
      <c r="A333" s="161"/>
      <c r="B333" s="161"/>
      <c r="C333" s="161"/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</row>
    <row r="334" spans="1:27" ht="12" customHeight="1" x14ac:dyDescent="0.25">
      <c r="A334" s="161"/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</row>
    <row r="335" spans="1:27" ht="12" customHeight="1" x14ac:dyDescent="0.25">
      <c r="A335" s="161"/>
      <c r="B335" s="161"/>
      <c r="C335" s="161"/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</row>
    <row r="336" spans="1:27" ht="12" customHeight="1" x14ac:dyDescent="0.25">
      <c r="A336" s="161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</row>
    <row r="337" spans="1:27" ht="12" customHeight="1" x14ac:dyDescent="0.25">
      <c r="A337" s="161"/>
      <c r="B337" s="161"/>
      <c r="C337" s="161"/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</row>
    <row r="338" spans="1:27" ht="12" customHeight="1" x14ac:dyDescent="0.25">
      <c r="A338" s="161"/>
      <c r="B338" s="161"/>
      <c r="C338" s="161"/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</row>
    <row r="339" spans="1:27" ht="12" customHeight="1" x14ac:dyDescent="0.25">
      <c r="A339" s="161"/>
      <c r="B339" s="161"/>
      <c r="C339" s="161"/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</row>
    <row r="340" spans="1:27" ht="12" customHeight="1" x14ac:dyDescent="0.25">
      <c r="A340" s="161"/>
      <c r="B340" s="161"/>
      <c r="C340" s="161"/>
      <c r="D340" s="161"/>
      <c r="E340" s="161"/>
      <c r="F340" s="161"/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</row>
    <row r="341" spans="1:27" ht="12" customHeight="1" x14ac:dyDescent="0.25">
      <c r="A341" s="161"/>
      <c r="B341" s="161"/>
      <c r="C341" s="161"/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</row>
    <row r="342" spans="1:27" ht="12" customHeight="1" x14ac:dyDescent="0.25">
      <c r="A342" s="161"/>
      <c r="B342" s="161"/>
      <c r="C342" s="161"/>
      <c r="D342" s="161"/>
      <c r="E342" s="161"/>
      <c r="F342" s="161"/>
      <c r="G342" s="161"/>
      <c r="H342" s="161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</row>
    <row r="343" spans="1:27" ht="12" customHeight="1" x14ac:dyDescent="0.25">
      <c r="A343" s="161"/>
      <c r="B343" s="161"/>
      <c r="C343" s="161"/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</row>
    <row r="344" spans="1:27" ht="12" customHeight="1" x14ac:dyDescent="0.25">
      <c r="A344" s="161"/>
      <c r="B344" s="161"/>
      <c r="C344" s="161"/>
      <c r="D344" s="161"/>
      <c r="E344" s="161"/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</row>
    <row r="345" spans="1:27" ht="12" customHeight="1" x14ac:dyDescent="0.25">
      <c r="A345" s="161"/>
      <c r="B345" s="161"/>
      <c r="C345" s="161"/>
      <c r="D345" s="161"/>
      <c r="E345" s="161"/>
      <c r="F345" s="161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</row>
    <row r="346" spans="1:27" ht="12" customHeight="1" x14ac:dyDescent="0.25">
      <c r="A346" s="161"/>
      <c r="B346" s="161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</row>
    <row r="347" spans="1:27" ht="12" customHeight="1" x14ac:dyDescent="0.25">
      <c r="A347" s="161"/>
      <c r="B347" s="161"/>
      <c r="C347" s="161"/>
      <c r="D347" s="161"/>
      <c r="E347" s="161"/>
      <c r="F347" s="161"/>
      <c r="G347" s="161"/>
      <c r="H347" s="161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</row>
    <row r="348" spans="1:27" ht="12" customHeight="1" x14ac:dyDescent="0.25">
      <c r="A348" s="161"/>
      <c r="B348" s="161"/>
      <c r="C348" s="161"/>
      <c r="D348" s="161"/>
      <c r="E348" s="161"/>
      <c r="F348" s="161"/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</row>
    <row r="349" spans="1:27" ht="12" customHeight="1" x14ac:dyDescent="0.25">
      <c r="A349" s="161"/>
      <c r="B349" s="161"/>
      <c r="C349" s="161"/>
      <c r="D349" s="161"/>
      <c r="E349" s="161"/>
      <c r="F349" s="161"/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</row>
    <row r="350" spans="1:27" ht="12" customHeight="1" x14ac:dyDescent="0.25">
      <c r="A350" s="161"/>
      <c r="B350" s="161"/>
      <c r="C350" s="161"/>
      <c r="D350" s="161"/>
      <c r="E350" s="161"/>
      <c r="F350" s="161"/>
      <c r="G350" s="161"/>
      <c r="H350" s="161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</row>
    <row r="351" spans="1:27" ht="12" customHeight="1" x14ac:dyDescent="0.25">
      <c r="A351" s="161"/>
      <c r="B351" s="161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</row>
    <row r="352" spans="1:27" ht="12" customHeight="1" x14ac:dyDescent="0.25">
      <c r="A352" s="161"/>
      <c r="B352" s="161"/>
      <c r="C352" s="161"/>
      <c r="D352" s="161"/>
      <c r="E352" s="161"/>
      <c r="F352" s="161"/>
      <c r="G352" s="161"/>
      <c r="H352" s="161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</row>
    <row r="353" spans="1:27" ht="12" customHeight="1" x14ac:dyDescent="0.25">
      <c r="A353" s="161"/>
      <c r="B353" s="161"/>
      <c r="C353" s="161"/>
      <c r="D353" s="161"/>
      <c r="E353" s="161"/>
      <c r="F353" s="161"/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</row>
    <row r="354" spans="1:27" ht="12" customHeight="1" x14ac:dyDescent="0.25">
      <c r="A354" s="161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</row>
    <row r="355" spans="1:27" ht="12" customHeight="1" x14ac:dyDescent="0.25">
      <c r="A355" s="161"/>
      <c r="B355" s="161"/>
      <c r="C355" s="161"/>
      <c r="D355" s="161"/>
      <c r="E355" s="161"/>
      <c r="F355" s="161"/>
      <c r="G355" s="161"/>
      <c r="H355" s="161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</row>
    <row r="356" spans="1:27" ht="12" customHeight="1" x14ac:dyDescent="0.25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</row>
    <row r="357" spans="1:27" ht="12" customHeight="1" x14ac:dyDescent="0.25">
      <c r="A357" s="161"/>
      <c r="B357" s="161"/>
      <c r="C357" s="161"/>
      <c r="D357" s="161"/>
      <c r="E357" s="161"/>
      <c r="F357" s="161"/>
      <c r="G357" s="161"/>
      <c r="H357" s="161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</row>
    <row r="358" spans="1:27" ht="12" customHeight="1" x14ac:dyDescent="0.25">
      <c r="A358" s="161"/>
      <c r="B358" s="161"/>
      <c r="C358" s="161"/>
      <c r="D358" s="161"/>
      <c r="E358" s="161"/>
      <c r="F358" s="161"/>
      <c r="G358" s="161"/>
      <c r="H358" s="161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</row>
    <row r="359" spans="1:27" ht="12" customHeight="1" x14ac:dyDescent="0.25">
      <c r="A359" s="161"/>
      <c r="B359" s="161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</row>
    <row r="360" spans="1:27" ht="12" customHeight="1" x14ac:dyDescent="0.25">
      <c r="A360" s="161"/>
      <c r="B360" s="161"/>
      <c r="C360" s="161"/>
      <c r="D360" s="161"/>
      <c r="E360" s="161"/>
      <c r="F360" s="161"/>
      <c r="G360" s="161"/>
      <c r="H360" s="161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</row>
    <row r="361" spans="1:27" ht="12" customHeight="1" x14ac:dyDescent="0.25">
      <c r="A361" s="161"/>
      <c r="B361" s="161"/>
      <c r="C361" s="161"/>
      <c r="D361" s="161"/>
      <c r="E361" s="161"/>
      <c r="F361" s="161"/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</row>
    <row r="362" spans="1:27" ht="12" customHeight="1" x14ac:dyDescent="0.25">
      <c r="A362" s="161"/>
      <c r="B362" s="161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</row>
    <row r="363" spans="1:27" ht="12" customHeight="1" x14ac:dyDescent="0.25">
      <c r="A363" s="161"/>
      <c r="B363" s="161"/>
      <c r="C363" s="161"/>
      <c r="D363" s="161"/>
      <c r="E363" s="161"/>
      <c r="F363" s="161"/>
      <c r="G363" s="161"/>
      <c r="H363" s="161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</row>
    <row r="364" spans="1:27" ht="12" customHeight="1" x14ac:dyDescent="0.25">
      <c r="A364" s="161"/>
      <c r="B364" s="161"/>
      <c r="C364" s="161"/>
      <c r="D364" s="161"/>
      <c r="E364" s="161"/>
      <c r="F364" s="161"/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</row>
    <row r="365" spans="1:27" ht="12" customHeight="1" x14ac:dyDescent="0.25">
      <c r="A365" s="161"/>
      <c r="B365" s="161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</row>
    <row r="366" spans="1:27" ht="12" customHeight="1" x14ac:dyDescent="0.25">
      <c r="A366" s="161"/>
      <c r="B366" s="161"/>
      <c r="C366" s="161"/>
      <c r="D366" s="161"/>
      <c r="E366" s="161"/>
      <c r="F366" s="161"/>
      <c r="G366" s="161"/>
      <c r="H366" s="161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</row>
    <row r="367" spans="1:27" ht="12" customHeight="1" x14ac:dyDescent="0.25">
      <c r="A367" s="161"/>
      <c r="B367" s="161"/>
      <c r="C367" s="161"/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</row>
    <row r="368" spans="1:27" ht="12" customHeight="1" x14ac:dyDescent="0.25">
      <c r="A368" s="161"/>
      <c r="B368" s="161"/>
      <c r="C368" s="161"/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</row>
    <row r="369" spans="1:27" ht="12" customHeight="1" x14ac:dyDescent="0.25">
      <c r="A369" s="161"/>
      <c r="B369" s="161"/>
      <c r="C369" s="161"/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</row>
    <row r="370" spans="1:27" ht="12" customHeight="1" x14ac:dyDescent="0.25">
      <c r="A370" s="161"/>
      <c r="B370" s="161"/>
      <c r="C370" s="161"/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</row>
    <row r="371" spans="1:27" ht="12" customHeight="1" x14ac:dyDescent="0.25">
      <c r="A371" s="161"/>
      <c r="B371" s="161"/>
      <c r="C371" s="161"/>
      <c r="D371" s="161"/>
      <c r="E371" s="161"/>
      <c r="F371" s="161"/>
      <c r="G371" s="161"/>
      <c r="H371" s="161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</row>
    <row r="372" spans="1:27" ht="12" customHeight="1" x14ac:dyDescent="0.25">
      <c r="A372" s="161"/>
      <c r="B372" s="161"/>
      <c r="C372" s="161"/>
      <c r="D372" s="161"/>
      <c r="E372" s="161"/>
      <c r="F372" s="161"/>
      <c r="G372" s="161"/>
      <c r="H372" s="161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</row>
    <row r="373" spans="1:27" ht="12" customHeight="1" x14ac:dyDescent="0.25">
      <c r="A373" s="161"/>
      <c r="B373" s="161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</row>
    <row r="374" spans="1:27" ht="12" customHeight="1" x14ac:dyDescent="0.25">
      <c r="A374" s="161"/>
      <c r="B374" s="161"/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</row>
    <row r="375" spans="1:27" ht="12" customHeight="1" x14ac:dyDescent="0.25">
      <c r="A375" s="161"/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</row>
    <row r="376" spans="1:27" ht="12" customHeight="1" x14ac:dyDescent="0.25">
      <c r="A376" s="161"/>
      <c r="B376" s="161"/>
      <c r="C376" s="161"/>
      <c r="D376" s="161"/>
      <c r="E376" s="161"/>
      <c r="F376" s="161"/>
      <c r="G376" s="161"/>
      <c r="H376" s="161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</row>
    <row r="377" spans="1:27" ht="12" customHeight="1" x14ac:dyDescent="0.25">
      <c r="A377" s="161"/>
      <c r="B377" s="161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</row>
    <row r="378" spans="1:27" ht="12" customHeight="1" x14ac:dyDescent="0.25">
      <c r="A378" s="161"/>
      <c r="B378" s="161"/>
      <c r="C378" s="161"/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</row>
    <row r="379" spans="1:27" ht="12" customHeight="1" x14ac:dyDescent="0.25">
      <c r="A379" s="161"/>
      <c r="B379" s="161"/>
      <c r="C379" s="161"/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</row>
    <row r="380" spans="1:27" ht="12" customHeight="1" x14ac:dyDescent="0.25">
      <c r="A380" s="161"/>
      <c r="B380" s="161"/>
      <c r="C380" s="161"/>
      <c r="D380" s="161"/>
      <c r="E380" s="161"/>
      <c r="F380" s="161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</row>
    <row r="381" spans="1:27" ht="12" customHeight="1" x14ac:dyDescent="0.25">
      <c r="A381" s="161"/>
      <c r="B381" s="161"/>
      <c r="C381" s="161"/>
      <c r="D381" s="161"/>
      <c r="E381" s="161"/>
      <c r="F381" s="161"/>
      <c r="G381" s="161"/>
      <c r="H381" s="161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</row>
    <row r="382" spans="1:27" ht="12" customHeight="1" x14ac:dyDescent="0.25">
      <c r="A382" s="161"/>
      <c r="B382" s="161"/>
      <c r="C382" s="161"/>
      <c r="D382" s="161"/>
      <c r="E382" s="161"/>
      <c r="F382" s="161"/>
      <c r="G382" s="161"/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</row>
    <row r="383" spans="1:27" ht="12" customHeight="1" x14ac:dyDescent="0.25">
      <c r="A383" s="161"/>
      <c r="B383" s="161"/>
      <c r="C383" s="161"/>
      <c r="D383" s="161"/>
      <c r="E383" s="161"/>
      <c r="F383" s="161"/>
      <c r="G383" s="161"/>
      <c r="H383" s="161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</row>
    <row r="384" spans="1:27" ht="12" customHeight="1" x14ac:dyDescent="0.25">
      <c r="A384" s="161"/>
      <c r="B384" s="161"/>
      <c r="C384" s="161"/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</row>
    <row r="385" spans="1:27" ht="12" customHeight="1" x14ac:dyDescent="0.25">
      <c r="A385" s="161"/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</row>
    <row r="386" spans="1:27" ht="12" customHeight="1" x14ac:dyDescent="0.25">
      <c r="A386" s="161"/>
      <c r="B386" s="161"/>
      <c r="C386" s="161"/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</row>
    <row r="387" spans="1:27" ht="12" customHeight="1" x14ac:dyDescent="0.25">
      <c r="A387" s="161"/>
      <c r="B387" s="161"/>
      <c r="C387" s="161"/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</row>
    <row r="388" spans="1:27" ht="12" customHeight="1" x14ac:dyDescent="0.25">
      <c r="A388" s="161"/>
      <c r="B388" s="161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</row>
    <row r="389" spans="1:27" ht="12" customHeight="1" x14ac:dyDescent="0.25">
      <c r="A389" s="161"/>
      <c r="B389" s="161"/>
      <c r="C389" s="161"/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</row>
    <row r="390" spans="1:27" ht="12" customHeight="1" x14ac:dyDescent="0.25">
      <c r="A390" s="161"/>
      <c r="B390" s="161"/>
      <c r="C390" s="161"/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</row>
    <row r="391" spans="1:27" ht="12" customHeight="1" x14ac:dyDescent="0.25">
      <c r="A391" s="161"/>
      <c r="B391" s="161"/>
      <c r="C391" s="161"/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</row>
    <row r="392" spans="1:27" ht="12" customHeight="1" x14ac:dyDescent="0.25">
      <c r="A392" s="161"/>
      <c r="B392" s="161"/>
      <c r="C392" s="161"/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</row>
    <row r="393" spans="1:27" ht="12" customHeight="1" x14ac:dyDescent="0.25">
      <c r="A393" s="161"/>
      <c r="B393" s="161"/>
      <c r="C393" s="161"/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</row>
    <row r="394" spans="1:27" ht="12" customHeight="1" x14ac:dyDescent="0.25">
      <c r="A394" s="161"/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</row>
    <row r="395" spans="1:27" ht="12" customHeight="1" x14ac:dyDescent="0.25">
      <c r="A395" s="161"/>
      <c r="B395" s="161"/>
      <c r="C395" s="161"/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</row>
    <row r="396" spans="1:27" ht="12" customHeight="1" x14ac:dyDescent="0.25">
      <c r="A396" s="161"/>
      <c r="B396" s="161"/>
      <c r="C396" s="161"/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</row>
    <row r="397" spans="1:27" ht="12" customHeight="1" x14ac:dyDescent="0.25">
      <c r="A397" s="161"/>
      <c r="B397" s="161"/>
      <c r="C397" s="161"/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</row>
    <row r="398" spans="1:27" ht="12" customHeight="1" x14ac:dyDescent="0.25">
      <c r="A398" s="161"/>
      <c r="B398" s="161"/>
      <c r="C398" s="161"/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</row>
    <row r="399" spans="1:27" ht="12" customHeight="1" x14ac:dyDescent="0.25">
      <c r="A399" s="161"/>
      <c r="B399" s="161"/>
      <c r="C399" s="161"/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</row>
    <row r="400" spans="1:27" ht="12" customHeight="1" x14ac:dyDescent="0.25">
      <c r="A400" s="161"/>
      <c r="B400" s="161"/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</row>
    <row r="401" spans="1:27" ht="12" customHeight="1" x14ac:dyDescent="0.25">
      <c r="A401" s="161"/>
      <c r="B401" s="161"/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</row>
    <row r="402" spans="1:27" ht="12" customHeight="1" x14ac:dyDescent="0.25">
      <c r="A402" s="161"/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</row>
    <row r="403" spans="1:27" ht="12" customHeight="1" x14ac:dyDescent="0.25">
      <c r="A403" s="161"/>
      <c r="B403" s="161"/>
      <c r="C403" s="161"/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</row>
    <row r="404" spans="1:27" ht="12" customHeight="1" x14ac:dyDescent="0.25">
      <c r="A404" s="161"/>
      <c r="B404" s="161"/>
      <c r="C404" s="161"/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</row>
    <row r="405" spans="1:27" ht="12" customHeight="1" x14ac:dyDescent="0.25">
      <c r="A405" s="161"/>
      <c r="B405" s="161"/>
      <c r="C405" s="161"/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</row>
    <row r="406" spans="1:27" ht="12" customHeight="1" x14ac:dyDescent="0.25">
      <c r="A406" s="161"/>
      <c r="B406" s="161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</row>
    <row r="407" spans="1:27" ht="12" customHeight="1" x14ac:dyDescent="0.25">
      <c r="A407" s="161"/>
      <c r="B407" s="161"/>
      <c r="C407" s="161"/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</row>
    <row r="408" spans="1:27" ht="12" customHeight="1" x14ac:dyDescent="0.25">
      <c r="A408" s="161"/>
      <c r="B408" s="161"/>
      <c r="C408" s="161"/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</row>
    <row r="409" spans="1:27" ht="12" customHeight="1" x14ac:dyDescent="0.25">
      <c r="A409" s="161"/>
      <c r="B409" s="161"/>
      <c r="C409" s="161"/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</row>
    <row r="410" spans="1:27" ht="12" customHeight="1" x14ac:dyDescent="0.25">
      <c r="A410" s="161"/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</row>
    <row r="411" spans="1:27" ht="12" customHeight="1" x14ac:dyDescent="0.25">
      <c r="A411" s="161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</row>
    <row r="412" spans="1:27" ht="12" customHeight="1" x14ac:dyDescent="0.25">
      <c r="A412" s="161"/>
      <c r="B412" s="161"/>
      <c r="C412" s="161"/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</row>
    <row r="413" spans="1:27" ht="12" customHeight="1" x14ac:dyDescent="0.25">
      <c r="A413" s="161"/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</row>
    <row r="414" spans="1:27" ht="12" customHeight="1" x14ac:dyDescent="0.25">
      <c r="A414" s="161"/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</row>
    <row r="415" spans="1:27" ht="12" customHeight="1" x14ac:dyDescent="0.25">
      <c r="A415" s="161"/>
      <c r="B415" s="161"/>
      <c r="C415" s="161"/>
      <c r="D415" s="161"/>
      <c r="E415" s="161"/>
      <c r="F415" s="161"/>
      <c r="G415" s="161"/>
      <c r="H415" s="161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</row>
    <row r="416" spans="1:27" ht="12" customHeight="1" x14ac:dyDescent="0.25">
      <c r="A416" s="161"/>
      <c r="B416" s="161"/>
      <c r="C416" s="161"/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</row>
    <row r="417" spans="1:27" ht="12" customHeight="1" x14ac:dyDescent="0.25">
      <c r="A417" s="161"/>
      <c r="B417" s="161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</row>
    <row r="418" spans="1:27" ht="12" customHeight="1" x14ac:dyDescent="0.25">
      <c r="A418" s="161"/>
      <c r="B418" s="161"/>
      <c r="C418" s="161"/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</row>
    <row r="419" spans="1:27" ht="12" customHeight="1" x14ac:dyDescent="0.25">
      <c r="A419" s="161"/>
      <c r="B419" s="161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</row>
    <row r="420" spans="1:27" ht="12" customHeight="1" x14ac:dyDescent="0.25">
      <c r="A420" s="161"/>
      <c r="B420" s="161"/>
      <c r="C420" s="161"/>
      <c r="D420" s="161"/>
      <c r="E420" s="161"/>
      <c r="F420" s="161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</row>
    <row r="421" spans="1:27" ht="12" customHeight="1" x14ac:dyDescent="0.25">
      <c r="A421" s="161"/>
      <c r="B421" s="161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</row>
    <row r="422" spans="1:27" ht="12" customHeight="1" x14ac:dyDescent="0.25">
      <c r="A422" s="161"/>
      <c r="B422" s="161"/>
      <c r="C422" s="161"/>
      <c r="D422" s="161"/>
      <c r="E422" s="161"/>
      <c r="F422" s="161"/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</row>
    <row r="423" spans="1:27" ht="12" customHeight="1" x14ac:dyDescent="0.25">
      <c r="A423" s="161"/>
      <c r="B423" s="161"/>
      <c r="C423" s="161"/>
      <c r="D423" s="161"/>
      <c r="E423" s="161"/>
      <c r="F423" s="161"/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</row>
    <row r="424" spans="1:27" ht="12" customHeight="1" x14ac:dyDescent="0.25">
      <c r="A424" s="161"/>
      <c r="B424" s="161"/>
      <c r="C424" s="161"/>
      <c r="D424" s="161"/>
      <c r="E424" s="161"/>
      <c r="F424" s="161"/>
      <c r="G424" s="161"/>
      <c r="H424" s="161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</row>
    <row r="425" spans="1:27" ht="12" customHeight="1" x14ac:dyDescent="0.25">
      <c r="A425" s="161"/>
      <c r="B425" s="161"/>
      <c r="C425" s="161"/>
      <c r="D425" s="161"/>
      <c r="E425" s="161"/>
      <c r="F425" s="161"/>
      <c r="G425" s="161"/>
      <c r="H425" s="161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</row>
    <row r="426" spans="1:27" ht="12" customHeight="1" x14ac:dyDescent="0.25">
      <c r="A426" s="161"/>
      <c r="B426" s="161"/>
      <c r="C426" s="161"/>
      <c r="D426" s="161"/>
      <c r="E426" s="161"/>
      <c r="F426" s="161"/>
      <c r="G426" s="161"/>
      <c r="H426" s="161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</row>
    <row r="427" spans="1:27" ht="12" customHeight="1" x14ac:dyDescent="0.25">
      <c r="A427" s="161"/>
      <c r="B427" s="161"/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</row>
    <row r="428" spans="1:27" ht="12" customHeight="1" x14ac:dyDescent="0.25">
      <c r="A428" s="161"/>
      <c r="B428" s="161"/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</row>
    <row r="429" spans="1:27" ht="12" customHeight="1" x14ac:dyDescent="0.25">
      <c r="A429" s="161"/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</row>
    <row r="430" spans="1:27" ht="12" customHeight="1" x14ac:dyDescent="0.25">
      <c r="A430" s="161"/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</row>
    <row r="431" spans="1:27" ht="12" customHeight="1" x14ac:dyDescent="0.25">
      <c r="A431" s="161"/>
      <c r="B431" s="161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</row>
    <row r="432" spans="1:27" ht="12" customHeight="1" x14ac:dyDescent="0.25">
      <c r="A432" s="161"/>
      <c r="B432" s="161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</row>
    <row r="433" spans="1:27" ht="12" customHeight="1" x14ac:dyDescent="0.25">
      <c r="A433" s="161"/>
      <c r="B433" s="161"/>
      <c r="C433" s="161"/>
      <c r="D433" s="161"/>
      <c r="E433" s="161"/>
      <c r="F433" s="161"/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</row>
    <row r="434" spans="1:27" ht="12" customHeight="1" x14ac:dyDescent="0.25">
      <c r="A434" s="161"/>
      <c r="B434" s="161"/>
      <c r="C434" s="161"/>
      <c r="D434" s="161"/>
      <c r="E434" s="161"/>
      <c r="F434" s="161"/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</row>
    <row r="435" spans="1:27" ht="12" customHeight="1" x14ac:dyDescent="0.25">
      <c r="A435" s="161"/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</row>
    <row r="436" spans="1:27" ht="12" customHeight="1" x14ac:dyDescent="0.25">
      <c r="A436" s="161"/>
      <c r="B436" s="161"/>
      <c r="C436" s="161"/>
      <c r="D436" s="161"/>
      <c r="E436" s="161"/>
      <c r="F436" s="161"/>
      <c r="G436" s="161"/>
      <c r="H436" s="161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</row>
    <row r="437" spans="1:27" ht="12" customHeight="1" x14ac:dyDescent="0.25">
      <c r="A437" s="161"/>
      <c r="B437" s="161"/>
      <c r="C437" s="161"/>
      <c r="D437" s="161"/>
      <c r="E437" s="161"/>
      <c r="F437" s="161"/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</row>
    <row r="438" spans="1:27" ht="12" customHeight="1" x14ac:dyDescent="0.25">
      <c r="A438" s="161"/>
      <c r="B438" s="161"/>
      <c r="C438" s="161"/>
      <c r="D438" s="161"/>
      <c r="E438" s="161"/>
      <c r="F438" s="161"/>
      <c r="G438" s="161"/>
      <c r="H438" s="161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</row>
    <row r="439" spans="1:27" ht="12" customHeight="1" x14ac:dyDescent="0.25">
      <c r="A439" s="161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</row>
    <row r="440" spans="1:27" ht="12" customHeight="1" x14ac:dyDescent="0.25">
      <c r="A440" s="161"/>
      <c r="B440" s="161"/>
      <c r="C440" s="161"/>
      <c r="D440" s="161"/>
      <c r="E440" s="161"/>
      <c r="F440" s="161"/>
      <c r="G440" s="161"/>
      <c r="H440" s="161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</row>
    <row r="441" spans="1:27" ht="12" customHeight="1" x14ac:dyDescent="0.25">
      <c r="A441" s="161"/>
      <c r="B441" s="161"/>
      <c r="C441" s="161"/>
      <c r="D441" s="161"/>
      <c r="E441" s="161"/>
      <c r="F441" s="161"/>
      <c r="G441" s="161"/>
      <c r="H441" s="161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</row>
    <row r="442" spans="1:27" ht="12" customHeight="1" x14ac:dyDescent="0.25">
      <c r="A442" s="161"/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</row>
    <row r="443" spans="1:27" ht="12" customHeight="1" x14ac:dyDescent="0.25">
      <c r="A443" s="161"/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</row>
    <row r="444" spans="1:27" ht="12" customHeight="1" x14ac:dyDescent="0.25">
      <c r="A444" s="161"/>
      <c r="B444" s="161"/>
      <c r="C444" s="161"/>
      <c r="D444" s="161"/>
      <c r="E444" s="161"/>
      <c r="F444" s="161"/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</row>
    <row r="445" spans="1:27" ht="12" customHeight="1" x14ac:dyDescent="0.25">
      <c r="A445" s="161"/>
      <c r="B445" s="161"/>
      <c r="C445" s="161"/>
      <c r="D445" s="161"/>
      <c r="E445" s="161"/>
      <c r="F445" s="161"/>
      <c r="G445" s="161"/>
      <c r="H445" s="161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</row>
    <row r="446" spans="1:27" ht="12" customHeight="1" x14ac:dyDescent="0.25">
      <c r="A446" s="161"/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</row>
    <row r="447" spans="1:27" ht="12" customHeight="1" x14ac:dyDescent="0.25">
      <c r="A447" s="161"/>
      <c r="B447" s="161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</row>
    <row r="448" spans="1:27" ht="12" customHeight="1" x14ac:dyDescent="0.25">
      <c r="A448" s="161"/>
      <c r="B448" s="161"/>
      <c r="C448" s="161"/>
      <c r="D448" s="161"/>
      <c r="E448" s="161"/>
      <c r="F448" s="161"/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</row>
    <row r="449" spans="1:27" ht="12" customHeight="1" x14ac:dyDescent="0.25">
      <c r="A449" s="161"/>
      <c r="B449" s="161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</row>
    <row r="450" spans="1:27" ht="12" customHeight="1" x14ac:dyDescent="0.25">
      <c r="A450" s="161"/>
      <c r="B450" s="161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</row>
    <row r="451" spans="1:27" ht="12" customHeight="1" x14ac:dyDescent="0.25">
      <c r="A451" s="161"/>
      <c r="B451" s="161"/>
      <c r="C451" s="161"/>
      <c r="D451" s="161"/>
      <c r="E451" s="161"/>
      <c r="F451" s="161"/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</row>
    <row r="452" spans="1:27" ht="12" customHeight="1" x14ac:dyDescent="0.25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</row>
    <row r="453" spans="1:27" ht="12" customHeight="1" x14ac:dyDescent="0.25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</row>
    <row r="454" spans="1:27" ht="12" customHeight="1" x14ac:dyDescent="0.25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</row>
    <row r="455" spans="1:27" ht="12" customHeight="1" x14ac:dyDescent="0.25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</row>
    <row r="456" spans="1:27" ht="12" customHeight="1" x14ac:dyDescent="0.25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</row>
    <row r="457" spans="1:27" ht="12" customHeight="1" x14ac:dyDescent="0.25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</row>
    <row r="458" spans="1:27" ht="12" customHeight="1" x14ac:dyDescent="0.25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</row>
    <row r="459" spans="1:27" ht="12" customHeight="1" x14ac:dyDescent="0.25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</row>
    <row r="460" spans="1:27" ht="12" customHeight="1" x14ac:dyDescent="0.25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</row>
    <row r="461" spans="1:27" ht="12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</row>
    <row r="462" spans="1:27" ht="12" customHeight="1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</row>
    <row r="463" spans="1:27" ht="12" customHeight="1" x14ac:dyDescent="0.25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</row>
    <row r="464" spans="1:27" ht="12" customHeight="1" x14ac:dyDescent="0.25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</row>
    <row r="465" spans="1:27" ht="12" customHeight="1" x14ac:dyDescent="0.25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</row>
    <row r="466" spans="1:27" ht="12" customHeight="1" x14ac:dyDescent="0.25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</row>
    <row r="467" spans="1:27" ht="12" customHeight="1" x14ac:dyDescent="0.25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</row>
    <row r="468" spans="1:27" ht="12" customHeight="1" x14ac:dyDescent="0.25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</row>
    <row r="469" spans="1:27" ht="12" customHeight="1" x14ac:dyDescent="0.25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</row>
    <row r="470" spans="1:27" ht="12" customHeight="1" x14ac:dyDescent="0.25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</row>
    <row r="471" spans="1:27" ht="12" customHeight="1" x14ac:dyDescent="0.25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</row>
    <row r="472" spans="1:27" ht="12" customHeight="1" x14ac:dyDescent="0.25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</row>
    <row r="473" spans="1:27" ht="12" customHeight="1" x14ac:dyDescent="0.25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</row>
    <row r="474" spans="1:27" ht="12" customHeight="1" x14ac:dyDescent="0.25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</row>
    <row r="475" spans="1:27" ht="12" customHeight="1" x14ac:dyDescent="0.25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</row>
    <row r="476" spans="1:27" ht="12" customHeight="1" x14ac:dyDescent="0.25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</row>
    <row r="477" spans="1:27" ht="12" customHeight="1" x14ac:dyDescent="0.25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</row>
    <row r="478" spans="1:27" ht="12" customHeight="1" x14ac:dyDescent="0.25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</row>
    <row r="479" spans="1:27" ht="12" customHeight="1" x14ac:dyDescent="0.25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</row>
    <row r="480" spans="1:27" ht="12" customHeight="1" x14ac:dyDescent="0.25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</row>
    <row r="481" spans="1:27" ht="12" customHeight="1" x14ac:dyDescent="0.25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</row>
    <row r="482" spans="1:27" ht="12" customHeight="1" x14ac:dyDescent="0.25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</row>
    <row r="483" spans="1:27" ht="12" customHeight="1" x14ac:dyDescent="0.25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</row>
    <row r="484" spans="1:27" ht="12" customHeight="1" x14ac:dyDescent="0.25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</row>
    <row r="485" spans="1:27" ht="12" customHeight="1" x14ac:dyDescent="0.25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</row>
    <row r="486" spans="1:27" ht="12" customHeight="1" x14ac:dyDescent="0.25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</row>
    <row r="487" spans="1:27" ht="12" customHeight="1" x14ac:dyDescent="0.25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</row>
    <row r="488" spans="1:27" ht="12" customHeight="1" x14ac:dyDescent="0.25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</row>
    <row r="489" spans="1:27" ht="12" customHeight="1" x14ac:dyDescent="0.25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</row>
    <row r="490" spans="1:27" ht="12" customHeight="1" x14ac:dyDescent="0.25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</row>
    <row r="491" spans="1:27" ht="12" customHeight="1" x14ac:dyDescent="0.25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</row>
    <row r="492" spans="1:27" ht="12" customHeight="1" x14ac:dyDescent="0.25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</row>
    <row r="493" spans="1:27" ht="12" customHeight="1" x14ac:dyDescent="0.25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</row>
    <row r="494" spans="1:27" ht="12" customHeight="1" x14ac:dyDescent="0.25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</row>
    <row r="495" spans="1:27" ht="12" customHeight="1" x14ac:dyDescent="0.25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</row>
    <row r="496" spans="1:27" ht="12" customHeight="1" x14ac:dyDescent="0.25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</row>
    <row r="497" spans="1:27" ht="12" customHeight="1" x14ac:dyDescent="0.25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</row>
    <row r="498" spans="1:27" ht="12" customHeight="1" x14ac:dyDescent="0.25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</row>
    <row r="499" spans="1:27" ht="12" customHeight="1" x14ac:dyDescent="0.25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</row>
    <row r="500" spans="1:27" ht="12" customHeight="1" x14ac:dyDescent="0.25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</row>
    <row r="501" spans="1:27" ht="12" customHeight="1" x14ac:dyDescent="0.25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</row>
    <row r="502" spans="1:27" ht="12" customHeight="1" x14ac:dyDescent="0.25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</row>
    <row r="503" spans="1:27" ht="12" customHeight="1" x14ac:dyDescent="0.25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</row>
    <row r="504" spans="1:27" ht="12" customHeight="1" x14ac:dyDescent="0.25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</row>
    <row r="505" spans="1:27" ht="12" customHeight="1" x14ac:dyDescent="0.25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</row>
    <row r="506" spans="1:27" ht="12" customHeight="1" x14ac:dyDescent="0.25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</row>
    <row r="507" spans="1:27" ht="12" customHeight="1" x14ac:dyDescent="0.25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</row>
    <row r="508" spans="1:27" ht="12" customHeight="1" x14ac:dyDescent="0.25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</row>
    <row r="509" spans="1:27" ht="12" customHeight="1" x14ac:dyDescent="0.25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</row>
    <row r="510" spans="1:27" ht="12" customHeight="1" x14ac:dyDescent="0.25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</row>
    <row r="511" spans="1:27" ht="12" customHeight="1" x14ac:dyDescent="0.25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</row>
    <row r="512" spans="1:27" ht="12" customHeight="1" x14ac:dyDescent="0.25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</row>
    <row r="513" spans="1:27" ht="12" customHeight="1" x14ac:dyDescent="0.25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</row>
    <row r="514" spans="1:27" ht="12" customHeight="1" x14ac:dyDescent="0.25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</row>
    <row r="515" spans="1:27" ht="12" customHeight="1" x14ac:dyDescent="0.25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</row>
    <row r="516" spans="1:27" ht="12" customHeight="1" x14ac:dyDescent="0.25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</row>
    <row r="517" spans="1:27" ht="12" customHeight="1" x14ac:dyDescent="0.25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</row>
    <row r="518" spans="1:27" ht="12" customHeight="1" x14ac:dyDescent="0.25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</row>
    <row r="519" spans="1:27" ht="12" customHeight="1" x14ac:dyDescent="0.25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</row>
    <row r="520" spans="1:27" ht="12" customHeight="1" x14ac:dyDescent="0.25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</row>
    <row r="521" spans="1:27" ht="12" customHeight="1" x14ac:dyDescent="0.25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</row>
    <row r="522" spans="1:27" ht="12" customHeight="1" x14ac:dyDescent="0.25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</row>
    <row r="523" spans="1:27" ht="12" customHeight="1" x14ac:dyDescent="0.25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</row>
    <row r="524" spans="1:27" ht="12" customHeight="1" x14ac:dyDescent="0.25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</row>
    <row r="525" spans="1:27" ht="12" customHeight="1" x14ac:dyDescent="0.25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</row>
    <row r="526" spans="1:27" ht="12" customHeight="1" x14ac:dyDescent="0.25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</row>
    <row r="527" spans="1:27" ht="12" customHeight="1" x14ac:dyDescent="0.25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</row>
    <row r="528" spans="1:27" ht="12" customHeight="1" x14ac:dyDescent="0.25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</row>
    <row r="529" spans="1:27" ht="12" customHeight="1" x14ac:dyDescent="0.25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</row>
    <row r="530" spans="1:27" ht="12" customHeight="1" x14ac:dyDescent="0.25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</row>
    <row r="531" spans="1:27" ht="12" customHeight="1" x14ac:dyDescent="0.25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</row>
    <row r="532" spans="1:27" ht="12" customHeight="1" x14ac:dyDescent="0.25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</row>
    <row r="533" spans="1:27" ht="12" customHeight="1" x14ac:dyDescent="0.25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</row>
    <row r="534" spans="1:27" ht="12" customHeight="1" x14ac:dyDescent="0.25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</row>
    <row r="535" spans="1:27" ht="12" customHeight="1" x14ac:dyDescent="0.25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</row>
    <row r="536" spans="1:27" ht="12" customHeight="1" x14ac:dyDescent="0.25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</row>
    <row r="537" spans="1:27" ht="12" customHeight="1" x14ac:dyDescent="0.25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</row>
    <row r="538" spans="1:27" ht="12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</row>
    <row r="539" spans="1:27" ht="12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</row>
    <row r="540" spans="1:27" ht="12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</row>
    <row r="541" spans="1:27" ht="12" customHeight="1" x14ac:dyDescent="0.25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</row>
    <row r="542" spans="1:27" ht="12" customHeight="1" x14ac:dyDescent="0.25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</row>
    <row r="543" spans="1:27" ht="12" customHeight="1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</row>
    <row r="544" spans="1:27" ht="12" customHeight="1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</row>
    <row r="545" spans="1:27" ht="12" customHeight="1" x14ac:dyDescent="0.25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</row>
    <row r="546" spans="1:27" ht="12" customHeight="1" x14ac:dyDescent="0.25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</row>
    <row r="547" spans="1:27" ht="12" customHeight="1" x14ac:dyDescent="0.25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</row>
    <row r="548" spans="1:27" ht="12" customHeight="1" x14ac:dyDescent="0.25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</row>
    <row r="549" spans="1:27" ht="12" customHeight="1" x14ac:dyDescent="0.25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</row>
    <row r="550" spans="1:27" ht="12" customHeight="1" x14ac:dyDescent="0.25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</row>
    <row r="551" spans="1:27" ht="12" customHeight="1" x14ac:dyDescent="0.25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</row>
    <row r="552" spans="1:27" ht="12" customHeight="1" x14ac:dyDescent="0.25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</row>
    <row r="553" spans="1:27" ht="12" customHeight="1" x14ac:dyDescent="0.25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</row>
    <row r="554" spans="1:27" ht="12" customHeight="1" x14ac:dyDescent="0.25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</row>
    <row r="555" spans="1:27" ht="12" customHeight="1" x14ac:dyDescent="0.25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</row>
    <row r="556" spans="1:27" ht="12" customHeight="1" x14ac:dyDescent="0.25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</row>
    <row r="557" spans="1:27" ht="12" customHeight="1" x14ac:dyDescent="0.25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</row>
    <row r="558" spans="1:27" ht="12" customHeight="1" x14ac:dyDescent="0.25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</row>
    <row r="559" spans="1:27" ht="12" customHeight="1" x14ac:dyDescent="0.25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</row>
    <row r="560" spans="1:27" ht="12" customHeight="1" x14ac:dyDescent="0.25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</row>
    <row r="561" spans="1:27" ht="12" customHeight="1" x14ac:dyDescent="0.25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</row>
    <row r="562" spans="1:27" ht="12" customHeight="1" x14ac:dyDescent="0.25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</row>
    <row r="563" spans="1:27" ht="12" customHeight="1" x14ac:dyDescent="0.25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</row>
    <row r="564" spans="1:27" ht="12" customHeight="1" x14ac:dyDescent="0.25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</row>
    <row r="565" spans="1:27" ht="12" customHeight="1" x14ac:dyDescent="0.25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</row>
    <row r="566" spans="1:27" ht="12" customHeight="1" x14ac:dyDescent="0.25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</row>
    <row r="567" spans="1:27" ht="12" customHeight="1" x14ac:dyDescent="0.25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</row>
    <row r="568" spans="1:27" ht="12" customHeight="1" x14ac:dyDescent="0.25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</row>
    <row r="569" spans="1:27" ht="12" customHeight="1" x14ac:dyDescent="0.25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</row>
    <row r="570" spans="1:27" ht="12" customHeight="1" x14ac:dyDescent="0.25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</row>
    <row r="571" spans="1:27" ht="12" customHeight="1" x14ac:dyDescent="0.25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</row>
    <row r="572" spans="1:27" ht="12" customHeight="1" x14ac:dyDescent="0.25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</row>
    <row r="573" spans="1:27" ht="12" customHeight="1" x14ac:dyDescent="0.25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</row>
    <row r="574" spans="1:27" ht="12" customHeight="1" x14ac:dyDescent="0.25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</row>
    <row r="575" spans="1:27" ht="12" customHeight="1" x14ac:dyDescent="0.25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</row>
    <row r="576" spans="1:27" ht="12" customHeight="1" x14ac:dyDescent="0.25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</row>
    <row r="577" spans="1:27" ht="12" customHeight="1" x14ac:dyDescent="0.25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</row>
    <row r="578" spans="1:27" ht="12" customHeight="1" x14ac:dyDescent="0.25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</row>
    <row r="579" spans="1:27" ht="12" customHeight="1" x14ac:dyDescent="0.25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</row>
    <row r="580" spans="1:27" ht="12" customHeight="1" x14ac:dyDescent="0.25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</row>
    <row r="581" spans="1:27" ht="12" customHeight="1" x14ac:dyDescent="0.25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</row>
    <row r="582" spans="1:27" ht="12" customHeight="1" x14ac:dyDescent="0.25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</row>
    <row r="583" spans="1:27" ht="12" customHeight="1" x14ac:dyDescent="0.25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</row>
    <row r="584" spans="1:27" ht="12" customHeight="1" x14ac:dyDescent="0.25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</row>
    <row r="585" spans="1:27" ht="12" customHeight="1" x14ac:dyDescent="0.25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</row>
    <row r="586" spans="1:27" ht="12" customHeight="1" x14ac:dyDescent="0.25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</row>
    <row r="587" spans="1:27" ht="12" customHeight="1" x14ac:dyDescent="0.25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</row>
    <row r="588" spans="1:27" ht="12" customHeight="1" x14ac:dyDescent="0.25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</row>
    <row r="589" spans="1:27" ht="12" customHeight="1" x14ac:dyDescent="0.25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</row>
    <row r="590" spans="1:27" ht="12" customHeight="1" x14ac:dyDescent="0.25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</row>
    <row r="591" spans="1:27" ht="12" customHeight="1" x14ac:dyDescent="0.25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</row>
    <row r="592" spans="1:27" ht="12" customHeight="1" x14ac:dyDescent="0.25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</row>
    <row r="593" spans="1:27" ht="12" customHeight="1" x14ac:dyDescent="0.25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</row>
    <row r="594" spans="1:27" ht="12" customHeight="1" x14ac:dyDescent="0.25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</row>
    <row r="595" spans="1:27" ht="12" customHeight="1" x14ac:dyDescent="0.25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</row>
    <row r="596" spans="1:27" ht="12" customHeight="1" x14ac:dyDescent="0.25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</row>
    <row r="597" spans="1:27" ht="12" customHeight="1" x14ac:dyDescent="0.25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</row>
    <row r="598" spans="1:27" ht="12" customHeight="1" x14ac:dyDescent="0.25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</row>
    <row r="599" spans="1:27" ht="12" customHeight="1" x14ac:dyDescent="0.25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</row>
    <row r="600" spans="1:27" ht="12" customHeight="1" x14ac:dyDescent="0.25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</row>
    <row r="601" spans="1:27" ht="12" customHeight="1" x14ac:dyDescent="0.25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</row>
    <row r="602" spans="1:27" ht="12" customHeight="1" x14ac:dyDescent="0.25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</row>
    <row r="603" spans="1:27" ht="12" customHeight="1" x14ac:dyDescent="0.25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</row>
    <row r="604" spans="1:27" ht="12" customHeight="1" x14ac:dyDescent="0.25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</row>
    <row r="605" spans="1:27" ht="12" customHeight="1" x14ac:dyDescent="0.25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</row>
    <row r="606" spans="1:27" ht="12" customHeight="1" x14ac:dyDescent="0.25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</row>
    <row r="607" spans="1:27" ht="12" customHeight="1" x14ac:dyDescent="0.25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</row>
    <row r="608" spans="1:27" ht="12" customHeight="1" x14ac:dyDescent="0.25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</row>
    <row r="609" spans="1:27" ht="12" customHeight="1" x14ac:dyDescent="0.25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</row>
    <row r="610" spans="1:27" ht="12" customHeight="1" x14ac:dyDescent="0.25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</row>
    <row r="611" spans="1:27" ht="12" customHeight="1" x14ac:dyDescent="0.25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</row>
    <row r="612" spans="1:27" ht="12" customHeight="1" x14ac:dyDescent="0.25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</row>
    <row r="613" spans="1:27" ht="12" customHeight="1" x14ac:dyDescent="0.25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</row>
    <row r="614" spans="1:27" ht="12" customHeight="1" x14ac:dyDescent="0.25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</row>
    <row r="615" spans="1:27" ht="12" customHeight="1" x14ac:dyDescent="0.25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</row>
    <row r="616" spans="1:27" ht="12" customHeight="1" x14ac:dyDescent="0.25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</row>
    <row r="617" spans="1:27" ht="12" customHeight="1" x14ac:dyDescent="0.25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</row>
    <row r="618" spans="1:27" ht="12" customHeight="1" x14ac:dyDescent="0.25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</row>
    <row r="619" spans="1:27" ht="12" customHeight="1" x14ac:dyDescent="0.25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</row>
    <row r="620" spans="1:27" ht="12" customHeight="1" x14ac:dyDescent="0.25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</row>
    <row r="621" spans="1:27" ht="12" customHeight="1" x14ac:dyDescent="0.25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</row>
    <row r="622" spans="1:27" ht="12" customHeight="1" x14ac:dyDescent="0.25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</row>
    <row r="623" spans="1:27" ht="12" customHeight="1" x14ac:dyDescent="0.25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</row>
    <row r="624" spans="1:27" ht="12" customHeight="1" x14ac:dyDescent="0.25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</row>
    <row r="625" spans="1:27" ht="12" customHeight="1" x14ac:dyDescent="0.25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</row>
    <row r="626" spans="1:27" ht="12" customHeight="1" x14ac:dyDescent="0.25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</row>
    <row r="627" spans="1:27" ht="12" customHeight="1" x14ac:dyDescent="0.25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</row>
    <row r="628" spans="1:27" ht="12" customHeight="1" x14ac:dyDescent="0.25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</row>
    <row r="629" spans="1:27" ht="12" customHeight="1" x14ac:dyDescent="0.25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</row>
    <row r="630" spans="1:27" ht="12" customHeight="1" x14ac:dyDescent="0.25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</row>
    <row r="631" spans="1:27" ht="12" customHeight="1" x14ac:dyDescent="0.25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</row>
    <row r="632" spans="1:27" ht="12" customHeight="1" x14ac:dyDescent="0.25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</row>
    <row r="633" spans="1:27" ht="12" customHeight="1" x14ac:dyDescent="0.25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</row>
    <row r="634" spans="1:27" ht="12" customHeight="1" x14ac:dyDescent="0.25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</row>
    <row r="635" spans="1:27" ht="12" customHeight="1" x14ac:dyDescent="0.25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</row>
    <row r="636" spans="1:27" ht="12" customHeight="1" x14ac:dyDescent="0.25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</row>
    <row r="637" spans="1:27" ht="12" customHeight="1" x14ac:dyDescent="0.25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</row>
    <row r="638" spans="1:27" ht="12" customHeight="1" x14ac:dyDescent="0.25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</row>
    <row r="639" spans="1:27" ht="12" customHeight="1" x14ac:dyDescent="0.25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</row>
    <row r="640" spans="1:27" ht="12" customHeight="1" x14ac:dyDescent="0.25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</row>
    <row r="641" spans="1:27" ht="12" customHeight="1" x14ac:dyDescent="0.25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</row>
    <row r="642" spans="1:27" ht="12" customHeight="1" x14ac:dyDescent="0.25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</row>
    <row r="643" spans="1:27" ht="12" customHeight="1" x14ac:dyDescent="0.25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</row>
    <row r="644" spans="1:27" ht="12" customHeight="1" x14ac:dyDescent="0.25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</row>
    <row r="645" spans="1:27" ht="12" customHeight="1" x14ac:dyDescent="0.25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</row>
    <row r="646" spans="1:27" ht="12" customHeight="1" x14ac:dyDescent="0.25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</row>
    <row r="647" spans="1:27" ht="12" customHeight="1" x14ac:dyDescent="0.25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</row>
    <row r="648" spans="1:27" ht="12" customHeight="1" x14ac:dyDescent="0.25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</row>
    <row r="649" spans="1:27" ht="12" customHeight="1" x14ac:dyDescent="0.25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</row>
    <row r="650" spans="1:27" ht="12" customHeight="1" x14ac:dyDescent="0.25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</row>
    <row r="651" spans="1:27" ht="12" customHeight="1" x14ac:dyDescent="0.25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</row>
    <row r="652" spans="1:27" ht="12" customHeight="1" x14ac:dyDescent="0.25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</row>
    <row r="653" spans="1:27" ht="12" customHeight="1" x14ac:dyDescent="0.25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</row>
    <row r="654" spans="1:27" ht="12" customHeight="1" x14ac:dyDescent="0.25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</row>
    <row r="655" spans="1:27" ht="12" customHeight="1" x14ac:dyDescent="0.25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</row>
    <row r="656" spans="1:27" ht="12" customHeight="1" x14ac:dyDescent="0.25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</row>
    <row r="657" spans="1:27" ht="12" customHeight="1" x14ac:dyDescent="0.25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</row>
    <row r="658" spans="1:27" ht="12" customHeight="1" x14ac:dyDescent="0.25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</row>
    <row r="659" spans="1:27" ht="12" customHeight="1" x14ac:dyDescent="0.25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</row>
    <row r="660" spans="1:27" ht="12" customHeight="1" x14ac:dyDescent="0.25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</row>
    <row r="661" spans="1:27" ht="12" customHeight="1" x14ac:dyDescent="0.25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</row>
    <row r="662" spans="1:27" ht="12" customHeight="1" x14ac:dyDescent="0.25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</row>
    <row r="663" spans="1:27" ht="12" customHeight="1" x14ac:dyDescent="0.25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</row>
    <row r="664" spans="1:27" ht="12" customHeight="1" x14ac:dyDescent="0.25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</row>
    <row r="665" spans="1:27" ht="12" customHeight="1" x14ac:dyDescent="0.25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</row>
    <row r="666" spans="1:27" ht="12" customHeight="1" x14ac:dyDescent="0.25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</row>
    <row r="667" spans="1:27" ht="12" customHeight="1" x14ac:dyDescent="0.25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</row>
    <row r="668" spans="1:27" ht="12" customHeight="1" x14ac:dyDescent="0.25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</row>
    <row r="669" spans="1:27" ht="12" customHeight="1" x14ac:dyDescent="0.25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</row>
    <row r="670" spans="1:27" ht="12" customHeight="1" x14ac:dyDescent="0.25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</row>
    <row r="671" spans="1:27" ht="12" customHeight="1" x14ac:dyDescent="0.25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</row>
    <row r="672" spans="1:27" ht="12" customHeight="1" x14ac:dyDescent="0.25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</row>
    <row r="673" spans="1:27" ht="12" customHeight="1" x14ac:dyDescent="0.25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</row>
    <row r="674" spans="1:27" ht="12" customHeight="1" x14ac:dyDescent="0.25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</row>
    <row r="675" spans="1:27" ht="12" customHeight="1" x14ac:dyDescent="0.25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</row>
    <row r="676" spans="1:27" ht="12" customHeight="1" x14ac:dyDescent="0.25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</row>
    <row r="677" spans="1:27" ht="12" customHeight="1" x14ac:dyDescent="0.25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</row>
    <row r="678" spans="1:27" ht="12" customHeight="1" x14ac:dyDescent="0.25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</row>
    <row r="679" spans="1:27" ht="12" customHeight="1" x14ac:dyDescent="0.25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</row>
    <row r="680" spans="1:27" ht="12" customHeight="1" x14ac:dyDescent="0.25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</row>
    <row r="681" spans="1:27" ht="12" customHeight="1" x14ac:dyDescent="0.25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</row>
    <row r="682" spans="1:27" ht="12" customHeight="1" x14ac:dyDescent="0.25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</row>
    <row r="683" spans="1:27" ht="12" customHeight="1" x14ac:dyDescent="0.25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</row>
    <row r="684" spans="1:27" ht="12" customHeight="1" x14ac:dyDescent="0.25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</row>
    <row r="685" spans="1:27" ht="12" customHeight="1" x14ac:dyDescent="0.25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</row>
    <row r="686" spans="1:27" ht="12" customHeight="1" x14ac:dyDescent="0.25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</row>
    <row r="687" spans="1:27" ht="12" customHeight="1" x14ac:dyDescent="0.25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</row>
    <row r="688" spans="1:27" ht="12" customHeight="1" x14ac:dyDescent="0.25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</row>
    <row r="689" spans="1:27" ht="12" customHeight="1" x14ac:dyDescent="0.25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</row>
    <row r="690" spans="1:27" ht="12" customHeight="1" x14ac:dyDescent="0.25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</row>
    <row r="691" spans="1:27" ht="12" customHeight="1" x14ac:dyDescent="0.25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</row>
    <row r="692" spans="1:27" ht="12" customHeight="1" x14ac:dyDescent="0.25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</row>
    <row r="693" spans="1:27" ht="12" customHeight="1" x14ac:dyDescent="0.25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</row>
    <row r="694" spans="1:27" ht="12" customHeight="1" x14ac:dyDescent="0.25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</row>
    <row r="695" spans="1:27" ht="12" customHeight="1" x14ac:dyDescent="0.25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</row>
    <row r="696" spans="1:27" ht="12" customHeight="1" x14ac:dyDescent="0.25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</row>
    <row r="697" spans="1:27" ht="12" customHeight="1" x14ac:dyDescent="0.25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</row>
    <row r="698" spans="1:27" ht="12" customHeight="1" x14ac:dyDescent="0.25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</row>
    <row r="699" spans="1:27" ht="12" customHeight="1" x14ac:dyDescent="0.25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</row>
    <row r="700" spans="1:27" ht="12" customHeight="1" x14ac:dyDescent="0.25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</row>
    <row r="701" spans="1:27" ht="12" customHeight="1" x14ac:dyDescent="0.25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</row>
    <row r="702" spans="1:27" ht="12" customHeight="1" x14ac:dyDescent="0.25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</row>
    <row r="703" spans="1:27" ht="12" customHeight="1" x14ac:dyDescent="0.25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</row>
    <row r="704" spans="1:27" ht="12" customHeight="1" x14ac:dyDescent="0.25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</row>
    <row r="705" spans="1:27" ht="12" customHeight="1" x14ac:dyDescent="0.25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</row>
    <row r="706" spans="1:27" ht="12" customHeight="1" x14ac:dyDescent="0.25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</row>
    <row r="707" spans="1:27" ht="12" customHeight="1" x14ac:dyDescent="0.25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</row>
    <row r="708" spans="1:27" ht="12" customHeight="1" x14ac:dyDescent="0.25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</row>
    <row r="709" spans="1:27" ht="12" customHeight="1" x14ac:dyDescent="0.25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</row>
    <row r="710" spans="1:27" ht="12" customHeight="1" x14ac:dyDescent="0.25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</row>
    <row r="711" spans="1:27" ht="12" customHeight="1" x14ac:dyDescent="0.25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</row>
    <row r="712" spans="1:27" ht="12" customHeight="1" x14ac:dyDescent="0.25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</row>
    <row r="713" spans="1:27" ht="12" customHeight="1" x14ac:dyDescent="0.25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</row>
    <row r="714" spans="1:27" ht="12" customHeight="1" x14ac:dyDescent="0.25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</row>
    <row r="715" spans="1:27" ht="12" customHeight="1" x14ac:dyDescent="0.25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</row>
    <row r="716" spans="1:27" ht="12" customHeight="1" x14ac:dyDescent="0.25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</row>
    <row r="717" spans="1:27" ht="12" customHeight="1" x14ac:dyDescent="0.25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</row>
    <row r="718" spans="1:27" ht="12" customHeight="1" x14ac:dyDescent="0.25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</row>
    <row r="719" spans="1:27" ht="12" customHeight="1" x14ac:dyDescent="0.25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</row>
    <row r="720" spans="1:27" ht="12" customHeight="1" x14ac:dyDescent="0.25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</row>
    <row r="721" spans="1:27" ht="12" customHeight="1" x14ac:dyDescent="0.25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</row>
    <row r="722" spans="1:27" ht="12" customHeight="1" x14ac:dyDescent="0.25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</row>
    <row r="723" spans="1:27" ht="12" customHeight="1" x14ac:dyDescent="0.25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</row>
    <row r="724" spans="1:27" ht="12" customHeight="1" x14ac:dyDescent="0.25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</row>
    <row r="725" spans="1:27" ht="12" customHeight="1" x14ac:dyDescent="0.25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</row>
    <row r="726" spans="1:27" ht="12" customHeight="1" x14ac:dyDescent="0.25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</row>
    <row r="727" spans="1:27" ht="12" customHeight="1" x14ac:dyDescent="0.25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</row>
    <row r="728" spans="1:27" ht="12" customHeight="1" x14ac:dyDescent="0.25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</row>
    <row r="729" spans="1:27" ht="12" customHeight="1" x14ac:dyDescent="0.25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</row>
    <row r="730" spans="1:27" ht="12" customHeight="1" x14ac:dyDescent="0.25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</row>
    <row r="731" spans="1:27" ht="12" customHeight="1" x14ac:dyDescent="0.25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</row>
    <row r="732" spans="1:27" ht="12" customHeight="1" x14ac:dyDescent="0.25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</row>
    <row r="733" spans="1:27" ht="12" customHeight="1" x14ac:dyDescent="0.25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</row>
    <row r="734" spans="1:27" ht="12" customHeight="1" x14ac:dyDescent="0.25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</row>
    <row r="735" spans="1:27" ht="12" customHeight="1" x14ac:dyDescent="0.25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</row>
    <row r="736" spans="1:27" ht="12" customHeight="1" x14ac:dyDescent="0.25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</row>
    <row r="737" spans="1:27" ht="12" customHeight="1" x14ac:dyDescent="0.25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</row>
    <row r="738" spans="1:27" ht="12" customHeight="1" x14ac:dyDescent="0.25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</row>
    <row r="739" spans="1:27" ht="12" customHeight="1" x14ac:dyDescent="0.25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</row>
    <row r="740" spans="1:27" ht="12" customHeight="1" x14ac:dyDescent="0.25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</row>
    <row r="741" spans="1:27" ht="12" customHeight="1" x14ac:dyDescent="0.25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</row>
    <row r="742" spans="1:27" ht="12" customHeight="1" x14ac:dyDescent="0.25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</row>
    <row r="743" spans="1:27" ht="12" customHeight="1" x14ac:dyDescent="0.25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</row>
    <row r="744" spans="1:27" ht="12" customHeight="1" x14ac:dyDescent="0.25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</row>
    <row r="745" spans="1:27" ht="12" customHeight="1" x14ac:dyDescent="0.25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</row>
    <row r="746" spans="1:27" ht="12" customHeight="1" x14ac:dyDescent="0.25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</row>
    <row r="747" spans="1:27" ht="12" customHeight="1" x14ac:dyDescent="0.25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</row>
    <row r="748" spans="1:27" ht="12" customHeight="1" x14ac:dyDescent="0.25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</row>
    <row r="749" spans="1:27" ht="12" customHeight="1" x14ac:dyDescent="0.25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</row>
    <row r="750" spans="1:27" ht="12" customHeight="1" x14ac:dyDescent="0.25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</row>
    <row r="751" spans="1:27" ht="12" customHeight="1" x14ac:dyDescent="0.25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</row>
    <row r="752" spans="1:27" ht="12" customHeight="1" x14ac:dyDescent="0.25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</row>
    <row r="753" spans="1:27" ht="12" customHeight="1" x14ac:dyDescent="0.25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</row>
    <row r="754" spans="1:27" ht="12" customHeight="1" x14ac:dyDescent="0.25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</row>
    <row r="755" spans="1:27" ht="12" customHeight="1" x14ac:dyDescent="0.25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</row>
    <row r="756" spans="1:27" ht="12" customHeight="1" x14ac:dyDescent="0.25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</row>
    <row r="757" spans="1:27" ht="12" customHeight="1" x14ac:dyDescent="0.25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</row>
    <row r="758" spans="1:27" ht="12" customHeight="1" x14ac:dyDescent="0.25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</row>
    <row r="759" spans="1:27" ht="12" customHeight="1" x14ac:dyDescent="0.25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</row>
    <row r="760" spans="1:27" ht="12" customHeight="1" x14ac:dyDescent="0.25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</row>
    <row r="761" spans="1:27" ht="12" customHeight="1" x14ac:dyDescent="0.25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</row>
    <row r="762" spans="1:27" ht="12" customHeight="1" x14ac:dyDescent="0.25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</row>
    <row r="763" spans="1:27" ht="12" customHeight="1" x14ac:dyDescent="0.25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</row>
    <row r="764" spans="1:27" ht="12" customHeight="1" x14ac:dyDescent="0.25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</row>
    <row r="765" spans="1:27" ht="12" customHeight="1" x14ac:dyDescent="0.25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</row>
    <row r="766" spans="1:27" ht="12" customHeight="1" x14ac:dyDescent="0.25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</row>
    <row r="767" spans="1:27" ht="12" customHeight="1" x14ac:dyDescent="0.25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</row>
    <row r="768" spans="1:27" ht="12" customHeight="1" x14ac:dyDescent="0.25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</row>
    <row r="769" spans="1:27" ht="12" customHeight="1" x14ac:dyDescent="0.25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</row>
    <row r="770" spans="1:27" ht="12" customHeight="1" x14ac:dyDescent="0.25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</row>
    <row r="771" spans="1:27" ht="12" customHeight="1" x14ac:dyDescent="0.25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</row>
    <row r="772" spans="1:27" ht="12" customHeight="1" x14ac:dyDescent="0.25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</row>
    <row r="773" spans="1:27" ht="12" customHeight="1" x14ac:dyDescent="0.25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</row>
    <row r="774" spans="1:27" ht="12" customHeight="1" x14ac:dyDescent="0.25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</row>
    <row r="775" spans="1:27" ht="12" customHeight="1" x14ac:dyDescent="0.25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</row>
    <row r="776" spans="1:27" ht="12" customHeight="1" x14ac:dyDescent="0.25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</row>
    <row r="777" spans="1:27" ht="12" customHeight="1" x14ac:dyDescent="0.25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</row>
    <row r="778" spans="1:27" ht="12" customHeight="1" x14ac:dyDescent="0.25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</row>
    <row r="779" spans="1:27" ht="12" customHeight="1" x14ac:dyDescent="0.25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</row>
    <row r="780" spans="1:27" ht="12" customHeight="1" x14ac:dyDescent="0.25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</row>
    <row r="781" spans="1:27" ht="12" customHeight="1" x14ac:dyDescent="0.25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</row>
    <row r="782" spans="1:27" ht="12" customHeight="1" x14ac:dyDescent="0.25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</row>
    <row r="783" spans="1:27" ht="12" customHeight="1" x14ac:dyDescent="0.25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</row>
    <row r="784" spans="1:27" ht="12" customHeight="1" x14ac:dyDescent="0.25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</row>
    <row r="785" spans="1:27" ht="12" customHeight="1" x14ac:dyDescent="0.25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</row>
    <row r="786" spans="1:27" ht="12" customHeight="1" x14ac:dyDescent="0.25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</row>
    <row r="787" spans="1:27" ht="12" customHeight="1" x14ac:dyDescent="0.25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</row>
    <row r="788" spans="1:27" ht="12" customHeight="1" x14ac:dyDescent="0.25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</row>
    <row r="789" spans="1:27" ht="12" customHeight="1" x14ac:dyDescent="0.25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</row>
    <row r="790" spans="1:27" ht="12" customHeight="1" x14ac:dyDescent="0.25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</row>
    <row r="791" spans="1:27" ht="12" customHeight="1" x14ac:dyDescent="0.25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</row>
    <row r="792" spans="1:27" ht="12" customHeight="1" x14ac:dyDescent="0.25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</row>
    <row r="793" spans="1:27" ht="12" customHeight="1" x14ac:dyDescent="0.25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</row>
    <row r="794" spans="1:27" ht="12" customHeight="1" x14ac:dyDescent="0.25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</row>
    <row r="795" spans="1:27" ht="12" customHeight="1" x14ac:dyDescent="0.25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</row>
    <row r="796" spans="1:27" ht="12" customHeight="1" x14ac:dyDescent="0.25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</row>
    <row r="797" spans="1:27" ht="12" customHeight="1" x14ac:dyDescent="0.25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</row>
    <row r="798" spans="1:27" ht="12" customHeight="1" x14ac:dyDescent="0.25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</row>
    <row r="799" spans="1:27" ht="12" customHeight="1" x14ac:dyDescent="0.25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</row>
    <row r="800" spans="1:27" ht="12" customHeight="1" x14ac:dyDescent="0.25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</row>
    <row r="801" spans="1:27" ht="12" customHeight="1" x14ac:dyDescent="0.25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</row>
    <row r="802" spans="1:27" ht="12" customHeight="1" x14ac:dyDescent="0.25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</row>
    <row r="803" spans="1:27" ht="12" customHeight="1" x14ac:dyDescent="0.25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</row>
    <row r="804" spans="1:27" ht="12" customHeight="1" x14ac:dyDescent="0.25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</row>
    <row r="805" spans="1:27" ht="12" customHeight="1" x14ac:dyDescent="0.25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</row>
    <row r="806" spans="1:27" ht="12" customHeight="1" x14ac:dyDescent="0.25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</row>
    <row r="807" spans="1:27" ht="12" customHeight="1" x14ac:dyDescent="0.25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</row>
    <row r="808" spans="1:27" ht="12" customHeight="1" x14ac:dyDescent="0.25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</row>
    <row r="809" spans="1:27" ht="12" customHeight="1" x14ac:dyDescent="0.25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</row>
    <row r="810" spans="1:27" ht="12" customHeight="1" x14ac:dyDescent="0.25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</row>
    <row r="811" spans="1:27" ht="12" customHeight="1" x14ac:dyDescent="0.25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</row>
    <row r="812" spans="1:27" ht="12" customHeight="1" x14ac:dyDescent="0.25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</row>
    <row r="813" spans="1:27" ht="12" customHeight="1" x14ac:dyDescent="0.25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</row>
    <row r="814" spans="1:27" ht="12" customHeight="1" x14ac:dyDescent="0.25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</row>
    <row r="815" spans="1:27" ht="12" customHeight="1" x14ac:dyDescent="0.25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</row>
    <row r="816" spans="1:27" ht="12" customHeight="1" x14ac:dyDescent="0.25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</row>
    <row r="817" spans="1:27" ht="12" customHeight="1" x14ac:dyDescent="0.25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</row>
    <row r="818" spans="1:27" ht="12" customHeight="1" x14ac:dyDescent="0.25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</row>
    <row r="819" spans="1:27" ht="12" customHeight="1" x14ac:dyDescent="0.25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</row>
    <row r="820" spans="1:27" ht="12" customHeight="1" x14ac:dyDescent="0.25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</row>
    <row r="821" spans="1:27" ht="12" customHeight="1" x14ac:dyDescent="0.25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</row>
    <row r="822" spans="1:27" ht="12" customHeight="1" x14ac:dyDescent="0.25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</row>
    <row r="823" spans="1:27" ht="12" customHeight="1" x14ac:dyDescent="0.25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</row>
    <row r="824" spans="1:27" ht="12" customHeight="1" x14ac:dyDescent="0.25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</row>
    <row r="825" spans="1:27" ht="12" customHeight="1" x14ac:dyDescent="0.25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</row>
    <row r="826" spans="1:27" ht="12" customHeight="1" x14ac:dyDescent="0.25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</row>
    <row r="827" spans="1:27" ht="12" customHeight="1" x14ac:dyDescent="0.25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</row>
    <row r="828" spans="1:27" ht="12" customHeight="1" x14ac:dyDescent="0.25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</row>
    <row r="829" spans="1:27" ht="12" customHeight="1" x14ac:dyDescent="0.25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</row>
    <row r="830" spans="1:27" ht="12" customHeight="1" x14ac:dyDescent="0.25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</row>
    <row r="831" spans="1:27" ht="12" customHeight="1" x14ac:dyDescent="0.25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</row>
    <row r="832" spans="1:27" ht="12" customHeight="1" x14ac:dyDescent="0.25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</row>
    <row r="833" spans="1:27" ht="12" customHeight="1" x14ac:dyDescent="0.25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</row>
    <row r="834" spans="1:27" ht="12" customHeight="1" x14ac:dyDescent="0.25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</row>
    <row r="835" spans="1:27" ht="12" customHeight="1" x14ac:dyDescent="0.25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</row>
    <row r="836" spans="1:27" ht="12" customHeight="1" x14ac:dyDescent="0.25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</row>
    <row r="837" spans="1:27" ht="12" customHeight="1" x14ac:dyDescent="0.25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</row>
    <row r="838" spans="1:27" ht="12" customHeight="1" x14ac:dyDescent="0.25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</row>
    <row r="839" spans="1:27" ht="12" customHeight="1" x14ac:dyDescent="0.25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</row>
    <row r="840" spans="1:27" ht="12" customHeight="1" x14ac:dyDescent="0.25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</row>
    <row r="841" spans="1:27" ht="12" customHeight="1" x14ac:dyDescent="0.25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</row>
    <row r="842" spans="1:27" ht="12" customHeight="1" x14ac:dyDescent="0.25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</row>
    <row r="843" spans="1:27" ht="12" customHeight="1" x14ac:dyDescent="0.25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</row>
    <row r="844" spans="1:27" ht="12" customHeight="1" x14ac:dyDescent="0.25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</row>
    <row r="845" spans="1:27" ht="12" customHeight="1" x14ac:dyDescent="0.25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</row>
    <row r="846" spans="1:27" ht="12" customHeight="1" x14ac:dyDescent="0.25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</row>
    <row r="847" spans="1:27" ht="12" customHeight="1" x14ac:dyDescent="0.25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</row>
    <row r="848" spans="1:27" ht="12" customHeight="1" x14ac:dyDescent="0.25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</row>
    <row r="849" spans="1:27" ht="12" customHeight="1" x14ac:dyDescent="0.25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</row>
    <row r="850" spans="1:27" ht="12" customHeight="1" x14ac:dyDescent="0.25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</row>
    <row r="851" spans="1:27" ht="12" customHeight="1" x14ac:dyDescent="0.25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</row>
    <row r="852" spans="1:27" ht="12" customHeight="1" x14ac:dyDescent="0.25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</row>
    <row r="853" spans="1:27" ht="12" customHeight="1" x14ac:dyDescent="0.25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</row>
    <row r="854" spans="1:27" ht="12" customHeight="1" x14ac:dyDescent="0.25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</row>
    <row r="855" spans="1:27" ht="12" customHeight="1" x14ac:dyDescent="0.25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</row>
    <row r="856" spans="1:27" ht="12" customHeight="1" x14ac:dyDescent="0.25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</row>
    <row r="857" spans="1:27" ht="12" customHeight="1" x14ac:dyDescent="0.25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</row>
    <row r="858" spans="1:27" ht="12" customHeight="1" x14ac:dyDescent="0.25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</row>
    <row r="859" spans="1:27" ht="12" customHeight="1" x14ac:dyDescent="0.25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</row>
    <row r="860" spans="1:27" ht="12" customHeight="1" x14ac:dyDescent="0.25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</row>
    <row r="861" spans="1:27" ht="12" customHeight="1" x14ac:dyDescent="0.25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</row>
    <row r="862" spans="1:27" ht="12" customHeight="1" x14ac:dyDescent="0.25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</row>
    <row r="863" spans="1:27" ht="12" customHeight="1" x14ac:dyDescent="0.25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</row>
    <row r="864" spans="1:27" ht="12" customHeight="1" x14ac:dyDescent="0.25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</row>
    <row r="865" spans="1:27" ht="12" customHeight="1" x14ac:dyDescent="0.25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</row>
    <row r="866" spans="1:27" ht="12" customHeight="1" x14ac:dyDescent="0.25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</row>
    <row r="867" spans="1:27" ht="12" customHeight="1" x14ac:dyDescent="0.25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</row>
    <row r="868" spans="1:27" ht="12" customHeight="1" x14ac:dyDescent="0.25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</row>
    <row r="869" spans="1:27" ht="12" customHeight="1" x14ac:dyDescent="0.25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</row>
    <row r="870" spans="1:27" ht="12" customHeight="1" x14ac:dyDescent="0.25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</row>
    <row r="871" spans="1:27" ht="12" customHeight="1" x14ac:dyDescent="0.25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</row>
    <row r="872" spans="1:27" ht="12" customHeight="1" x14ac:dyDescent="0.25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</row>
    <row r="873" spans="1:27" ht="12" customHeight="1" x14ac:dyDescent="0.25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</row>
    <row r="874" spans="1:27" ht="12" customHeight="1" x14ac:dyDescent="0.25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</row>
    <row r="875" spans="1:27" ht="12" customHeight="1" x14ac:dyDescent="0.25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</row>
    <row r="876" spans="1:27" ht="12" customHeight="1" x14ac:dyDescent="0.25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</row>
    <row r="877" spans="1:27" ht="12" customHeight="1" x14ac:dyDescent="0.25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</row>
    <row r="878" spans="1:27" ht="12" customHeight="1" x14ac:dyDescent="0.25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</row>
    <row r="879" spans="1:27" ht="12" customHeight="1" x14ac:dyDescent="0.25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</row>
    <row r="880" spans="1:27" ht="12" customHeight="1" x14ac:dyDescent="0.25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</row>
    <row r="881" spans="1:27" ht="12" customHeight="1" x14ac:dyDescent="0.25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</row>
    <row r="882" spans="1:27" ht="12" customHeight="1" x14ac:dyDescent="0.25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</row>
    <row r="883" spans="1:27" ht="12" customHeight="1" x14ac:dyDescent="0.25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</row>
    <row r="884" spans="1:27" ht="12" customHeight="1" x14ac:dyDescent="0.25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</row>
    <row r="885" spans="1:27" ht="12" customHeight="1" x14ac:dyDescent="0.25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</row>
    <row r="886" spans="1:27" ht="12" customHeight="1" x14ac:dyDescent="0.25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</row>
    <row r="887" spans="1:27" ht="12" customHeight="1" x14ac:dyDescent="0.25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</row>
    <row r="888" spans="1:27" ht="12" customHeight="1" x14ac:dyDescent="0.25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</row>
    <row r="889" spans="1:27" ht="12" customHeight="1" x14ac:dyDescent="0.25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</row>
    <row r="890" spans="1:27" ht="12" customHeight="1" x14ac:dyDescent="0.25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</row>
    <row r="891" spans="1:27" ht="12" customHeight="1" x14ac:dyDescent="0.25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</row>
    <row r="892" spans="1:27" ht="12" customHeight="1" x14ac:dyDescent="0.25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</row>
    <row r="893" spans="1:27" ht="12" customHeight="1" x14ac:dyDescent="0.25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</row>
    <row r="894" spans="1:27" ht="12" customHeight="1" x14ac:dyDescent="0.25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</row>
    <row r="895" spans="1:27" ht="12" customHeight="1" x14ac:dyDescent="0.25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</row>
    <row r="896" spans="1:27" ht="12" customHeight="1" x14ac:dyDescent="0.25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</row>
    <row r="897" spans="1:27" ht="12" customHeight="1" x14ac:dyDescent="0.25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</row>
    <row r="898" spans="1:27" ht="12" customHeight="1" x14ac:dyDescent="0.25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</row>
    <row r="899" spans="1:27" ht="12" customHeight="1" x14ac:dyDescent="0.25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</row>
    <row r="900" spans="1:27" ht="12" customHeight="1" x14ac:dyDescent="0.25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</row>
    <row r="901" spans="1:27" ht="12" customHeight="1" x14ac:dyDescent="0.25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</row>
    <row r="902" spans="1:27" ht="12" customHeight="1" x14ac:dyDescent="0.25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</row>
    <row r="903" spans="1:27" ht="12" customHeight="1" x14ac:dyDescent="0.25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</row>
    <row r="904" spans="1:27" ht="12" customHeight="1" x14ac:dyDescent="0.25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</row>
    <row r="905" spans="1:27" ht="12" customHeight="1" x14ac:dyDescent="0.25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</row>
    <row r="906" spans="1:27" ht="12" customHeight="1" x14ac:dyDescent="0.25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</row>
    <row r="907" spans="1:27" ht="12" customHeight="1" x14ac:dyDescent="0.25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</row>
    <row r="908" spans="1:27" ht="12" customHeight="1" x14ac:dyDescent="0.25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</row>
    <row r="909" spans="1:27" ht="12" customHeight="1" x14ac:dyDescent="0.25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</row>
    <row r="910" spans="1:27" ht="12" customHeight="1" x14ac:dyDescent="0.25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</row>
    <row r="911" spans="1:27" ht="12" customHeight="1" x14ac:dyDescent="0.25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</row>
    <row r="912" spans="1:27" ht="12" customHeight="1" x14ac:dyDescent="0.25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</row>
    <row r="913" spans="1:27" ht="12" customHeight="1" x14ac:dyDescent="0.25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</row>
    <row r="914" spans="1:27" ht="12" customHeight="1" x14ac:dyDescent="0.25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</row>
    <row r="915" spans="1:27" ht="12" customHeight="1" x14ac:dyDescent="0.25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</row>
    <row r="916" spans="1:27" ht="12" customHeight="1" x14ac:dyDescent="0.25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</row>
    <row r="917" spans="1:27" ht="12" customHeight="1" x14ac:dyDescent="0.25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</row>
    <row r="918" spans="1:27" ht="12" customHeight="1" x14ac:dyDescent="0.25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</row>
    <row r="919" spans="1:27" ht="12" customHeight="1" x14ac:dyDescent="0.25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</row>
    <row r="920" spans="1:27" ht="12" customHeight="1" x14ac:dyDescent="0.25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</row>
    <row r="921" spans="1:27" ht="12" customHeight="1" x14ac:dyDescent="0.25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</row>
    <row r="922" spans="1:27" ht="12" customHeight="1" x14ac:dyDescent="0.25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</row>
    <row r="923" spans="1:27" ht="12" customHeight="1" x14ac:dyDescent="0.25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</row>
    <row r="924" spans="1:27" ht="12" customHeight="1" x14ac:dyDescent="0.25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</row>
    <row r="925" spans="1:27" ht="12" customHeight="1" x14ac:dyDescent="0.25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</row>
    <row r="926" spans="1:27" ht="12" customHeight="1" x14ac:dyDescent="0.25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</row>
    <row r="927" spans="1:27" ht="12" customHeight="1" x14ac:dyDescent="0.25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</row>
    <row r="928" spans="1:27" ht="12" customHeight="1" x14ac:dyDescent="0.25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</row>
    <row r="929" spans="1:27" ht="12" customHeight="1" x14ac:dyDescent="0.25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</row>
    <row r="930" spans="1:27" ht="12" customHeight="1" x14ac:dyDescent="0.25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</row>
    <row r="931" spans="1:27" ht="12" customHeight="1" x14ac:dyDescent="0.25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</row>
    <row r="932" spans="1:27" ht="12" customHeight="1" x14ac:dyDescent="0.25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</row>
    <row r="933" spans="1:27" ht="12" customHeight="1" x14ac:dyDescent="0.25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</row>
    <row r="934" spans="1:27" ht="12" customHeight="1" x14ac:dyDescent="0.25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</row>
    <row r="935" spans="1:27" ht="12" customHeight="1" x14ac:dyDescent="0.25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</row>
    <row r="936" spans="1:27" ht="12" customHeight="1" x14ac:dyDescent="0.25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</row>
    <row r="937" spans="1:27" ht="12" customHeight="1" x14ac:dyDescent="0.25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</row>
    <row r="938" spans="1:27" ht="12" customHeight="1" x14ac:dyDescent="0.25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</row>
    <row r="939" spans="1:27" ht="12" customHeight="1" x14ac:dyDescent="0.25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</row>
    <row r="940" spans="1:27" ht="12" customHeight="1" x14ac:dyDescent="0.25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</row>
    <row r="941" spans="1:27" ht="12" customHeight="1" x14ac:dyDescent="0.25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</row>
    <row r="942" spans="1:27" ht="12" customHeight="1" x14ac:dyDescent="0.25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</row>
    <row r="943" spans="1:27" ht="12" customHeight="1" x14ac:dyDescent="0.25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</row>
    <row r="944" spans="1:27" ht="12" customHeight="1" x14ac:dyDescent="0.25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</row>
    <row r="945" spans="1:27" ht="12" customHeight="1" x14ac:dyDescent="0.25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</row>
    <row r="946" spans="1:27" ht="12" customHeight="1" x14ac:dyDescent="0.25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</row>
    <row r="947" spans="1:27" ht="12" customHeight="1" x14ac:dyDescent="0.25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</row>
    <row r="948" spans="1:27" ht="12" customHeight="1" x14ac:dyDescent="0.25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</row>
    <row r="949" spans="1:27" ht="12" customHeight="1" x14ac:dyDescent="0.25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</row>
    <row r="950" spans="1:27" ht="12" customHeight="1" x14ac:dyDescent="0.25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</row>
    <row r="951" spans="1:27" ht="12" customHeight="1" x14ac:dyDescent="0.25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</row>
    <row r="952" spans="1:27" ht="12" customHeight="1" x14ac:dyDescent="0.25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</row>
    <row r="953" spans="1:27" ht="12" customHeight="1" x14ac:dyDescent="0.25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</row>
    <row r="954" spans="1:27" ht="12" customHeight="1" x14ac:dyDescent="0.25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</row>
    <row r="955" spans="1:27" ht="12" customHeight="1" x14ac:dyDescent="0.25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</row>
    <row r="956" spans="1:27" ht="12" customHeight="1" x14ac:dyDescent="0.25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</row>
    <row r="957" spans="1:27" ht="12" customHeight="1" x14ac:dyDescent="0.25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</row>
    <row r="958" spans="1:27" ht="12" customHeight="1" x14ac:dyDescent="0.25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</row>
    <row r="959" spans="1:27" ht="12" customHeight="1" x14ac:dyDescent="0.25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</row>
    <row r="960" spans="1:27" ht="12" customHeight="1" x14ac:dyDescent="0.25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</row>
    <row r="961" spans="1:27" ht="12" customHeight="1" x14ac:dyDescent="0.25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</row>
    <row r="962" spans="1:27" ht="12" customHeight="1" x14ac:dyDescent="0.25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</row>
    <row r="963" spans="1:27" ht="12" customHeight="1" x14ac:dyDescent="0.25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</row>
    <row r="964" spans="1:27" ht="12" customHeight="1" x14ac:dyDescent="0.25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</row>
    <row r="965" spans="1:27" ht="12" customHeight="1" x14ac:dyDescent="0.25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</row>
    <row r="966" spans="1:27" ht="12" customHeight="1" x14ac:dyDescent="0.25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</row>
    <row r="967" spans="1:27" ht="12" customHeight="1" x14ac:dyDescent="0.25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</row>
    <row r="968" spans="1:27" ht="12" customHeight="1" x14ac:dyDescent="0.25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</row>
    <row r="969" spans="1:27" ht="12" customHeight="1" x14ac:dyDescent="0.25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</row>
    <row r="970" spans="1:27" ht="12" customHeight="1" x14ac:dyDescent="0.25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</row>
    <row r="971" spans="1:27" ht="12" customHeight="1" x14ac:dyDescent="0.25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</row>
    <row r="972" spans="1:27" ht="12" customHeight="1" x14ac:dyDescent="0.25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</row>
    <row r="973" spans="1:27" ht="12" customHeight="1" x14ac:dyDescent="0.25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</row>
    <row r="974" spans="1:27" ht="12" customHeight="1" x14ac:dyDescent="0.25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</row>
    <row r="975" spans="1:27" ht="12" customHeight="1" x14ac:dyDescent="0.25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</row>
    <row r="976" spans="1:27" ht="12" customHeight="1" x14ac:dyDescent="0.25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</row>
    <row r="977" spans="1:27" ht="12" customHeight="1" x14ac:dyDescent="0.25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</row>
    <row r="978" spans="1:27" ht="12" customHeight="1" x14ac:dyDescent="0.25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</row>
    <row r="979" spans="1:27" ht="12" customHeight="1" x14ac:dyDescent="0.25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</row>
    <row r="980" spans="1:27" ht="12" customHeight="1" x14ac:dyDescent="0.25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</row>
    <row r="981" spans="1:27" ht="12" customHeight="1" x14ac:dyDescent="0.25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</row>
    <row r="982" spans="1:27" ht="12" customHeight="1" x14ac:dyDescent="0.25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</row>
    <row r="983" spans="1:27" ht="12" customHeight="1" x14ac:dyDescent="0.25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</row>
    <row r="984" spans="1:27" ht="12" customHeight="1" x14ac:dyDescent="0.25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</row>
    <row r="985" spans="1:27" ht="12" customHeight="1" x14ac:dyDescent="0.25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</row>
    <row r="986" spans="1:27" ht="12" customHeight="1" x14ac:dyDescent="0.25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</row>
    <row r="987" spans="1:27" ht="12" customHeight="1" x14ac:dyDescent="0.25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</row>
    <row r="988" spans="1:27" ht="12" customHeight="1" x14ac:dyDescent="0.25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</row>
    <row r="989" spans="1:27" ht="12" customHeight="1" x14ac:dyDescent="0.25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</row>
    <row r="990" spans="1:27" ht="12" customHeight="1" x14ac:dyDescent="0.25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</row>
    <row r="991" spans="1:27" ht="12" customHeight="1" x14ac:dyDescent="0.25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</row>
    <row r="992" spans="1:27" ht="12" customHeight="1" x14ac:dyDescent="0.25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</row>
    <row r="993" spans="1:27" ht="12" customHeight="1" x14ac:dyDescent="0.25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</row>
    <row r="994" spans="1:27" ht="12" customHeight="1" x14ac:dyDescent="0.25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</row>
    <row r="995" spans="1:27" ht="12" customHeight="1" x14ac:dyDescent="0.25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</row>
    <row r="996" spans="1:27" ht="12" customHeight="1" x14ac:dyDescent="0.25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</row>
    <row r="997" spans="1:27" ht="12" customHeight="1" x14ac:dyDescent="0.25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</row>
    <row r="998" spans="1:27" ht="12" customHeight="1" x14ac:dyDescent="0.25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</row>
    <row r="999" spans="1:27" ht="12" customHeight="1" x14ac:dyDescent="0.25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</row>
    <row r="1000" spans="1:27" ht="12" customHeight="1" x14ac:dyDescent="0.25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6:C6"/>
    <mergeCell ref="B9:AA9"/>
    <mergeCell ref="A10:A12"/>
    <mergeCell ref="B10:B12"/>
    <mergeCell ref="C10:C11"/>
    <mergeCell ref="D10:D11"/>
    <mergeCell ref="H10:H11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0F4B8-AC8A-43BD-8CA8-E33327F7B3E1}">
  <sheetPr>
    <tabColor theme="0" tint="-0.249977111117893"/>
  </sheetPr>
  <dimension ref="A1:AA1000"/>
  <sheetViews>
    <sheetView workbookViewId="0">
      <pane ySplit="12" topLeftCell="A295" activePane="bottomLeft" state="frozen"/>
      <selection pane="bottomLeft" activeCell="AD309" sqref="AD309"/>
    </sheetView>
  </sheetViews>
  <sheetFormatPr defaultColWidth="14.42578125" defaultRowHeight="15" customHeight="1" x14ac:dyDescent="0.25"/>
  <cols>
    <col min="1" max="1" width="198.7109375" style="145" hidden="1" customWidth="1"/>
    <col min="2" max="2" width="87.140625" style="145" customWidth="1"/>
    <col min="3" max="3" width="15.140625" style="145" customWidth="1"/>
    <col min="4" max="4" width="15.5703125" style="145" customWidth="1"/>
    <col min="5" max="5" width="14.85546875" style="145" customWidth="1"/>
    <col min="6" max="6" width="15.85546875" style="145" customWidth="1"/>
    <col min="7" max="7" width="16.28515625" style="145" customWidth="1"/>
    <col min="8" max="19" width="12.7109375" style="145" customWidth="1"/>
    <col min="20" max="20" width="17" style="145" customWidth="1"/>
    <col min="21" max="21" width="15.42578125" style="145" customWidth="1"/>
    <col min="22" max="22" width="15" style="145" customWidth="1"/>
    <col min="23" max="23" width="13.5703125" style="145" customWidth="1"/>
    <col min="24" max="24" width="12.7109375" style="145" customWidth="1"/>
    <col min="25" max="25" width="14.7109375" style="145" customWidth="1"/>
    <col min="26" max="26" width="17.85546875" style="145" customWidth="1"/>
    <col min="27" max="27" width="17.5703125" style="145" customWidth="1"/>
    <col min="28" max="16384" width="14.42578125" style="145"/>
  </cols>
  <sheetData>
    <row r="1" spans="1:27" ht="12" customHeight="1" x14ac:dyDescent="0.25">
      <c r="A1" s="143"/>
      <c r="B1" s="143"/>
      <c r="C1" s="143"/>
      <c r="D1" s="144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ht="12" customHeight="1" x14ac:dyDescent="0.25">
      <c r="A2" s="528" t="s">
        <v>1119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143"/>
      <c r="Y2" s="143"/>
      <c r="Z2" s="143"/>
      <c r="AA2" s="143"/>
    </row>
    <row r="3" spans="1:27" ht="15" customHeight="1" x14ac:dyDescent="0.25">
      <c r="A3" s="528" t="s">
        <v>1383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143"/>
      <c r="Y3" s="143"/>
      <c r="Z3" s="143"/>
      <c r="AA3" s="143"/>
    </row>
    <row r="4" spans="1:27" ht="12" customHeight="1" x14ac:dyDescent="0.25">
      <c r="A4" s="530">
        <v>2026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143"/>
      <c r="Y4" s="143"/>
      <c r="Z4" s="143"/>
      <c r="AA4" s="143"/>
    </row>
    <row r="5" spans="1:27" ht="12" customHeight="1" x14ac:dyDescent="0.25">
      <c r="A5" s="146"/>
      <c r="B5" s="147" t="s">
        <v>1383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3"/>
      <c r="Y5" s="143"/>
      <c r="Z5" s="143"/>
      <c r="AA5" s="143"/>
    </row>
    <row r="6" spans="1:27" ht="12" customHeight="1" x14ac:dyDescent="0.25">
      <c r="A6" s="146"/>
      <c r="B6" s="536" t="s">
        <v>1385</v>
      </c>
      <c r="C6" s="529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3"/>
      <c r="Y6" s="143"/>
      <c r="Z6" s="143"/>
      <c r="AA6" s="143"/>
    </row>
    <row r="7" spans="1:27" ht="12" customHeight="1" x14ac:dyDescent="0.25">
      <c r="A7" s="146"/>
      <c r="B7" s="531" t="s">
        <v>1387</v>
      </c>
      <c r="C7" s="532"/>
      <c r="D7" s="187"/>
      <c r="E7" s="187"/>
      <c r="F7" s="187"/>
      <c r="G7" s="187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9"/>
      <c r="Y7" s="149"/>
      <c r="Z7" s="149"/>
      <c r="AA7" s="149"/>
    </row>
    <row r="8" spans="1:27" ht="12" customHeight="1" x14ac:dyDescent="0.25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3"/>
      <c r="Y8" s="143"/>
      <c r="Z8" s="143"/>
      <c r="AA8" s="150" t="s">
        <v>1</v>
      </c>
    </row>
    <row r="9" spans="1:27" ht="12" customHeight="1" x14ac:dyDescent="0.25">
      <c r="A9" s="151"/>
      <c r="B9" s="533" t="s">
        <v>34</v>
      </c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34"/>
      <c r="Q9" s="534"/>
      <c r="R9" s="534"/>
      <c r="S9" s="534"/>
      <c r="T9" s="534"/>
      <c r="U9" s="534"/>
      <c r="V9" s="534"/>
      <c r="W9" s="534"/>
      <c r="X9" s="534"/>
      <c r="Y9" s="534"/>
      <c r="Z9" s="534"/>
      <c r="AA9" s="535"/>
    </row>
    <row r="10" spans="1:27" ht="12" customHeight="1" x14ac:dyDescent="0.25">
      <c r="A10" s="524"/>
      <c r="B10" s="527" t="s">
        <v>1388</v>
      </c>
      <c r="C10" s="527" t="s">
        <v>2</v>
      </c>
      <c r="D10" s="527" t="s">
        <v>3</v>
      </c>
      <c r="E10" s="152" t="s">
        <v>57</v>
      </c>
      <c r="F10" s="152" t="s">
        <v>30</v>
      </c>
      <c r="G10" s="152" t="s">
        <v>58</v>
      </c>
      <c r="H10" s="527" t="s">
        <v>5</v>
      </c>
      <c r="I10" s="527" t="s">
        <v>6</v>
      </c>
      <c r="J10" s="527" t="s">
        <v>7</v>
      </c>
      <c r="K10" s="527" t="s">
        <v>8</v>
      </c>
      <c r="L10" s="527" t="s">
        <v>9</v>
      </c>
      <c r="M10" s="527" t="s">
        <v>10</v>
      </c>
      <c r="N10" s="527" t="s">
        <v>11</v>
      </c>
      <c r="O10" s="527" t="s">
        <v>12</v>
      </c>
      <c r="P10" s="527" t="s">
        <v>13</v>
      </c>
      <c r="Q10" s="527" t="s">
        <v>14</v>
      </c>
      <c r="R10" s="527" t="s">
        <v>15</v>
      </c>
      <c r="S10" s="527" t="s">
        <v>16</v>
      </c>
      <c r="T10" s="152" t="s">
        <v>17</v>
      </c>
      <c r="U10" s="152" t="s">
        <v>18</v>
      </c>
      <c r="V10" s="527" t="s">
        <v>59</v>
      </c>
      <c r="W10" s="527" t="s">
        <v>60</v>
      </c>
      <c r="X10" s="527" t="s">
        <v>32</v>
      </c>
      <c r="Y10" s="527" t="s">
        <v>31</v>
      </c>
      <c r="Z10" s="527" t="s">
        <v>61</v>
      </c>
      <c r="AA10" s="527" t="s">
        <v>62</v>
      </c>
    </row>
    <row r="11" spans="1:27" ht="12" customHeight="1" x14ac:dyDescent="0.25">
      <c r="A11" s="525"/>
      <c r="B11" s="525"/>
      <c r="C11" s="526"/>
      <c r="D11" s="526"/>
      <c r="E11" s="153" t="s">
        <v>1408</v>
      </c>
      <c r="F11" s="153" t="s">
        <v>1408</v>
      </c>
      <c r="G11" s="153" t="s">
        <v>1408</v>
      </c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6"/>
      <c r="T11" s="153" t="s">
        <v>1408</v>
      </c>
      <c r="U11" s="153" t="s">
        <v>1408</v>
      </c>
      <c r="V11" s="526"/>
      <c r="W11" s="526"/>
      <c r="X11" s="526"/>
      <c r="Y11" s="526"/>
      <c r="Z11" s="526"/>
      <c r="AA11" s="526"/>
    </row>
    <row r="12" spans="1:27" ht="12" customHeight="1" x14ac:dyDescent="0.25">
      <c r="A12" s="526"/>
      <c r="B12" s="526"/>
      <c r="C12" s="154" t="s">
        <v>20</v>
      </c>
      <c r="D12" s="154" t="s">
        <v>21</v>
      </c>
      <c r="E12" s="154" t="s">
        <v>22</v>
      </c>
      <c r="F12" s="154" t="s">
        <v>23</v>
      </c>
      <c r="G12" s="154" t="s">
        <v>24</v>
      </c>
      <c r="H12" s="154" t="s">
        <v>63</v>
      </c>
      <c r="I12" s="154" t="s">
        <v>63</v>
      </c>
      <c r="J12" s="154" t="s">
        <v>63</v>
      </c>
      <c r="K12" s="154" t="s">
        <v>63</v>
      </c>
      <c r="L12" s="154" t="s">
        <v>63</v>
      </c>
      <c r="M12" s="154" t="s">
        <v>63</v>
      </c>
      <c r="N12" s="154" t="s">
        <v>63</v>
      </c>
      <c r="O12" s="154" t="s">
        <v>63</v>
      </c>
      <c r="P12" s="154" t="s">
        <v>63</v>
      </c>
      <c r="Q12" s="154" t="s">
        <v>63</v>
      </c>
      <c r="R12" s="154" t="s">
        <v>63</v>
      </c>
      <c r="S12" s="154" t="s">
        <v>63</v>
      </c>
      <c r="T12" s="154" t="s">
        <v>64</v>
      </c>
      <c r="U12" s="154" t="s">
        <v>65</v>
      </c>
      <c r="V12" s="154" t="s">
        <v>66</v>
      </c>
      <c r="W12" s="154" t="s">
        <v>67</v>
      </c>
      <c r="X12" s="154" t="s">
        <v>68</v>
      </c>
      <c r="Y12" s="154" t="s">
        <v>69</v>
      </c>
      <c r="Z12" s="154" t="s">
        <v>70</v>
      </c>
      <c r="AA12" s="154" t="s">
        <v>71</v>
      </c>
    </row>
    <row r="13" spans="1:27" ht="12" customHeight="1" x14ac:dyDescent="0.25">
      <c r="A13" s="155"/>
      <c r="B13" s="156" t="s">
        <v>404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8">
        <v>0</v>
      </c>
      <c r="U13" s="159" t="e">
        <v>#DIV/0!</v>
      </c>
      <c r="V13" s="158">
        <v>0</v>
      </c>
      <c r="W13" s="158">
        <v>0</v>
      </c>
      <c r="X13" s="158">
        <v>0</v>
      </c>
      <c r="Y13" s="158">
        <v>0</v>
      </c>
      <c r="Z13" s="158">
        <v>0</v>
      </c>
      <c r="AA13" s="158">
        <v>0</v>
      </c>
    </row>
    <row r="14" spans="1:27" ht="12" customHeight="1" x14ac:dyDescent="0.25">
      <c r="A14" s="155"/>
      <c r="B14" s="162" t="s">
        <v>405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163">
        <v>0</v>
      </c>
      <c r="K14" s="163">
        <v>0</v>
      </c>
      <c r="L14" s="163">
        <v>0</v>
      </c>
      <c r="M14" s="163">
        <v>0</v>
      </c>
      <c r="N14" s="163">
        <v>0</v>
      </c>
      <c r="O14" s="163">
        <v>0</v>
      </c>
      <c r="P14" s="163">
        <v>0</v>
      </c>
      <c r="Q14" s="163">
        <v>0</v>
      </c>
      <c r="R14" s="163">
        <v>0</v>
      </c>
      <c r="S14" s="163">
        <v>0</v>
      </c>
      <c r="T14" s="164">
        <v>0</v>
      </c>
      <c r="U14" s="165" t="e">
        <v>#DIV/0!</v>
      </c>
      <c r="V14" s="164">
        <v>0</v>
      </c>
      <c r="W14" s="164">
        <v>0</v>
      </c>
      <c r="X14" s="164">
        <v>0</v>
      </c>
      <c r="Y14" s="164">
        <v>0</v>
      </c>
      <c r="Z14" s="164">
        <v>0</v>
      </c>
      <c r="AA14" s="164">
        <v>0</v>
      </c>
    </row>
    <row r="15" spans="1:27" ht="12" customHeight="1" x14ac:dyDescent="0.25">
      <c r="A15" s="155" t="s">
        <v>1120</v>
      </c>
      <c r="B15" s="166" t="s">
        <v>406</v>
      </c>
      <c r="C15" s="167">
        <v>0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8" t="e">
        <v>#DIV/0!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</row>
    <row r="16" spans="1:27" ht="12" customHeight="1" x14ac:dyDescent="0.25">
      <c r="A16" s="155" t="s">
        <v>1121</v>
      </c>
      <c r="B16" s="166" t="s">
        <v>407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8" t="e">
        <v>#DIV/0!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</row>
    <row r="17" spans="1:27" ht="12" customHeight="1" x14ac:dyDescent="0.25">
      <c r="A17" s="155" t="s">
        <v>1122</v>
      </c>
      <c r="B17" s="166" t="s">
        <v>408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8" t="e">
        <v>#DIV/0!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</row>
    <row r="18" spans="1:27" ht="12" customHeight="1" x14ac:dyDescent="0.25">
      <c r="A18" s="155" t="s">
        <v>1123</v>
      </c>
      <c r="B18" s="166" t="s">
        <v>409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8" t="e">
        <v>#DIV/0!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</row>
    <row r="19" spans="1:27" ht="12" customHeight="1" x14ac:dyDescent="0.25">
      <c r="A19" s="155" t="s">
        <v>1124</v>
      </c>
      <c r="B19" s="166" t="s">
        <v>410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8" t="e">
        <v>#DIV/0!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</row>
    <row r="20" spans="1:27" ht="12" customHeight="1" x14ac:dyDescent="0.25">
      <c r="A20" s="155" t="s">
        <v>1125</v>
      </c>
      <c r="B20" s="166" t="s">
        <v>411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8" t="e">
        <v>#DIV/0!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</row>
    <row r="21" spans="1:27" ht="12" customHeight="1" x14ac:dyDescent="0.25">
      <c r="A21" s="155" t="s">
        <v>1126</v>
      </c>
      <c r="B21" s="166" t="s">
        <v>412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8" t="e">
        <v>#DIV/0!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</row>
    <row r="22" spans="1:27" ht="12" customHeight="1" x14ac:dyDescent="0.25">
      <c r="A22" s="155" t="s">
        <v>1127</v>
      </c>
      <c r="B22" s="166" t="s">
        <v>413</v>
      </c>
      <c r="C22" s="167">
        <v>0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8" t="e">
        <v>#DIV/0!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</row>
    <row r="23" spans="1:27" ht="12" customHeight="1" x14ac:dyDescent="0.25">
      <c r="A23" s="155" t="s">
        <v>1128</v>
      </c>
      <c r="B23" s="166" t="s">
        <v>414</v>
      </c>
      <c r="C23" s="167">
        <v>0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8" t="e">
        <v>#DIV/0!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</row>
    <row r="24" spans="1:27" ht="12" customHeight="1" x14ac:dyDescent="0.25">
      <c r="A24" s="155" t="s">
        <v>1129</v>
      </c>
      <c r="B24" s="166" t="s">
        <v>415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8" t="e">
        <v>#DIV/0!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</row>
    <row r="25" spans="1:27" ht="12" customHeight="1" x14ac:dyDescent="0.25">
      <c r="A25" s="155" t="s">
        <v>1130</v>
      </c>
      <c r="B25" s="166" t="s">
        <v>416</v>
      </c>
      <c r="C25" s="167">
        <v>0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8" t="e">
        <v>#DIV/0!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</row>
    <row r="26" spans="1:27" ht="12" customHeight="1" x14ac:dyDescent="0.25">
      <c r="A26" s="155" t="s">
        <v>1131</v>
      </c>
      <c r="B26" s="166" t="s">
        <v>417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8" t="e">
        <v>#DIV/0!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</row>
    <row r="27" spans="1:27" ht="12" customHeight="1" x14ac:dyDescent="0.25">
      <c r="A27" s="155"/>
      <c r="B27" s="162" t="s">
        <v>418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3">
        <v>0</v>
      </c>
      <c r="R27" s="163">
        <v>0</v>
      </c>
      <c r="S27" s="163">
        <v>0</v>
      </c>
      <c r="T27" s="164">
        <v>0</v>
      </c>
      <c r="U27" s="165" t="e">
        <v>#DIV/0!</v>
      </c>
      <c r="V27" s="164">
        <v>0</v>
      </c>
      <c r="W27" s="164">
        <v>0</v>
      </c>
      <c r="X27" s="164">
        <v>0</v>
      </c>
      <c r="Y27" s="164">
        <v>0</v>
      </c>
      <c r="Z27" s="164">
        <v>0</v>
      </c>
      <c r="AA27" s="164">
        <v>0</v>
      </c>
    </row>
    <row r="28" spans="1:27" ht="12" customHeight="1" x14ac:dyDescent="0.25">
      <c r="A28" s="155" t="s">
        <v>1132</v>
      </c>
      <c r="B28" s="166" t="s">
        <v>419</v>
      </c>
      <c r="C28" s="167">
        <v>0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8" t="e">
        <v>#DIV/0!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</row>
    <row r="29" spans="1:27" ht="12" customHeight="1" x14ac:dyDescent="0.25">
      <c r="A29" s="155" t="s">
        <v>1133</v>
      </c>
      <c r="B29" s="166" t="s">
        <v>420</v>
      </c>
      <c r="C29" s="167">
        <v>0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8" t="e">
        <v>#DIV/0!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</row>
    <row r="30" spans="1:27" ht="12" customHeight="1" x14ac:dyDescent="0.25">
      <c r="A30" s="155" t="s">
        <v>1134</v>
      </c>
      <c r="B30" s="166" t="s">
        <v>421</v>
      </c>
      <c r="C30" s="167"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8" t="e">
        <v>#DIV/0!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</row>
    <row r="31" spans="1:27" ht="12" customHeight="1" x14ac:dyDescent="0.25">
      <c r="A31" s="155" t="s">
        <v>1135</v>
      </c>
      <c r="B31" s="166" t="s">
        <v>422</v>
      </c>
      <c r="C31" s="167">
        <v>0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8" t="e">
        <v>#DIV/0!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</row>
    <row r="32" spans="1:27" ht="12" customHeight="1" x14ac:dyDescent="0.25">
      <c r="A32" s="155" t="s">
        <v>1136</v>
      </c>
      <c r="B32" s="166" t="s">
        <v>423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8" t="e">
        <v>#DIV/0!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</row>
    <row r="33" spans="1:27" ht="12" customHeight="1" x14ac:dyDescent="0.25">
      <c r="A33" s="155" t="s">
        <v>1137</v>
      </c>
      <c r="B33" s="166" t="s">
        <v>424</v>
      </c>
      <c r="C33" s="167">
        <v>0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8" t="e">
        <v>#DIV/0!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</row>
    <row r="34" spans="1:27" ht="12" customHeight="1" x14ac:dyDescent="0.25">
      <c r="A34" s="155" t="s">
        <v>1138</v>
      </c>
      <c r="B34" s="166" t="s">
        <v>425</v>
      </c>
      <c r="C34" s="167">
        <v>0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8" t="e">
        <v>#DIV/0!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</row>
    <row r="35" spans="1:27" ht="12" customHeight="1" x14ac:dyDescent="0.25">
      <c r="A35" s="155" t="s">
        <v>1139</v>
      </c>
      <c r="B35" s="166" t="s">
        <v>426</v>
      </c>
      <c r="C35" s="167">
        <v>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8" t="e">
        <v>#DIV/0!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</row>
    <row r="36" spans="1:27" ht="12" customHeight="1" x14ac:dyDescent="0.25">
      <c r="A36" s="155" t="s">
        <v>1140</v>
      </c>
      <c r="B36" s="166" t="s">
        <v>427</v>
      </c>
      <c r="C36" s="167">
        <v>0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8" t="e">
        <v>#DIV/0!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</row>
    <row r="37" spans="1:27" ht="12" customHeight="1" x14ac:dyDescent="0.25">
      <c r="A37" s="155" t="s">
        <v>1141</v>
      </c>
      <c r="B37" s="162" t="s">
        <v>428</v>
      </c>
      <c r="C37" s="164">
        <v>0</v>
      </c>
      <c r="D37" s="164">
        <v>0</v>
      </c>
      <c r="E37" s="164">
        <v>0</v>
      </c>
      <c r="F37" s="164">
        <v>0</v>
      </c>
      <c r="G37" s="164">
        <v>0</v>
      </c>
      <c r="H37" s="164">
        <v>0</v>
      </c>
      <c r="I37" s="164">
        <v>0</v>
      </c>
      <c r="J37" s="164">
        <v>0</v>
      </c>
      <c r="K37" s="164">
        <v>0</v>
      </c>
      <c r="L37" s="164">
        <v>0</v>
      </c>
      <c r="M37" s="164">
        <v>0</v>
      </c>
      <c r="N37" s="164">
        <v>0</v>
      </c>
      <c r="O37" s="164">
        <v>0</v>
      </c>
      <c r="P37" s="164">
        <v>0</v>
      </c>
      <c r="Q37" s="164">
        <v>0</v>
      </c>
      <c r="R37" s="164">
        <v>0</v>
      </c>
      <c r="S37" s="164">
        <v>0</v>
      </c>
      <c r="T37" s="164">
        <v>0</v>
      </c>
      <c r="U37" s="165" t="e">
        <v>#DIV/0!</v>
      </c>
      <c r="V37" s="164">
        <v>0</v>
      </c>
      <c r="W37" s="164">
        <v>0</v>
      </c>
      <c r="X37" s="164">
        <v>0</v>
      </c>
      <c r="Y37" s="164">
        <v>0</v>
      </c>
      <c r="Z37" s="164">
        <v>0</v>
      </c>
      <c r="AA37" s="164">
        <v>0</v>
      </c>
    </row>
    <row r="38" spans="1:27" ht="12" customHeight="1" x14ac:dyDescent="0.25">
      <c r="A38" s="155" t="s">
        <v>1142</v>
      </c>
      <c r="B38" s="162" t="s">
        <v>429</v>
      </c>
      <c r="C38" s="164">
        <v>0</v>
      </c>
      <c r="D38" s="164">
        <v>0</v>
      </c>
      <c r="E38" s="164">
        <v>0</v>
      </c>
      <c r="F38" s="164">
        <v>0</v>
      </c>
      <c r="G38" s="164">
        <v>0</v>
      </c>
      <c r="H38" s="164">
        <v>0</v>
      </c>
      <c r="I38" s="164">
        <v>0</v>
      </c>
      <c r="J38" s="164">
        <v>0</v>
      </c>
      <c r="K38" s="164">
        <v>0</v>
      </c>
      <c r="L38" s="164">
        <v>0</v>
      </c>
      <c r="M38" s="164">
        <v>0</v>
      </c>
      <c r="N38" s="164">
        <v>0</v>
      </c>
      <c r="O38" s="164">
        <v>0</v>
      </c>
      <c r="P38" s="164">
        <v>0</v>
      </c>
      <c r="Q38" s="164">
        <v>0</v>
      </c>
      <c r="R38" s="164">
        <v>0</v>
      </c>
      <c r="S38" s="164">
        <v>0</v>
      </c>
      <c r="T38" s="164">
        <v>0</v>
      </c>
      <c r="U38" s="165" t="e">
        <v>#DIV/0!</v>
      </c>
      <c r="V38" s="164">
        <v>0</v>
      </c>
      <c r="W38" s="164">
        <v>0</v>
      </c>
      <c r="X38" s="164">
        <v>0</v>
      </c>
      <c r="Y38" s="164">
        <v>0</v>
      </c>
      <c r="Z38" s="164">
        <v>0</v>
      </c>
      <c r="AA38" s="164">
        <v>0</v>
      </c>
    </row>
    <row r="39" spans="1:27" ht="12" customHeight="1" x14ac:dyDescent="0.25">
      <c r="A39" s="155"/>
      <c r="B39" s="156" t="s">
        <v>430</v>
      </c>
      <c r="C39" s="157">
        <v>0</v>
      </c>
      <c r="D39" s="157">
        <v>0</v>
      </c>
      <c r="E39" s="157">
        <v>0</v>
      </c>
      <c r="F39" s="157">
        <v>0</v>
      </c>
      <c r="G39" s="157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7">
        <v>0</v>
      </c>
      <c r="Q39" s="157">
        <v>0</v>
      </c>
      <c r="R39" s="157">
        <v>0</v>
      </c>
      <c r="S39" s="157">
        <v>0</v>
      </c>
      <c r="T39" s="158">
        <v>0</v>
      </c>
      <c r="U39" s="159" t="e">
        <v>#DIV/0!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0</v>
      </c>
    </row>
    <row r="40" spans="1:27" ht="12" customHeight="1" x14ac:dyDescent="0.25">
      <c r="A40" s="155" t="s">
        <v>1143</v>
      </c>
      <c r="B40" s="162" t="s">
        <v>431</v>
      </c>
      <c r="C40" s="164">
        <v>0</v>
      </c>
      <c r="D40" s="164">
        <v>0</v>
      </c>
      <c r="E40" s="164">
        <v>0</v>
      </c>
      <c r="F40" s="164">
        <v>0</v>
      </c>
      <c r="G40" s="164">
        <v>0</v>
      </c>
      <c r="H40" s="164">
        <v>0</v>
      </c>
      <c r="I40" s="164">
        <v>0</v>
      </c>
      <c r="J40" s="164">
        <v>0</v>
      </c>
      <c r="K40" s="164">
        <v>0</v>
      </c>
      <c r="L40" s="164">
        <v>0</v>
      </c>
      <c r="M40" s="164">
        <v>0</v>
      </c>
      <c r="N40" s="164">
        <v>0</v>
      </c>
      <c r="O40" s="164">
        <v>0</v>
      </c>
      <c r="P40" s="164">
        <v>0</v>
      </c>
      <c r="Q40" s="164">
        <v>0</v>
      </c>
      <c r="R40" s="164">
        <v>0</v>
      </c>
      <c r="S40" s="164">
        <v>0</v>
      </c>
      <c r="T40" s="164">
        <v>0</v>
      </c>
      <c r="U40" s="165" t="e">
        <v>#DIV/0!</v>
      </c>
      <c r="V40" s="164">
        <v>0</v>
      </c>
      <c r="W40" s="164">
        <v>0</v>
      </c>
      <c r="X40" s="164">
        <v>0</v>
      </c>
      <c r="Y40" s="164">
        <v>0</v>
      </c>
      <c r="Z40" s="164">
        <v>0</v>
      </c>
      <c r="AA40" s="164">
        <v>0</v>
      </c>
    </row>
    <row r="41" spans="1:27" ht="12" customHeight="1" x14ac:dyDescent="0.25">
      <c r="A41" s="155" t="s">
        <v>1144</v>
      </c>
      <c r="B41" s="162" t="s">
        <v>432</v>
      </c>
      <c r="C41" s="164">
        <v>0</v>
      </c>
      <c r="D41" s="164">
        <v>0</v>
      </c>
      <c r="E41" s="164">
        <v>0</v>
      </c>
      <c r="F41" s="164">
        <v>0</v>
      </c>
      <c r="G41" s="164">
        <v>0</v>
      </c>
      <c r="H41" s="164">
        <v>0</v>
      </c>
      <c r="I41" s="164">
        <v>0</v>
      </c>
      <c r="J41" s="164">
        <v>0</v>
      </c>
      <c r="K41" s="164">
        <v>0</v>
      </c>
      <c r="L41" s="164">
        <v>0</v>
      </c>
      <c r="M41" s="164">
        <v>0</v>
      </c>
      <c r="N41" s="164">
        <v>0</v>
      </c>
      <c r="O41" s="164">
        <v>0</v>
      </c>
      <c r="P41" s="164">
        <v>0</v>
      </c>
      <c r="Q41" s="164">
        <v>0</v>
      </c>
      <c r="R41" s="164">
        <v>0</v>
      </c>
      <c r="S41" s="164">
        <v>0</v>
      </c>
      <c r="T41" s="164">
        <v>0</v>
      </c>
      <c r="U41" s="165" t="e">
        <v>#DIV/0!</v>
      </c>
      <c r="V41" s="164">
        <v>0</v>
      </c>
      <c r="W41" s="164">
        <v>0</v>
      </c>
      <c r="X41" s="164">
        <v>0</v>
      </c>
      <c r="Y41" s="164">
        <v>0</v>
      </c>
      <c r="Z41" s="164">
        <v>0</v>
      </c>
      <c r="AA41" s="164">
        <v>0</v>
      </c>
    </row>
    <row r="42" spans="1:27" ht="12" customHeight="1" x14ac:dyDescent="0.25">
      <c r="A42" s="155"/>
      <c r="B42" s="162" t="s">
        <v>433</v>
      </c>
      <c r="C42" s="163">
        <v>0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4">
        <v>0</v>
      </c>
      <c r="U42" s="165" t="e">
        <v>#DIV/0!</v>
      </c>
      <c r="V42" s="164">
        <v>0</v>
      </c>
      <c r="W42" s="164">
        <v>0</v>
      </c>
      <c r="X42" s="164">
        <v>0</v>
      </c>
      <c r="Y42" s="164">
        <v>0</v>
      </c>
      <c r="Z42" s="164">
        <v>0</v>
      </c>
      <c r="AA42" s="164">
        <v>0</v>
      </c>
    </row>
    <row r="43" spans="1:27" ht="12" customHeight="1" x14ac:dyDescent="0.25">
      <c r="A43" s="155" t="s">
        <v>1145</v>
      </c>
      <c r="B43" s="166" t="s">
        <v>434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8" t="e">
        <v>#DIV/0!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</row>
    <row r="44" spans="1:27" ht="12" customHeight="1" x14ac:dyDescent="0.25">
      <c r="A44" s="155" t="s">
        <v>1146</v>
      </c>
      <c r="B44" s="166" t="s">
        <v>435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8" t="e">
        <v>#DIV/0!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</row>
    <row r="45" spans="1:27" ht="12" customHeight="1" x14ac:dyDescent="0.25">
      <c r="A45" s="155"/>
      <c r="B45" s="162" t="s">
        <v>436</v>
      </c>
      <c r="C45" s="163">
        <v>0</v>
      </c>
      <c r="D45" s="163">
        <v>0</v>
      </c>
      <c r="E45" s="163">
        <v>0</v>
      </c>
      <c r="F45" s="163">
        <v>0</v>
      </c>
      <c r="G45" s="163">
        <v>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3">
        <v>0</v>
      </c>
      <c r="R45" s="163">
        <v>0</v>
      </c>
      <c r="S45" s="163">
        <v>0</v>
      </c>
      <c r="T45" s="164">
        <v>0</v>
      </c>
      <c r="U45" s="165" t="e">
        <v>#DIV/0!</v>
      </c>
      <c r="V45" s="164">
        <v>0</v>
      </c>
      <c r="W45" s="164">
        <v>0</v>
      </c>
      <c r="X45" s="164">
        <v>0</v>
      </c>
      <c r="Y45" s="164">
        <v>0</v>
      </c>
      <c r="Z45" s="164">
        <v>0</v>
      </c>
      <c r="AA45" s="164">
        <v>0</v>
      </c>
    </row>
    <row r="46" spans="1:27" ht="12" customHeight="1" x14ac:dyDescent="0.25">
      <c r="A46" s="155" t="s">
        <v>1147</v>
      </c>
      <c r="B46" s="166" t="s">
        <v>437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8" t="e">
        <v>#DIV/0!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</row>
    <row r="47" spans="1:27" ht="12" customHeight="1" x14ac:dyDescent="0.25">
      <c r="A47" s="155" t="s">
        <v>1148</v>
      </c>
      <c r="B47" s="166" t="s">
        <v>438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8" t="e">
        <v>#DIV/0!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</row>
    <row r="48" spans="1:27" ht="12" customHeight="1" x14ac:dyDescent="0.25">
      <c r="A48" s="155" t="s">
        <v>1149</v>
      </c>
      <c r="B48" s="166" t="s">
        <v>439</v>
      </c>
      <c r="C48" s="167">
        <v>0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8" t="e">
        <v>#DIV/0!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</row>
    <row r="49" spans="1:27" ht="12" customHeight="1" x14ac:dyDescent="0.25">
      <c r="A49" s="155" t="s">
        <v>1150</v>
      </c>
      <c r="B49" s="166" t="s">
        <v>440</v>
      </c>
      <c r="C49" s="167">
        <v>0</v>
      </c>
      <c r="D49" s="167">
        <v>0</v>
      </c>
      <c r="E49" s="167">
        <v>0</v>
      </c>
      <c r="F49" s="167">
        <v>0</v>
      </c>
      <c r="G49" s="167">
        <v>0</v>
      </c>
      <c r="H49" s="167">
        <v>0</v>
      </c>
      <c r="I49" s="167"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8" t="e">
        <v>#DIV/0!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</row>
    <row r="50" spans="1:27" ht="12" customHeight="1" x14ac:dyDescent="0.25">
      <c r="A50" s="155"/>
      <c r="B50" s="162" t="s">
        <v>441</v>
      </c>
      <c r="C50" s="163">
        <v>0</v>
      </c>
      <c r="D50" s="163">
        <v>0</v>
      </c>
      <c r="E50" s="163">
        <v>0</v>
      </c>
      <c r="F50" s="163">
        <v>0</v>
      </c>
      <c r="G50" s="163">
        <v>0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163">
        <v>0</v>
      </c>
      <c r="T50" s="164">
        <v>0</v>
      </c>
      <c r="U50" s="165" t="e">
        <v>#DIV/0!</v>
      </c>
      <c r="V50" s="164">
        <v>0</v>
      </c>
      <c r="W50" s="164">
        <v>0</v>
      </c>
      <c r="X50" s="164">
        <v>0</v>
      </c>
      <c r="Y50" s="164">
        <v>0</v>
      </c>
      <c r="Z50" s="164">
        <v>0</v>
      </c>
      <c r="AA50" s="164">
        <v>0</v>
      </c>
    </row>
    <row r="51" spans="1:27" ht="12" customHeight="1" x14ac:dyDescent="0.25">
      <c r="A51" s="155" t="s">
        <v>1151</v>
      </c>
      <c r="B51" s="166" t="s">
        <v>442</v>
      </c>
      <c r="C51" s="167">
        <v>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8" t="e">
        <v>#DIV/0!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</row>
    <row r="52" spans="1:27" ht="12" customHeight="1" x14ac:dyDescent="0.25">
      <c r="A52" s="155" t="s">
        <v>1152</v>
      </c>
      <c r="B52" s="166" t="s">
        <v>443</v>
      </c>
      <c r="C52" s="167">
        <v>0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8" t="e">
        <v>#DIV/0!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</row>
    <row r="53" spans="1:27" ht="12" customHeight="1" x14ac:dyDescent="0.25">
      <c r="A53" s="155" t="s">
        <v>1153</v>
      </c>
      <c r="B53" s="166" t="s">
        <v>444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8" t="e">
        <v>#DIV/0!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</row>
    <row r="54" spans="1:27" ht="12" customHeight="1" x14ac:dyDescent="0.25">
      <c r="A54" s="155" t="s">
        <v>1154</v>
      </c>
      <c r="B54" s="166" t="s">
        <v>445</v>
      </c>
      <c r="C54" s="167">
        <v>0</v>
      </c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8" t="e">
        <v>#DIV/0!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</row>
    <row r="55" spans="1:27" ht="12" customHeight="1" x14ac:dyDescent="0.25">
      <c r="A55" s="155" t="s">
        <v>1155</v>
      </c>
      <c r="B55" s="162" t="s">
        <v>446</v>
      </c>
      <c r="C55" s="164">
        <v>0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4">
        <v>0</v>
      </c>
      <c r="J55" s="164"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4">
        <v>0</v>
      </c>
      <c r="R55" s="164">
        <v>0</v>
      </c>
      <c r="S55" s="164">
        <v>0</v>
      </c>
      <c r="T55" s="164">
        <v>0</v>
      </c>
      <c r="U55" s="165" t="e">
        <v>#DIV/0!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64">
        <v>0</v>
      </c>
    </row>
    <row r="56" spans="1:27" ht="12" customHeight="1" x14ac:dyDescent="0.25">
      <c r="A56" s="155" t="s">
        <v>1156</v>
      </c>
      <c r="B56" s="162" t="s">
        <v>447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4">
        <v>0</v>
      </c>
      <c r="J56" s="164"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4">
        <v>0</v>
      </c>
      <c r="R56" s="164">
        <v>0</v>
      </c>
      <c r="S56" s="164">
        <v>0</v>
      </c>
      <c r="T56" s="164">
        <v>0</v>
      </c>
      <c r="U56" s="165" t="e">
        <v>#DIV/0!</v>
      </c>
      <c r="V56" s="164">
        <v>0</v>
      </c>
      <c r="W56" s="164">
        <v>0</v>
      </c>
      <c r="X56" s="164">
        <v>0</v>
      </c>
      <c r="Y56" s="164">
        <v>0</v>
      </c>
      <c r="Z56" s="164">
        <v>0</v>
      </c>
      <c r="AA56" s="164">
        <v>0</v>
      </c>
    </row>
    <row r="57" spans="1:27" ht="12" customHeight="1" x14ac:dyDescent="0.25">
      <c r="A57" s="155" t="s">
        <v>1157</v>
      </c>
      <c r="B57" s="162" t="s">
        <v>448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4">
        <v>0</v>
      </c>
      <c r="J57" s="164"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4">
        <v>0</v>
      </c>
      <c r="R57" s="164">
        <v>0</v>
      </c>
      <c r="S57" s="164">
        <v>0</v>
      </c>
      <c r="T57" s="164">
        <v>0</v>
      </c>
      <c r="U57" s="165" t="e">
        <v>#DIV/0!</v>
      </c>
      <c r="V57" s="164">
        <v>0</v>
      </c>
      <c r="W57" s="164">
        <v>0</v>
      </c>
      <c r="X57" s="164">
        <v>0</v>
      </c>
      <c r="Y57" s="164">
        <v>0</v>
      </c>
      <c r="Z57" s="164">
        <v>0</v>
      </c>
      <c r="AA57" s="164">
        <v>0</v>
      </c>
    </row>
    <row r="58" spans="1:27" ht="12" customHeight="1" x14ac:dyDescent="0.25">
      <c r="A58" s="155" t="s">
        <v>1158</v>
      </c>
      <c r="B58" s="162" t="s">
        <v>449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4">
        <v>0</v>
      </c>
      <c r="J58" s="164"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4">
        <v>0</v>
      </c>
      <c r="R58" s="164">
        <v>0</v>
      </c>
      <c r="S58" s="164">
        <v>0</v>
      </c>
      <c r="T58" s="164">
        <v>0</v>
      </c>
      <c r="U58" s="165" t="e">
        <v>#DIV/0!</v>
      </c>
      <c r="V58" s="164">
        <v>0</v>
      </c>
      <c r="W58" s="164">
        <v>0</v>
      </c>
      <c r="X58" s="164">
        <v>0</v>
      </c>
      <c r="Y58" s="164">
        <v>0</v>
      </c>
      <c r="Z58" s="164">
        <v>0</v>
      </c>
      <c r="AA58" s="164">
        <v>0</v>
      </c>
    </row>
    <row r="59" spans="1:27" ht="12" customHeight="1" x14ac:dyDescent="0.25">
      <c r="A59" s="155"/>
      <c r="B59" s="162" t="s">
        <v>450</v>
      </c>
      <c r="C59" s="163">
        <v>0</v>
      </c>
      <c r="D59" s="163">
        <v>0</v>
      </c>
      <c r="E59" s="163">
        <v>0</v>
      </c>
      <c r="F59" s="163">
        <v>0</v>
      </c>
      <c r="G59" s="163">
        <v>0</v>
      </c>
      <c r="H59" s="163">
        <v>0</v>
      </c>
      <c r="I59" s="163">
        <v>0</v>
      </c>
      <c r="J59" s="163">
        <v>0</v>
      </c>
      <c r="K59" s="163">
        <v>0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3">
        <v>0</v>
      </c>
      <c r="R59" s="163">
        <v>0</v>
      </c>
      <c r="S59" s="163">
        <v>0</v>
      </c>
      <c r="T59" s="164">
        <v>0</v>
      </c>
      <c r="U59" s="165" t="e">
        <v>#DIV/0!</v>
      </c>
      <c r="V59" s="164">
        <v>0</v>
      </c>
      <c r="W59" s="164">
        <v>0</v>
      </c>
      <c r="X59" s="164">
        <v>0</v>
      </c>
      <c r="Y59" s="164">
        <v>0</v>
      </c>
      <c r="Z59" s="164">
        <v>0</v>
      </c>
      <c r="AA59" s="164">
        <v>0</v>
      </c>
    </row>
    <row r="60" spans="1:27" ht="12" customHeight="1" x14ac:dyDescent="0.25">
      <c r="A60" s="155" t="s">
        <v>1159</v>
      </c>
      <c r="B60" s="166" t="s">
        <v>451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8" t="e">
        <v>#DIV/0!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</row>
    <row r="61" spans="1:27" ht="12" customHeight="1" x14ac:dyDescent="0.25">
      <c r="A61" s="155" t="s">
        <v>1160</v>
      </c>
      <c r="B61" s="166" t="s">
        <v>452</v>
      </c>
      <c r="C61" s="167">
        <v>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8" t="e">
        <v>#DIV/0!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</row>
    <row r="62" spans="1:27" ht="12" customHeight="1" x14ac:dyDescent="0.25">
      <c r="A62" s="155" t="s">
        <v>1161</v>
      </c>
      <c r="B62" s="166" t="s">
        <v>453</v>
      </c>
      <c r="C62" s="167">
        <v>0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8" t="e">
        <v>#DIV/0!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</row>
    <row r="63" spans="1:27" ht="12" customHeight="1" x14ac:dyDescent="0.25">
      <c r="A63" s="155" t="s">
        <v>1162</v>
      </c>
      <c r="B63" s="166" t="s">
        <v>454</v>
      </c>
      <c r="C63" s="167">
        <v>0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8" t="e">
        <v>#DIV/0!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</row>
    <row r="64" spans="1:27" ht="12" customHeight="1" x14ac:dyDescent="0.25">
      <c r="A64" s="155" t="s">
        <v>1163</v>
      </c>
      <c r="B64" s="166" t="s">
        <v>455</v>
      </c>
      <c r="C64" s="167">
        <v>0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8" t="e">
        <v>#DIV/0!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</row>
    <row r="65" spans="1:27" ht="12" customHeight="1" x14ac:dyDescent="0.25">
      <c r="A65" s="155"/>
      <c r="B65" s="162" t="s">
        <v>456</v>
      </c>
      <c r="C65" s="163">
        <v>0</v>
      </c>
      <c r="D65" s="163">
        <v>0</v>
      </c>
      <c r="E65" s="163">
        <v>0</v>
      </c>
      <c r="F65" s="163">
        <v>0</v>
      </c>
      <c r="G65" s="163">
        <v>0</v>
      </c>
      <c r="H65" s="163">
        <v>0</v>
      </c>
      <c r="I65" s="163">
        <v>0</v>
      </c>
      <c r="J65" s="163">
        <v>0</v>
      </c>
      <c r="K65" s="163">
        <v>0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3">
        <v>0</v>
      </c>
      <c r="R65" s="163">
        <v>0</v>
      </c>
      <c r="S65" s="163">
        <v>0</v>
      </c>
      <c r="T65" s="164">
        <v>0</v>
      </c>
      <c r="U65" s="165" t="e">
        <v>#DIV/0!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</row>
    <row r="66" spans="1:27" ht="12" customHeight="1" x14ac:dyDescent="0.25">
      <c r="A66" s="155" t="s">
        <v>1164</v>
      </c>
      <c r="B66" s="166" t="s">
        <v>457</v>
      </c>
      <c r="C66" s="167">
        <v>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8" t="e">
        <v>#DIV/0!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</row>
    <row r="67" spans="1:27" ht="12" customHeight="1" x14ac:dyDescent="0.25">
      <c r="A67" s="155" t="s">
        <v>1165</v>
      </c>
      <c r="B67" s="166" t="s">
        <v>458</v>
      </c>
      <c r="C67" s="167">
        <v>0</v>
      </c>
      <c r="D67" s="167">
        <v>0</v>
      </c>
      <c r="E67" s="167">
        <v>0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0</v>
      </c>
      <c r="U67" s="168" t="e">
        <v>#DIV/0!</v>
      </c>
      <c r="V67" s="167">
        <v>0</v>
      </c>
      <c r="W67" s="167">
        <v>0</v>
      </c>
      <c r="X67" s="167">
        <v>0</v>
      </c>
      <c r="Y67" s="167">
        <v>0</v>
      </c>
      <c r="Z67" s="167">
        <v>0</v>
      </c>
      <c r="AA67" s="167">
        <v>0</v>
      </c>
    </row>
    <row r="68" spans="1:27" ht="12" customHeight="1" x14ac:dyDescent="0.25">
      <c r="A68" s="155" t="s">
        <v>1166</v>
      </c>
      <c r="B68" s="166" t="s">
        <v>459</v>
      </c>
      <c r="C68" s="167">
        <v>0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8" t="e">
        <v>#DIV/0!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</row>
    <row r="69" spans="1:27" ht="12" customHeight="1" x14ac:dyDescent="0.25">
      <c r="A69" s="155" t="s">
        <v>1167</v>
      </c>
      <c r="B69" s="166" t="s">
        <v>460</v>
      </c>
      <c r="C69" s="167">
        <v>0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8" t="e">
        <v>#DIV/0!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</row>
    <row r="70" spans="1:27" ht="12" customHeight="1" x14ac:dyDescent="0.25">
      <c r="A70" s="155" t="s">
        <v>1168</v>
      </c>
      <c r="B70" s="166" t="s">
        <v>461</v>
      </c>
      <c r="C70" s="167">
        <v>0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8" t="e">
        <v>#DIV/0!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</row>
    <row r="71" spans="1:27" ht="12" customHeight="1" x14ac:dyDescent="0.25">
      <c r="A71" s="155" t="s">
        <v>1169</v>
      </c>
      <c r="B71" s="166" t="s">
        <v>462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8" t="e">
        <v>#DIV/0!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</row>
    <row r="72" spans="1:27" ht="12" customHeight="1" x14ac:dyDescent="0.25">
      <c r="A72" s="155"/>
      <c r="B72" s="162" t="s">
        <v>463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3">
        <v>0</v>
      </c>
      <c r="T72" s="164">
        <v>0</v>
      </c>
      <c r="U72" s="165" t="e">
        <v>#DIV/0!</v>
      </c>
      <c r="V72" s="164">
        <v>0</v>
      </c>
      <c r="W72" s="164">
        <v>0</v>
      </c>
      <c r="X72" s="164">
        <v>0</v>
      </c>
      <c r="Y72" s="164">
        <v>0</v>
      </c>
      <c r="Z72" s="164">
        <v>0</v>
      </c>
      <c r="AA72" s="164">
        <v>0</v>
      </c>
    </row>
    <row r="73" spans="1:27" ht="12" customHeight="1" x14ac:dyDescent="0.25">
      <c r="A73" s="155" t="s">
        <v>1170</v>
      </c>
      <c r="B73" s="166" t="s">
        <v>464</v>
      </c>
      <c r="C73" s="167">
        <v>0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8" t="e">
        <v>#DIV/0!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</row>
    <row r="74" spans="1:27" ht="12" customHeight="1" x14ac:dyDescent="0.25">
      <c r="A74" s="155" t="s">
        <v>1171</v>
      </c>
      <c r="B74" s="166" t="s">
        <v>465</v>
      </c>
      <c r="C74" s="167">
        <v>0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8" t="e">
        <v>#DIV/0!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</row>
    <row r="75" spans="1:27" ht="12" customHeight="1" x14ac:dyDescent="0.25">
      <c r="A75" s="155" t="s">
        <v>1172</v>
      </c>
      <c r="B75" s="162" t="s">
        <v>466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4">
        <v>0</v>
      </c>
      <c r="J75" s="164"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4">
        <v>0</v>
      </c>
      <c r="Q75" s="164">
        <v>0</v>
      </c>
      <c r="R75" s="164">
        <v>0</v>
      </c>
      <c r="S75" s="164">
        <v>0</v>
      </c>
      <c r="T75" s="164">
        <v>0</v>
      </c>
      <c r="U75" s="165" t="e">
        <v>#DIV/0!</v>
      </c>
      <c r="V75" s="164">
        <v>0</v>
      </c>
      <c r="W75" s="164">
        <v>0</v>
      </c>
      <c r="X75" s="164">
        <v>0</v>
      </c>
      <c r="Y75" s="164">
        <v>0</v>
      </c>
      <c r="Z75" s="164">
        <v>0</v>
      </c>
      <c r="AA75" s="164">
        <v>0</v>
      </c>
    </row>
    <row r="76" spans="1:27" ht="12" customHeight="1" x14ac:dyDescent="0.25">
      <c r="A76" s="155" t="s">
        <v>1173</v>
      </c>
      <c r="B76" s="162" t="s">
        <v>467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4">
        <v>0</v>
      </c>
      <c r="I76" s="164">
        <v>0</v>
      </c>
      <c r="J76" s="164"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4">
        <v>0</v>
      </c>
      <c r="Q76" s="164">
        <v>0</v>
      </c>
      <c r="R76" s="164">
        <v>0</v>
      </c>
      <c r="S76" s="164">
        <v>0</v>
      </c>
      <c r="T76" s="164">
        <v>0</v>
      </c>
      <c r="U76" s="165" t="e">
        <v>#DIV/0!</v>
      </c>
      <c r="V76" s="164">
        <v>0</v>
      </c>
      <c r="W76" s="164">
        <v>0</v>
      </c>
      <c r="X76" s="164">
        <v>0</v>
      </c>
      <c r="Y76" s="164">
        <v>0</v>
      </c>
      <c r="Z76" s="164">
        <v>0</v>
      </c>
      <c r="AA76" s="164">
        <v>0</v>
      </c>
    </row>
    <row r="77" spans="1:27" ht="12" customHeight="1" x14ac:dyDescent="0.25">
      <c r="A77" s="155" t="s">
        <v>1174</v>
      </c>
      <c r="B77" s="162" t="s">
        <v>468</v>
      </c>
      <c r="C77" s="164">
        <v>0</v>
      </c>
      <c r="D77" s="164">
        <v>0</v>
      </c>
      <c r="E77" s="164">
        <v>0</v>
      </c>
      <c r="F77" s="164">
        <v>0</v>
      </c>
      <c r="G77" s="164">
        <v>0</v>
      </c>
      <c r="H77" s="164">
        <v>0</v>
      </c>
      <c r="I77" s="164">
        <v>0</v>
      </c>
      <c r="J77" s="164">
        <v>0</v>
      </c>
      <c r="K77" s="164">
        <v>0</v>
      </c>
      <c r="L77" s="164">
        <v>0</v>
      </c>
      <c r="M77" s="164">
        <v>0</v>
      </c>
      <c r="N77" s="164">
        <v>0</v>
      </c>
      <c r="O77" s="164">
        <v>0</v>
      </c>
      <c r="P77" s="164">
        <v>0</v>
      </c>
      <c r="Q77" s="164">
        <v>0</v>
      </c>
      <c r="R77" s="164">
        <v>0</v>
      </c>
      <c r="S77" s="164">
        <v>0</v>
      </c>
      <c r="T77" s="164">
        <v>0</v>
      </c>
      <c r="U77" s="165" t="e">
        <v>#DIV/0!</v>
      </c>
      <c r="V77" s="164">
        <v>0</v>
      </c>
      <c r="W77" s="164">
        <v>0</v>
      </c>
      <c r="X77" s="164">
        <v>0</v>
      </c>
      <c r="Y77" s="164">
        <v>0</v>
      </c>
      <c r="Z77" s="164">
        <v>0</v>
      </c>
      <c r="AA77" s="164">
        <v>0</v>
      </c>
    </row>
    <row r="78" spans="1:27" ht="12" customHeight="1" x14ac:dyDescent="0.25">
      <c r="A78" s="155"/>
      <c r="B78" s="162" t="s">
        <v>469</v>
      </c>
      <c r="C78" s="163">
        <v>0</v>
      </c>
      <c r="D78" s="163">
        <v>0</v>
      </c>
      <c r="E78" s="163">
        <v>0</v>
      </c>
      <c r="F78" s="163">
        <v>0</v>
      </c>
      <c r="G78" s="163">
        <v>0</v>
      </c>
      <c r="H78" s="163">
        <v>0</v>
      </c>
      <c r="I78" s="163">
        <v>0</v>
      </c>
      <c r="J78" s="163">
        <v>0</v>
      </c>
      <c r="K78" s="163">
        <v>0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3">
        <v>0</v>
      </c>
      <c r="R78" s="163">
        <v>0</v>
      </c>
      <c r="S78" s="163">
        <v>0</v>
      </c>
      <c r="T78" s="164">
        <v>0</v>
      </c>
      <c r="U78" s="165" t="e">
        <v>#DIV/0!</v>
      </c>
      <c r="V78" s="164">
        <v>0</v>
      </c>
      <c r="W78" s="164">
        <v>0</v>
      </c>
      <c r="X78" s="164">
        <v>0</v>
      </c>
      <c r="Y78" s="164">
        <v>0</v>
      </c>
      <c r="Z78" s="164">
        <v>0</v>
      </c>
      <c r="AA78" s="164">
        <v>0</v>
      </c>
    </row>
    <row r="79" spans="1:27" ht="12" customHeight="1" x14ac:dyDescent="0.25">
      <c r="A79" s="155" t="s">
        <v>1175</v>
      </c>
      <c r="B79" s="166" t="s">
        <v>470</v>
      </c>
      <c r="C79" s="167">
        <v>0</v>
      </c>
      <c r="D79" s="167">
        <v>0</v>
      </c>
      <c r="E79" s="167">
        <v>0</v>
      </c>
      <c r="F79" s="167">
        <v>0</v>
      </c>
      <c r="G79" s="167">
        <v>0</v>
      </c>
      <c r="H79" s="167">
        <v>0</v>
      </c>
      <c r="I79" s="167">
        <v>0</v>
      </c>
      <c r="J79" s="167">
        <v>0</v>
      </c>
      <c r="K79" s="167">
        <v>0</v>
      </c>
      <c r="L79" s="167">
        <v>0</v>
      </c>
      <c r="M79" s="167">
        <v>0</v>
      </c>
      <c r="N79" s="167">
        <v>0</v>
      </c>
      <c r="O79" s="167">
        <v>0</v>
      </c>
      <c r="P79" s="167">
        <v>0</v>
      </c>
      <c r="Q79" s="167">
        <v>0</v>
      </c>
      <c r="R79" s="167">
        <v>0</v>
      </c>
      <c r="S79" s="167">
        <v>0</v>
      </c>
      <c r="T79" s="167">
        <v>0</v>
      </c>
      <c r="U79" s="168" t="e">
        <v>#DIV/0!</v>
      </c>
      <c r="V79" s="167">
        <v>0</v>
      </c>
      <c r="W79" s="167">
        <v>0</v>
      </c>
      <c r="X79" s="167">
        <v>0</v>
      </c>
      <c r="Y79" s="167">
        <v>0</v>
      </c>
      <c r="Z79" s="167">
        <v>0</v>
      </c>
      <c r="AA79" s="167">
        <v>0</v>
      </c>
    </row>
    <row r="80" spans="1:27" ht="12" customHeight="1" x14ac:dyDescent="0.25">
      <c r="A80" s="155" t="s">
        <v>1176</v>
      </c>
      <c r="B80" s="166" t="s">
        <v>471</v>
      </c>
      <c r="C80" s="167">
        <v>0</v>
      </c>
      <c r="D80" s="167">
        <v>0</v>
      </c>
      <c r="E80" s="167">
        <v>0</v>
      </c>
      <c r="F80" s="167">
        <v>0</v>
      </c>
      <c r="G80" s="167">
        <v>0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67">
        <v>0</v>
      </c>
      <c r="N80" s="167">
        <v>0</v>
      </c>
      <c r="O80" s="167">
        <v>0</v>
      </c>
      <c r="P80" s="167">
        <v>0</v>
      </c>
      <c r="Q80" s="167">
        <v>0</v>
      </c>
      <c r="R80" s="167">
        <v>0</v>
      </c>
      <c r="S80" s="167">
        <v>0</v>
      </c>
      <c r="T80" s="167">
        <v>0</v>
      </c>
      <c r="U80" s="168" t="e">
        <v>#DIV/0!</v>
      </c>
      <c r="V80" s="167">
        <v>0</v>
      </c>
      <c r="W80" s="167">
        <v>0</v>
      </c>
      <c r="X80" s="167">
        <v>0</v>
      </c>
      <c r="Y80" s="167">
        <v>0</v>
      </c>
      <c r="Z80" s="167">
        <v>0</v>
      </c>
      <c r="AA80" s="167">
        <v>0</v>
      </c>
    </row>
    <row r="81" spans="1:27" ht="12" customHeight="1" x14ac:dyDescent="0.25">
      <c r="A81" s="155"/>
      <c r="B81" s="162" t="s">
        <v>472</v>
      </c>
      <c r="C81" s="163">
        <v>0</v>
      </c>
      <c r="D81" s="163">
        <v>0</v>
      </c>
      <c r="E81" s="163">
        <v>0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3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3">
        <v>0</v>
      </c>
      <c r="R81" s="163">
        <v>0</v>
      </c>
      <c r="S81" s="163">
        <v>0</v>
      </c>
      <c r="T81" s="164">
        <v>0</v>
      </c>
      <c r="U81" s="165" t="e">
        <v>#DIV/0!</v>
      </c>
      <c r="V81" s="164">
        <v>0</v>
      </c>
      <c r="W81" s="164">
        <v>0</v>
      </c>
      <c r="X81" s="164">
        <v>0</v>
      </c>
      <c r="Y81" s="164">
        <v>0</v>
      </c>
      <c r="Z81" s="164">
        <v>0</v>
      </c>
      <c r="AA81" s="164">
        <v>0</v>
      </c>
    </row>
    <row r="82" spans="1:27" ht="12" customHeight="1" x14ac:dyDescent="0.25">
      <c r="A82" s="155" t="s">
        <v>1177</v>
      </c>
      <c r="B82" s="155" t="s">
        <v>473</v>
      </c>
      <c r="C82" s="167">
        <v>0</v>
      </c>
      <c r="D82" s="167">
        <v>0</v>
      </c>
      <c r="E82" s="167">
        <v>0</v>
      </c>
      <c r="F82" s="167">
        <v>0</v>
      </c>
      <c r="G82" s="16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67">
        <v>0</v>
      </c>
      <c r="N82" s="167">
        <v>0</v>
      </c>
      <c r="O82" s="167">
        <v>0</v>
      </c>
      <c r="P82" s="167">
        <v>0</v>
      </c>
      <c r="Q82" s="167">
        <v>0</v>
      </c>
      <c r="R82" s="167">
        <v>0</v>
      </c>
      <c r="S82" s="167">
        <v>0</v>
      </c>
      <c r="T82" s="167">
        <v>0</v>
      </c>
      <c r="U82" s="168" t="e">
        <v>#DIV/0!</v>
      </c>
      <c r="V82" s="167">
        <v>0</v>
      </c>
      <c r="W82" s="167">
        <v>0</v>
      </c>
      <c r="X82" s="167">
        <v>0</v>
      </c>
      <c r="Y82" s="167">
        <v>0</v>
      </c>
      <c r="Z82" s="167">
        <v>0</v>
      </c>
      <c r="AA82" s="167">
        <v>0</v>
      </c>
    </row>
    <row r="83" spans="1:27" ht="12" customHeight="1" x14ac:dyDescent="0.25">
      <c r="A83" s="155" t="s">
        <v>1178</v>
      </c>
      <c r="B83" s="155" t="s">
        <v>474</v>
      </c>
      <c r="C83" s="167">
        <v>0</v>
      </c>
      <c r="D83" s="167">
        <v>0</v>
      </c>
      <c r="E83" s="167">
        <v>0</v>
      </c>
      <c r="F83" s="167">
        <v>0</v>
      </c>
      <c r="G83" s="167">
        <v>0</v>
      </c>
      <c r="H83" s="167">
        <v>0</v>
      </c>
      <c r="I83" s="167">
        <v>0</v>
      </c>
      <c r="J83" s="167">
        <v>0</v>
      </c>
      <c r="K83" s="167">
        <v>0</v>
      </c>
      <c r="L83" s="167">
        <v>0</v>
      </c>
      <c r="M83" s="167">
        <v>0</v>
      </c>
      <c r="N83" s="167">
        <v>0</v>
      </c>
      <c r="O83" s="167">
        <v>0</v>
      </c>
      <c r="P83" s="167">
        <v>0</v>
      </c>
      <c r="Q83" s="167">
        <v>0</v>
      </c>
      <c r="R83" s="167">
        <v>0</v>
      </c>
      <c r="S83" s="167">
        <v>0</v>
      </c>
      <c r="T83" s="167">
        <v>0</v>
      </c>
      <c r="U83" s="168" t="e">
        <v>#DIV/0!</v>
      </c>
      <c r="V83" s="167">
        <v>0</v>
      </c>
      <c r="W83" s="167">
        <v>0</v>
      </c>
      <c r="X83" s="167">
        <v>0</v>
      </c>
      <c r="Y83" s="167">
        <v>0</v>
      </c>
      <c r="Z83" s="167">
        <v>0</v>
      </c>
      <c r="AA83" s="167">
        <v>0</v>
      </c>
    </row>
    <row r="84" spans="1:27" ht="12" customHeight="1" x14ac:dyDescent="0.25">
      <c r="A84" s="155" t="s">
        <v>1179</v>
      </c>
      <c r="B84" s="155" t="s">
        <v>475</v>
      </c>
      <c r="C84" s="167">
        <v>0</v>
      </c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167">
        <v>0</v>
      </c>
      <c r="R84" s="167">
        <v>0</v>
      </c>
      <c r="S84" s="167">
        <v>0</v>
      </c>
      <c r="T84" s="167">
        <v>0</v>
      </c>
      <c r="U84" s="168" t="e">
        <v>#DIV/0!</v>
      </c>
      <c r="V84" s="167">
        <v>0</v>
      </c>
      <c r="W84" s="167">
        <v>0</v>
      </c>
      <c r="X84" s="167">
        <v>0</v>
      </c>
      <c r="Y84" s="167">
        <v>0</v>
      </c>
      <c r="Z84" s="167">
        <v>0</v>
      </c>
      <c r="AA84" s="167">
        <v>0</v>
      </c>
    </row>
    <row r="85" spans="1:27" ht="12" customHeight="1" x14ac:dyDescent="0.25">
      <c r="A85" s="155" t="s">
        <v>1180</v>
      </c>
      <c r="B85" s="155" t="s">
        <v>476</v>
      </c>
      <c r="C85" s="167">
        <v>0</v>
      </c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0</v>
      </c>
      <c r="L85" s="167">
        <v>0</v>
      </c>
      <c r="M85" s="167">
        <v>0</v>
      </c>
      <c r="N85" s="167">
        <v>0</v>
      </c>
      <c r="O85" s="167">
        <v>0</v>
      </c>
      <c r="P85" s="167">
        <v>0</v>
      </c>
      <c r="Q85" s="167">
        <v>0</v>
      </c>
      <c r="R85" s="167">
        <v>0</v>
      </c>
      <c r="S85" s="167">
        <v>0</v>
      </c>
      <c r="T85" s="167">
        <v>0</v>
      </c>
      <c r="U85" s="168" t="e">
        <v>#DIV/0!</v>
      </c>
      <c r="V85" s="167">
        <v>0</v>
      </c>
      <c r="W85" s="167">
        <v>0</v>
      </c>
      <c r="X85" s="167">
        <v>0</v>
      </c>
      <c r="Y85" s="167">
        <v>0</v>
      </c>
      <c r="Z85" s="167">
        <v>0</v>
      </c>
      <c r="AA85" s="167">
        <v>0</v>
      </c>
    </row>
    <row r="86" spans="1:27" ht="12" customHeight="1" x14ac:dyDescent="0.25">
      <c r="A86" s="155" t="s">
        <v>1181</v>
      </c>
      <c r="B86" s="155" t="s">
        <v>477</v>
      </c>
      <c r="C86" s="167">
        <v>0</v>
      </c>
      <c r="D86" s="167">
        <v>0</v>
      </c>
      <c r="E86" s="167">
        <v>0</v>
      </c>
      <c r="F86" s="167">
        <v>0</v>
      </c>
      <c r="G86" s="167">
        <v>0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7">
        <v>0</v>
      </c>
      <c r="O86" s="167">
        <v>0</v>
      </c>
      <c r="P86" s="167">
        <v>0</v>
      </c>
      <c r="Q86" s="167">
        <v>0</v>
      </c>
      <c r="R86" s="167">
        <v>0</v>
      </c>
      <c r="S86" s="167">
        <v>0</v>
      </c>
      <c r="T86" s="167">
        <v>0</v>
      </c>
      <c r="U86" s="168" t="e">
        <v>#DIV/0!</v>
      </c>
      <c r="V86" s="167">
        <v>0</v>
      </c>
      <c r="W86" s="167">
        <v>0</v>
      </c>
      <c r="X86" s="167">
        <v>0</v>
      </c>
      <c r="Y86" s="167">
        <v>0</v>
      </c>
      <c r="Z86" s="167">
        <v>0</v>
      </c>
      <c r="AA86" s="167">
        <v>0</v>
      </c>
    </row>
    <row r="87" spans="1:27" ht="12" customHeight="1" x14ac:dyDescent="0.25">
      <c r="A87" s="155" t="s">
        <v>1182</v>
      </c>
      <c r="B87" s="155" t="s">
        <v>478</v>
      </c>
      <c r="C87" s="167">
        <v>0</v>
      </c>
      <c r="D87" s="167">
        <v>0</v>
      </c>
      <c r="E87" s="167">
        <v>0</v>
      </c>
      <c r="F87" s="167">
        <v>0</v>
      </c>
      <c r="G87" s="167">
        <v>0</v>
      </c>
      <c r="H87" s="167">
        <v>0</v>
      </c>
      <c r="I87" s="167">
        <v>0</v>
      </c>
      <c r="J87" s="167">
        <v>0</v>
      </c>
      <c r="K87" s="167">
        <v>0</v>
      </c>
      <c r="L87" s="167">
        <v>0</v>
      </c>
      <c r="M87" s="167">
        <v>0</v>
      </c>
      <c r="N87" s="167">
        <v>0</v>
      </c>
      <c r="O87" s="167">
        <v>0</v>
      </c>
      <c r="P87" s="167">
        <v>0</v>
      </c>
      <c r="Q87" s="167">
        <v>0</v>
      </c>
      <c r="R87" s="167">
        <v>0</v>
      </c>
      <c r="S87" s="167">
        <v>0</v>
      </c>
      <c r="T87" s="167">
        <v>0</v>
      </c>
      <c r="U87" s="168" t="e">
        <v>#DIV/0!</v>
      </c>
      <c r="V87" s="167">
        <v>0</v>
      </c>
      <c r="W87" s="167">
        <v>0</v>
      </c>
      <c r="X87" s="167">
        <v>0</v>
      </c>
      <c r="Y87" s="167">
        <v>0</v>
      </c>
      <c r="Z87" s="167">
        <v>0</v>
      </c>
      <c r="AA87" s="167">
        <v>0</v>
      </c>
    </row>
    <row r="88" spans="1:27" ht="12" customHeight="1" x14ac:dyDescent="0.25">
      <c r="A88" s="155" t="s">
        <v>1183</v>
      </c>
      <c r="B88" s="155" t="s">
        <v>479</v>
      </c>
      <c r="C88" s="167">
        <v>0</v>
      </c>
      <c r="D88" s="167">
        <v>0</v>
      </c>
      <c r="E88" s="167">
        <v>0</v>
      </c>
      <c r="F88" s="167">
        <v>0</v>
      </c>
      <c r="G88" s="167">
        <v>0</v>
      </c>
      <c r="H88" s="167">
        <v>0</v>
      </c>
      <c r="I88" s="167">
        <v>0</v>
      </c>
      <c r="J88" s="167">
        <v>0</v>
      </c>
      <c r="K88" s="167">
        <v>0</v>
      </c>
      <c r="L88" s="167">
        <v>0</v>
      </c>
      <c r="M88" s="167">
        <v>0</v>
      </c>
      <c r="N88" s="167">
        <v>0</v>
      </c>
      <c r="O88" s="167">
        <v>0</v>
      </c>
      <c r="P88" s="167">
        <v>0</v>
      </c>
      <c r="Q88" s="167">
        <v>0</v>
      </c>
      <c r="R88" s="167">
        <v>0</v>
      </c>
      <c r="S88" s="167">
        <v>0</v>
      </c>
      <c r="T88" s="167">
        <v>0</v>
      </c>
      <c r="U88" s="168" t="e">
        <v>#DIV/0!</v>
      </c>
      <c r="V88" s="167">
        <v>0</v>
      </c>
      <c r="W88" s="167">
        <v>0</v>
      </c>
      <c r="X88" s="167">
        <v>0</v>
      </c>
      <c r="Y88" s="167">
        <v>0</v>
      </c>
      <c r="Z88" s="167">
        <v>0</v>
      </c>
      <c r="AA88" s="167">
        <v>0</v>
      </c>
    </row>
    <row r="89" spans="1:27" ht="12" customHeight="1" x14ac:dyDescent="0.25">
      <c r="A89" s="155" t="s">
        <v>1184</v>
      </c>
      <c r="B89" s="155" t="s">
        <v>480</v>
      </c>
      <c r="C89" s="167">
        <v>0</v>
      </c>
      <c r="D89" s="167">
        <v>0</v>
      </c>
      <c r="E89" s="167">
        <v>0</v>
      </c>
      <c r="F89" s="167">
        <v>0</v>
      </c>
      <c r="G89" s="167">
        <v>0</v>
      </c>
      <c r="H89" s="167">
        <v>0</v>
      </c>
      <c r="I89" s="167">
        <v>0</v>
      </c>
      <c r="J89" s="167">
        <v>0</v>
      </c>
      <c r="K89" s="167">
        <v>0</v>
      </c>
      <c r="L89" s="167">
        <v>0</v>
      </c>
      <c r="M89" s="167">
        <v>0</v>
      </c>
      <c r="N89" s="167">
        <v>0</v>
      </c>
      <c r="O89" s="167">
        <v>0</v>
      </c>
      <c r="P89" s="167">
        <v>0</v>
      </c>
      <c r="Q89" s="167">
        <v>0</v>
      </c>
      <c r="R89" s="167">
        <v>0</v>
      </c>
      <c r="S89" s="167">
        <v>0</v>
      </c>
      <c r="T89" s="167">
        <v>0</v>
      </c>
      <c r="U89" s="168" t="e">
        <v>#DIV/0!</v>
      </c>
      <c r="V89" s="167">
        <v>0</v>
      </c>
      <c r="W89" s="167">
        <v>0</v>
      </c>
      <c r="X89" s="167">
        <v>0</v>
      </c>
      <c r="Y89" s="167">
        <v>0</v>
      </c>
      <c r="Z89" s="167">
        <v>0</v>
      </c>
      <c r="AA89" s="167">
        <v>0</v>
      </c>
    </row>
    <row r="90" spans="1:27" ht="12" customHeight="1" x14ac:dyDescent="0.25">
      <c r="A90" s="155" t="s">
        <v>1185</v>
      </c>
      <c r="B90" s="155" t="s">
        <v>481</v>
      </c>
      <c r="C90" s="167">
        <v>0</v>
      </c>
      <c r="D90" s="167">
        <v>0</v>
      </c>
      <c r="E90" s="167">
        <v>0</v>
      </c>
      <c r="F90" s="167">
        <v>0</v>
      </c>
      <c r="G90" s="167">
        <v>0</v>
      </c>
      <c r="H90" s="167">
        <v>0</v>
      </c>
      <c r="I90" s="167">
        <v>0</v>
      </c>
      <c r="J90" s="167">
        <v>0</v>
      </c>
      <c r="K90" s="167">
        <v>0</v>
      </c>
      <c r="L90" s="167">
        <v>0</v>
      </c>
      <c r="M90" s="167">
        <v>0</v>
      </c>
      <c r="N90" s="167">
        <v>0</v>
      </c>
      <c r="O90" s="167">
        <v>0</v>
      </c>
      <c r="P90" s="167">
        <v>0</v>
      </c>
      <c r="Q90" s="167">
        <v>0</v>
      </c>
      <c r="R90" s="167">
        <v>0</v>
      </c>
      <c r="S90" s="167">
        <v>0</v>
      </c>
      <c r="T90" s="167">
        <v>0</v>
      </c>
      <c r="U90" s="168" t="e">
        <v>#DIV/0!</v>
      </c>
      <c r="V90" s="167">
        <v>0</v>
      </c>
      <c r="W90" s="167">
        <v>0</v>
      </c>
      <c r="X90" s="167">
        <v>0</v>
      </c>
      <c r="Y90" s="167">
        <v>0</v>
      </c>
      <c r="Z90" s="167">
        <v>0</v>
      </c>
      <c r="AA90" s="167">
        <v>0</v>
      </c>
    </row>
    <row r="91" spans="1:27" ht="12" customHeight="1" x14ac:dyDescent="0.25">
      <c r="A91" s="155" t="s">
        <v>1186</v>
      </c>
      <c r="B91" s="155" t="s">
        <v>482</v>
      </c>
      <c r="C91" s="167">
        <v>0</v>
      </c>
      <c r="D91" s="167">
        <v>0</v>
      </c>
      <c r="E91" s="167">
        <v>0</v>
      </c>
      <c r="F91" s="167">
        <v>0</v>
      </c>
      <c r="G91" s="167">
        <v>0</v>
      </c>
      <c r="H91" s="167">
        <v>0</v>
      </c>
      <c r="I91" s="167">
        <v>0</v>
      </c>
      <c r="J91" s="167">
        <v>0</v>
      </c>
      <c r="K91" s="167">
        <v>0</v>
      </c>
      <c r="L91" s="167">
        <v>0</v>
      </c>
      <c r="M91" s="167">
        <v>0</v>
      </c>
      <c r="N91" s="167">
        <v>0</v>
      </c>
      <c r="O91" s="167">
        <v>0</v>
      </c>
      <c r="P91" s="167">
        <v>0</v>
      </c>
      <c r="Q91" s="167">
        <v>0</v>
      </c>
      <c r="R91" s="167">
        <v>0</v>
      </c>
      <c r="S91" s="167">
        <v>0</v>
      </c>
      <c r="T91" s="167">
        <v>0</v>
      </c>
      <c r="U91" s="168" t="e">
        <v>#DIV/0!</v>
      </c>
      <c r="V91" s="167">
        <v>0</v>
      </c>
      <c r="W91" s="167">
        <v>0</v>
      </c>
      <c r="X91" s="167">
        <v>0</v>
      </c>
      <c r="Y91" s="167">
        <v>0</v>
      </c>
      <c r="Z91" s="167">
        <v>0</v>
      </c>
      <c r="AA91" s="167">
        <v>0</v>
      </c>
    </row>
    <row r="92" spans="1:27" ht="12" customHeight="1" x14ac:dyDescent="0.25">
      <c r="A92" s="155" t="s">
        <v>1187</v>
      </c>
      <c r="B92" s="155" t="s">
        <v>483</v>
      </c>
      <c r="C92" s="167">
        <v>0</v>
      </c>
      <c r="D92" s="167">
        <v>0</v>
      </c>
      <c r="E92" s="167">
        <v>0</v>
      </c>
      <c r="F92" s="167">
        <v>0</v>
      </c>
      <c r="G92" s="167">
        <v>0</v>
      </c>
      <c r="H92" s="167">
        <v>0</v>
      </c>
      <c r="I92" s="167">
        <v>0</v>
      </c>
      <c r="J92" s="167">
        <v>0</v>
      </c>
      <c r="K92" s="167">
        <v>0</v>
      </c>
      <c r="L92" s="167">
        <v>0</v>
      </c>
      <c r="M92" s="167">
        <v>0</v>
      </c>
      <c r="N92" s="167">
        <v>0</v>
      </c>
      <c r="O92" s="167">
        <v>0</v>
      </c>
      <c r="P92" s="167">
        <v>0</v>
      </c>
      <c r="Q92" s="167">
        <v>0</v>
      </c>
      <c r="R92" s="167">
        <v>0</v>
      </c>
      <c r="S92" s="167">
        <v>0</v>
      </c>
      <c r="T92" s="167">
        <v>0</v>
      </c>
      <c r="U92" s="168" t="e">
        <v>#DIV/0!</v>
      </c>
      <c r="V92" s="167">
        <v>0</v>
      </c>
      <c r="W92" s="167">
        <v>0</v>
      </c>
      <c r="X92" s="167">
        <v>0</v>
      </c>
      <c r="Y92" s="167">
        <v>0</v>
      </c>
      <c r="Z92" s="167">
        <v>0</v>
      </c>
      <c r="AA92" s="167">
        <v>0</v>
      </c>
    </row>
    <row r="93" spans="1:27" ht="12" customHeight="1" x14ac:dyDescent="0.25">
      <c r="A93" s="155" t="s">
        <v>1188</v>
      </c>
      <c r="B93" s="155" t="s">
        <v>484</v>
      </c>
      <c r="C93" s="167">
        <v>0</v>
      </c>
      <c r="D93" s="167">
        <v>0</v>
      </c>
      <c r="E93" s="167">
        <v>0</v>
      </c>
      <c r="F93" s="167">
        <v>0</v>
      </c>
      <c r="G93" s="167">
        <v>0</v>
      </c>
      <c r="H93" s="167">
        <v>0</v>
      </c>
      <c r="I93" s="167">
        <v>0</v>
      </c>
      <c r="J93" s="167">
        <v>0</v>
      </c>
      <c r="K93" s="167">
        <v>0</v>
      </c>
      <c r="L93" s="167">
        <v>0</v>
      </c>
      <c r="M93" s="167">
        <v>0</v>
      </c>
      <c r="N93" s="167">
        <v>0</v>
      </c>
      <c r="O93" s="167">
        <v>0</v>
      </c>
      <c r="P93" s="167">
        <v>0</v>
      </c>
      <c r="Q93" s="167">
        <v>0</v>
      </c>
      <c r="R93" s="167">
        <v>0</v>
      </c>
      <c r="S93" s="167">
        <v>0</v>
      </c>
      <c r="T93" s="167">
        <v>0</v>
      </c>
      <c r="U93" s="168" t="e">
        <v>#DIV/0!</v>
      </c>
      <c r="V93" s="167">
        <v>0</v>
      </c>
      <c r="W93" s="167">
        <v>0</v>
      </c>
      <c r="X93" s="167">
        <v>0</v>
      </c>
      <c r="Y93" s="167">
        <v>0</v>
      </c>
      <c r="Z93" s="167">
        <v>0</v>
      </c>
      <c r="AA93" s="167">
        <v>0</v>
      </c>
    </row>
    <row r="94" spans="1:27" ht="12" customHeight="1" x14ac:dyDescent="0.25">
      <c r="A94" s="155" t="s">
        <v>1189</v>
      </c>
      <c r="B94" s="155" t="s">
        <v>485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167">
        <v>0</v>
      </c>
      <c r="R94" s="167">
        <v>0</v>
      </c>
      <c r="S94" s="167">
        <v>0</v>
      </c>
      <c r="T94" s="167">
        <v>0</v>
      </c>
      <c r="U94" s="168" t="e">
        <v>#DIV/0!</v>
      </c>
      <c r="V94" s="167">
        <v>0</v>
      </c>
      <c r="W94" s="167">
        <v>0</v>
      </c>
      <c r="X94" s="167">
        <v>0</v>
      </c>
      <c r="Y94" s="167">
        <v>0</v>
      </c>
      <c r="Z94" s="167">
        <v>0</v>
      </c>
      <c r="AA94" s="167">
        <v>0</v>
      </c>
    </row>
    <row r="95" spans="1:27" ht="12" customHeight="1" x14ac:dyDescent="0.25">
      <c r="A95" s="155" t="s">
        <v>1190</v>
      </c>
      <c r="B95" s="155" t="s">
        <v>486</v>
      </c>
      <c r="C95" s="167">
        <v>0</v>
      </c>
      <c r="D95" s="167">
        <v>0</v>
      </c>
      <c r="E95" s="167">
        <v>0</v>
      </c>
      <c r="F95" s="167">
        <v>0</v>
      </c>
      <c r="G95" s="167">
        <v>0</v>
      </c>
      <c r="H95" s="167">
        <v>0</v>
      </c>
      <c r="I95" s="167">
        <v>0</v>
      </c>
      <c r="J95" s="167">
        <v>0</v>
      </c>
      <c r="K95" s="167">
        <v>0</v>
      </c>
      <c r="L95" s="167">
        <v>0</v>
      </c>
      <c r="M95" s="167">
        <v>0</v>
      </c>
      <c r="N95" s="167">
        <v>0</v>
      </c>
      <c r="O95" s="167">
        <v>0</v>
      </c>
      <c r="P95" s="167">
        <v>0</v>
      </c>
      <c r="Q95" s="167">
        <v>0</v>
      </c>
      <c r="R95" s="167">
        <v>0</v>
      </c>
      <c r="S95" s="167">
        <v>0</v>
      </c>
      <c r="T95" s="167">
        <v>0</v>
      </c>
      <c r="U95" s="168" t="e">
        <v>#DIV/0!</v>
      </c>
      <c r="V95" s="167">
        <v>0</v>
      </c>
      <c r="W95" s="167">
        <v>0</v>
      </c>
      <c r="X95" s="167">
        <v>0</v>
      </c>
      <c r="Y95" s="167">
        <v>0</v>
      </c>
      <c r="Z95" s="167">
        <v>0</v>
      </c>
      <c r="AA95" s="167">
        <v>0</v>
      </c>
    </row>
    <row r="96" spans="1:27" ht="12" customHeight="1" x14ac:dyDescent="0.25">
      <c r="A96" s="155" t="s">
        <v>1191</v>
      </c>
      <c r="B96" s="155" t="s">
        <v>487</v>
      </c>
      <c r="C96" s="167">
        <v>0</v>
      </c>
      <c r="D96" s="167">
        <v>0</v>
      </c>
      <c r="E96" s="167">
        <v>0</v>
      </c>
      <c r="F96" s="167">
        <v>0</v>
      </c>
      <c r="G96" s="16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0</v>
      </c>
      <c r="O96" s="167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8" t="e">
        <v>#DIV/0!</v>
      </c>
      <c r="V96" s="167">
        <v>0</v>
      </c>
      <c r="W96" s="167">
        <v>0</v>
      </c>
      <c r="X96" s="167">
        <v>0</v>
      </c>
      <c r="Y96" s="167">
        <v>0</v>
      </c>
      <c r="Z96" s="167">
        <v>0</v>
      </c>
      <c r="AA96" s="167">
        <v>0</v>
      </c>
    </row>
    <row r="97" spans="1:27" ht="12" customHeight="1" x14ac:dyDescent="0.25">
      <c r="A97" s="155" t="s">
        <v>1192</v>
      </c>
      <c r="B97" s="155" t="s">
        <v>488</v>
      </c>
      <c r="C97" s="167">
        <v>0</v>
      </c>
      <c r="D97" s="167">
        <v>0</v>
      </c>
      <c r="E97" s="167">
        <v>0</v>
      </c>
      <c r="F97" s="167">
        <v>0</v>
      </c>
      <c r="G97" s="167">
        <v>0</v>
      </c>
      <c r="H97" s="167">
        <v>0</v>
      </c>
      <c r="I97" s="167">
        <v>0</v>
      </c>
      <c r="J97" s="167">
        <v>0</v>
      </c>
      <c r="K97" s="167">
        <v>0</v>
      </c>
      <c r="L97" s="167">
        <v>0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8" t="e">
        <v>#DIV/0!</v>
      </c>
      <c r="V97" s="167">
        <v>0</v>
      </c>
      <c r="W97" s="167">
        <v>0</v>
      </c>
      <c r="X97" s="167">
        <v>0</v>
      </c>
      <c r="Y97" s="167">
        <v>0</v>
      </c>
      <c r="Z97" s="167">
        <v>0</v>
      </c>
      <c r="AA97" s="167">
        <v>0</v>
      </c>
    </row>
    <row r="98" spans="1:27" ht="12" customHeight="1" x14ac:dyDescent="0.25">
      <c r="A98" s="155" t="s">
        <v>1193</v>
      </c>
      <c r="B98" s="155" t="s">
        <v>489</v>
      </c>
      <c r="C98" s="167">
        <v>0</v>
      </c>
      <c r="D98" s="167">
        <v>0</v>
      </c>
      <c r="E98" s="167">
        <v>0</v>
      </c>
      <c r="F98" s="167">
        <v>0</v>
      </c>
      <c r="G98" s="167">
        <v>0</v>
      </c>
      <c r="H98" s="167">
        <v>0</v>
      </c>
      <c r="I98" s="167">
        <v>0</v>
      </c>
      <c r="J98" s="167">
        <v>0</v>
      </c>
      <c r="K98" s="167">
        <v>0</v>
      </c>
      <c r="L98" s="167">
        <v>0</v>
      </c>
      <c r="M98" s="167">
        <v>0</v>
      </c>
      <c r="N98" s="167">
        <v>0</v>
      </c>
      <c r="O98" s="167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8" t="e">
        <v>#DIV/0!</v>
      </c>
      <c r="V98" s="167">
        <v>0</v>
      </c>
      <c r="W98" s="167">
        <v>0</v>
      </c>
      <c r="X98" s="167">
        <v>0</v>
      </c>
      <c r="Y98" s="167">
        <v>0</v>
      </c>
      <c r="Z98" s="167">
        <v>0</v>
      </c>
      <c r="AA98" s="167">
        <v>0</v>
      </c>
    </row>
    <row r="99" spans="1:27" ht="12" customHeight="1" x14ac:dyDescent="0.25">
      <c r="A99" s="155" t="s">
        <v>1194</v>
      </c>
      <c r="B99" s="155" t="s">
        <v>490</v>
      </c>
      <c r="C99" s="167">
        <v>0</v>
      </c>
      <c r="D99" s="167">
        <v>0</v>
      </c>
      <c r="E99" s="167">
        <v>0</v>
      </c>
      <c r="F99" s="167">
        <v>0</v>
      </c>
      <c r="G99" s="167">
        <v>0</v>
      </c>
      <c r="H99" s="167">
        <v>0</v>
      </c>
      <c r="I99" s="167">
        <v>0</v>
      </c>
      <c r="J99" s="167">
        <v>0</v>
      </c>
      <c r="K99" s="167">
        <v>0</v>
      </c>
      <c r="L99" s="167">
        <v>0</v>
      </c>
      <c r="M99" s="167">
        <v>0</v>
      </c>
      <c r="N99" s="167">
        <v>0</v>
      </c>
      <c r="O99" s="167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8" t="e">
        <v>#DIV/0!</v>
      </c>
      <c r="V99" s="167">
        <v>0</v>
      </c>
      <c r="W99" s="167">
        <v>0</v>
      </c>
      <c r="X99" s="167">
        <v>0</v>
      </c>
      <c r="Y99" s="167">
        <v>0</v>
      </c>
      <c r="Z99" s="167">
        <v>0</v>
      </c>
      <c r="AA99" s="167">
        <v>0</v>
      </c>
    </row>
    <row r="100" spans="1:27" ht="12" customHeight="1" x14ac:dyDescent="0.25">
      <c r="A100" s="155" t="s">
        <v>1195</v>
      </c>
      <c r="B100" s="155" t="s">
        <v>491</v>
      </c>
      <c r="C100" s="167">
        <v>0</v>
      </c>
      <c r="D100" s="167">
        <v>0</v>
      </c>
      <c r="E100" s="167">
        <v>0</v>
      </c>
      <c r="F100" s="167">
        <v>0</v>
      </c>
      <c r="G100" s="167">
        <v>0</v>
      </c>
      <c r="H100" s="167">
        <v>0</v>
      </c>
      <c r="I100" s="167">
        <v>0</v>
      </c>
      <c r="J100" s="167">
        <v>0</v>
      </c>
      <c r="K100" s="167">
        <v>0</v>
      </c>
      <c r="L100" s="167">
        <v>0</v>
      </c>
      <c r="M100" s="167">
        <v>0</v>
      </c>
      <c r="N100" s="167">
        <v>0</v>
      </c>
      <c r="O100" s="167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8" t="e">
        <v>#DIV/0!</v>
      </c>
      <c r="V100" s="167">
        <v>0</v>
      </c>
      <c r="W100" s="167">
        <v>0</v>
      </c>
      <c r="X100" s="167">
        <v>0</v>
      </c>
      <c r="Y100" s="167">
        <v>0</v>
      </c>
      <c r="Z100" s="167">
        <v>0</v>
      </c>
      <c r="AA100" s="167">
        <v>0</v>
      </c>
    </row>
    <row r="101" spans="1:27" ht="12" customHeight="1" x14ac:dyDescent="0.25">
      <c r="A101" s="155" t="s">
        <v>1196</v>
      </c>
      <c r="B101" s="155" t="s">
        <v>492</v>
      </c>
      <c r="C101" s="167">
        <v>0</v>
      </c>
      <c r="D101" s="167">
        <v>0</v>
      </c>
      <c r="E101" s="167">
        <v>0</v>
      </c>
      <c r="F101" s="167">
        <v>0</v>
      </c>
      <c r="G101" s="167">
        <v>0</v>
      </c>
      <c r="H101" s="167">
        <v>0</v>
      </c>
      <c r="I101" s="167">
        <v>0</v>
      </c>
      <c r="J101" s="167">
        <v>0</v>
      </c>
      <c r="K101" s="167">
        <v>0</v>
      </c>
      <c r="L101" s="167">
        <v>0</v>
      </c>
      <c r="M101" s="167">
        <v>0</v>
      </c>
      <c r="N101" s="167">
        <v>0</v>
      </c>
      <c r="O101" s="167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8" t="e">
        <v>#DIV/0!</v>
      </c>
      <c r="V101" s="167">
        <v>0</v>
      </c>
      <c r="W101" s="167">
        <v>0</v>
      </c>
      <c r="X101" s="167">
        <v>0</v>
      </c>
      <c r="Y101" s="167">
        <v>0</v>
      </c>
      <c r="Z101" s="167">
        <v>0</v>
      </c>
      <c r="AA101" s="167">
        <v>0</v>
      </c>
    </row>
    <row r="102" spans="1:27" ht="12" customHeight="1" x14ac:dyDescent="0.25">
      <c r="A102" s="155" t="s">
        <v>1197</v>
      </c>
      <c r="B102" s="155" t="s">
        <v>493</v>
      </c>
      <c r="C102" s="167">
        <v>0</v>
      </c>
      <c r="D102" s="167">
        <v>0</v>
      </c>
      <c r="E102" s="167">
        <v>0</v>
      </c>
      <c r="F102" s="167">
        <v>0</v>
      </c>
      <c r="G102" s="16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167">
        <v>0</v>
      </c>
      <c r="R102" s="167">
        <v>0</v>
      </c>
      <c r="S102" s="167">
        <v>0</v>
      </c>
      <c r="T102" s="167">
        <v>0</v>
      </c>
      <c r="U102" s="168" t="e">
        <v>#DIV/0!</v>
      </c>
      <c r="V102" s="167">
        <v>0</v>
      </c>
      <c r="W102" s="167">
        <v>0</v>
      </c>
      <c r="X102" s="167">
        <v>0</v>
      </c>
      <c r="Y102" s="167">
        <v>0</v>
      </c>
      <c r="Z102" s="167">
        <v>0</v>
      </c>
      <c r="AA102" s="167">
        <v>0</v>
      </c>
    </row>
    <row r="103" spans="1:27" ht="12" customHeight="1" x14ac:dyDescent="0.25">
      <c r="A103" s="155" t="s">
        <v>1198</v>
      </c>
      <c r="B103" s="155" t="s">
        <v>494</v>
      </c>
      <c r="C103" s="167">
        <v>0</v>
      </c>
      <c r="D103" s="167">
        <v>0</v>
      </c>
      <c r="E103" s="167">
        <v>0</v>
      </c>
      <c r="F103" s="167">
        <v>0</v>
      </c>
      <c r="G103" s="167">
        <v>0</v>
      </c>
      <c r="H103" s="167">
        <v>0</v>
      </c>
      <c r="I103" s="167">
        <v>0</v>
      </c>
      <c r="J103" s="167">
        <v>0</v>
      </c>
      <c r="K103" s="167">
        <v>0</v>
      </c>
      <c r="L103" s="167">
        <v>0</v>
      </c>
      <c r="M103" s="167">
        <v>0</v>
      </c>
      <c r="N103" s="167">
        <v>0</v>
      </c>
      <c r="O103" s="167">
        <v>0</v>
      </c>
      <c r="P103" s="167">
        <v>0</v>
      </c>
      <c r="Q103" s="167">
        <v>0</v>
      </c>
      <c r="R103" s="167">
        <v>0</v>
      </c>
      <c r="S103" s="167">
        <v>0</v>
      </c>
      <c r="T103" s="167">
        <v>0</v>
      </c>
      <c r="U103" s="168" t="e">
        <v>#DIV/0!</v>
      </c>
      <c r="V103" s="167">
        <v>0</v>
      </c>
      <c r="W103" s="167">
        <v>0</v>
      </c>
      <c r="X103" s="167">
        <v>0</v>
      </c>
      <c r="Y103" s="167">
        <v>0</v>
      </c>
      <c r="Z103" s="167">
        <v>0</v>
      </c>
      <c r="AA103" s="167">
        <v>0</v>
      </c>
    </row>
    <row r="104" spans="1:27" ht="12" customHeight="1" x14ac:dyDescent="0.25">
      <c r="A104" s="155" t="s">
        <v>1199</v>
      </c>
      <c r="B104" s="155" t="s">
        <v>495</v>
      </c>
      <c r="C104" s="167">
        <v>0</v>
      </c>
      <c r="D104" s="167">
        <v>0</v>
      </c>
      <c r="E104" s="167">
        <v>0</v>
      </c>
      <c r="F104" s="167">
        <v>0</v>
      </c>
      <c r="G104" s="16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67">
        <v>0</v>
      </c>
      <c r="N104" s="167">
        <v>0</v>
      </c>
      <c r="O104" s="167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8" t="e">
        <v>#DIV/0!</v>
      </c>
      <c r="V104" s="167">
        <v>0</v>
      </c>
      <c r="W104" s="167">
        <v>0</v>
      </c>
      <c r="X104" s="167">
        <v>0</v>
      </c>
      <c r="Y104" s="167">
        <v>0</v>
      </c>
      <c r="Z104" s="167">
        <v>0</v>
      </c>
      <c r="AA104" s="167">
        <v>0</v>
      </c>
    </row>
    <row r="105" spans="1:27" ht="12" customHeight="1" x14ac:dyDescent="0.25">
      <c r="A105" s="155" t="s">
        <v>1200</v>
      </c>
      <c r="B105" s="155" t="s">
        <v>496</v>
      </c>
      <c r="C105" s="167">
        <v>0</v>
      </c>
      <c r="D105" s="167">
        <v>0</v>
      </c>
      <c r="E105" s="167">
        <v>0</v>
      </c>
      <c r="F105" s="167">
        <v>0</v>
      </c>
      <c r="G105" s="167">
        <v>0</v>
      </c>
      <c r="H105" s="167">
        <v>0</v>
      </c>
      <c r="I105" s="167">
        <v>0</v>
      </c>
      <c r="J105" s="167">
        <v>0</v>
      </c>
      <c r="K105" s="167">
        <v>0</v>
      </c>
      <c r="L105" s="167">
        <v>0</v>
      </c>
      <c r="M105" s="167">
        <v>0</v>
      </c>
      <c r="N105" s="167">
        <v>0</v>
      </c>
      <c r="O105" s="167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8" t="e">
        <v>#DIV/0!</v>
      </c>
      <c r="V105" s="167">
        <v>0</v>
      </c>
      <c r="W105" s="167">
        <v>0</v>
      </c>
      <c r="X105" s="167">
        <v>0</v>
      </c>
      <c r="Y105" s="167">
        <v>0</v>
      </c>
      <c r="Z105" s="167">
        <v>0</v>
      </c>
      <c r="AA105" s="167">
        <v>0</v>
      </c>
    </row>
    <row r="106" spans="1:27" ht="12" customHeight="1" x14ac:dyDescent="0.25">
      <c r="A106" s="155" t="s">
        <v>1201</v>
      </c>
      <c r="B106" s="155" t="s">
        <v>497</v>
      </c>
      <c r="C106" s="167">
        <v>0</v>
      </c>
      <c r="D106" s="167">
        <v>0</v>
      </c>
      <c r="E106" s="167">
        <v>0</v>
      </c>
      <c r="F106" s="167">
        <v>0</v>
      </c>
      <c r="G106" s="16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167">
        <v>0</v>
      </c>
      <c r="R106" s="167">
        <v>0</v>
      </c>
      <c r="S106" s="167">
        <v>0</v>
      </c>
      <c r="T106" s="167">
        <v>0</v>
      </c>
      <c r="U106" s="168" t="e">
        <v>#DIV/0!</v>
      </c>
      <c r="V106" s="167">
        <v>0</v>
      </c>
      <c r="W106" s="167">
        <v>0</v>
      </c>
      <c r="X106" s="167">
        <v>0</v>
      </c>
      <c r="Y106" s="167">
        <v>0</v>
      </c>
      <c r="Z106" s="167">
        <v>0</v>
      </c>
      <c r="AA106" s="167">
        <v>0</v>
      </c>
    </row>
    <row r="107" spans="1:27" ht="12" customHeight="1" x14ac:dyDescent="0.25">
      <c r="A107" s="155" t="s">
        <v>1202</v>
      </c>
      <c r="B107" s="155" t="s">
        <v>498</v>
      </c>
      <c r="C107" s="167">
        <v>0</v>
      </c>
      <c r="D107" s="167">
        <v>0</v>
      </c>
      <c r="E107" s="167">
        <v>0</v>
      </c>
      <c r="F107" s="167">
        <v>0</v>
      </c>
      <c r="G107" s="167">
        <v>0</v>
      </c>
      <c r="H107" s="167">
        <v>0</v>
      </c>
      <c r="I107" s="167">
        <v>0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0</v>
      </c>
      <c r="P107" s="167">
        <v>0</v>
      </c>
      <c r="Q107" s="167">
        <v>0</v>
      </c>
      <c r="R107" s="167">
        <v>0</v>
      </c>
      <c r="S107" s="167">
        <v>0</v>
      </c>
      <c r="T107" s="167">
        <v>0</v>
      </c>
      <c r="U107" s="168" t="e">
        <v>#DIV/0!</v>
      </c>
      <c r="V107" s="167">
        <v>0</v>
      </c>
      <c r="W107" s="167">
        <v>0</v>
      </c>
      <c r="X107" s="167">
        <v>0</v>
      </c>
      <c r="Y107" s="167">
        <v>0</v>
      </c>
      <c r="Z107" s="167">
        <v>0</v>
      </c>
      <c r="AA107" s="167">
        <v>0</v>
      </c>
    </row>
    <row r="108" spans="1:27" ht="12" customHeight="1" x14ac:dyDescent="0.25">
      <c r="A108" s="155"/>
      <c r="B108" s="162" t="s">
        <v>499</v>
      </c>
      <c r="C108" s="163">
        <v>0</v>
      </c>
      <c r="D108" s="163">
        <v>0</v>
      </c>
      <c r="E108" s="163">
        <v>0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3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4">
        <v>0</v>
      </c>
      <c r="U108" s="165" t="e">
        <v>#DIV/0!</v>
      </c>
      <c r="V108" s="164">
        <v>0</v>
      </c>
      <c r="W108" s="164">
        <v>0</v>
      </c>
      <c r="X108" s="164">
        <v>0</v>
      </c>
      <c r="Y108" s="164">
        <v>0</v>
      </c>
      <c r="Z108" s="164">
        <v>0</v>
      </c>
      <c r="AA108" s="164">
        <v>0</v>
      </c>
    </row>
    <row r="109" spans="1:27" ht="12" customHeight="1" x14ac:dyDescent="0.25">
      <c r="A109" s="155" t="s">
        <v>1203</v>
      </c>
      <c r="B109" s="155" t="s">
        <v>500</v>
      </c>
      <c r="C109" s="167">
        <v>0</v>
      </c>
      <c r="D109" s="167">
        <v>0</v>
      </c>
      <c r="E109" s="167">
        <v>0</v>
      </c>
      <c r="F109" s="167">
        <v>0</v>
      </c>
      <c r="G109" s="167">
        <v>0</v>
      </c>
      <c r="H109" s="167">
        <v>0</v>
      </c>
      <c r="I109" s="167">
        <v>0</v>
      </c>
      <c r="J109" s="167">
        <v>0</v>
      </c>
      <c r="K109" s="167">
        <v>0</v>
      </c>
      <c r="L109" s="167">
        <v>0</v>
      </c>
      <c r="M109" s="167">
        <v>0</v>
      </c>
      <c r="N109" s="167">
        <v>0</v>
      </c>
      <c r="O109" s="167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8" t="e">
        <v>#DIV/0!</v>
      </c>
      <c r="V109" s="167">
        <v>0</v>
      </c>
      <c r="W109" s="167">
        <v>0</v>
      </c>
      <c r="X109" s="167">
        <v>0</v>
      </c>
      <c r="Y109" s="167">
        <v>0</v>
      </c>
      <c r="Z109" s="167">
        <v>0</v>
      </c>
      <c r="AA109" s="167">
        <v>0</v>
      </c>
    </row>
    <row r="110" spans="1:27" ht="12" customHeight="1" x14ac:dyDescent="0.25">
      <c r="A110" s="155" t="s">
        <v>1204</v>
      </c>
      <c r="B110" s="155" t="s">
        <v>501</v>
      </c>
      <c r="C110" s="167">
        <v>0</v>
      </c>
      <c r="D110" s="167">
        <v>0</v>
      </c>
      <c r="E110" s="167">
        <v>0</v>
      </c>
      <c r="F110" s="167">
        <v>0</v>
      </c>
      <c r="G110" s="167">
        <v>0</v>
      </c>
      <c r="H110" s="167">
        <v>0</v>
      </c>
      <c r="I110" s="167">
        <v>0</v>
      </c>
      <c r="J110" s="167">
        <v>0</v>
      </c>
      <c r="K110" s="167">
        <v>0</v>
      </c>
      <c r="L110" s="167">
        <v>0</v>
      </c>
      <c r="M110" s="167">
        <v>0</v>
      </c>
      <c r="N110" s="167">
        <v>0</v>
      </c>
      <c r="O110" s="167">
        <v>0</v>
      </c>
      <c r="P110" s="167">
        <v>0</v>
      </c>
      <c r="Q110" s="167">
        <v>0</v>
      </c>
      <c r="R110" s="167">
        <v>0</v>
      </c>
      <c r="S110" s="167">
        <v>0</v>
      </c>
      <c r="T110" s="167">
        <v>0</v>
      </c>
      <c r="U110" s="168" t="e">
        <v>#DIV/0!</v>
      </c>
      <c r="V110" s="167">
        <v>0</v>
      </c>
      <c r="W110" s="167">
        <v>0</v>
      </c>
      <c r="X110" s="167">
        <v>0</v>
      </c>
      <c r="Y110" s="167">
        <v>0</v>
      </c>
      <c r="Z110" s="167">
        <v>0</v>
      </c>
      <c r="AA110" s="167">
        <v>0</v>
      </c>
    </row>
    <row r="111" spans="1:27" ht="12" customHeight="1" x14ac:dyDescent="0.25">
      <c r="A111" s="155" t="s">
        <v>1205</v>
      </c>
      <c r="B111" s="155" t="s">
        <v>502</v>
      </c>
      <c r="C111" s="167">
        <v>0</v>
      </c>
      <c r="D111" s="167">
        <v>0</v>
      </c>
      <c r="E111" s="167">
        <v>0</v>
      </c>
      <c r="F111" s="167">
        <v>0</v>
      </c>
      <c r="G111" s="167">
        <v>0</v>
      </c>
      <c r="H111" s="167">
        <v>0</v>
      </c>
      <c r="I111" s="167">
        <v>0</v>
      </c>
      <c r="J111" s="167">
        <v>0</v>
      </c>
      <c r="K111" s="167">
        <v>0</v>
      </c>
      <c r="L111" s="167">
        <v>0</v>
      </c>
      <c r="M111" s="167">
        <v>0</v>
      </c>
      <c r="N111" s="167">
        <v>0</v>
      </c>
      <c r="O111" s="167">
        <v>0</v>
      </c>
      <c r="P111" s="167">
        <v>0</v>
      </c>
      <c r="Q111" s="167">
        <v>0</v>
      </c>
      <c r="R111" s="167">
        <v>0</v>
      </c>
      <c r="S111" s="167">
        <v>0</v>
      </c>
      <c r="T111" s="167">
        <v>0</v>
      </c>
      <c r="U111" s="168" t="e">
        <v>#DIV/0!</v>
      </c>
      <c r="V111" s="167">
        <v>0</v>
      </c>
      <c r="W111" s="167">
        <v>0</v>
      </c>
      <c r="X111" s="167">
        <v>0</v>
      </c>
      <c r="Y111" s="167">
        <v>0</v>
      </c>
      <c r="Z111" s="167">
        <v>0</v>
      </c>
      <c r="AA111" s="167">
        <v>0</v>
      </c>
    </row>
    <row r="112" spans="1:27" ht="12" customHeight="1" x14ac:dyDescent="0.25">
      <c r="A112" s="155" t="s">
        <v>1206</v>
      </c>
      <c r="B112" s="155" t="s">
        <v>503</v>
      </c>
      <c r="C112" s="167">
        <v>0</v>
      </c>
      <c r="D112" s="167">
        <v>0</v>
      </c>
      <c r="E112" s="167">
        <v>0</v>
      </c>
      <c r="F112" s="167">
        <v>0</v>
      </c>
      <c r="G112" s="167">
        <v>0</v>
      </c>
      <c r="H112" s="167">
        <v>0</v>
      </c>
      <c r="I112" s="167">
        <v>0</v>
      </c>
      <c r="J112" s="167">
        <v>0</v>
      </c>
      <c r="K112" s="167">
        <v>0</v>
      </c>
      <c r="L112" s="167">
        <v>0</v>
      </c>
      <c r="M112" s="167">
        <v>0</v>
      </c>
      <c r="N112" s="167">
        <v>0</v>
      </c>
      <c r="O112" s="167">
        <v>0</v>
      </c>
      <c r="P112" s="167">
        <v>0</v>
      </c>
      <c r="Q112" s="167">
        <v>0</v>
      </c>
      <c r="R112" s="167">
        <v>0</v>
      </c>
      <c r="S112" s="167">
        <v>0</v>
      </c>
      <c r="T112" s="167">
        <v>0</v>
      </c>
      <c r="U112" s="168" t="e">
        <v>#DIV/0!</v>
      </c>
      <c r="V112" s="167">
        <v>0</v>
      </c>
      <c r="W112" s="167">
        <v>0</v>
      </c>
      <c r="X112" s="167">
        <v>0</v>
      </c>
      <c r="Y112" s="167">
        <v>0</v>
      </c>
      <c r="Z112" s="167">
        <v>0</v>
      </c>
      <c r="AA112" s="167">
        <v>0</v>
      </c>
    </row>
    <row r="113" spans="1:27" ht="12" customHeight="1" x14ac:dyDescent="0.25">
      <c r="A113" s="155"/>
      <c r="B113" s="162" t="s">
        <v>504</v>
      </c>
      <c r="C113" s="163">
        <v>0</v>
      </c>
      <c r="D113" s="163">
        <v>0</v>
      </c>
      <c r="E113" s="163">
        <v>0</v>
      </c>
      <c r="F113" s="163">
        <v>0</v>
      </c>
      <c r="G113" s="163">
        <v>0</v>
      </c>
      <c r="H113" s="163">
        <v>0</v>
      </c>
      <c r="I113" s="163">
        <v>0</v>
      </c>
      <c r="J113" s="163">
        <v>0</v>
      </c>
      <c r="K113" s="163">
        <v>0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3">
        <v>0</v>
      </c>
      <c r="R113" s="163">
        <v>0</v>
      </c>
      <c r="S113" s="163">
        <v>0</v>
      </c>
      <c r="T113" s="164">
        <v>0</v>
      </c>
      <c r="U113" s="165" t="e">
        <v>#DIV/0!</v>
      </c>
      <c r="V113" s="164">
        <v>0</v>
      </c>
      <c r="W113" s="164">
        <v>0</v>
      </c>
      <c r="X113" s="164">
        <v>0</v>
      </c>
      <c r="Y113" s="164">
        <v>0</v>
      </c>
      <c r="Z113" s="164">
        <v>0</v>
      </c>
      <c r="AA113" s="164">
        <v>0</v>
      </c>
    </row>
    <row r="114" spans="1:27" ht="12" customHeight="1" x14ac:dyDescent="0.25">
      <c r="A114" s="155" t="s">
        <v>1207</v>
      </c>
      <c r="B114" s="155" t="s">
        <v>505</v>
      </c>
      <c r="C114" s="167">
        <v>0</v>
      </c>
      <c r="D114" s="167">
        <v>0</v>
      </c>
      <c r="E114" s="167">
        <v>0</v>
      </c>
      <c r="F114" s="167">
        <v>0</v>
      </c>
      <c r="G114" s="167">
        <v>0</v>
      </c>
      <c r="H114" s="167">
        <v>0</v>
      </c>
      <c r="I114" s="167">
        <v>0</v>
      </c>
      <c r="J114" s="167">
        <v>0</v>
      </c>
      <c r="K114" s="167">
        <v>0</v>
      </c>
      <c r="L114" s="167">
        <v>0</v>
      </c>
      <c r="M114" s="167">
        <v>0</v>
      </c>
      <c r="N114" s="167">
        <v>0</v>
      </c>
      <c r="O114" s="167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8" t="e">
        <v>#DIV/0!</v>
      </c>
      <c r="V114" s="167">
        <v>0</v>
      </c>
      <c r="W114" s="167">
        <v>0</v>
      </c>
      <c r="X114" s="167">
        <v>0</v>
      </c>
      <c r="Y114" s="167">
        <v>0</v>
      </c>
      <c r="Z114" s="167">
        <v>0</v>
      </c>
      <c r="AA114" s="167">
        <v>0</v>
      </c>
    </row>
    <row r="115" spans="1:27" ht="12" customHeight="1" x14ac:dyDescent="0.25">
      <c r="A115" s="155" t="s">
        <v>1208</v>
      </c>
      <c r="B115" s="155" t="s">
        <v>506</v>
      </c>
      <c r="C115" s="167">
        <v>0</v>
      </c>
      <c r="D115" s="167">
        <v>0</v>
      </c>
      <c r="E115" s="167">
        <v>0</v>
      </c>
      <c r="F115" s="167">
        <v>0</v>
      </c>
      <c r="G115" s="167">
        <v>0</v>
      </c>
      <c r="H115" s="167">
        <v>0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0</v>
      </c>
      <c r="O115" s="167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8" t="e">
        <v>#DIV/0!</v>
      </c>
      <c r="V115" s="167">
        <v>0</v>
      </c>
      <c r="W115" s="167">
        <v>0</v>
      </c>
      <c r="X115" s="167">
        <v>0</v>
      </c>
      <c r="Y115" s="167">
        <v>0</v>
      </c>
      <c r="Z115" s="167">
        <v>0</v>
      </c>
      <c r="AA115" s="167">
        <v>0</v>
      </c>
    </row>
    <row r="116" spans="1:27" ht="12" customHeight="1" x14ac:dyDescent="0.25">
      <c r="A116" s="155" t="s">
        <v>1209</v>
      </c>
      <c r="B116" s="155" t="s">
        <v>507</v>
      </c>
      <c r="C116" s="167">
        <v>0</v>
      </c>
      <c r="D116" s="167">
        <v>0</v>
      </c>
      <c r="E116" s="167">
        <v>0</v>
      </c>
      <c r="F116" s="167">
        <v>0</v>
      </c>
      <c r="G116" s="167">
        <v>0</v>
      </c>
      <c r="H116" s="167">
        <v>0</v>
      </c>
      <c r="I116" s="167">
        <v>0</v>
      </c>
      <c r="J116" s="167">
        <v>0</v>
      </c>
      <c r="K116" s="167">
        <v>0</v>
      </c>
      <c r="L116" s="167">
        <v>0</v>
      </c>
      <c r="M116" s="167">
        <v>0</v>
      </c>
      <c r="N116" s="167">
        <v>0</v>
      </c>
      <c r="O116" s="167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8" t="e">
        <v>#DIV/0!</v>
      </c>
      <c r="V116" s="167">
        <v>0</v>
      </c>
      <c r="W116" s="167">
        <v>0</v>
      </c>
      <c r="X116" s="167">
        <v>0</v>
      </c>
      <c r="Y116" s="167">
        <v>0</v>
      </c>
      <c r="Z116" s="167">
        <v>0</v>
      </c>
      <c r="AA116" s="167">
        <v>0</v>
      </c>
    </row>
    <row r="117" spans="1:27" ht="12" customHeight="1" x14ac:dyDescent="0.25">
      <c r="A117" s="155" t="s">
        <v>1210</v>
      </c>
      <c r="B117" s="155" t="s">
        <v>508</v>
      </c>
      <c r="C117" s="167">
        <v>0</v>
      </c>
      <c r="D117" s="167">
        <v>0</v>
      </c>
      <c r="E117" s="167">
        <v>0</v>
      </c>
      <c r="F117" s="167">
        <v>0</v>
      </c>
      <c r="G117" s="167">
        <v>0</v>
      </c>
      <c r="H117" s="167">
        <v>0</v>
      </c>
      <c r="I117" s="167">
        <v>0</v>
      </c>
      <c r="J117" s="167">
        <v>0</v>
      </c>
      <c r="K117" s="167">
        <v>0</v>
      </c>
      <c r="L117" s="167">
        <v>0</v>
      </c>
      <c r="M117" s="167">
        <v>0</v>
      </c>
      <c r="N117" s="167">
        <v>0</v>
      </c>
      <c r="O117" s="167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8" t="e">
        <v>#DIV/0!</v>
      </c>
      <c r="V117" s="167">
        <v>0</v>
      </c>
      <c r="W117" s="167">
        <v>0</v>
      </c>
      <c r="X117" s="167">
        <v>0</v>
      </c>
      <c r="Y117" s="167">
        <v>0</v>
      </c>
      <c r="Z117" s="167">
        <v>0</v>
      </c>
      <c r="AA117" s="167">
        <v>0</v>
      </c>
    </row>
    <row r="118" spans="1:27" ht="12" customHeight="1" x14ac:dyDescent="0.25">
      <c r="A118" s="155" t="s">
        <v>1211</v>
      </c>
      <c r="B118" s="155" t="s">
        <v>509</v>
      </c>
      <c r="C118" s="167">
        <v>0</v>
      </c>
      <c r="D118" s="167">
        <v>0</v>
      </c>
      <c r="E118" s="167">
        <v>0</v>
      </c>
      <c r="F118" s="167">
        <v>0</v>
      </c>
      <c r="G118" s="167">
        <v>0</v>
      </c>
      <c r="H118" s="167">
        <v>0</v>
      </c>
      <c r="I118" s="167">
        <v>0</v>
      </c>
      <c r="J118" s="167">
        <v>0</v>
      </c>
      <c r="K118" s="167">
        <v>0</v>
      </c>
      <c r="L118" s="167">
        <v>0</v>
      </c>
      <c r="M118" s="167">
        <v>0</v>
      </c>
      <c r="N118" s="167">
        <v>0</v>
      </c>
      <c r="O118" s="167">
        <v>0</v>
      </c>
      <c r="P118" s="167">
        <v>0</v>
      </c>
      <c r="Q118" s="167">
        <v>0</v>
      </c>
      <c r="R118" s="167">
        <v>0</v>
      </c>
      <c r="S118" s="167">
        <v>0</v>
      </c>
      <c r="T118" s="167">
        <v>0</v>
      </c>
      <c r="U118" s="168" t="e">
        <v>#DIV/0!</v>
      </c>
      <c r="V118" s="167">
        <v>0</v>
      </c>
      <c r="W118" s="167">
        <v>0</v>
      </c>
      <c r="X118" s="167">
        <v>0</v>
      </c>
      <c r="Y118" s="167">
        <v>0</v>
      </c>
      <c r="Z118" s="167">
        <v>0</v>
      </c>
      <c r="AA118" s="167">
        <v>0</v>
      </c>
    </row>
    <row r="119" spans="1:27" ht="12" customHeight="1" x14ac:dyDescent="0.25">
      <c r="A119" s="155" t="s">
        <v>1212</v>
      </c>
      <c r="B119" s="155" t="s">
        <v>510</v>
      </c>
      <c r="C119" s="167">
        <v>0</v>
      </c>
      <c r="D119" s="167">
        <v>0</v>
      </c>
      <c r="E119" s="167">
        <v>0</v>
      </c>
      <c r="F119" s="167">
        <v>0</v>
      </c>
      <c r="G119" s="167">
        <v>0</v>
      </c>
      <c r="H119" s="167">
        <v>0</v>
      </c>
      <c r="I119" s="167">
        <v>0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</v>
      </c>
      <c r="R119" s="167">
        <v>0</v>
      </c>
      <c r="S119" s="167">
        <v>0</v>
      </c>
      <c r="T119" s="167">
        <v>0</v>
      </c>
      <c r="U119" s="168" t="e">
        <v>#DIV/0!</v>
      </c>
      <c r="V119" s="167">
        <v>0</v>
      </c>
      <c r="W119" s="167">
        <v>0</v>
      </c>
      <c r="X119" s="167">
        <v>0</v>
      </c>
      <c r="Y119" s="167">
        <v>0</v>
      </c>
      <c r="Z119" s="167">
        <v>0</v>
      </c>
      <c r="AA119" s="167">
        <v>0</v>
      </c>
    </row>
    <row r="120" spans="1:27" ht="12" customHeight="1" x14ac:dyDescent="0.25">
      <c r="A120" s="155"/>
      <c r="B120" s="162" t="s">
        <v>511</v>
      </c>
      <c r="C120" s="163">
        <v>0</v>
      </c>
      <c r="D120" s="163">
        <v>0</v>
      </c>
      <c r="E120" s="163">
        <v>0</v>
      </c>
      <c r="F120" s="163">
        <v>0</v>
      </c>
      <c r="G120" s="163">
        <v>0</v>
      </c>
      <c r="H120" s="163">
        <v>0</v>
      </c>
      <c r="I120" s="163">
        <v>0</v>
      </c>
      <c r="J120" s="163">
        <v>0</v>
      </c>
      <c r="K120" s="163">
        <v>0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3">
        <v>0</v>
      </c>
      <c r="R120" s="163">
        <v>0</v>
      </c>
      <c r="S120" s="163">
        <v>0</v>
      </c>
      <c r="T120" s="164">
        <v>0</v>
      </c>
      <c r="U120" s="165" t="e">
        <v>#DIV/0!</v>
      </c>
      <c r="V120" s="164">
        <v>0</v>
      </c>
      <c r="W120" s="164">
        <v>0</v>
      </c>
      <c r="X120" s="164">
        <v>0</v>
      </c>
      <c r="Y120" s="164">
        <v>0</v>
      </c>
      <c r="Z120" s="164">
        <v>0</v>
      </c>
      <c r="AA120" s="164">
        <v>0</v>
      </c>
    </row>
    <row r="121" spans="1:27" ht="12" customHeight="1" x14ac:dyDescent="0.25">
      <c r="A121" s="155" t="s">
        <v>1213</v>
      </c>
      <c r="B121" s="155" t="s">
        <v>512</v>
      </c>
      <c r="C121" s="167">
        <v>0</v>
      </c>
      <c r="D121" s="167">
        <v>0</v>
      </c>
      <c r="E121" s="167">
        <v>0</v>
      </c>
      <c r="F121" s="167">
        <v>0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0</v>
      </c>
      <c r="M121" s="167">
        <v>0</v>
      </c>
      <c r="N121" s="167">
        <v>0</v>
      </c>
      <c r="O121" s="167">
        <v>0</v>
      </c>
      <c r="P121" s="167">
        <v>0</v>
      </c>
      <c r="Q121" s="167">
        <v>0</v>
      </c>
      <c r="R121" s="167">
        <v>0</v>
      </c>
      <c r="S121" s="167">
        <v>0</v>
      </c>
      <c r="T121" s="167">
        <v>0</v>
      </c>
      <c r="U121" s="168" t="e">
        <v>#DIV/0!</v>
      </c>
      <c r="V121" s="167">
        <v>0</v>
      </c>
      <c r="W121" s="167">
        <v>0</v>
      </c>
      <c r="X121" s="167">
        <v>0</v>
      </c>
      <c r="Y121" s="167">
        <v>0</v>
      </c>
      <c r="Z121" s="167">
        <v>0</v>
      </c>
      <c r="AA121" s="167">
        <v>0</v>
      </c>
    </row>
    <row r="122" spans="1:27" ht="12" customHeight="1" x14ac:dyDescent="0.25">
      <c r="A122" s="155" t="s">
        <v>1214</v>
      </c>
      <c r="B122" s="155" t="s">
        <v>513</v>
      </c>
      <c r="C122" s="167">
        <v>0</v>
      </c>
      <c r="D122" s="167">
        <v>0</v>
      </c>
      <c r="E122" s="167">
        <v>0</v>
      </c>
      <c r="F122" s="167">
        <v>0</v>
      </c>
      <c r="G122" s="167">
        <v>0</v>
      </c>
      <c r="H122" s="167">
        <v>0</v>
      </c>
      <c r="I122" s="167">
        <v>0</v>
      </c>
      <c r="J122" s="167">
        <v>0</v>
      </c>
      <c r="K122" s="167">
        <v>0</v>
      </c>
      <c r="L122" s="167">
        <v>0</v>
      </c>
      <c r="M122" s="167">
        <v>0</v>
      </c>
      <c r="N122" s="167">
        <v>0</v>
      </c>
      <c r="O122" s="167">
        <v>0</v>
      </c>
      <c r="P122" s="167">
        <v>0</v>
      </c>
      <c r="Q122" s="167">
        <v>0</v>
      </c>
      <c r="R122" s="167">
        <v>0</v>
      </c>
      <c r="S122" s="167">
        <v>0</v>
      </c>
      <c r="T122" s="167">
        <v>0</v>
      </c>
      <c r="U122" s="168" t="e">
        <v>#DIV/0!</v>
      </c>
      <c r="V122" s="167">
        <v>0</v>
      </c>
      <c r="W122" s="167">
        <v>0</v>
      </c>
      <c r="X122" s="167">
        <v>0</v>
      </c>
      <c r="Y122" s="167">
        <v>0</v>
      </c>
      <c r="Z122" s="167">
        <v>0</v>
      </c>
      <c r="AA122" s="167">
        <v>0</v>
      </c>
    </row>
    <row r="123" spans="1:27" ht="12" customHeight="1" x14ac:dyDescent="0.25">
      <c r="A123" s="155" t="s">
        <v>1215</v>
      </c>
      <c r="B123" s="162" t="s">
        <v>514</v>
      </c>
      <c r="C123" s="164">
        <v>0</v>
      </c>
      <c r="D123" s="164">
        <v>0</v>
      </c>
      <c r="E123" s="164">
        <v>0</v>
      </c>
      <c r="F123" s="164">
        <v>0</v>
      </c>
      <c r="G123" s="164">
        <v>0</v>
      </c>
      <c r="H123" s="164">
        <v>0</v>
      </c>
      <c r="I123" s="164">
        <v>0</v>
      </c>
      <c r="J123" s="164">
        <v>0</v>
      </c>
      <c r="K123" s="164">
        <v>0</v>
      </c>
      <c r="L123" s="164">
        <v>0</v>
      </c>
      <c r="M123" s="164">
        <v>0</v>
      </c>
      <c r="N123" s="164">
        <v>0</v>
      </c>
      <c r="O123" s="164">
        <v>0</v>
      </c>
      <c r="P123" s="164">
        <v>0</v>
      </c>
      <c r="Q123" s="164">
        <v>0</v>
      </c>
      <c r="R123" s="164">
        <v>0</v>
      </c>
      <c r="S123" s="164">
        <v>0</v>
      </c>
      <c r="T123" s="164">
        <v>0</v>
      </c>
      <c r="U123" s="165" t="e">
        <v>#DIV/0!</v>
      </c>
      <c r="V123" s="164">
        <v>0</v>
      </c>
      <c r="W123" s="164">
        <v>0</v>
      </c>
      <c r="X123" s="164">
        <v>0</v>
      </c>
      <c r="Y123" s="164">
        <v>0</v>
      </c>
      <c r="Z123" s="164">
        <v>0</v>
      </c>
      <c r="AA123" s="164">
        <v>0</v>
      </c>
    </row>
    <row r="124" spans="1:27" ht="12" customHeight="1" x14ac:dyDescent="0.25">
      <c r="A124" s="155"/>
      <c r="B124" s="162" t="s">
        <v>515</v>
      </c>
      <c r="C124" s="163">
        <v>0</v>
      </c>
      <c r="D124" s="163">
        <v>0</v>
      </c>
      <c r="E124" s="163">
        <v>0</v>
      </c>
      <c r="F124" s="163">
        <v>0</v>
      </c>
      <c r="G124" s="163">
        <v>0</v>
      </c>
      <c r="H124" s="163">
        <v>0</v>
      </c>
      <c r="I124" s="163">
        <v>0</v>
      </c>
      <c r="J124" s="163">
        <v>0</v>
      </c>
      <c r="K124" s="163">
        <v>0</v>
      </c>
      <c r="L124" s="163">
        <v>0</v>
      </c>
      <c r="M124" s="163">
        <v>0</v>
      </c>
      <c r="N124" s="163">
        <v>0</v>
      </c>
      <c r="O124" s="163">
        <v>0</v>
      </c>
      <c r="P124" s="163">
        <v>0</v>
      </c>
      <c r="Q124" s="163">
        <v>0</v>
      </c>
      <c r="R124" s="163">
        <v>0</v>
      </c>
      <c r="S124" s="163">
        <v>0</v>
      </c>
      <c r="T124" s="164">
        <v>0</v>
      </c>
      <c r="U124" s="165" t="e">
        <v>#DIV/0!</v>
      </c>
      <c r="V124" s="164">
        <v>0</v>
      </c>
      <c r="W124" s="164">
        <v>0</v>
      </c>
      <c r="X124" s="164">
        <v>0</v>
      </c>
      <c r="Y124" s="164">
        <v>0</v>
      </c>
      <c r="Z124" s="164">
        <v>0</v>
      </c>
      <c r="AA124" s="164">
        <v>0</v>
      </c>
    </row>
    <row r="125" spans="1:27" ht="12" customHeight="1" x14ac:dyDescent="0.25">
      <c r="A125" s="155" t="s">
        <v>1216</v>
      </c>
      <c r="B125" s="155" t="s">
        <v>516</v>
      </c>
      <c r="C125" s="167">
        <v>0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0</v>
      </c>
      <c r="O125" s="167">
        <v>0</v>
      </c>
      <c r="P125" s="167">
        <v>0</v>
      </c>
      <c r="Q125" s="167">
        <v>0</v>
      </c>
      <c r="R125" s="167">
        <v>0</v>
      </c>
      <c r="S125" s="167">
        <v>0</v>
      </c>
      <c r="T125" s="167">
        <v>0</v>
      </c>
      <c r="U125" s="168" t="e">
        <v>#DIV/0!</v>
      </c>
      <c r="V125" s="167">
        <v>0</v>
      </c>
      <c r="W125" s="167">
        <v>0</v>
      </c>
      <c r="X125" s="167">
        <v>0</v>
      </c>
      <c r="Y125" s="167">
        <v>0</v>
      </c>
      <c r="Z125" s="167">
        <v>0</v>
      </c>
      <c r="AA125" s="167">
        <v>0</v>
      </c>
    </row>
    <row r="126" spans="1:27" ht="12" customHeight="1" x14ac:dyDescent="0.25">
      <c r="A126" s="155" t="s">
        <v>1217</v>
      </c>
      <c r="B126" s="155" t="s">
        <v>517</v>
      </c>
      <c r="C126" s="167">
        <v>0</v>
      </c>
      <c r="D126" s="167">
        <v>0</v>
      </c>
      <c r="E126" s="167">
        <v>0</v>
      </c>
      <c r="F126" s="167">
        <v>0</v>
      </c>
      <c r="G126" s="167">
        <v>0</v>
      </c>
      <c r="H126" s="167">
        <v>0</v>
      </c>
      <c r="I126" s="167">
        <v>0</v>
      </c>
      <c r="J126" s="167">
        <v>0</v>
      </c>
      <c r="K126" s="167">
        <v>0</v>
      </c>
      <c r="L126" s="167">
        <v>0</v>
      </c>
      <c r="M126" s="167">
        <v>0</v>
      </c>
      <c r="N126" s="167">
        <v>0</v>
      </c>
      <c r="O126" s="167">
        <v>0</v>
      </c>
      <c r="P126" s="167">
        <v>0</v>
      </c>
      <c r="Q126" s="167">
        <v>0</v>
      </c>
      <c r="R126" s="167">
        <v>0</v>
      </c>
      <c r="S126" s="167">
        <v>0</v>
      </c>
      <c r="T126" s="167">
        <v>0</v>
      </c>
      <c r="U126" s="168" t="e">
        <v>#DIV/0!</v>
      </c>
      <c r="V126" s="167">
        <v>0</v>
      </c>
      <c r="W126" s="167">
        <v>0</v>
      </c>
      <c r="X126" s="167">
        <v>0</v>
      </c>
      <c r="Y126" s="167">
        <v>0</v>
      </c>
      <c r="Z126" s="167">
        <v>0</v>
      </c>
      <c r="AA126" s="167">
        <v>0</v>
      </c>
    </row>
    <row r="127" spans="1:27" ht="12" customHeight="1" x14ac:dyDescent="0.25">
      <c r="A127" s="155"/>
      <c r="B127" s="162" t="s">
        <v>518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3">
        <v>0</v>
      </c>
      <c r="R127" s="163">
        <v>0</v>
      </c>
      <c r="S127" s="163">
        <v>0</v>
      </c>
      <c r="T127" s="164">
        <v>0</v>
      </c>
      <c r="U127" s="165" t="e">
        <v>#DIV/0!</v>
      </c>
      <c r="V127" s="164">
        <v>0</v>
      </c>
      <c r="W127" s="164">
        <v>0</v>
      </c>
      <c r="X127" s="164">
        <v>0</v>
      </c>
      <c r="Y127" s="164">
        <v>0</v>
      </c>
      <c r="Z127" s="164">
        <v>0</v>
      </c>
      <c r="AA127" s="164">
        <v>0</v>
      </c>
    </row>
    <row r="128" spans="1:27" ht="12" customHeight="1" x14ac:dyDescent="0.25">
      <c r="A128" s="155" t="s">
        <v>1218</v>
      </c>
      <c r="B128" s="155" t="s">
        <v>519</v>
      </c>
      <c r="C128" s="167">
        <v>0</v>
      </c>
      <c r="D128" s="167">
        <v>0</v>
      </c>
      <c r="E128" s="167">
        <v>0</v>
      </c>
      <c r="F128" s="167">
        <v>0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7">
        <v>0</v>
      </c>
      <c r="P128" s="167">
        <v>0</v>
      </c>
      <c r="Q128" s="167">
        <v>0</v>
      </c>
      <c r="R128" s="167">
        <v>0</v>
      </c>
      <c r="S128" s="167">
        <v>0</v>
      </c>
      <c r="T128" s="167">
        <v>0</v>
      </c>
      <c r="U128" s="168" t="e">
        <v>#DIV/0!</v>
      </c>
      <c r="V128" s="167">
        <v>0</v>
      </c>
      <c r="W128" s="167">
        <v>0</v>
      </c>
      <c r="X128" s="167">
        <v>0</v>
      </c>
      <c r="Y128" s="167">
        <v>0</v>
      </c>
      <c r="Z128" s="167">
        <v>0</v>
      </c>
      <c r="AA128" s="167">
        <v>0</v>
      </c>
    </row>
    <row r="129" spans="1:27" ht="12" customHeight="1" x14ac:dyDescent="0.25">
      <c r="A129" s="155" t="s">
        <v>1219</v>
      </c>
      <c r="B129" s="155" t="s">
        <v>520</v>
      </c>
      <c r="C129" s="167">
        <v>0</v>
      </c>
      <c r="D129" s="167">
        <v>0</v>
      </c>
      <c r="E129" s="167">
        <v>0</v>
      </c>
      <c r="F129" s="167">
        <v>0</v>
      </c>
      <c r="G129" s="167">
        <v>0</v>
      </c>
      <c r="H129" s="167">
        <v>0</v>
      </c>
      <c r="I129" s="167">
        <v>0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0</v>
      </c>
      <c r="S129" s="167">
        <v>0</v>
      </c>
      <c r="T129" s="167">
        <v>0</v>
      </c>
      <c r="U129" s="168" t="e">
        <v>#DIV/0!</v>
      </c>
      <c r="V129" s="167">
        <v>0</v>
      </c>
      <c r="W129" s="167">
        <v>0</v>
      </c>
      <c r="X129" s="167">
        <v>0</v>
      </c>
      <c r="Y129" s="167">
        <v>0</v>
      </c>
      <c r="Z129" s="167">
        <v>0</v>
      </c>
      <c r="AA129" s="167">
        <v>0</v>
      </c>
    </row>
    <row r="130" spans="1:27" ht="12" customHeight="1" x14ac:dyDescent="0.25">
      <c r="A130" s="155"/>
      <c r="B130" s="162" t="s">
        <v>521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3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3">
        <v>0</v>
      </c>
      <c r="R130" s="163">
        <v>0</v>
      </c>
      <c r="S130" s="163">
        <v>0</v>
      </c>
      <c r="T130" s="164">
        <v>0</v>
      </c>
      <c r="U130" s="165" t="e">
        <v>#DIV/0!</v>
      </c>
      <c r="V130" s="164">
        <v>0</v>
      </c>
      <c r="W130" s="164">
        <v>0</v>
      </c>
      <c r="X130" s="164">
        <v>0</v>
      </c>
      <c r="Y130" s="164">
        <v>0</v>
      </c>
      <c r="Z130" s="164">
        <v>0</v>
      </c>
      <c r="AA130" s="164">
        <v>0</v>
      </c>
    </row>
    <row r="131" spans="1:27" ht="12" customHeight="1" x14ac:dyDescent="0.25">
      <c r="A131" s="155" t="s">
        <v>1220</v>
      </c>
      <c r="B131" s="166" t="s">
        <v>522</v>
      </c>
      <c r="C131" s="167">
        <v>0</v>
      </c>
      <c r="D131" s="167">
        <v>0</v>
      </c>
      <c r="E131" s="167">
        <v>0</v>
      </c>
      <c r="F131" s="167">
        <v>0</v>
      </c>
      <c r="G131" s="167">
        <v>0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8" t="e">
        <v>#DIV/0!</v>
      </c>
      <c r="V131" s="167">
        <v>0</v>
      </c>
      <c r="W131" s="167">
        <v>0</v>
      </c>
      <c r="X131" s="167">
        <v>0</v>
      </c>
      <c r="Y131" s="167">
        <v>0</v>
      </c>
      <c r="Z131" s="167">
        <v>0</v>
      </c>
      <c r="AA131" s="167">
        <v>0</v>
      </c>
    </row>
    <row r="132" spans="1:27" ht="12" customHeight="1" x14ac:dyDescent="0.25">
      <c r="A132" s="155" t="s">
        <v>1221</v>
      </c>
      <c r="B132" s="166" t="s">
        <v>523</v>
      </c>
      <c r="C132" s="167">
        <v>0</v>
      </c>
      <c r="D132" s="167">
        <v>0</v>
      </c>
      <c r="E132" s="167">
        <v>0</v>
      </c>
      <c r="F132" s="167">
        <v>0</v>
      </c>
      <c r="G132" s="167">
        <v>0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7">
        <v>0</v>
      </c>
      <c r="O132" s="167">
        <v>0</v>
      </c>
      <c r="P132" s="167">
        <v>0</v>
      </c>
      <c r="Q132" s="167">
        <v>0</v>
      </c>
      <c r="R132" s="167">
        <v>0</v>
      </c>
      <c r="S132" s="167">
        <v>0</v>
      </c>
      <c r="T132" s="167">
        <v>0</v>
      </c>
      <c r="U132" s="168" t="e">
        <v>#DIV/0!</v>
      </c>
      <c r="V132" s="167">
        <v>0</v>
      </c>
      <c r="W132" s="167">
        <v>0</v>
      </c>
      <c r="X132" s="167">
        <v>0</v>
      </c>
      <c r="Y132" s="167">
        <v>0</v>
      </c>
      <c r="Z132" s="167">
        <v>0</v>
      </c>
      <c r="AA132" s="167">
        <v>0</v>
      </c>
    </row>
    <row r="133" spans="1:27" ht="12" customHeight="1" x14ac:dyDescent="0.25">
      <c r="A133" s="155" t="s">
        <v>1222</v>
      </c>
      <c r="B133" s="166" t="s">
        <v>524</v>
      </c>
      <c r="C133" s="167">
        <v>0</v>
      </c>
      <c r="D133" s="167">
        <v>0</v>
      </c>
      <c r="E133" s="167">
        <v>0</v>
      </c>
      <c r="F133" s="167">
        <v>0</v>
      </c>
      <c r="G133" s="167">
        <v>0</v>
      </c>
      <c r="H133" s="167">
        <v>0</v>
      </c>
      <c r="I133" s="167">
        <v>0</v>
      </c>
      <c r="J133" s="167">
        <v>0</v>
      </c>
      <c r="K133" s="167">
        <v>0</v>
      </c>
      <c r="L133" s="167">
        <v>0</v>
      </c>
      <c r="M133" s="167">
        <v>0</v>
      </c>
      <c r="N133" s="167">
        <v>0</v>
      </c>
      <c r="O133" s="167">
        <v>0</v>
      </c>
      <c r="P133" s="167">
        <v>0</v>
      </c>
      <c r="Q133" s="167">
        <v>0</v>
      </c>
      <c r="R133" s="167">
        <v>0</v>
      </c>
      <c r="S133" s="167">
        <v>0</v>
      </c>
      <c r="T133" s="167">
        <v>0</v>
      </c>
      <c r="U133" s="168" t="e">
        <v>#DIV/0!</v>
      </c>
      <c r="V133" s="167">
        <v>0</v>
      </c>
      <c r="W133" s="167">
        <v>0</v>
      </c>
      <c r="X133" s="167">
        <v>0</v>
      </c>
      <c r="Y133" s="167">
        <v>0</v>
      </c>
      <c r="Z133" s="167">
        <v>0</v>
      </c>
      <c r="AA133" s="167">
        <v>0</v>
      </c>
    </row>
    <row r="134" spans="1:27" ht="12" customHeight="1" x14ac:dyDescent="0.25">
      <c r="A134" s="155"/>
      <c r="B134" s="162" t="s">
        <v>525</v>
      </c>
      <c r="C134" s="163">
        <v>0</v>
      </c>
      <c r="D134" s="163">
        <v>0</v>
      </c>
      <c r="E134" s="163">
        <v>0</v>
      </c>
      <c r="F134" s="163">
        <v>0</v>
      </c>
      <c r="G134" s="163">
        <v>0</v>
      </c>
      <c r="H134" s="163">
        <v>0</v>
      </c>
      <c r="I134" s="163">
        <v>0</v>
      </c>
      <c r="J134" s="163">
        <v>0</v>
      </c>
      <c r="K134" s="163">
        <v>0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3">
        <v>0</v>
      </c>
      <c r="R134" s="163">
        <v>0</v>
      </c>
      <c r="S134" s="163">
        <v>0</v>
      </c>
      <c r="T134" s="164">
        <v>0</v>
      </c>
      <c r="U134" s="165" t="e">
        <v>#DIV/0!</v>
      </c>
      <c r="V134" s="164">
        <v>0</v>
      </c>
      <c r="W134" s="164">
        <v>0</v>
      </c>
      <c r="X134" s="164">
        <v>0</v>
      </c>
      <c r="Y134" s="164">
        <v>0</v>
      </c>
      <c r="Z134" s="164">
        <v>0</v>
      </c>
      <c r="AA134" s="164">
        <v>0</v>
      </c>
    </row>
    <row r="135" spans="1:27" ht="12" customHeight="1" x14ac:dyDescent="0.25">
      <c r="A135" s="155" t="s">
        <v>1223</v>
      </c>
      <c r="B135" s="155" t="s">
        <v>526</v>
      </c>
      <c r="C135" s="167">
        <v>0</v>
      </c>
      <c r="D135" s="167">
        <v>0</v>
      </c>
      <c r="E135" s="167">
        <v>0</v>
      </c>
      <c r="F135" s="167">
        <v>0</v>
      </c>
      <c r="G135" s="167">
        <v>0</v>
      </c>
      <c r="H135" s="167">
        <v>0</v>
      </c>
      <c r="I135" s="167">
        <v>0</v>
      </c>
      <c r="J135" s="167">
        <v>0</v>
      </c>
      <c r="K135" s="167">
        <v>0</v>
      </c>
      <c r="L135" s="167">
        <v>0</v>
      </c>
      <c r="M135" s="167">
        <v>0</v>
      </c>
      <c r="N135" s="167">
        <v>0</v>
      </c>
      <c r="O135" s="167">
        <v>0</v>
      </c>
      <c r="P135" s="167">
        <v>0</v>
      </c>
      <c r="Q135" s="167">
        <v>0</v>
      </c>
      <c r="R135" s="167">
        <v>0</v>
      </c>
      <c r="S135" s="167">
        <v>0</v>
      </c>
      <c r="T135" s="167">
        <v>0</v>
      </c>
      <c r="U135" s="168" t="e">
        <v>#DIV/0!</v>
      </c>
      <c r="V135" s="167">
        <v>0</v>
      </c>
      <c r="W135" s="167">
        <v>0</v>
      </c>
      <c r="X135" s="167">
        <v>0</v>
      </c>
      <c r="Y135" s="167">
        <v>0</v>
      </c>
      <c r="Z135" s="167">
        <v>0</v>
      </c>
      <c r="AA135" s="167">
        <v>0</v>
      </c>
    </row>
    <row r="136" spans="1:27" ht="12" customHeight="1" x14ac:dyDescent="0.25">
      <c r="A136" s="155" t="s">
        <v>1224</v>
      </c>
      <c r="B136" s="155" t="s">
        <v>527</v>
      </c>
      <c r="C136" s="167">
        <v>0</v>
      </c>
      <c r="D136" s="167">
        <v>0</v>
      </c>
      <c r="E136" s="167">
        <v>0</v>
      </c>
      <c r="F136" s="167">
        <v>0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0</v>
      </c>
      <c r="M136" s="167">
        <v>0</v>
      </c>
      <c r="N136" s="167">
        <v>0</v>
      </c>
      <c r="O136" s="167">
        <v>0</v>
      </c>
      <c r="P136" s="167">
        <v>0</v>
      </c>
      <c r="Q136" s="167">
        <v>0</v>
      </c>
      <c r="R136" s="167">
        <v>0</v>
      </c>
      <c r="S136" s="167">
        <v>0</v>
      </c>
      <c r="T136" s="167">
        <v>0</v>
      </c>
      <c r="U136" s="168" t="e">
        <v>#DIV/0!</v>
      </c>
      <c r="V136" s="167">
        <v>0</v>
      </c>
      <c r="W136" s="167">
        <v>0</v>
      </c>
      <c r="X136" s="167">
        <v>0</v>
      </c>
      <c r="Y136" s="167">
        <v>0</v>
      </c>
      <c r="Z136" s="167">
        <v>0</v>
      </c>
      <c r="AA136" s="167">
        <v>0</v>
      </c>
    </row>
    <row r="137" spans="1:27" ht="12" customHeight="1" x14ac:dyDescent="0.25">
      <c r="A137" s="155" t="s">
        <v>1225</v>
      </c>
      <c r="B137" s="155" t="s">
        <v>528</v>
      </c>
      <c r="C137" s="167">
        <v>0</v>
      </c>
      <c r="D137" s="167">
        <v>0</v>
      </c>
      <c r="E137" s="167">
        <v>0</v>
      </c>
      <c r="F137" s="167">
        <v>0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0</v>
      </c>
      <c r="M137" s="167">
        <v>0</v>
      </c>
      <c r="N137" s="167">
        <v>0</v>
      </c>
      <c r="O137" s="167">
        <v>0</v>
      </c>
      <c r="P137" s="167">
        <v>0</v>
      </c>
      <c r="Q137" s="167">
        <v>0</v>
      </c>
      <c r="R137" s="167">
        <v>0</v>
      </c>
      <c r="S137" s="167">
        <v>0</v>
      </c>
      <c r="T137" s="167">
        <v>0</v>
      </c>
      <c r="U137" s="168" t="e">
        <v>#DIV/0!</v>
      </c>
      <c r="V137" s="167">
        <v>0</v>
      </c>
      <c r="W137" s="167">
        <v>0</v>
      </c>
      <c r="X137" s="167">
        <v>0</v>
      </c>
      <c r="Y137" s="167">
        <v>0</v>
      </c>
      <c r="Z137" s="167">
        <v>0</v>
      </c>
      <c r="AA137" s="167">
        <v>0</v>
      </c>
    </row>
    <row r="138" spans="1:27" ht="12" customHeight="1" x14ac:dyDescent="0.25">
      <c r="A138" s="155" t="s">
        <v>1226</v>
      </c>
      <c r="B138" s="155" t="s">
        <v>529</v>
      </c>
      <c r="C138" s="167">
        <v>0</v>
      </c>
      <c r="D138" s="167">
        <v>0</v>
      </c>
      <c r="E138" s="167">
        <v>0</v>
      </c>
      <c r="F138" s="167">
        <v>0</v>
      </c>
      <c r="G138" s="167">
        <v>0</v>
      </c>
      <c r="H138" s="167">
        <v>0</v>
      </c>
      <c r="I138" s="167">
        <v>0</v>
      </c>
      <c r="J138" s="167">
        <v>0</v>
      </c>
      <c r="K138" s="167">
        <v>0</v>
      </c>
      <c r="L138" s="167">
        <v>0</v>
      </c>
      <c r="M138" s="167">
        <v>0</v>
      </c>
      <c r="N138" s="167">
        <v>0</v>
      </c>
      <c r="O138" s="167">
        <v>0</v>
      </c>
      <c r="P138" s="167">
        <v>0</v>
      </c>
      <c r="Q138" s="167">
        <v>0</v>
      </c>
      <c r="R138" s="167">
        <v>0</v>
      </c>
      <c r="S138" s="167">
        <v>0</v>
      </c>
      <c r="T138" s="167">
        <v>0</v>
      </c>
      <c r="U138" s="168" t="e">
        <v>#DIV/0!</v>
      </c>
      <c r="V138" s="167">
        <v>0</v>
      </c>
      <c r="W138" s="167">
        <v>0</v>
      </c>
      <c r="X138" s="167">
        <v>0</v>
      </c>
      <c r="Y138" s="167">
        <v>0</v>
      </c>
      <c r="Z138" s="167">
        <v>0</v>
      </c>
      <c r="AA138" s="167">
        <v>0</v>
      </c>
    </row>
    <row r="139" spans="1:27" ht="12" customHeight="1" x14ac:dyDescent="0.25">
      <c r="A139" s="155" t="s">
        <v>1227</v>
      </c>
      <c r="B139" s="155" t="s">
        <v>530</v>
      </c>
      <c r="C139" s="167">
        <v>0</v>
      </c>
      <c r="D139" s="167">
        <v>0</v>
      </c>
      <c r="E139" s="167">
        <v>0</v>
      </c>
      <c r="F139" s="167">
        <v>0</v>
      </c>
      <c r="G139" s="167">
        <v>0</v>
      </c>
      <c r="H139" s="167">
        <v>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0</v>
      </c>
      <c r="O139" s="167">
        <v>0</v>
      </c>
      <c r="P139" s="167">
        <v>0</v>
      </c>
      <c r="Q139" s="167">
        <v>0</v>
      </c>
      <c r="R139" s="167">
        <v>0</v>
      </c>
      <c r="S139" s="167">
        <v>0</v>
      </c>
      <c r="T139" s="167">
        <v>0</v>
      </c>
      <c r="U139" s="168" t="e">
        <v>#DIV/0!</v>
      </c>
      <c r="V139" s="167">
        <v>0</v>
      </c>
      <c r="W139" s="167">
        <v>0</v>
      </c>
      <c r="X139" s="167">
        <v>0</v>
      </c>
      <c r="Y139" s="167">
        <v>0</v>
      </c>
      <c r="Z139" s="167">
        <v>0</v>
      </c>
      <c r="AA139" s="167">
        <v>0</v>
      </c>
    </row>
    <row r="140" spans="1:27" ht="12" customHeight="1" x14ac:dyDescent="0.25">
      <c r="A140" s="155" t="s">
        <v>1228</v>
      </c>
      <c r="B140" s="155" t="s">
        <v>531</v>
      </c>
      <c r="C140" s="167">
        <v>0</v>
      </c>
      <c r="D140" s="167">
        <v>0</v>
      </c>
      <c r="E140" s="167">
        <v>0</v>
      </c>
      <c r="F140" s="167">
        <v>0</v>
      </c>
      <c r="G140" s="167">
        <v>0</v>
      </c>
      <c r="H140" s="167">
        <v>0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67">
        <v>0</v>
      </c>
      <c r="U140" s="168" t="e">
        <v>#DIV/0!</v>
      </c>
      <c r="V140" s="167">
        <v>0</v>
      </c>
      <c r="W140" s="167">
        <v>0</v>
      </c>
      <c r="X140" s="167">
        <v>0</v>
      </c>
      <c r="Y140" s="167">
        <v>0</v>
      </c>
      <c r="Z140" s="167">
        <v>0</v>
      </c>
      <c r="AA140" s="167">
        <v>0</v>
      </c>
    </row>
    <row r="141" spans="1:27" ht="12" customHeight="1" x14ac:dyDescent="0.25">
      <c r="A141" s="155" t="s">
        <v>1229</v>
      </c>
      <c r="B141" s="155" t="s">
        <v>532</v>
      </c>
      <c r="C141" s="167">
        <v>0</v>
      </c>
      <c r="D141" s="167">
        <v>0</v>
      </c>
      <c r="E141" s="167">
        <v>0</v>
      </c>
      <c r="F141" s="167">
        <v>0</v>
      </c>
      <c r="G141" s="167">
        <v>0</v>
      </c>
      <c r="H141" s="167">
        <v>0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67">
        <v>0</v>
      </c>
      <c r="U141" s="168" t="e">
        <v>#DIV/0!</v>
      </c>
      <c r="V141" s="167">
        <v>0</v>
      </c>
      <c r="W141" s="167">
        <v>0</v>
      </c>
      <c r="X141" s="167">
        <v>0</v>
      </c>
      <c r="Y141" s="167">
        <v>0</v>
      </c>
      <c r="Z141" s="167">
        <v>0</v>
      </c>
      <c r="AA141" s="167">
        <v>0</v>
      </c>
    </row>
    <row r="142" spans="1:27" ht="12" customHeight="1" x14ac:dyDescent="0.25">
      <c r="A142" s="155" t="s">
        <v>1230</v>
      </c>
      <c r="B142" s="162" t="s">
        <v>533</v>
      </c>
      <c r="C142" s="164">
        <v>0</v>
      </c>
      <c r="D142" s="164">
        <v>0</v>
      </c>
      <c r="E142" s="164">
        <v>0</v>
      </c>
      <c r="F142" s="164">
        <v>0</v>
      </c>
      <c r="G142" s="164">
        <v>0</v>
      </c>
      <c r="H142" s="164">
        <v>0</v>
      </c>
      <c r="I142" s="164">
        <v>0</v>
      </c>
      <c r="J142" s="164">
        <v>0</v>
      </c>
      <c r="K142" s="164">
        <v>0</v>
      </c>
      <c r="L142" s="164">
        <v>0</v>
      </c>
      <c r="M142" s="164">
        <v>0</v>
      </c>
      <c r="N142" s="164">
        <v>0</v>
      </c>
      <c r="O142" s="164">
        <v>0</v>
      </c>
      <c r="P142" s="164">
        <v>0</v>
      </c>
      <c r="Q142" s="164">
        <v>0</v>
      </c>
      <c r="R142" s="164">
        <v>0</v>
      </c>
      <c r="S142" s="164">
        <v>0</v>
      </c>
      <c r="T142" s="164">
        <v>0</v>
      </c>
      <c r="U142" s="165" t="e">
        <v>#DIV/0!</v>
      </c>
      <c r="V142" s="164">
        <v>0</v>
      </c>
      <c r="W142" s="164">
        <v>0</v>
      </c>
      <c r="X142" s="164">
        <v>0</v>
      </c>
      <c r="Y142" s="164">
        <v>0</v>
      </c>
      <c r="Z142" s="164">
        <v>0</v>
      </c>
      <c r="AA142" s="164">
        <v>0</v>
      </c>
    </row>
    <row r="143" spans="1:27" ht="12" customHeight="1" x14ac:dyDescent="0.25">
      <c r="A143" s="155" t="s">
        <v>1231</v>
      </c>
      <c r="B143" s="162" t="s">
        <v>534</v>
      </c>
      <c r="C143" s="164">
        <v>0</v>
      </c>
      <c r="D143" s="164">
        <v>0</v>
      </c>
      <c r="E143" s="164">
        <v>0</v>
      </c>
      <c r="F143" s="164">
        <v>0</v>
      </c>
      <c r="G143" s="164">
        <v>0</v>
      </c>
      <c r="H143" s="164">
        <v>0</v>
      </c>
      <c r="I143" s="164">
        <v>0</v>
      </c>
      <c r="J143" s="164">
        <v>0</v>
      </c>
      <c r="K143" s="164">
        <v>0</v>
      </c>
      <c r="L143" s="164">
        <v>0</v>
      </c>
      <c r="M143" s="164">
        <v>0</v>
      </c>
      <c r="N143" s="164">
        <v>0</v>
      </c>
      <c r="O143" s="164">
        <v>0</v>
      </c>
      <c r="P143" s="164">
        <v>0</v>
      </c>
      <c r="Q143" s="164">
        <v>0</v>
      </c>
      <c r="R143" s="164">
        <v>0</v>
      </c>
      <c r="S143" s="164">
        <v>0</v>
      </c>
      <c r="T143" s="164">
        <v>0</v>
      </c>
      <c r="U143" s="165" t="e">
        <v>#DIV/0!</v>
      </c>
      <c r="V143" s="164">
        <v>0</v>
      </c>
      <c r="W143" s="164">
        <v>0</v>
      </c>
      <c r="X143" s="164">
        <v>0</v>
      </c>
      <c r="Y143" s="164">
        <v>0</v>
      </c>
      <c r="Z143" s="164">
        <v>0</v>
      </c>
      <c r="AA143" s="164">
        <v>0</v>
      </c>
    </row>
    <row r="144" spans="1:27" ht="12" customHeight="1" x14ac:dyDescent="0.25">
      <c r="A144" s="155"/>
      <c r="B144" s="162" t="s">
        <v>535</v>
      </c>
      <c r="C144" s="163">
        <v>0</v>
      </c>
      <c r="D144" s="163">
        <v>0</v>
      </c>
      <c r="E144" s="163">
        <v>0</v>
      </c>
      <c r="F144" s="163">
        <v>0</v>
      </c>
      <c r="G144" s="163">
        <v>0</v>
      </c>
      <c r="H144" s="163">
        <v>0</v>
      </c>
      <c r="I144" s="163">
        <v>0</v>
      </c>
      <c r="J144" s="163">
        <v>0</v>
      </c>
      <c r="K144" s="163">
        <v>0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3">
        <v>0</v>
      </c>
      <c r="R144" s="163">
        <v>0</v>
      </c>
      <c r="S144" s="163">
        <v>0</v>
      </c>
      <c r="T144" s="164">
        <v>0</v>
      </c>
      <c r="U144" s="165" t="e">
        <v>#DIV/0!</v>
      </c>
      <c r="V144" s="164">
        <v>0</v>
      </c>
      <c r="W144" s="164">
        <v>0</v>
      </c>
      <c r="X144" s="164">
        <v>0</v>
      </c>
      <c r="Y144" s="164">
        <v>0</v>
      </c>
      <c r="Z144" s="164">
        <v>0</v>
      </c>
      <c r="AA144" s="164">
        <v>0</v>
      </c>
    </row>
    <row r="145" spans="1:27" ht="12" customHeight="1" x14ac:dyDescent="0.25">
      <c r="A145" s="155" t="s">
        <v>1232</v>
      </c>
      <c r="B145" s="155" t="s">
        <v>536</v>
      </c>
      <c r="C145" s="167">
        <v>0</v>
      </c>
      <c r="D145" s="167">
        <v>0</v>
      </c>
      <c r="E145" s="167">
        <v>0</v>
      </c>
      <c r="F145" s="167">
        <v>0</v>
      </c>
      <c r="G145" s="167">
        <v>0</v>
      </c>
      <c r="H145" s="167">
        <v>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0</v>
      </c>
      <c r="T145" s="167">
        <v>0</v>
      </c>
      <c r="U145" s="168" t="e">
        <v>#DIV/0!</v>
      </c>
      <c r="V145" s="167">
        <v>0</v>
      </c>
      <c r="W145" s="167">
        <v>0</v>
      </c>
      <c r="X145" s="167">
        <v>0</v>
      </c>
      <c r="Y145" s="167">
        <v>0</v>
      </c>
      <c r="Z145" s="167">
        <v>0</v>
      </c>
      <c r="AA145" s="167">
        <v>0</v>
      </c>
    </row>
    <row r="146" spans="1:27" ht="12" customHeight="1" x14ac:dyDescent="0.25">
      <c r="A146" s="155" t="s">
        <v>1233</v>
      </c>
      <c r="B146" s="155" t="s">
        <v>537</v>
      </c>
      <c r="C146" s="167">
        <v>0</v>
      </c>
      <c r="D146" s="167">
        <v>0</v>
      </c>
      <c r="E146" s="167">
        <v>0</v>
      </c>
      <c r="F146" s="167">
        <v>0</v>
      </c>
      <c r="G146" s="167">
        <v>0</v>
      </c>
      <c r="H146" s="167">
        <v>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0</v>
      </c>
      <c r="O146" s="167">
        <v>0</v>
      </c>
      <c r="P146" s="167">
        <v>0</v>
      </c>
      <c r="Q146" s="167">
        <v>0</v>
      </c>
      <c r="R146" s="167">
        <v>0</v>
      </c>
      <c r="S146" s="167">
        <v>0</v>
      </c>
      <c r="T146" s="167">
        <v>0</v>
      </c>
      <c r="U146" s="168" t="e">
        <v>#DIV/0!</v>
      </c>
      <c r="V146" s="167">
        <v>0</v>
      </c>
      <c r="W146" s="167">
        <v>0</v>
      </c>
      <c r="X146" s="167">
        <v>0</v>
      </c>
      <c r="Y146" s="167">
        <v>0</v>
      </c>
      <c r="Z146" s="167">
        <v>0</v>
      </c>
      <c r="AA146" s="167">
        <v>0</v>
      </c>
    </row>
    <row r="147" spans="1:27" ht="12" customHeight="1" x14ac:dyDescent="0.25">
      <c r="A147" s="155" t="s">
        <v>1234</v>
      </c>
      <c r="B147" s="155" t="s">
        <v>538</v>
      </c>
      <c r="C147" s="167">
        <v>0</v>
      </c>
      <c r="D147" s="167">
        <v>0</v>
      </c>
      <c r="E147" s="167">
        <v>0</v>
      </c>
      <c r="F147" s="167">
        <v>0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0</v>
      </c>
      <c r="T147" s="167">
        <v>0</v>
      </c>
      <c r="U147" s="168" t="e">
        <v>#DIV/0!</v>
      </c>
      <c r="V147" s="167">
        <v>0</v>
      </c>
      <c r="W147" s="167">
        <v>0</v>
      </c>
      <c r="X147" s="167">
        <v>0</v>
      </c>
      <c r="Y147" s="167">
        <v>0</v>
      </c>
      <c r="Z147" s="167">
        <v>0</v>
      </c>
      <c r="AA147" s="167">
        <v>0</v>
      </c>
    </row>
    <row r="148" spans="1:27" ht="12" customHeight="1" x14ac:dyDescent="0.25">
      <c r="A148" s="155" t="s">
        <v>1235</v>
      </c>
      <c r="B148" s="155" t="s">
        <v>539</v>
      </c>
      <c r="C148" s="167">
        <v>0</v>
      </c>
      <c r="D148" s="167">
        <v>0</v>
      </c>
      <c r="E148" s="167">
        <v>0</v>
      </c>
      <c r="F148" s="167">
        <v>0</v>
      </c>
      <c r="G148" s="167">
        <v>0</v>
      </c>
      <c r="H148" s="167">
        <v>0</v>
      </c>
      <c r="I148" s="167">
        <v>0</v>
      </c>
      <c r="J148" s="167">
        <v>0</v>
      </c>
      <c r="K148" s="167">
        <v>0</v>
      </c>
      <c r="L148" s="167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0</v>
      </c>
      <c r="U148" s="168" t="e">
        <v>#DIV/0!</v>
      </c>
      <c r="V148" s="167">
        <v>0</v>
      </c>
      <c r="W148" s="167">
        <v>0</v>
      </c>
      <c r="X148" s="167">
        <v>0</v>
      </c>
      <c r="Y148" s="167">
        <v>0</v>
      </c>
      <c r="Z148" s="167">
        <v>0</v>
      </c>
      <c r="AA148" s="167">
        <v>0</v>
      </c>
    </row>
    <row r="149" spans="1:27" ht="12" customHeight="1" x14ac:dyDescent="0.25">
      <c r="A149" s="155" t="s">
        <v>1236</v>
      </c>
      <c r="B149" s="155" t="s">
        <v>540</v>
      </c>
      <c r="C149" s="167">
        <v>0</v>
      </c>
      <c r="D149" s="167">
        <v>0</v>
      </c>
      <c r="E149" s="167">
        <v>0</v>
      </c>
      <c r="F149" s="167">
        <v>0</v>
      </c>
      <c r="G149" s="167">
        <v>0</v>
      </c>
      <c r="H149" s="167">
        <v>0</v>
      </c>
      <c r="I149" s="167">
        <v>0</v>
      </c>
      <c r="J149" s="167">
        <v>0</v>
      </c>
      <c r="K149" s="167">
        <v>0</v>
      </c>
      <c r="L149" s="167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0</v>
      </c>
      <c r="U149" s="168" t="e">
        <v>#DIV/0!</v>
      </c>
      <c r="V149" s="167">
        <v>0</v>
      </c>
      <c r="W149" s="167">
        <v>0</v>
      </c>
      <c r="X149" s="167">
        <v>0</v>
      </c>
      <c r="Y149" s="167">
        <v>0</v>
      </c>
      <c r="Z149" s="167">
        <v>0</v>
      </c>
      <c r="AA149" s="167">
        <v>0</v>
      </c>
    </row>
    <row r="150" spans="1:27" ht="12" customHeight="1" x14ac:dyDescent="0.25">
      <c r="A150" s="155" t="s">
        <v>1237</v>
      </c>
      <c r="B150" s="155" t="s">
        <v>541</v>
      </c>
      <c r="C150" s="167">
        <v>0</v>
      </c>
      <c r="D150" s="167">
        <v>0</v>
      </c>
      <c r="E150" s="167">
        <v>0</v>
      </c>
      <c r="F150" s="167">
        <v>0</v>
      </c>
      <c r="G150" s="167">
        <v>0</v>
      </c>
      <c r="H150" s="167">
        <v>0</v>
      </c>
      <c r="I150" s="167">
        <v>0</v>
      </c>
      <c r="J150" s="167">
        <v>0</v>
      </c>
      <c r="K150" s="167">
        <v>0</v>
      </c>
      <c r="L150" s="167">
        <v>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67">
        <v>0</v>
      </c>
      <c r="U150" s="168" t="e">
        <v>#DIV/0!</v>
      </c>
      <c r="V150" s="167">
        <v>0</v>
      </c>
      <c r="W150" s="167">
        <v>0</v>
      </c>
      <c r="X150" s="167">
        <v>0</v>
      </c>
      <c r="Y150" s="167">
        <v>0</v>
      </c>
      <c r="Z150" s="167">
        <v>0</v>
      </c>
      <c r="AA150" s="167">
        <v>0</v>
      </c>
    </row>
    <row r="151" spans="1:27" ht="12" customHeight="1" x14ac:dyDescent="0.25">
      <c r="A151" s="155" t="s">
        <v>1238</v>
      </c>
      <c r="B151" s="162" t="s">
        <v>542</v>
      </c>
      <c r="C151" s="164">
        <v>0</v>
      </c>
      <c r="D151" s="164">
        <v>0</v>
      </c>
      <c r="E151" s="164">
        <v>0</v>
      </c>
      <c r="F151" s="164">
        <v>0</v>
      </c>
      <c r="G151" s="164">
        <v>0</v>
      </c>
      <c r="H151" s="164">
        <v>0</v>
      </c>
      <c r="I151" s="164">
        <v>0</v>
      </c>
      <c r="J151" s="164">
        <v>0</v>
      </c>
      <c r="K151" s="164">
        <v>0</v>
      </c>
      <c r="L151" s="164">
        <v>0</v>
      </c>
      <c r="M151" s="164">
        <v>0</v>
      </c>
      <c r="N151" s="164">
        <v>0</v>
      </c>
      <c r="O151" s="164">
        <v>0</v>
      </c>
      <c r="P151" s="164">
        <v>0</v>
      </c>
      <c r="Q151" s="164">
        <v>0</v>
      </c>
      <c r="R151" s="164">
        <v>0</v>
      </c>
      <c r="S151" s="164">
        <v>0</v>
      </c>
      <c r="T151" s="164">
        <v>0</v>
      </c>
      <c r="U151" s="165" t="e">
        <v>#DIV/0!</v>
      </c>
      <c r="V151" s="164">
        <v>0</v>
      </c>
      <c r="W151" s="164">
        <v>0</v>
      </c>
      <c r="X151" s="164">
        <v>0</v>
      </c>
      <c r="Y151" s="164">
        <v>0</v>
      </c>
      <c r="Z151" s="164">
        <v>0</v>
      </c>
      <c r="AA151" s="164">
        <v>0</v>
      </c>
    </row>
    <row r="152" spans="1:27" ht="12" customHeight="1" x14ac:dyDescent="0.25">
      <c r="A152" s="155" t="s">
        <v>1239</v>
      </c>
      <c r="B152" s="162" t="s">
        <v>543</v>
      </c>
      <c r="C152" s="164">
        <v>0</v>
      </c>
      <c r="D152" s="164">
        <v>0</v>
      </c>
      <c r="E152" s="164">
        <v>0</v>
      </c>
      <c r="F152" s="164">
        <v>0</v>
      </c>
      <c r="G152" s="164">
        <v>0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4">
        <v>0</v>
      </c>
      <c r="O152" s="164">
        <v>0</v>
      </c>
      <c r="P152" s="164">
        <v>0</v>
      </c>
      <c r="Q152" s="164">
        <v>0</v>
      </c>
      <c r="R152" s="164">
        <v>0</v>
      </c>
      <c r="S152" s="164">
        <v>0</v>
      </c>
      <c r="T152" s="164">
        <v>0</v>
      </c>
      <c r="U152" s="165" t="e">
        <v>#DIV/0!</v>
      </c>
      <c r="V152" s="164">
        <v>0</v>
      </c>
      <c r="W152" s="164">
        <v>0</v>
      </c>
      <c r="X152" s="164">
        <v>0</v>
      </c>
      <c r="Y152" s="164">
        <v>0</v>
      </c>
      <c r="Z152" s="164">
        <v>0</v>
      </c>
      <c r="AA152" s="164">
        <v>0</v>
      </c>
    </row>
    <row r="153" spans="1:27" ht="12" customHeight="1" x14ac:dyDescent="0.25">
      <c r="A153" s="155"/>
      <c r="B153" s="162" t="s">
        <v>544</v>
      </c>
      <c r="C153" s="163">
        <v>0</v>
      </c>
      <c r="D153" s="163">
        <v>0</v>
      </c>
      <c r="E153" s="163">
        <v>0</v>
      </c>
      <c r="F153" s="163">
        <v>0</v>
      </c>
      <c r="G153" s="163">
        <v>0</v>
      </c>
      <c r="H153" s="163">
        <v>0</v>
      </c>
      <c r="I153" s="163">
        <v>0</v>
      </c>
      <c r="J153" s="163">
        <v>0</v>
      </c>
      <c r="K153" s="163">
        <v>0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3">
        <v>0</v>
      </c>
      <c r="R153" s="163">
        <v>0</v>
      </c>
      <c r="S153" s="163">
        <v>0</v>
      </c>
      <c r="T153" s="164">
        <v>0</v>
      </c>
      <c r="U153" s="165" t="e">
        <v>#DIV/0!</v>
      </c>
      <c r="V153" s="164">
        <v>0</v>
      </c>
      <c r="W153" s="164">
        <v>0</v>
      </c>
      <c r="X153" s="164">
        <v>0</v>
      </c>
      <c r="Y153" s="164">
        <v>0</v>
      </c>
      <c r="Z153" s="164">
        <v>0</v>
      </c>
      <c r="AA153" s="164">
        <v>0</v>
      </c>
    </row>
    <row r="154" spans="1:27" ht="12" customHeight="1" x14ac:dyDescent="0.25">
      <c r="A154" s="155" t="s">
        <v>1240</v>
      </c>
      <c r="B154" s="155" t="s">
        <v>545</v>
      </c>
      <c r="C154" s="167">
        <v>0</v>
      </c>
      <c r="D154" s="167">
        <v>0</v>
      </c>
      <c r="E154" s="167">
        <v>0</v>
      </c>
      <c r="F154" s="167">
        <v>0</v>
      </c>
      <c r="G154" s="167">
        <v>0</v>
      </c>
      <c r="H154" s="167">
        <v>0</v>
      </c>
      <c r="I154" s="167">
        <v>0</v>
      </c>
      <c r="J154" s="167">
        <v>0</v>
      </c>
      <c r="K154" s="167">
        <v>0</v>
      </c>
      <c r="L154" s="167">
        <v>0</v>
      </c>
      <c r="M154" s="167">
        <v>0</v>
      </c>
      <c r="N154" s="167">
        <v>0</v>
      </c>
      <c r="O154" s="167">
        <v>0</v>
      </c>
      <c r="P154" s="167">
        <v>0</v>
      </c>
      <c r="Q154" s="167">
        <v>0</v>
      </c>
      <c r="R154" s="167">
        <v>0</v>
      </c>
      <c r="S154" s="167">
        <v>0</v>
      </c>
      <c r="T154" s="167">
        <v>0</v>
      </c>
      <c r="U154" s="168" t="e">
        <v>#DIV/0!</v>
      </c>
      <c r="V154" s="167">
        <v>0</v>
      </c>
      <c r="W154" s="167">
        <v>0</v>
      </c>
      <c r="X154" s="167">
        <v>0</v>
      </c>
      <c r="Y154" s="167">
        <v>0</v>
      </c>
      <c r="Z154" s="167">
        <v>0</v>
      </c>
      <c r="AA154" s="167">
        <v>0</v>
      </c>
    </row>
    <row r="155" spans="1:27" ht="12" customHeight="1" x14ac:dyDescent="0.25">
      <c r="A155" s="155" t="s">
        <v>1241</v>
      </c>
      <c r="B155" s="155" t="s">
        <v>546</v>
      </c>
      <c r="C155" s="167">
        <v>0</v>
      </c>
      <c r="D155" s="167">
        <v>0</v>
      </c>
      <c r="E155" s="167">
        <v>0</v>
      </c>
      <c r="F155" s="167">
        <v>0</v>
      </c>
      <c r="G155" s="167">
        <v>0</v>
      </c>
      <c r="H155" s="167">
        <v>0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0</v>
      </c>
      <c r="T155" s="167">
        <v>0</v>
      </c>
      <c r="U155" s="168" t="e">
        <v>#DIV/0!</v>
      </c>
      <c r="V155" s="167">
        <v>0</v>
      </c>
      <c r="W155" s="167">
        <v>0</v>
      </c>
      <c r="X155" s="167">
        <v>0</v>
      </c>
      <c r="Y155" s="167">
        <v>0</v>
      </c>
      <c r="Z155" s="167">
        <v>0</v>
      </c>
      <c r="AA155" s="167">
        <v>0</v>
      </c>
    </row>
    <row r="156" spans="1:27" ht="12" customHeight="1" x14ac:dyDescent="0.25">
      <c r="A156" s="155" t="s">
        <v>1242</v>
      </c>
      <c r="B156" s="155" t="s">
        <v>547</v>
      </c>
      <c r="C156" s="167">
        <v>0</v>
      </c>
      <c r="D156" s="167">
        <v>0</v>
      </c>
      <c r="E156" s="167">
        <v>0</v>
      </c>
      <c r="F156" s="167">
        <v>0</v>
      </c>
      <c r="G156" s="167">
        <v>0</v>
      </c>
      <c r="H156" s="167">
        <v>0</v>
      </c>
      <c r="I156" s="167">
        <v>0</v>
      </c>
      <c r="J156" s="167">
        <v>0</v>
      </c>
      <c r="K156" s="167">
        <v>0</v>
      </c>
      <c r="L156" s="167">
        <v>0</v>
      </c>
      <c r="M156" s="167">
        <v>0</v>
      </c>
      <c r="N156" s="167">
        <v>0</v>
      </c>
      <c r="O156" s="167">
        <v>0</v>
      </c>
      <c r="P156" s="167">
        <v>0</v>
      </c>
      <c r="Q156" s="167">
        <v>0</v>
      </c>
      <c r="R156" s="167">
        <v>0</v>
      </c>
      <c r="S156" s="167">
        <v>0</v>
      </c>
      <c r="T156" s="167">
        <v>0</v>
      </c>
      <c r="U156" s="168" t="e">
        <v>#DIV/0!</v>
      </c>
      <c r="V156" s="167">
        <v>0</v>
      </c>
      <c r="W156" s="167">
        <v>0</v>
      </c>
      <c r="X156" s="167">
        <v>0</v>
      </c>
      <c r="Y156" s="167">
        <v>0</v>
      </c>
      <c r="Z156" s="167">
        <v>0</v>
      </c>
      <c r="AA156" s="167">
        <v>0</v>
      </c>
    </row>
    <row r="157" spans="1:27" ht="12" customHeight="1" x14ac:dyDescent="0.25">
      <c r="A157" s="155" t="s">
        <v>1243</v>
      </c>
      <c r="B157" s="155" t="s">
        <v>548</v>
      </c>
      <c r="C157" s="167">
        <v>0</v>
      </c>
      <c r="D157" s="167">
        <v>0</v>
      </c>
      <c r="E157" s="167">
        <v>0</v>
      </c>
      <c r="F157" s="167">
        <v>0</v>
      </c>
      <c r="G157" s="167">
        <v>0</v>
      </c>
      <c r="H157" s="167">
        <v>0</v>
      </c>
      <c r="I157" s="167">
        <v>0</v>
      </c>
      <c r="J157" s="167">
        <v>0</v>
      </c>
      <c r="K157" s="167">
        <v>0</v>
      </c>
      <c r="L157" s="167">
        <v>0</v>
      </c>
      <c r="M157" s="167">
        <v>0</v>
      </c>
      <c r="N157" s="167">
        <v>0</v>
      </c>
      <c r="O157" s="167">
        <v>0</v>
      </c>
      <c r="P157" s="167">
        <v>0</v>
      </c>
      <c r="Q157" s="167">
        <v>0</v>
      </c>
      <c r="R157" s="167">
        <v>0</v>
      </c>
      <c r="S157" s="167">
        <v>0</v>
      </c>
      <c r="T157" s="167">
        <v>0</v>
      </c>
      <c r="U157" s="168" t="e">
        <v>#DIV/0!</v>
      </c>
      <c r="V157" s="167">
        <v>0</v>
      </c>
      <c r="W157" s="167">
        <v>0</v>
      </c>
      <c r="X157" s="167">
        <v>0</v>
      </c>
      <c r="Y157" s="167">
        <v>0</v>
      </c>
      <c r="Z157" s="167">
        <v>0</v>
      </c>
      <c r="AA157" s="167">
        <v>0</v>
      </c>
    </row>
    <row r="158" spans="1:27" ht="12" customHeight="1" x14ac:dyDescent="0.25">
      <c r="A158" s="155" t="s">
        <v>1244</v>
      </c>
      <c r="B158" s="155" t="s">
        <v>549</v>
      </c>
      <c r="C158" s="167">
        <v>0</v>
      </c>
      <c r="D158" s="167">
        <v>0</v>
      </c>
      <c r="E158" s="167">
        <v>0</v>
      </c>
      <c r="F158" s="167">
        <v>0</v>
      </c>
      <c r="G158" s="167">
        <v>0</v>
      </c>
      <c r="H158" s="167">
        <v>0</v>
      </c>
      <c r="I158" s="167">
        <v>0</v>
      </c>
      <c r="J158" s="167">
        <v>0</v>
      </c>
      <c r="K158" s="167">
        <v>0</v>
      </c>
      <c r="L158" s="167">
        <v>0</v>
      </c>
      <c r="M158" s="167">
        <v>0</v>
      </c>
      <c r="N158" s="167">
        <v>0</v>
      </c>
      <c r="O158" s="167">
        <v>0</v>
      </c>
      <c r="P158" s="167">
        <v>0</v>
      </c>
      <c r="Q158" s="167">
        <v>0</v>
      </c>
      <c r="R158" s="167">
        <v>0</v>
      </c>
      <c r="S158" s="167">
        <v>0</v>
      </c>
      <c r="T158" s="167">
        <v>0</v>
      </c>
      <c r="U158" s="168" t="e">
        <v>#DIV/0!</v>
      </c>
      <c r="V158" s="167">
        <v>0</v>
      </c>
      <c r="W158" s="167">
        <v>0</v>
      </c>
      <c r="X158" s="167">
        <v>0</v>
      </c>
      <c r="Y158" s="167">
        <v>0</v>
      </c>
      <c r="Z158" s="167">
        <v>0</v>
      </c>
      <c r="AA158" s="167">
        <v>0</v>
      </c>
    </row>
    <row r="159" spans="1:27" ht="12" customHeight="1" x14ac:dyDescent="0.25">
      <c r="A159" s="155" t="s">
        <v>1245</v>
      </c>
      <c r="B159" s="155" t="s">
        <v>550</v>
      </c>
      <c r="C159" s="167">
        <v>0</v>
      </c>
      <c r="D159" s="167">
        <v>0</v>
      </c>
      <c r="E159" s="167">
        <v>0</v>
      </c>
      <c r="F159" s="167">
        <v>0</v>
      </c>
      <c r="G159" s="167">
        <v>0</v>
      </c>
      <c r="H159" s="167">
        <v>0</v>
      </c>
      <c r="I159" s="167">
        <v>0</v>
      </c>
      <c r="J159" s="167">
        <v>0</v>
      </c>
      <c r="K159" s="167">
        <v>0</v>
      </c>
      <c r="L159" s="167">
        <v>0</v>
      </c>
      <c r="M159" s="167">
        <v>0</v>
      </c>
      <c r="N159" s="167">
        <v>0</v>
      </c>
      <c r="O159" s="167">
        <v>0</v>
      </c>
      <c r="P159" s="167">
        <v>0</v>
      </c>
      <c r="Q159" s="167">
        <v>0</v>
      </c>
      <c r="R159" s="167">
        <v>0</v>
      </c>
      <c r="S159" s="167">
        <v>0</v>
      </c>
      <c r="T159" s="167">
        <v>0</v>
      </c>
      <c r="U159" s="168" t="e">
        <v>#DIV/0!</v>
      </c>
      <c r="V159" s="167">
        <v>0</v>
      </c>
      <c r="W159" s="167">
        <v>0</v>
      </c>
      <c r="X159" s="167">
        <v>0</v>
      </c>
      <c r="Y159" s="167">
        <v>0</v>
      </c>
      <c r="Z159" s="167">
        <v>0</v>
      </c>
      <c r="AA159" s="167">
        <v>0</v>
      </c>
    </row>
    <row r="160" spans="1:27" ht="12" customHeight="1" x14ac:dyDescent="0.25">
      <c r="A160" s="155" t="s">
        <v>1246</v>
      </c>
      <c r="B160" s="155" t="s">
        <v>551</v>
      </c>
      <c r="C160" s="167">
        <v>0</v>
      </c>
      <c r="D160" s="167">
        <v>0</v>
      </c>
      <c r="E160" s="167">
        <v>0</v>
      </c>
      <c r="F160" s="167">
        <v>0</v>
      </c>
      <c r="G160" s="167">
        <v>0</v>
      </c>
      <c r="H160" s="167">
        <v>0</v>
      </c>
      <c r="I160" s="167">
        <v>0</v>
      </c>
      <c r="J160" s="167">
        <v>0</v>
      </c>
      <c r="K160" s="167">
        <v>0</v>
      </c>
      <c r="L160" s="167">
        <v>0</v>
      </c>
      <c r="M160" s="167">
        <v>0</v>
      </c>
      <c r="N160" s="167">
        <v>0</v>
      </c>
      <c r="O160" s="167">
        <v>0</v>
      </c>
      <c r="P160" s="167">
        <v>0</v>
      </c>
      <c r="Q160" s="167">
        <v>0</v>
      </c>
      <c r="R160" s="167">
        <v>0</v>
      </c>
      <c r="S160" s="167">
        <v>0</v>
      </c>
      <c r="T160" s="167">
        <v>0</v>
      </c>
      <c r="U160" s="168" t="e">
        <v>#DIV/0!</v>
      </c>
      <c r="V160" s="167">
        <v>0</v>
      </c>
      <c r="W160" s="167">
        <v>0</v>
      </c>
      <c r="X160" s="167">
        <v>0</v>
      </c>
      <c r="Y160" s="167">
        <v>0</v>
      </c>
      <c r="Z160" s="167">
        <v>0</v>
      </c>
      <c r="AA160" s="167">
        <v>0</v>
      </c>
    </row>
    <row r="161" spans="1:27" ht="12" customHeight="1" x14ac:dyDescent="0.25">
      <c r="A161" s="155" t="s">
        <v>1247</v>
      </c>
      <c r="B161" s="155" t="s">
        <v>552</v>
      </c>
      <c r="C161" s="167">
        <v>0</v>
      </c>
      <c r="D161" s="167">
        <v>0</v>
      </c>
      <c r="E161" s="167">
        <v>0</v>
      </c>
      <c r="F161" s="167">
        <v>0</v>
      </c>
      <c r="G161" s="167">
        <v>0</v>
      </c>
      <c r="H161" s="167">
        <v>0</v>
      </c>
      <c r="I161" s="167">
        <v>0</v>
      </c>
      <c r="J161" s="167">
        <v>0</v>
      </c>
      <c r="K161" s="167">
        <v>0</v>
      </c>
      <c r="L161" s="167">
        <v>0</v>
      </c>
      <c r="M161" s="167">
        <v>0</v>
      </c>
      <c r="N161" s="167">
        <v>0</v>
      </c>
      <c r="O161" s="167">
        <v>0</v>
      </c>
      <c r="P161" s="167">
        <v>0</v>
      </c>
      <c r="Q161" s="167">
        <v>0</v>
      </c>
      <c r="R161" s="167">
        <v>0</v>
      </c>
      <c r="S161" s="167">
        <v>0</v>
      </c>
      <c r="T161" s="167">
        <v>0</v>
      </c>
      <c r="U161" s="168" t="e">
        <v>#DIV/0!</v>
      </c>
      <c r="V161" s="167">
        <v>0</v>
      </c>
      <c r="W161" s="167">
        <v>0</v>
      </c>
      <c r="X161" s="167">
        <v>0</v>
      </c>
      <c r="Y161" s="167">
        <v>0</v>
      </c>
      <c r="Z161" s="167">
        <v>0</v>
      </c>
      <c r="AA161" s="167">
        <v>0</v>
      </c>
    </row>
    <row r="162" spans="1:27" ht="12" customHeight="1" x14ac:dyDescent="0.25">
      <c r="A162" s="155" t="s">
        <v>1248</v>
      </c>
      <c r="B162" s="155" t="s">
        <v>553</v>
      </c>
      <c r="C162" s="167">
        <v>0</v>
      </c>
      <c r="D162" s="167">
        <v>0</v>
      </c>
      <c r="E162" s="167">
        <v>0</v>
      </c>
      <c r="F162" s="167">
        <v>0</v>
      </c>
      <c r="G162" s="167">
        <v>0</v>
      </c>
      <c r="H162" s="167">
        <v>0</v>
      </c>
      <c r="I162" s="167">
        <v>0</v>
      </c>
      <c r="J162" s="167">
        <v>0</v>
      </c>
      <c r="K162" s="167">
        <v>0</v>
      </c>
      <c r="L162" s="167">
        <v>0</v>
      </c>
      <c r="M162" s="167">
        <v>0</v>
      </c>
      <c r="N162" s="167">
        <v>0</v>
      </c>
      <c r="O162" s="167">
        <v>0</v>
      </c>
      <c r="P162" s="167">
        <v>0</v>
      </c>
      <c r="Q162" s="167">
        <v>0</v>
      </c>
      <c r="R162" s="167">
        <v>0</v>
      </c>
      <c r="S162" s="167">
        <v>0</v>
      </c>
      <c r="T162" s="167">
        <v>0</v>
      </c>
      <c r="U162" s="168" t="e">
        <v>#DIV/0!</v>
      </c>
      <c r="V162" s="167">
        <v>0</v>
      </c>
      <c r="W162" s="167">
        <v>0</v>
      </c>
      <c r="X162" s="167">
        <v>0</v>
      </c>
      <c r="Y162" s="167">
        <v>0</v>
      </c>
      <c r="Z162" s="167">
        <v>0</v>
      </c>
      <c r="AA162" s="167">
        <v>0</v>
      </c>
    </row>
    <row r="163" spans="1:27" ht="12" customHeight="1" x14ac:dyDescent="0.25">
      <c r="A163" s="155" t="s">
        <v>1249</v>
      </c>
      <c r="B163" s="155" t="s">
        <v>554</v>
      </c>
      <c r="C163" s="167">
        <v>0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7">
        <v>0</v>
      </c>
      <c r="P163" s="167">
        <v>0</v>
      </c>
      <c r="Q163" s="167">
        <v>0</v>
      </c>
      <c r="R163" s="167">
        <v>0</v>
      </c>
      <c r="S163" s="167">
        <v>0</v>
      </c>
      <c r="T163" s="167">
        <v>0</v>
      </c>
      <c r="U163" s="168" t="e">
        <v>#DIV/0!</v>
      </c>
      <c r="V163" s="167">
        <v>0</v>
      </c>
      <c r="W163" s="167">
        <v>0</v>
      </c>
      <c r="X163" s="167">
        <v>0</v>
      </c>
      <c r="Y163" s="167">
        <v>0</v>
      </c>
      <c r="Z163" s="167">
        <v>0</v>
      </c>
      <c r="AA163" s="167">
        <v>0</v>
      </c>
    </row>
    <row r="164" spans="1:27" ht="12" customHeight="1" x14ac:dyDescent="0.25">
      <c r="A164" s="155" t="s">
        <v>1250</v>
      </c>
      <c r="B164" s="155" t="s">
        <v>555</v>
      </c>
      <c r="C164" s="167">
        <v>0</v>
      </c>
      <c r="D164" s="167">
        <v>0</v>
      </c>
      <c r="E164" s="167">
        <v>0</v>
      </c>
      <c r="F164" s="167">
        <v>0</v>
      </c>
      <c r="G164" s="167">
        <v>0</v>
      </c>
      <c r="H164" s="167">
        <v>0</v>
      </c>
      <c r="I164" s="167">
        <v>0</v>
      </c>
      <c r="J164" s="167">
        <v>0</v>
      </c>
      <c r="K164" s="167">
        <v>0</v>
      </c>
      <c r="L164" s="167">
        <v>0</v>
      </c>
      <c r="M164" s="167">
        <v>0</v>
      </c>
      <c r="N164" s="167">
        <v>0</v>
      </c>
      <c r="O164" s="167">
        <v>0</v>
      </c>
      <c r="P164" s="167">
        <v>0</v>
      </c>
      <c r="Q164" s="167">
        <v>0</v>
      </c>
      <c r="R164" s="167">
        <v>0</v>
      </c>
      <c r="S164" s="167">
        <v>0</v>
      </c>
      <c r="T164" s="167">
        <v>0</v>
      </c>
      <c r="U164" s="168" t="e">
        <v>#DIV/0!</v>
      </c>
      <c r="V164" s="167">
        <v>0</v>
      </c>
      <c r="W164" s="167">
        <v>0</v>
      </c>
      <c r="X164" s="167">
        <v>0</v>
      </c>
      <c r="Y164" s="167">
        <v>0</v>
      </c>
      <c r="Z164" s="167">
        <v>0</v>
      </c>
      <c r="AA164" s="167">
        <v>0</v>
      </c>
    </row>
    <row r="165" spans="1:27" ht="12" customHeight="1" x14ac:dyDescent="0.25">
      <c r="A165" s="155" t="s">
        <v>1251</v>
      </c>
      <c r="B165" s="155" t="s">
        <v>556</v>
      </c>
      <c r="C165" s="167">
        <v>0</v>
      </c>
      <c r="D165" s="167">
        <v>0</v>
      </c>
      <c r="E165" s="167">
        <v>0</v>
      </c>
      <c r="F165" s="167">
        <v>0</v>
      </c>
      <c r="G165" s="167">
        <v>0</v>
      </c>
      <c r="H165" s="167">
        <v>0</v>
      </c>
      <c r="I165" s="167">
        <v>0</v>
      </c>
      <c r="J165" s="167">
        <v>0</v>
      </c>
      <c r="K165" s="167">
        <v>0</v>
      </c>
      <c r="L165" s="167">
        <v>0</v>
      </c>
      <c r="M165" s="167">
        <v>0</v>
      </c>
      <c r="N165" s="167">
        <v>0</v>
      </c>
      <c r="O165" s="167">
        <v>0</v>
      </c>
      <c r="P165" s="167">
        <v>0</v>
      </c>
      <c r="Q165" s="167">
        <v>0</v>
      </c>
      <c r="R165" s="167">
        <v>0</v>
      </c>
      <c r="S165" s="167">
        <v>0</v>
      </c>
      <c r="T165" s="167">
        <v>0</v>
      </c>
      <c r="U165" s="168" t="e">
        <v>#DIV/0!</v>
      </c>
      <c r="V165" s="167">
        <v>0</v>
      </c>
      <c r="W165" s="167">
        <v>0</v>
      </c>
      <c r="X165" s="167">
        <v>0</v>
      </c>
      <c r="Y165" s="167">
        <v>0</v>
      </c>
      <c r="Z165" s="167">
        <v>0</v>
      </c>
      <c r="AA165" s="167">
        <v>0</v>
      </c>
    </row>
    <row r="166" spans="1:27" ht="12" customHeight="1" x14ac:dyDescent="0.25">
      <c r="A166" s="155"/>
      <c r="B166" s="162" t="s">
        <v>557</v>
      </c>
      <c r="C166" s="163">
        <v>0</v>
      </c>
      <c r="D166" s="163">
        <v>0</v>
      </c>
      <c r="E166" s="163">
        <v>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3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3">
        <v>0</v>
      </c>
      <c r="R166" s="163">
        <v>0</v>
      </c>
      <c r="S166" s="163">
        <v>0</v>
      </c>
      <c r="T166" s="164">
        <v>0</v>
      </c>
      <c r="U166" s="165" t="e">
        <v>#DIV/0!</v>
      </c>
      <c r="V166" s="164">
        <v>0</v>
      </c>
      <c r="W166" s="164">
        <v>0</v>
      </c>
      <c r="X166" s="164">
        <v>0</v>
      </c>
      <c r="Y166" s="164">
        <v>0</v>
      </c>
      <c r="Z166" s="164">
        <v>0</v>
      </c>
      <c r="AA166" s="164">
        <v>0</v>
      </c>
    </row>
    <row r="167" spans="1:27" ht="12" customHeight="1" x14ac:dyDescent="0.25">
      <c r="A167" s="155" t="s">
        <v>1252</v>
      </c>
      <c r="B167" s="155" t="s">
        <v>558</v>
      </c>
      <c r="C167" s="167">
        <v>0</v>
      </c>
      <c r="D167" s="167">
        <v>0</v>
      </c>
      <c r="E167" s="167">
        <v>0</v>
      </c>
      <c r="F167" s="167">
        <v>0</v>
      </c>
      <c r="G167" s="167">
        <v>0</v>
      </c>
      <c r="H167" s="167">
        <v>0</v>
      </c>
      <c r="I167" s="167">
        <v>0</v>
      </c>
      <c r="J167" s="167">
        <v>0</v>
      </c>
      <c r="K167" s="167">
        <v>0</v>
      </c>
      <c r="L167" s="167">
        <v>0</v>
      </c>
      <c r="M167" s="167">
        <v>0</v>
      </c>
      <c r="N167" s="167">
        <v>0</v>
      </c>
      <c r="O167" s="167">
        <v>0</v>
      </c>
      <c r="P167" s="167">
        <v>0</v>
      </c>
      <c r="Q167" s="167">
        <v>0</v>
      </c>
      <c r="R167" s="167">
        <v>0</v>
      </c>
      <c r="S167" s="167">
        <v>0</v>
      </c>
      <c r="T167" s="167">
        <v>0</v>
      </c>
      <c r="U167" s="168" t="e">
        <v>#DIV/0!</v>
      </c>
      <c r="V167" s="167">
        <v>0</v>
      </c>
      <c r="W167" s="167">
        <v>0</v>
      </c>
      <c r="X167" s="167">
        <v>0</v>
      </c>
      <c r="Y167" s="167">
        <v>0</v>
      </c>
      <c r="Z167" s="167">
        <v>0</v>
      </c>
      <c r="AA167" s="167">
        <v>0</v>
      </c>
    </row>
    <row r="168" spans="1:27" ht="12" customHeight="1" x14ac:dyDescent="0.25">
      <c r="A168" s="155" t="s">
        <v>1253</v>
      </c>
      <c r="B168" s="155" t="s">
        <v>559</v>
      </c>
      <c r="C168" s="167">
        <v>0</v>
      </c>
      <c r="D168" s="167">
        <v>0</v>
      </c>
      <c r="E168" s="167">
        <v>0</v>
      </c>
      <c r="F168" s="167">
        <v>0</v>
      </c>
      <c r="G168" s="167">
        <v>0</v>
      </c>
      <c r="H168" s="167">
        <v>0</v>
      </c>
      <c r="I168" s="167">
        <v>0</v>
      </c>
      <c r="J168" s="167">
        <v>0</v>
      </c>
      <c r="K168" s="167">
        <v>0</v>
      </c>
      <c r="L168" s="167">
        <v>0</v>
      </c>
      <c r="M168" s="167">
        <v>0</v>
      </c>
      <c r="N168" s="167">
        <v>0</v>
      </c>
      <c r="O168" s="167">
        <v>0</v>
      </c>
      <c r="P168" s="167">
        <v>0</v>
      </c>
      <c r="Q168" s="167">
        <v>0</v>
      </c>
      <c r="R168" s="167">
        <v>0</v>
      </c>
      <c r="S168" s="167">
        <v>0</v>
      </c>
      <c r="T168" s="167">
        <v>0</v>
      </c>
      <c r="U168" s="168" t="e">
        <v>#DIV/0!</v>
      </c>
      <c r="V168" s="167">
        <v>0</v>
      </c>
      <c r="W168" s="167">
        <v>0</v>
      </c>
      <c r="X168" s="167">
        <v>0</v>
      </c>
      <c r="Y168" s="167">
        <v>0</v>
      </c>
      <c r="Z168" s="167">
        <v>0</v>
      </c>
      <c r="AA168" s="167">
        <v>0</v>
      </c>
    </row>
    <row r="169" spans="1:27" ht="12" customHeight="1" x14ac:dyDescent="0.25">
      <c r="A169" s="155" t="s">
        <v>1254</v>
      </c>
      <c r="B169" s="155" t="s">
        <v>560</v>
      </c>
      <c r="C169" s="167">
        <v>0</v>
      </c>
      <c r="D169" s="167">
        <v>0</v>
      </c>
      <c r="E169" s="167">
        <v>0</v>
      </c>
      <c r="F169" s="167">
        <v>0</v>
      </c>
      <c r="G169" s="167">
        <v>0</v>
      </c>
      <c r="H169" s="167">
        <v>0</v>
      </c>
      <c r="I169" s="167">
        <v>0</v>
      </c>
      <c r="J169" s="167">
        <v>0</v>
      </c>
      <c r="K169" s="167">
        <v>0</v>
      </c>
      <c r="L169" s="167">
        <v>0</v>
      </c>
      <c r="M169" s="167">
        <v>0</v>
      </c>
      <c r="N169" s="167">
        <v>0</v>
      </c>
      <c r="O169" s="167">
        <v>0</v>
      </c>
      <c r="P169" s="167">
        <v>0</v>
      </c>
      <c r="Q169" s="167">
        <v>0</v>
      </c>
      <c r="R169" s="167">
        <v>0</v>
      </c>
      <c r="S169" s="167">
        <v>0</v>
      </c>
      <c r="T169" s="167">
        <v>0</v>
      </c>
      <c r="U169" s="168" t="e">
        <v>#DIV/0!</v>
      </c>
      <c r="V169" s="167">
        <v>0</v>
      </c>
      <c r="W169" s="167">
        <v>0</v>
      </c>
      <c r="X169" s="167">
        <v>0</v>
      </c>
      <c r="Y169" s="167">
        <v>0</v>
      </c>
      <c r="Z169" s="167">
        <v>0</v>
      </c>
      <c r="AA169" s="167">
        <v>0</v>
      </c>
    </row>
    <row r="170" spans="1:27" ht="12" customHeight="1" x14ac:dyDescent="0.25">
      <c r="A170" s="155"/>
      <c r="B170" s="156" t="s">
        <v>561</v>
      </c>
      <c r="C170" s="157">
        <v>0</v>
      </c>
      <c r="D170" s="157">
        <v>0</v>
      </c>
      <c r="E170" s="157">
        <v>0</v>
      </c>
      <c r="F170" s="157">
        <v>0</v>
      </c>
      <c r="G170" s="157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7">
        <v>0</v>
      </c>
      <c r="Q170" s="157">
        <v>0</v>
      </c>
      <c r="R170" s="157">
        <v>0</v>
      </c>
      <c r="S170" s="157">
        <v>0</v>
      </c>
      <c r="T170" s="158">
        <v>0</v>
      </c>
      <c r="U170" s="159" t="e">
        <v>#DIV/0!</v>
      </c>
      <c r="V170" s="158">
        <v>0</v>
      </c>
      <c r="W170" s="158">
        <v>0</v>
      </c>
      <c r="X170" s="158">
        <v>0</v>
      </c>
      <c r="Y170" s="158">
        <v>0</v>
      </c>
      <c r="Z170" s="158">
        <v>0</v>
      </c>
      <c r="AA170" s="158">
        <v>0</v>
      </c>
    </row>
    <row r="171" spans="1:27" ht="12" customHeight="1" x14ac:dyDescent="0.25">
      <c r="A171" s="155"/>
      <c r="B171" s="162" t="s">
        <v>562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3">
        <v>0</v>
      </c>
      <c r="R171" s="163">
        <v>0</v>
      </c>
      <c r="S171" s="163">
        <v>0</v>
      </c>
      <c r="T171" s="164">
        <v>0</v>
      </c>
      <c r="U171" s="165" t="e">
        <v>#DIV/0!</v>
      </c>
      <c r="V171" s="164">
        <v>0</v>
      </c>
      <c r="W171" s="164">
        <v>0</v>
      </c>
      <c r="X171" s="164">
        <v>0</v>
      </c>
      <c r="Y171" s="164">
        <v>0</v>
      </c>
      <c r="Z171" s="164">
        <v>0</v>
      </c>
      <c r="AA171" s="164">
        <v>0</v>
      </c>
    </row>
    <row r="172" spans="1:27" ht="12" customHeight="1" x14ac:dyDescent="0.25">
      <c r="A172" s="155"/>
      <c r="B172" s="155" t="s">
        <v>563</v>
      </c>
      <c r="C172" s="169">
        <v>0</v>
      </c>
      <c r="D172" s="169">
        <v>0</v>
      </c>
      <c r="E172" s="169">
        <v>0</v>
      </c>
      <c r="F172" s="169">
        <v>0</v>
      </c>
      <c r="G172" s="169">
        <v>0</v>
      </c>
      <c r="H172" s="169">
        <v>0</v>
      </c>
      <c r="I172" s="169">
        <v>0</v>
      </c>
      <c r="J172" s="169">
        <v>0</v>
      </c>
      <c r="K172" s="169">
        <v>0</v>
      </c>
      <c r="L172" s="169">
        <v>0</v>
      </c>
      <c r="M172" s="169">
        <v>0</v>
      </c>
      <c r="N172" s="169">
        <v>0</v>
      </c>
      <c r="O172" s="169">
        <v>0</v>
      </c>
      <c r="P172" s="169">
        <v>0</v>
      </c>
      <c r="Q172" s="169">
        <v>0</v>
      </c>
      <c r="R172" s="169">
        <v>0</v>
      </c>
      <c r="S172" s="169">
        <v>0</v>
      </c>
      <c r="T172" s="167">
        <v>0</v>
      </c>
      <c r="U172" s="168" t="e">
        <v>#DIV/0!</v>
      </c>
      <c r="V172" s="167">
        <v>0</v>
      </c>
      <c r="W172" s="167">
        <v>0</v>
      </c>
      <c r="X172" s="167">
        <v>0</v>
      </c>
      <c r="Y172" s="167">
        <v>0</v>
      </c>
      <c r="Z172" s="167">
        <v>0</v>
      </c>
      <c r="AA172" s="167">
        <v>0</v>
      </c>
    </row>
    <row r="173" spans="1:27" ht="12" customHeight="1" x14ac:dyDescent="0.25">
      <c r="A173" s="155" t="s">
        <v>1255</v>
      </c>
      <c r="B173" s="166" t="s">
        <v>564</v>
      </c>
      <c r="C173" s="167">
        <v>0</v>
      </c>
      <c r="D173" s="167">
        <v>0</v>
      </c>
      <c r="E173" s="167">
        <v>0</v>
      </c>
      <c r="F173" s="167">
        <v>0</v>
      </c>
      <c r="G173" s="167">
        <v>0</v>
      </c>
      <c r="H173" s="167">
        <v>0</v>
      </c>
      <c r="I173" s="167">
        <v>0</v>
      </c>
      <c r="J173" s="167">
        <v>0</v>
      </c>
      <c r="K173" s="167">
        <v>0</v>
      </c>
      <c r="L173" s="167">
        <v>0</v>
      </c>
      <c r="M173" s="167">
        <v>0</v>
      </c>
      <c r="N173" s="167">
        <v>0</v>
      </c>
      <c r="O173" s="167">
        <v>0</v>
      </c>
      <c r="P173" s="167">
        <v>0</v>
      </c>
      <c r="Q173" s="167">
        <v>0</v>
      </c>
      <c r="R173" s="167">
        <v>0</v>
      </c>
      <c r="S173" s="167">
        <v>0</v>
      </c>
      <c r="T173" s="167">
        <v>0</v>
      </c>
      <c r="U173" s="168" t="e">
        <v>#DIV/0!</v>
      </c>
      <c r="V173" s="167">
        <v>0</v>
      </c>
      <c r="W173" s="167">
        <v>0</v>
      </c>
      <c r="X173" s="167">
        <v>0</v>
      </c>
      <c r="Y173" s="167">
        <v>0</v>
      </c>
      <c r="Z173" s="167">
        <v>0</v>
      </c>
      <c r="AA173" s="167">
        <v>0</v>
      </c>
    </row>
    <row r="174" spans="1:27" ht="12" customHeight="1" x14ac:dyDescent="0.25">
      <c r="A174" s="155" t="s">
        <v>1256</v>
      </c>
      <c r="B174" s="166" t="s">
        <v>565</v>
      </c>
      <c r="C174" s="167">
        <v>0</v>
      </c>
      <c r="D174" s="167">
        <v>0</v>
      </c>
      <c r="E174" s="167">
        <v>0</v>
      </c>
      <c r="F174" s="167">
        <v>0</v>
      </c>
      <c r="G174" s="167">
        <v>0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7">
        <v>0</v>
      </c>
      <c r="O174" s="167">
        <v>0</v>
      </c>
      <c r="P174" s="167">
        <v>0</v>
      </c>
      <c r="Q174" s="167">
        <v>0</v>
      </c>
      <c r="R174" s="167">
        <v>0</v>
      </c>
      <c r="S174" s="167">
        <v>0</v>
      </c>
      <c r="T174" s="167">
        <v>0</v>
      </c>
      <c r="U174" s="168" t="e">
        <v>#DIV/0!</v>
      </c>
      <c r="V174" s="167">
        <v>0</v>
      </c>
      <c r="W174" s="167">
        <v>0</v>
      </c>
      <c r="X174" s="167">
        <v>0</v>
      </c>
      <c r="Y174" s="167">
        <v>0</v>
      </c>
      <c r="Z174" s="167">
        <v>0</v>
      </c>
      <c r="AA174" s="167">
        <v>0</v>
      </c>
    </row>
    <row r="175" spans="1:27" ht="12" customHeight="1" x14ac:dyDescent="0.25">
      <c r="A175" s="155"/>
      <c r="B175" s="155" t="s">
        <v>1257</v>
      </c>
      <c r="C175" s="167">
        <v>0</v>
      </c>
      <c r="D175" s="167">
        <v>0</v>
      </c>
      <c r="E175" s="167">
        <v>0</v>
      </c>
      <c r="F175" s="167">
        <v>0</v>
      </c>
      <c r="G175" s="167">
        <v>0</v>
      </c>
      <c r="H175" s="167">
        <v>0</v>
      </c>
      <c r="I175" s="167">
        <v>0</v>
      </c>
      <c r="J175" s="167">
        <v>0</v>
      </c>
      <c r="K175" s="167">
        <v>0</v>
      </c>
      <c r="L175" s="167">
        <v>0</v>
      </c>
      <c r="M175" s="167">
        <v>0</v>
      </c>
      <c r="N175" s="167">
        <v>0</v>
      </c>
      <c r="O175" s="167">
        <v>0</v>
      </c>
      <c r="P175" s="167">
        <v>0</v>
      </c>
      <c r="Q175" s="167">
        <v>0</v>
      </c>
      <c r="R175" s="167">
        <v>0</v>
      </c>
      <c r="S175" s="167">
        <v>0</v>
      </c>
      <c r="T175" s="167">
        <v>0</v>
      </c>
      <c r="U175" s="168" t="e">
        <v>#DIV/0!</v>
      </c>
      <c r="V175" s="167">
        <v>0</v>
      </c>
      <c r="W175" s="167">
        <v>0</v>
      </c>
      <c r="X175" s="167">
        <v>0</v>
      </c>
      <c r="Y175" s="167">
        <v>0</v>
      </c>
      <c r="Z175" s="167">
        <v>0</v>
      </c>
      <c r="AA175" s="167">
        <v>0</v>
      </c>
    </row>
    <row r="176" spans="1:27" ht="12" customHeight="1" x14ac:dyDescent="0.25">
      <c r="A176" s="155" t="s">
        <v>1258</v>
      </c>
      <c r="B176" s="166" t="s">
        <v>1259</v>
      </c>
      <c r="C176" s="167">
        <v>0</v>
      </c>
      <c r="D176" s="167">
        <v>0</v>
      </c>
      <c r="E176" s="167">
        <v>0</v>
      </c>
      <c r="F176" s="167">
        <v>0</v>
      </c>
      <c r="G176" s="167">
        <v>0</v>
      </c>
      <c r="H176" s="167">
        <v>0</v>
      </c>
      <c r="I176" s="167">
        <v>0</v>
      </c>
      <c r="J176" s="167">
        <v>0</v>
      </c>
      <c r="K176" s="167">
        <v>0</v>
      </c>
      <c r="L176" s="167">
        <v>0</v>
      </c>
      <c r="M176" s="167">
        <v>0</v>
      </c>
      <c r="N176" s="167">
        <v>0</v>
      </c>
      <c r="O176" s="167">
        <v>0</v>
      </c>
      <c r="P176" s="167">
        <v>0</v>
      </c>
      <c r="Q176" s="167">
        <v>0</v>
      </c>
      <c r="R176" s="167">
        <v>0</v>
      </c>
      <c r="S176" s="167">
        <v>0</v>
      </c>
      <c r="T176" s="167">
        <v>0</v>
      </c>
      <c r="U176" s="168" t="e">
        <v>#DIV/0!</v>
      </c>
      <c r="V176" s="167">
        <v>0</v>
      </c>
      <c r="W176" s="167">
        <v>0</v>
      </c>
      <c r="X176" s="167">
        <v>0</v>
      </c>
      <c r="Y176" s="167">
        <v>0</v>
      </c>
      <c r="Z176" s="167">
        <v>0</v>
      </c>
      <c r="AA176" s="167">
        <v>0</v>
      </c>
    </row>
    <row r="177" spans="1:27" ht="12" customHeight="1" x14ac:dyDescent="0.25">
      <c r="A177" s="155" t="s">
        <v>1260</v>
      </c>
      <c r="B177" s="166" t="s">
        <v>1261</v>
      </c>
      <c r="C177" s="167">
        <v>0</v>
      </c>
      <c r="D177" s="167">
        <v>0</v>
      </c>
      <c r="E177" s="167">
        <v>0</v>
      </c>
      <c r="F177" s="167">
        <v>0</v>
      </c>
      <c r="G177" s="167">
        <v>0</v>
      </c>
      <c r="H177" s="167">
        <v>0</v>
      </c>
      <c r="I177" s="167">
        <v>0</v>
      </c>
      <c r="J177" s="167">
        <v>0</v>
      </c>
      <c r="K177" s="167">
        <v>0</v>
      </c>
      <c r="L177" s="167">
        <v>0</v>
      </c>
      <c r="M177" s="167">
        <v>0</v>
      </c>
      <c r="N177" s="167">
        <v>0</v>
      </c>
      <c r="O177" s="167">
        <v>0</v>
      </c>
      <c r="P177" s="167">
        <v>0</v>
      </c>
      <c r="Q177" s="167">
        <v>0</v>
      </c>
      <c r="R177" s="167">
        <v>0</v>
      </c>
      <c r="S177" s="167">
        <v>0</v>
      </c>
      <c r="T177" s="167">
        <v>0</v>
      </c>
      <c r="U177" s="168" t="e">
        <v>#DIV/0!</v>
      </c>
      <c r="V177" s="167">
        <v>0</v>
      </c>
      <c r="W177" s="167">
        <v>0</v>
      </c>
      <c r="X177" s="167">
        <v>0</v>
      </c>
      <c r="Y177" s="167">
        <v>0</v>
      </c>
      <c r="Z177" s="167">
        <v>0</v>
      </c>
      <c r="AA177" s="167">
        <v>0</v>
      </c>
    </row>
    <row r="178" spans="1:27" ht="12" customHeight="1" x14ac:dyDescent="0.25">
      <c r="A178" s="155" t="s">
        <v>1262</v>
      </c>
      <c r="B178" s="155" t="s">
        <v>566</v>
      </c>
      <c r="C178" s="167">
        <v>0</v>
      </c>
      <c r="D178" s="167">
        <v>0</v>
      </c>
      <c r="E178" s="167">
        <v>0</v>
      </c>
      <c r="F178" s="167">
        <v>0</v>
      </c>
      <c r="G178" s="167">
        <v>0</v>
      </c>
      <c r="H178" s="167">
        <v>0</v>
      </c>
      <c r="I178" s="167">
        <v>0</v>
      </c>
      <c r="J178" s="167">
        <v>0</v>
      </c>
      <c r="K178" s="167">
        <v>0</v>
      </c>
      <c r="L178" s="167">
        <v>0</v>
      </c>
      <c r="M178" s="167">
        <v>0</v>
      </c>
      <c r="N178" s="167">
        <v>0</v>
      </c>
      <c r="O178" s="167">
        <v>0</v>
      </c>
      <c r="P178" s="167">
        <v>0</v>
      </c>
      <c r="Q178" s="167">
        <v>0</v>
      </c>
      <c r="R178" s="167">
        <v>0</v>
      </c>
      <c r="S178" s="167">
        <v>0</v>
      </c>
      <c r="T178" s="167">
        <v>0</v>
      </c>
      <c r="U178" s="168" t="e">
        <v>#DIV/0!</v>
      </c>
      <c r="V178" s="167">
        <v>0</v>
      </c>
      <c r="W178" s="167">
        <v>0</v>
      </c>
      <c r="X178" s="167">
        <v>0</v>
      </c>
      <c r="Y178" s="167">
        <v>0</v>
      </c>
      <c r="Z178" s="167">
        <v>0</v>
      </c>
      <c r="AA178" s="167">
        <v>0</v>
      </c>
    </row>
    <row r="179" spans="1:27" ht="12" customHeight="1" x14ac:dyDescent="0.25">
      <c r="A179" s="155" t="s">
        <v>1263</v>
      </c>
      <c r="B179" s="155" t="s">
        <v>567</v>
      </c>
      <c r="C179" s="167">
        <v>0</v>
      </c>
      <c r="D179" s="167">
        <v>0</v>
      </c>
      <c r="E179" s="167">
        <v>0</v>
      </c>
      <c r="F179" s="167">
        <v>0</v>
      </c>
      <c r="G179" s="167">
        <v>0</v>
      </c>
      <c r="H179" s="167">
        <v>0</v>
      </c>
      <c r="I179" s="167">
        <v>0</v>
      </c>
      <c r="J179" s="167">
        <v>0</v>
      </c>
      <c r="K179" s="167">
        <v>0</v>
      </c>
      <c r="L179" s="167">
        <v>0</v>
      </c>
      <c r="M179" s="167">
        <v>0</v>
      </c>
      <c r="N179" s="167">
        <v>0</v>
      </c>
      <c r="O179" s="167">
        <v>0</v>
      </c>
      <c r="P179" s="167">
        <v>0</v>
      </c>
      <c r="Q179" s="167">
        <v>0</v>
      </c>
      <c r="R179" s="167">
        <v>0</v>
      </c>
      <c r="S179" s="167">
        <v>0</v>
      </c>
      <c r="T179" s="167">
        <v>0</v>
      </c>
      <c r="U179" s="168" t="e">
        <v>#DIV/0!</v>
      </c>
      <c r="V179" s="167">
        <v>0</v>
      </c>
      <c r="W179" s="167">
        <v>0</v>
      </c>
      <c r="X179" s="167">
        <v>0</v>
      </c>
      <c r="Y179" s="167">
        <v>0</v>
      </c>
      <c r="Z179" s="167">
        <v>0</v>
      </c>
      <c r="AA179" s="167">
        <v>0</v>
      </c>
    </row>
    <row r="180" spans="1:27" ht="12" customHeight="1" x14ac:dyDescent="0.25">
      <c r="A180" s="155"/>
      <c r="B180" s="162" t="s">
        <v>568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3">
        <v>0</v>
      </c>
      <c r="R180" s="163">
        <v>0</v>
      </c>
      <c r="S180" s="163">
        <v>0</v>
      </c>
      <c r="T180" s="164">
        <v>0</v>
      </c>
      <c r="U180" s="165" t="e">
        <v>#DIV/0!</v>
      </c>
      <c r="V180" s="164">
        <v>0</v>
      </c>
      <c r="W180" s="164">
        <v>0</v>
      </c>
      <c r="X180" s="164">
        <v>0</v>
      </c>
      <c r="Y180" s="164">
        <v>0</v>
      </c>
      <c r="Z180" s="164">
        <v>0</v>
      </c>
      <c r="AA180" s="164">
        <v>0</v>
      </c>
    </row>
    <row r="181" spans="1:27" ht="12" customHeight="1" x14ac:dyDescent="0.25">
      <c r="A181" s="155" t="s">
        <v>1264</v>
      </c>
      <c r="B181" s="155" t="s">
        <v>569</v>
      </c>
      <c r="C181" s="167">
        <v>0</v>
      </c>
      <c r="D181" s="167">
        <v>0</v>
      </c>
      <c r="E181" s="167">
        <v>0</v>
      </c>
      <c r="F181" s="167">
        <v>0</v>
      </c>
      <c r="G181" s="167">
        <v>0</v>
      </c>
      <c r="H181" s="167">
        <v>0</v>
      </c>
      <c r="I181" s="167">
        <v>0</v>
      </c>
      <c r="J181" s="167">
        <v>0</v>
      </c>
      <c r="K181" s="167">
        <v>0</v>
      </c>
      <c r="L181" s="167">
        <v>0</v>
      </c>
      <c r="M181" s="167">
        <v>0</v>
      </c>
      <c r="N181" s="167">
        <v>0</v>
      </c>
      <c r="O181" s="167">
        <v>0</v>
      </c>
      <c r="P181" s="167">
        <v>0</v>
      </c>
      <c r="Q181" s="167">
        <v>0</v>
      </c>
      <c r="R181" s="167">
        <v>0</v>
      </c>
      <c r="S181" s="167">
        <v>0</v>
      </c>
      <c r="T181" s="167">
        <v>0</v>
      </c>
      <c r="U181" s="168" t="e">
        <v>#DIV/0!</v>
      </c>
      <c r="V181" s="167">
        <v>0</v>
      </c>
      <c r="W181" s="167">
        <v>0</v>
      </c>
      <c r="X181" s="167">
        <v>0</v>
      </c>
      <c r="Y181" s="167">
        <v>0</v>
      </c>
      <c r="Z181" s="167">
        <v>0</v>
      </c>
      <c r="AA181" s="167">
        <v>0</v>
      </c>
    </row>
    <row r="182" spans="1:27" ht="12" customHeight="1" x14ac:dyDescent="0.25">
      <c r="A182" s="155" t="s">
        <v>1265</v>
      </c>
      <c r="B182" s="155" t="s">
        <v>570</v>
      </c>
      <c r="C182" s="167">
        <v>0</v>
      </c>
      <c r="D182" s="167">
        <v>0</v>
      </c>
      <c r="E182" s="167">
        <v>0</v>
      </c>
      <c r="F182" s="167">
        <v>0</v>
      </c>
      <c r="G182" s="167">
        <v>0</v>
      </c>
      <c r="H182" s="167">
        <v>0</v>
      </c>
      <c r="I182" s="167">
        <v>0</v>
      </c>
      <c r="J182" s="167">
        <v>0</v>
      </c>
      <c r="K182" s="167">
        <v>0</v>
      </c>
      <c r="L182" s="167">
        <v>0</v>
      </c>
      <c r="M182" s="167">
        <v>0</v>
      </c>
      <c r="N182" s="167">
        <v>0</v>
      </c>
      <c r="O182" s="167">
        <v>0</v>
      </c>
      <c r="P182" s="167">
        <v>0</v>
      </c>
      <c r="Q182" s="167">
        <v>0</v>
      </c>
      <c r="R182" s="167">
        <v>0</v>
      </c>
      <c r="S182" s="167">
        <v>0</v>
      </c>
      <c r="T182" s="167">
        <v>0</v>
      </c>
      <c r="U182" s="168" t="e">
        <v>#DIV/0!</v>
      </c>
      <c r="V182" s="167">
        <v>0</v>
      </c>
      <c r="W182" s="167">
        <v>0</v>
      </c>
      <c r="X182" s="167">
        <v>0</v>
      </c>
      <c r="Y182" s="167">
        <v>0</v>
      </c>
      <c r="Z182" s="167">
        <v>0</v>
      </c>
      <c r="AA182" s="167">
        <v>0</v>
      </c>
    </row>
    <row r="183" spans="1:27" ht="12" customHeight="1" x14ac:dyDescent="0.25">
      <c r="A183" s="155" t="s">
        <v>1266</v>
      </c>
      <c r="B183" s="155" t="s">
        <v>571</v>
      </c>
      <c r="C183" s="167">
        <v>0</v>
      </c>
      <c r="D183" s="167">
        <v>0</v>
      </c>
      <c r="E183" s="167">
        <v>0</v>
      </c>
      <c r="F183" s="167">
        <v>0</v>
      </c>
      <c r="G183" s="167">
        <v>0</v>
      </c>
      <c r="H183" s="167">
        <v>0</v>
      </c>
      <c r="I183" s="167">
        <v>0</v>
      </c>
      <c r="J183" s="167">
        <v>0</v>
      </c>
      <c r="K183" s="167">
        <v>0</v>
      </c>
      <c r="L183" s="167">
        <v>0</v>
      </c>
      <c r="M183" s="167">
        <v>0</v>
      </c>
      <c r="N183" s="167">
        <v>0</v>
      </c>
      <c r="O183" s="167">
        <v>0</v>
      </c>
      <c r="P183" s="167">
        <v>0</v>
      </c>
      <c r="Q183" s="167">
        <v>0</v>
      </c>
      <c r="R183" s="167">
        <v>0</v>
      </c>
      <c r="S183" s="167">
        <v>0</v>
      </c>
      <c r="T183" s="167">
        <v>0</v>
      </c>
      <c r="U183" s="168" t="e">
        <v>#DIV/0!</v>
      </c>
      <c r="V183" s="167">
        <v>0</v>
      </c>
      <c r="W183" s="167">
        <v>0</v>
      </c>
      <c r="X183" s="167">
        <v>0</v>
      </c>
      <c r="Y183" s="167">
        <v>0</v>
      </c>
      <c r="Z183" s="167">
        <v>0</v>
      </c>
      <c r="AA183" s="167">
        <v>0</v>
      </c>
    </row>
    <row r="184" spans="1:27" ht="12" customHeight="1" x14ac:dyDescent="0.25">
      <c r="A184" s="155"/>
      <c r="B184" s="162" t="s">
        <v>572</v>
      </c>
      <c r="C184" s="163">
        <v>0</v>
      </c>
      <c r="D184" s="163">
        <v>0</v>
      </c>
      <c r="E184" s="163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3">
        <v>0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3">
        <v>0</v>
      </c>
      <c r="R184" s="163">
        <v>0</v>
      </c>
      <c r="S184" s="163">
        <v>0</v>
      </c>
      <c r="T184" s="164">
        <v>0</v>
      </c>
      <c r="U184" s="165" t="e">
        <v>#DIV/0!</v>
      </c>
      <c r="V184" s="164">
        <v>0</v>
      </c>
      <c r="W184" s="164">
        <v>0</v>
      </c>
      <c r="X184" s="164">
        <v>0</v>
      </c>
      <c r="Y184" s="164">
        <v>0</v>
      </c>
      <c r="Z184" s="164">
        <v>0</v>
      </c>
      <c r="AA184" s="164">
        <v>0</v>
      </c>
    </row>
    <row r="185" spans="1:27" ht="12" customHeight="1" x14ac:dyDescent="0.25">
      <c r="A185" s="155" t="s">
        <v>1267</v>
      </c>
      <c r="B185" s="155" t="s">
        <v>573</v>
      </c>
      <c r="C185" s="167">
        <v>0</v>
      </c>
      <c r="D185" s="167">
        <v>0</v>
      </c>
      <c r="E185" s="167">
        <v>0</v>
      </c>
      <c r="F185" s="167">
        <v>0</v>
      </c>
      <c r="G185" s="167">
        <v>0</v>
      </c>
      <c r="H185" s="167">
        <v>0</v>
      </c>
      <c r="I185" s="167">
        <v>0</v>
      </c>
      <c r="J185" s="167">
        <v>0</v>
      </c>
      <c r="K185" s="167">
        <v>0</v>
      </c>
      <c r="L185" s="167">
        <v>0</v>
      </c>
      <c r="M185" s="167">
        <v>0</v>
      </c>
      <c r="N185" s="167">
        <v>0</v>
      </c>
      <c r="O185" s="167">
        <v>0</v>
      </c>
      <c r="P185" s="167">
        <v>0</v>
      </c>
      <c r="Q185" s="167">
        <v>0</v>
      </c>
      <c r="R185" s="167">
        <v>0</v>
      </c>
      <c r="S185" s="167">
        <v>0</v>
      </c>
      <c r="T185" s="167">
        <v>0</v>
      </c>
      <c r="U185" s="168" t="e">
        <v>#DIV/0!</v>
      </c>
      <c r="V185" s="167">
        <v>0</v>
      </c>
      <c r="W185" s="167">
        <v>0</v>
      </c>
      <c r="X185" s="167">
        <v>0</v>
      </c>
      <c r="Y185" s="167">
        <v>0</v>
      </c>
      <c r="Z185" s="167">
        <v>0</v>
      </c>
      <c r="AA185" s="167">
        <v>0</v>
      </c>
    </row>
    <row r="186" spans="1:27" ht="12" customHeight="1" x14ac:dyDescent="0.25">
      <c r="A186" s="155" t="s">
        <v>1268</v>
      </c>
      <c r="B186" s="155" t="s">
        <v>574</v>
      </c>
      <c r="C186" s="167">
        <v>0</v>
      </c>
      <c r="D186" s="167">
        <v>0</v>
      </c>
      <c r="E186" s="167">
        <v>0</v>
      </c>
      <c r="F186" s="167">
        <v>0</v>
      </c>
      <c r="G186" s="167">
        <v>0</v>
      </c>
      <c r="H186" s="167">
        <v>0</v>
      </c>
      <c r="I186" s="167">
        <v>0</v>
      </c>
      <c r="J186" s="167">
        <v>0</v>
      </c>
      <c r="K186" s="167">
        <v>0</v>
      </c>
      <c r="L186" s="167">
        <v>0</v>
      </c>
      <c r="M186" s="167">
        <v>0</v>
      </c>
      <c r="N186" s="167">
        <v>0</v>
      </c>
      <c r="O186" s="167">
        <v>0</v>
      </c>
      <c r="P186" s="167">
        <v>0</v>
      </c>
      <c r="Q186" s="167">
        <v>0</v>
      </c>
      <c r="R186" s="167">
        <v>0</v>
      </c>
      <c r="S186" s="167">
        <v>0</v>
      </c>
      <c r="T186" s="167">
        <v>0</v>
      </c>
      <c r="U186" s="168" t="e">
        <v>#DIV/0!</v>
      </c>
      <c r="V186" s="167">
        <v>0</v>
      </c>
      <c r="W186" s="167">
        <v>0</v>
      </c>
      <c r="X186" s="167">
        <v>0</v>
      </c>
      <c r="Y186" s="167">
        <v>0</v>
      </c>
      <c r="Z186" s="167">
        <v>0</v>
      </c>
      <c r="AA186" s="167">
        <v>0</v>
      </c>
    </row>
    <row r="187" spans="1:27" ht="12" customHeight="1" x14ac:dyDescent="0.25">
      <c r="A187" s="155" t="s">
        <v>1269</v>
      </c>
      <c r="B187" s="155" t="s">
        <v>575</v>
      </c>
      <c r="C187" s="167">
        <v>0</v>
      </c>
      <c r="D187" s="167">
        <v>0</v>
      </c>
      <c r="E187" s="167">
        <v>0</v>
      </c>
      <c r="F187" s="167">
        <v>0</v>
      </c>
      <c r="G187" s="167">
        <v>0</v>
      </c>
      <c r="H187" s="167">
        <v>0</v>
      </c>
      <c r="I187" s="167">
        <v>0</v>
      </c>
      <c r="J187" s="167">
        <v>0</v>
      </c>
      <c r="K187" s="167">
        <v>0</v>
      </c>
      <c r="L187" s="167">
        <v>0</v>
      </c>
      <c r="M187" s="167">
        <v>0</v>
      </c>
      <c r="N187" s="167">
        <v>0</v>
      </c>
      <c r="O187" s="167">
        <v>0</v>
      </c>
      <c r="P187" s="167">
        <v>0</v>
      </c>
      <c r="Q187" s="167">
        <v>0</v>
      </c>
      <c r="R187" s="167">
        <v>0</v>
      </c>
      <c r="S187" s="167">
        <v>0</v>
      </c>
      <c r="T187" s="167">
        <v>0</v>
      </c>
      <c r="U187" s="168" t="e">
        <v>#DIV/0!</v>
      </c>
      <c r="V187" s="167">
        <v>0</v>
      </c>
      <c r="W187" s="167">
        <v>0</v>
      </c>
      <c r="X187" s="167">
        <v>0</v>
      </c>
      <c r="Y187" s="167">
        <v>0</v>
      </c>
      <c r="Z187" s="167">
        <v>0</v>
      </c>
      <c r="AA187" s="167">
        <v>0</v>
      </c>
    </row>
    <row r="188" spans="1:27" ht="12" customHeight="1" x14ac:dyDescent="0.25">
      <c r="A188" s="155" t="s">
        <v>1270</v>
      </c>
      <c r="B188" s="155" t="s">
        <v>576</v>
      </c>
      <c r="C188" s="167">
        <v>0</v>
      </c>
      <c r="D188" s="167">
        <v>0</v>
      </c>
      <c r="E188" s="167">
        <v>0</v>
      </c>
      <c r="F188" s="167">
        <v>0</v>
      </c>
      <c r="G188" s="167">
        <v>0</v>
      </c>
      <c r="H188" s="167">
        <v>0</v>
      </c>
      <c r="I188" s="167">
        <v>0</v>
      </c>
      <c r="J188" s="167">
        <v>0</v>
      </c>
      <c r="K188" s="167">
        <v>0</v>
      </c>
      <c r="L188" s="167">
        <v>0</v>
      </c>
      <c r="M188" s="167">
        <v>0</v>
      </c>
      <c r="N188" s="167">
        <v>0</v>
      </c>
      <c r="O188" s="167">
        <v>0</v>
      </c>
      <c r="P188" s="167">
        <v>0</v>
      </c>
      <c r="Q188" s="167">
        <v>0</v>
      </c>
      <c r="R188" s="167">
        <v>0</v>
      </c>
      <c r="S188" s="167">
        <v>0</v>
      </c>
      <c r="T188" s="167">
        <v>0</v>
      </c>
      <c r="U188" s="168" t="e">
        <v>#DIV/0!</v>
      </c>
      <c r="V188" s="167">
        <v>0</v>
      </c>
      <c r="W188" s="167">
        <v>0</v>
      </c>
      <c r="X188" s="167">
        <v>0</v>
      </c>
      <c r="Y188" s="167">
        <v>0</v>
      </c>
      <c r="Z188" s="167">
        <v>0</v>
      </c>
      <c r="AA188" s="167">
        <v>0</v>
      </c>
    </row>
    <row r="189" spans="1:27" ht="12" customHeight="1" x14ac:dyDescent="0.25">
      <c r="A189" s="155" t="s">
        <v>1271</v>
      </c>
      <c r="B189" s="155" t="s">
        <v>577</v>
      </c>
      <c r="C189" s="167">
        <v>0</v>
      </c>
      <c r="D189" s="167">
        <v>0</v>
      </c>
      <c r="E189" s="167">
        <v>0</v>
      </c>
      <c r="F189" s="167">
        <v>0</v>
      </c>
      <c r="G189" s="167">
        <v>0</v>
      </c>
      <c r="H189" s="167">
        <v>0</v>
      </c>
      <c r="I189" s="167">
        <v>0</v>
      </c>
      <c r="J189" s="167">
        <v>0</v>
      </c>
      <c r="K189" s="167">
        <v>0</v>
      </c>
      <c r="L189" s="167">
        <v>0</v>
      </c>
      <c r="M189" s="167">
        <v>0</v>
      </c>
      <c r="N189" s="167">
        <v>0</v>
      </c>
      <c r="O189" s="167">
        <v>0</v>
      </c>
      <c r="P189" s="167">
        <v>0</v>
      </c>
      <c r="Q189" s="167">
        <v>0</v>
      </c>
      <c r="R189" s="167">
        <v>0</v>
      </c>
      <c r="S189" s="167">
        <v>0</v>
      </c>
      <c r="T189" s="167">
        <v>0</v>
      </c>
      <c r="U189" s="168" t="e">
        <v>#DIV/0!</v>
      </c>
      <c r="V189" s="167">
        <v>0</v>
      </c>
      <c r="W189" s="167">
        <v>0</v>
      </c>
      <c r="X189" s="167">
        <v>0</v>
      </c>
      <c r="Y189" s="167">
        <v>0</v>
      </c>
      <c r="Z189" s="167">
        <v>0</v>
      </c>
      <c r="AA189" s="167">
        <v>0</v>
      </c>
    </row>
    <row r="190" spans="1:27" ht="12" customHeight="1" x14ac:dyDescent="0.25">
      <c r="A190" s="155" t="s">
        <v>1272</v>
      </c>
      <c r="B190" s="155" t="s">
        <v>578</v>
      </c>
      <c r="C190" s="167">
        <v>0</v>
      </c>
      <c r="D190" s="167">
        <v>0</v>
      </c>
      <c r="E190" s="167">
        <v>0</v>
      </c>
      <c r="F190" s="167">
        <v>0</v>
      </c>
      <c r="G190" s="167">
        <v>0</v>
      </c>
      <c r="H190" s="167">
        <v>0</v>
      </c>
      <c r="I190" s="167">
        <v>0</v>
      </c>
      <c r="J190" s="167">
        <v>0</v>
      </c>
      <c r="K190" s="167">
        <v>0</v>
      </c>
      <c r="L190" s="167">
        <v>0</v>
      </c>
      <c r="M190" s="167">
        <v>0</v>
      </c>
      <c r="N190" s="167">
        <v>0</v>
      </c>
      <c r="O190" s="167">
        <v>0</v>
      </c>
      <c r="P190" s="167">
        <v>0</v>
      </c>
      <c r="Q190" s="167">
        <v>0</v>
      </c>
      <c r="R190" s="167">
        <v>0</v>
      </c>
      <c r="S190" s="167">
        <v>0</v>
      </c>
      <c r="T190" s="167">
        <v>0</v>
      </c>
      <c r="U190" s="168" t="e">
        <v>#DIV/0!</v>
      </c>
      <c r="V190" s="167">
        <v>0</v>
      </c>
      <c r="W190" s="167">
        <v>0</v>
      </c>
      <c r="X190" s="167">
        <v>0</v>
      </c>
      <c r="Y190" s="167">
        <v>0</v>
      </c>
      <c r="Z190" s="167">
        <v>0</v>
      </c>
      <c r="AA190" s="167">
        <v>0</v>
      </c>
    </row>
    <row r="191" spans="1:27" ht="12" customHeight="1" x14ac:dyDescent="0.25">
      <c r="A191" s="155" t="s">
        <v>1273</v>
      </c>
      <c r="B191" s="155" t="s">
        <v>579</v>
      </c>
      <c r="C191" s="167">
        <v>0</v>
      </c>
      <c r="D191" s="167">
        <v>0</v>
      </c>
      <c r="E191" s="167">
        <v>0</v>
      </c>
      <c r="F191" s="167">
        <v>0</v>
      </c>
      <c r="G191" s="167">
        <v>0</v>
      </c>
      <c r="H191" s="167">
        <v>0</v>
      </c>
      <c r="I191" s="167">
        <v>0</v>
      </c>
      <c r="J191" s="167">
        <v>0</v>
      </c>
      <c r="K191" s="167">
        <v>0</v>
      </c>
      <c r="L191" s="167">
        <v>0</v>
      </c>
      <c r="M191" s="167">
        <v>0</v>
      </c>
      <c r="N191" s="167">
        <v>0</v>
      </c>
      <c r="O191" s="167">
        <v>0</v>
      </c>
      <c r="P191" s="167">
        <v>0</v>
      </c>
      <c r="Q191" s="167">
        <v>0</v>
      </c>
      <c r="R191" s="167">
        <v>0</v>
      </c>
      <c r="S191" s="167">
        <v>0</v>
      </c>
      <c r="T191" s="167">
        <v>0</v>
      </c>
      <c r="U191" s="168" t="e">
        <v>#DIV/0!</v>
      </c>
      <c r="V191" s="167">
        <v>0</v>
      </c>
      <c r="W191" s="167">
        <v>0</v>
      </c>
      <c r="X191" s="167">
        <v>0</v>
      </c>
      <c r="Y191" s="167">
        <v>0</v>
      </c>
      <c r="Z191" s="167">
        <v>0</v>
      </c>
      <c r="AA191" s="167">
        <v>0</v>
      </c>
    </row>
    <row r="192" spans="1:27" ht="12" customHeight="1" x14ac:dyDescent="0.25">
      <c r="A192" s="155" t="s">
        <v>1274</v>
      </c>
      <c r="B192" s="155" t="s">
        <v>580</v>
      </c>
      <c r="C192" s="167">
        <v>0</v>
      </c>
      <c r="D192" s="167">
        <v>0</v>
      </c>
      <c r="E192" s="167">
        <v>0</v>
      </c>
      <c r="F192" s="167">
        <v>0</v>
      </c>
      <c r="G192" s="167">
        <v>0</v>
      </c>
      <c r="H192" s="167">
        <v>0</v>
      </c>
      <c r="I192" s="167">
        <v>0</v>
      </c>
      <c r="J192" s="167">
        <v>0</v>
      </c>
      <c r="K192" s="167">
        <v>0</v>
      </c>
      <c r="L192" s="167">
        <v>0</v>
      </c>
      <c r="M192" s="167">
        <v>0</v>
      </c>
      <c r="N192" s="167">
        <v>0</v>
      </c>
      <c r="O192" s="167">
        <v>0</v>
      </c>
      <c r="P192" s="167">
        <v>0</v>
      </c>
      <c r="Q192" s="167">
        <v>0</v>
      </c>
      <c r="R192" s="167">
        <v>0</v>
      </c>
      <c r="S192" s="167">
        <v>0</v>
      </c>
      <c r="T192" s="167">
        <v>0</v>
      </c>
      <c r="U192" s="168" t="e">
        <v>#DIV/0!</v>
      </c>
      <c r="V192" s="167">
        <v>0</v>
      </c>
      <c r="W192" s="167">
        <v>0</v>
      </c>
      <c r="X192" s="167">
        <v>0</v>
      </c>
      <c r="Y192" s="167">
        <v>0</v>
      </c>
      <c r="Z192" s="167">
        <v>0</v>
      </c>
      <c r="AA192" s="167">
        <v>0</v>
      </c>
    </row>
    <row r="193" spans="1:27" ht="12" customHeight="1" x14ac:dyDescent="0.25">
      <c r="A193" s="155" t="s">
        <v>1275</v>
      </c>
      <c r="B193" s="155" t="s">
        <v>581</v>
      </c>
      <c r="C193" s="167">
        <v>0</v>
      </c>
      <c r="D193" s="167">
        <v>0</v>
      </c>
      <c r="E193" s="167">
        <v>0</v>
      </c>
      <c r="F193" s="167">
        <v>0</v>
      </c>
      <c r="G193" s="167">
        <v>0</v>
      </c>
      <c r="H193" s="167">
        <v>0</v>
      </c>
      <c r="I193" s="167">
        <v>0</v>
      </c>
      <c r="J193" s="167">
        <v>0</v>
      </c>
      <c r="K193" s="167">
        <v>0</v>
      </c>
      <c r="L193" s="167">
        <v>0</v>
      </c>
      <c r="M193" s="167">
        <v>0</v>
      </c>
      <c r="N193" s="167">
        <v>0</v>
      </c>
      <c r="O193" s="167">
        <v>0</v>
      </c>
      <c r="P193" s="167">
        <v>0</v>
      </c>
      <c r="Q193" s="167">
        <v>0</v>
      </c>
      <c r="R193" s="167">
        <v>0</v>
      </c>
      <c r="S193" s="167">
        <v>0</v>
      </c>
      <c r="T193" s="167">
        <v>0</v>
      </c>
      <c r="U193" s="168" t="e">
        <v>#DIV/0!</v>
      </c>
      <c r="V193" s="167">
        <v>0</v>
      </c>
      <c r="W193" s="167">
        <v>0</v>
      </c>
      <c r="X193" s="167">
        <v>0</v>
      </c>
      <c r="Y193" s="167">
        <v>0</v>
      </c>
      <c r="Z193" s="167">
        <v>0</v>
      </c>
      <c r="AA193" s="167">
        <v>0</v>
      </c>
    </row>
    <row r="194" spans="1:27" ht="12" customHeight="1" x14ac:dyDescent="0.25">
      <c r="A194" s="155" t="s">
        <v>1276</v>
      </c>
      <c r="B194" s="155" t="s">
        <v>582</v>
      </c>
      <c r="C194" s="167">
        <v>0</v>
      </c>
      <c r="D194" s="167">
        <v>0</v>
      </c>
      <c r="E194" s="167">
        <v>0</v>
      </c>
      <c r="F194" s="167">
        <v>0</v>
      </c>
      <c r="G194" s="167">
        <v>0</v>
      </c>
      <c r="H194" s="167">
        <v>0</v>
      </c>
      <c r="I194" s="167">
        <v>0</v>
      </c>
      <c r="J194" s="167">
        <v>0</v>
      </c>
      <c r="K194" s="167">
        <v>0</v>
      </c>
      <c r="L194" s="167">
        <v>0</v>
      </c>
      <c r="M194" s="167">
        <v>0</v>
      </c>
      <c r="N194" s="167">
        <v>0</v>
      </c>
      <c r="O194" s="167">
        <v>0</v>
      </c>
      <c r="P194" s="167">
        <v>0</v>
      </c>
      <c r="Q194" s="167">
        <v>0</v>
      </c>
      <c r="R194" s="167">
        <v>0</v>
      </c>
      <c r="S194" s="167">
        <v>0</v>
      </c>
      <c r="T194" s="167">
        <v>0</v>
      </c>
      <c r="U194" s="168" t="e">
        <v>#DIV/0!</v>
      </c>
      <c r="V194" s="167">
        <v>0</v>
      </c>
      <c r="W194" s="167">
        <v>0</v>
      </c>
      <c r="X194" s="167">
        <v>0</v>
      </c>
      <c r="Y194" s="167">
        <v>0</v>
      </c>
      <c r="Z194" s="167">
        <v>0</v>
      </c>
      <c r="AA194" s="167">
        <v>0</v>
      </c>
    </row>
    <row r="195" spans="1:27" ht="12" customHeight="1" x14ac:dyDescent="0.25">
      <c r="A195" s="155" t="s">
        <v>1277</v>
      </c>
      <c r="B195" s="155" t="s">
        <v>583</v>
      </c>
      <c r="C195" s="167">
        <v>0</v>
      </c>
      <c r="D195" s="167">
        <v>0</v>
      </c>
      <c r="E195" s="167">
        <v>0</v>
      </c>
      <c r="F195" s="167">
        <v>0</v>
      </c>
      <c r="G195" s="167">
        <v>0</v>
      </c>
      <c r="H195" s="167">
        <v>0</v>
      </c>
      <c r="I195" s="167">
        <v>0</v>
      </c>
      <c r="J195" s="167">
        <v>0</v>
      </c>
      <c r="K195" s="167">
        <v>0</v>
      </c>
      <c r="L195" s="167">
        <v>0</v>
      </c>
      <c r="M195" s="167">
        <v>0</v>
      </c>
      <c r="N195" s="167">
        <v>0</v>
      </c>
      <c r="O195" s="167">
        <v>0</v>
      </c>
      <c r="P195" s="167">
        <v>0</v>
      </c>
      <c r="Q195" s="167">
        <v>0</v>
      </c>
      <c r="R195" s="167">
        <v>0</v>
      </c>
      <c r="S195" s="167">
        <v>0</v>
      </c>
      <c r="T195" s="167">
        <v>0</v>
      </c>
      <c r="U195" s="168" t="e">
        <v>#DIV/0!</v>
      </c>
      <c r="V195" s="167">
        <v>0</v>
      </c>
      <c r="W195" s="167">
        <v>0</v>
      </c>
      <c r="X195" s="167">
        <v>0</v>
      </c>
      <c r="Y195" s="167">
        <v>0</v>
      </c>
      <c r="Z195" s="167">
        <v>0</v>
      </c>
      <c r="AA195" s="167">
        <v>0</v>
      </c>
    </row>
    <row r="196" spans="1:27" ht="12" customHeight="1" x14ac:dyDescent="0.25">
      <c r="A196" s="155" t="s">
        <v>1278</v>
      </c>
      <c r="B196" s="155" t="s">
        <v>584</v>
      </c>
      <c r="C196" s="167">
        <v>0</v>
      </c>
      <c r="D196" s="167">
        <v>0</v>
      </c>
      <c r="E196" s="167">
        <v>0</v>
      </c>
      <c r="F196" s="167">
        <v>0</v>
      </c>
      <c r="G196" s="167">
        <v>0</v>
      </c>
      <c r="H196" s="167">
        <v>0</v>
      </c>
      <c r="I196" s="167">
        <v>0</v>
      </c>
      <c r="J196" s="167">
        <v>0</v>
      </c>
      <c r="K196" s="167">
        <v>0</v>
      </c>
      <c r="L196" s="167">
        <v>0</v>
      </c>
      <c r="M196" s="167">
        <v>0</v>
      </c>
      <c r="N196" s="167">
        <v>0</v>
      </c>
      <c r="O196" s="167">
        <v>0</v>
      </c>
      <c r="P196" s="167">
        <v>0</v>
      </c>
      <c r="Q196" s="167">
        <v>0</v>
      </c>
      <c r="R196" s="167">
        <v>0</v>
      </c>
      <c r="S196" s="167">
        <v>0</v>
      </c>
      <c r="T196" s="167">
        <v>0</v>
      </c>
      <c r="U196" s="168" t="e">
        <v>#DIV/0!</v>
      </c>
      <c r="V196" s="167">
        <v>0</v>
      </c>
      <c r="W196" s="167">
        <v>0</v>
      </c>
      <c r="X196" s="167">
        <v>0</v>
      </c>
      <c r="Y196" s="167">
        <v>0</v>
      </c>
      <c r="Z196" s="167">
        <v>0</v>
      </c>
      <c r="AA196" s="167">
        <v>0</v>
      </c>
    </row>
    <row r="197" spans="1:27" ht="12" customHeight="1" x14ac:dyDescent="0.25">
      <c r="A197" s="155" t="s">
        <v>1279</v>
      </c>
      <c r="B197" s="155" t="s">
        <v>585</v>
      </c>
      <c r="C197" s="167">
        <v>0</v>
      </c>
      <c r="D197" s="167">
        <v>0</v>
      </c>
      <c r="E197" s="167">
        <v>0</v>
      </c>
      <c r="F197" s="167">
        <v>0</v>
      </c>
      <c r="G197" s="167">
        <v>0</v>
      </c>
      <c r="H197" s="167">
        <v>0</v>
      </c>
      <c r="I197" s="167">
        <v>0</v>
      </c>
      <c r="J197" s="167">
        <v>0</v>
      </c>
      <c r="K197" s="167">
        <v>0</v>
      </c>
      <c r="L197" s="167">
        <v>0</v>
      </c>
      <c r="M197" s="167">
        <v>0</v>
      </c>
      <c r="N197" s="167">
        <v>0</v>
      </c>
      <c r="O197" s="167">
        <v>0</v>
      </c>
      <c r="P197" s="167">
        <v>0</v>
      </c>
      <c r="Q197" s="167">
        <v>0</v>
      </c>
      <c r="R197" s="167">
        <v>0</v>
      </c>
      <c r="S197" s="167">
        <v>0</v>
      </c>
      <c r="T197" s="167">
        <v>0</v>
      </c>
      <c r="U197" s="168" t="e">
        <v>#DIV/0!</v>
      </c>
      <c r="V197" s="167">
        <v>0</v>
      </c>
      <c r="W197" s="167">
        <v>0</v>
      </c>
      <c r="X197" s="167">
        <v>0</v>
      </c>
      <c r="Y197" s="167">
        <v>0</v>
      </c>
      <c r="Z197" s="167">
        <v>0</v>
      </c>
      <c r="AA197" s="167">
        <v>0</v>
      </c>
    </row>
    <row r="198" spans="1:27" ht="12" customHeight="1" x14ac:dyDescent="0.25">
      <c r="A198" s="155" t="s">
        <v>1280</v>
      </c>
      <c r="B198" s="155" t="s">
        <v>586</v>
      </c>
      <c r="C198" s="167">
        <v>0</v>
      </c>
      <c r="D198" s="167">
        <v>0</v>
      </c>
      <c r="E198" s="167">
        <v>0</v>
      </c>
      <c r="F198" s="167">
        <v>0</v>
      </c>
      <c r="G198" s="167">
        <v>0</v>
      </c>
      <c r="H198" s="167">
        <v>0</v>
      </c>
      <c r="I198" s="167">
        <v>0</v>
      </c>
      <c r="J198" s="167">
        <v>0</v>
      </c>
      <c r="K198" s="167">
        <v>0</v>
      </c>
      <c r="L198" s="167">
        <v>0</v>
      </c>
      <c r="M198" s="167">
        <v>0</v>
      </c>
      <c r="N198" s="167">
        <v>0</v>
      </c>
      <c r="O198" s="167">
        <v>0</v>
      </c>
      <c r="P198" s="167">
        <v>0</v>
      </c>
      <c r="Q198" s="167">
        <v>0</v>
      </c>
      <c r="R198" s="167">
        <v>0</v>
      </c>
      <c r="S198" s="167">
        <v>0</v>
      </c>
      <c r="T198" s="167">
        <v>0</v>
      </c>
      <c r="U198" s="168" t="e">
        <v>#DIV/0!</v>
      </c>
      <c r="V198" s="167">
        <v>0</v>
      </c>
      <c r="W198" s="167">
        <v>0</v>
      </c>
      <c r="X198" s="167">
        <v>0</v>
      </c>
      <c r="Y198" s="167">
        <v>0</v>
      </c>
      <c r="Z198" s="167">
        <v>0</v>
      </c>
      <c r="AA198" s="167">
        <v>0</v>
      </c>
    </row>
    <row r="199" spans="1:27" ht="12" customHeight="1" x14ac:dyDescent="0.25">
      <c r="A199" s="155" t="s">
        <v>1281</v>
      </c>
      <c r="B199" s="155" t="s">
        <v>587</v>
      </c>
      <c r="C199" s="167">
        <v>0</v>
      </c>
      <c r="D199" s="167">
        <v>0</v>
      </c>
      <c r="E199" s="167">
        <v>0</v>
      </c>
      <c r="F199" s="167">
        <v>0</v>
      </c>
      <c r="G199" s="167">
        <v>0</v>
      </c>
      <c r="H199" s="167">
        <v>0</v>
      </c>
      <c r="I199" s="167">
        <v>0</v>
      </c>
      <c r="J199" s="167">
        <v>0</v>
      </c>
      <c r="K199" s="167">
        <v>0</v>
      </c>
      <c r="L199" s="167">
        <v>0</v>
      </c>
      <c r="M199" s="167">
        <v>0</v>
      </c>
      <c r="N199" s="167">
        <v>0</v>
      </c>
      <c r="O199" s="167">
        <v>0</v>
      </c>
      <c r="P199" s="167">
        <v>0</v>
      </c>
      <c r="Q199" s="167">
        <v>0</v>
      </c>
      <c r="R199" s="167">
        <v>0</v>
      </c>
      <c r="S199" s="167">
        <v>0</v>
      </c>
      <c r="T199" s="167">
        <v>0</v>
      </c>
      <c r="U199" s="168" t="e">
        <v>#DIV/0!</v>
      </c>
      <c r="V199" s="167">
        <v>0</v>
      </c>
      <c r="W199" s="167">
        <v>0</v>
      </c>
      <c r="X199" s="167">
        <v>0</v>
      </c>
      <c r="Y199" s="167">
        <v>0</v>
      </c>
      <c r="Z199" s="167">
        <v>0</v>
      </c>
      <c r="AA199" s="167">
        <v>0</v>
      </c>
    </row>
    <row r="200" spans="1:27" ht="12" customHeight="1" x14ac:dyDescent="0.25">
      <c r="A200" s="155" t="s">
        <v>1282</v>
      </c>
      <c r="B200" s="155" t="s">
        <v>588</v>
      </c>
      <c r="C200" s="167">
        <v>0</v>
      </c>
      <c r="D200" s="167">
        <v>0</v>
      </c>
      <c r="E200" s="167">
        <v>0</v>
      </c>
      <c r="F200" s="167">
        <v>0</v>
      </c>
      <c r="G200" s="167">
        <v>0</v>
      </c>
      <c r="H200" s="167">
        <v>0</v>
      </c>
      <c r="I200" s="167">
        <v>0</v>
      </c>
      <c r="J200" s="167">
        <v>0</v>
      </c>
      <c r="K200" s="167">
        <v>0</v>
      </c>
      <c r="L200" s="167">
        <v>0</v>
      </c>
      <c r="M200" s="167">
        <v>0</v>
      </c>
      <c r="N200" s="167">
        <v>0</v>
      </c>
      <c r="O200" s="167">
        <v>0</v>
      </c>
      <c r="P200" s="167">
        <v>0</v>
      </c>
      <c r="Q200" s="167">
        <v>0</v>
      </c>
      <c r="R200" s="167">
        <v>0</v>
      </c>
      <c r="S200" s="167">
        <v>0</v>
      </c>
      <c r="T200" s="167">
        <v>0</v>
      </c>
      <c r="U200" s="168" t="e">
        <v>#DIV/0!</v>
      </c>
      <c r="V200" s="167">
        <v>0</v>
      </c>
      <c r="W200" s="167">
        <v>0</v>
      </c>
      <c r="X200" s="167">
        <v>0</v>
      </c>
      <c r="Y200" s="167">
        <v>0</v>
      </c>
      <c r="Z200" s="167">
        <v>0</v>
      </c>
      <c r="AA200" s="167">
        <v>0</v>
      </c>
    </row>
    <row r="201" spans="1:27" ht="12" customHeight="1" x14ac:dyDescent="0.25">
      <c r="A201" s="155" t="s">
        <v>1283</v>
      </c>
      <c r="B201" s="155" t="s">
        <v>589</v>
      </c>
      <c r="C201" s="167">
        <v>0</v>
      </c>
      <c r="D201" s="167">
        <v>0</v>
      </c>
      <c r="E201" s="167">
        <v>0</v>
      </c>
      <c r="F201" s="167">
        <v>0</v>
      </c>
      <c r="G201" s="167">
        <v>0</v>
      </c>
      <c r="H201" s="167">
        <v>0</v>
      </c>
      <c r="I201" s="167">
        <v>0</v>
      </c>
      <c r="J201" s="167">
        <v>0</v>
      </c>
      <c r="K201" s="167">
        <v>0</v>
      </c>
      <c r="L201" s="167">
        <v>0</v>
      </c>
      <c r="M201" s="167">
        <v>0</v>
      </c>
      <c r="N201" s="167">
        <v>0</v>
      </c>
      <c r="O201" s="167">
        <v>0</v>
      </c>
      <c r="P201" s="167">
        <v>0</v>
      </c>
      <c r="Q201" s="167">
        <v>0</v>
      </c>
      <c r="R201" s="167">
        <v>0</v>
      </c>
      <c r="S201" s="167">
        <v>0</v>
      </c>
      <c r="T201" s="167">
        <v>0</v>
      </c>
      <c r="U201" s="168" t="e">
        <v>#DIV/0!</v>
      </c>
      <c r="V201" s="167">
        <v>0</v>
      </c>
      <c r="W201" s="167">
        <v>0</v>
      </c>
      <c r="X201" s="167">
        <v>0</v>
      </c>
      <c r="Y201" s="167">
        <v>0</v>
      </c>
      <c r="Z201" s="167">
        <v>0</v>
      </c>
      <c r="AA201" s="167">
        <v>0</v>
      </c>
    </row>
    <row r="202" spans="1:27" ht="12" customHeight="1" x14ac:dyDescent="0.25">
      <c r="A202" s="155" t="s">
        <v>1284</v>
      </c>
      <c r="B202" s="155" t="s">
        <v>590</v>
      </c>
      <c r="C202" s="167">
        <v>0</v>
      </c>
      <c r="D202" s="167">
        <v>0</v>
      </c>
      <c r="E202" s="167">
        <v>0</v>
      </c>
      <c r="F202" s="167">
        <v>0</v>
      </c>
      <c r="G202" s="167">
        <v>0</v>
      </c>
      <c r="H202" s="167">
        <v>0</v>
      </c>
      <c r="I202" s="167">
        <v>0</v>
      </c>
      <c r="J202" s="167">
        <v>0</v>
      </c>
      <c r="K202" s="167">
        <v>0</v>
      </c>
      <c r="L202" s="167">
        <v>0</v>
      </c>
      <c r="M202" s="167">
        <v>0</v>
      </c>
      <c r="N202" s="167">
        <v>0</v>
      </c>
      <c r="O202" s="167">
        <v>0</v>
      </c>
      <c r="P202" s="167">
        <v>0</v>
      </c>
      <c r="Q202" s="167">
        <v>0</v>
      </c>
      <c r="R202" s="167">
        <v>0</v>
      </c>
      <c r="S202" s="167">
        <v>0</v>
      </c>
      <c r="T202" s="167">
        <v>0</v>
      </c>
      <c r="U202" s="168" t="e">
        <v>#DIV/0!</v>
      </c>
      <c r="V202" s="167">
        <v>0</v>
      </c>
      <c r="W202" s="167">
        <v>0</v>
      </c>
      <c r="X202" s="167">
        <v>0</v>
      </c>
      <c r="Y202" s="167">
        <v>0</v>
      </c>
      <c r="Z202" s="167">
        <v>0</v>
      </c>
      <c r="AA202" s="167">
        <v>0</v>
      </c>
    </row>
    <row r="203" spans="1:27" ht="12" customHeight="1" x14ac:dyDescent="0.25">
      <c r="A203" s="155" t="s">
        <v>1285</v>
      </c>
      <c r="B203" s="155" t="s">
        <v>591</v>
      </c>
      <c r="C203" s="167">
        <v>0</v>
      </c>
      <c r="D203" s="167">
        <v>0</v>
      </c>
      <c r="E203" s="167">
        <v>0</v>
      </c>
      <c r="F203" s="167">
        <v>0</v>
      </c>
      <c r="G203" s="167">
        <v>0</v>
      </c>
      <c r="H203" s="167">
        <v>0</v>
      </c>
      <c r="I203" s="167">
        <v>0</v>
      </c>
      <c r="J203" s="167">
        <v>0</v>
      </c>
      <c r="K203" s="167">
        <v>0</v>
      </c>
      <c r="L203" s="167">
        <v>0</v>
      </c>
      <c r="M203" s="167">
        <v>0</v>
      </c>
      <c r="N203" s="167">
        <v>0</v>
      </c>
      <c r="O203" s="167">
        <v>0</v>
      </c>
      <c r="P203" s="167">
        <v>0</v>
      </c>
      <c r="Q203" s="167">
        <v>0</v>
      </c>
      <c r="R203" s="167">
        <v>0</v>
      </c>
      <c r="S203" s="167">
        <v>0</v>
      </c>
      <c r="T203" s="167">
        <v>0</v>
      </c>
      <c r="U203" s="168" t="e">
        <v>#DIV/0!</v>
      </c>
      <c r="V203" s="167">
        <v>0</v>
      </c>
      <c r="W203" s="167">
        <v>0</v>
      </c>
      <c r="X203" s="167">
        <v>0</v>
      </c>
      <c r="Y203" s="167">
        <v>0</v>
      </c>
      <c r="Z203" s="167">
        <v>0</v>
      </c>
      <c r="AA203" s="167">
        <v>0</v>
      </c>
    </row>
    <row r="204" spans="1:27" ht="12" customHeight="1" x14ac:dyDescent="0.25">
      <c r="A204" s="155" t="s">
        <v>1286</v>
      </c>
      <c r="B204" s="155" t="s">
        <v>592</v>
      </c>
      <c r="C204" s="167">
        <v>0</v>
      </c>
      <c r="D204" s="167">
        <v>0</v>
      </c>
      <c r="E204" s="167">
        <v>0</v>
      </c>
      <c r="F204" s="167">
        <v>0</v>
      </c>
      <c r="G204" s="167">
        <v>0</v>
      </c>
      <c r="H204" s="167">
        <v>0</v>
      </c>
      <c r="I204" s="167">
        <v>0</v>
      </c>
      <c r="J204" s="167">
        <v>0</v>
      </c>
      <c r="K204" s="167">
        <v>0</v>
      </c>
      <c r="L204" s="167">
        <v>0</v>
      </c>
      <c r="M204" s="167">
        <v>0</v>
      </c>
      <c r="N204" s="167">
        <v>0</v>
      </c>
      <c r="O204" s="167">
        <v>0</v>
      </c>
      <c r="P204" s="167">
        <v>0</v>
      </c>
      <c r="Q204" s="167">
        <v>0</v>
      </c>
      <c r="R204" s="167">
        <v>0</v>
      </c>
      <c r="S204" s="167">
        <v>0</v>
      </c>
      <c r="T204" s="167">
        <v>0</v>
      </c>
      <c r="U204" s="168" t="e">
        <v>#DIV/0!</v>
      </c>
      <c r="V204" s="167">
        <v>0</v>
      </c>
      <c r="W204" s="167">
        <v>0</v>
      </c>
      <c r="X204" s="167">
        <v>0</v>
      </c>
      <c r="Y204" s="167">
        <v>0</v>
      </c>
      <c r="Z204" s="167">
        <v>0</v>
      </c>
      <c r="AA204" s="167">
        <v>0</v>
      </c>
    </row>
    <row r="205" spans="1:27" ht="12" customHeight="1" x14ac:dyDescent="0.25">
      <c r="A205" s="155" t="s">
        <v>1287</v>
      </c>
      <c r="B205" s="155" t="s">
        <v>593</v>
      </c>
      <c r="C205" s="167">
        <v>0</v>
      </c>
      <c r="D205" s="167">
        <v>0</v>
      </c>
      <c r="E205" s="167">
        <v>0</v>
      </c>
      <c r="F205" s="167">
        <v>0</v>
      </c>
      <c r="G205" s="167">
        <v>0</v>
      </c>
      <c r="H205" s="167">
        <v>0</v>
      </c>
      <c r="I205" s="167">
        <v>0</v>
      </c>
      <c r="J205" s="167">
        <v>0</v>
      </c>
      <c r="K205" s="167">
        <v>0</v>
      </c>
      <c r="L205" s="167">
        <v>0</v>
      </c>
      <c r="M205" s="167">
        <v>0</v>
      </c>
      <c r="N205" s="167">
        <v>0</v>
      </c>
      <c r="O205" s="167">
        <v>0</v>
      </c>
      <c r="P205" s="167">
        <v>0</v>
      </c>
      <c r="Q205" s="167">
        <v>0</v>
      </c>
      <c r="R205" s="167">
        <v>0</v>
      </c>
      <c r="S205" s="167">
        <v>0</v>
      </c>
      <c r="T205" s="167">
        <v>0</v>
      </c>
      <c r="U205" s="168" t="e">
        <v>#DIV/0!</v>
      </c>
      <c r="V205" s="167">
        <v>0</v>
      </c>
      <c r="W205" s="167">
        <v>0</v>
      </c>
      <c r="X205" s="167">
        <v>0</v>
      </c>
      <c r="Y205" s="167">
        <v>0</v>
      </c>
      <c r="Z205" s="167">
        <v>0</v>
      </c>
      <c r="AA205" s="167">
        <v>0</v>
      </c>
    </row>
    <row r="206" spans="1:27" ht="12" customHeight="1" x14ac:dyDescent="0.25">
      <c r="A206" s="155" t="s">
        <v>1288</v>
      </c>
      <c r="B206" s="155" t="s">
        <v>594</v>
      </c>
      <c r="C206" s="167">
        <v>0</v>
      </c>
      <c r="D206" s="167">
        <v>0</v>
      </c>
      <c r="E206" s="167">
        <v>0</v>
      </c>
      <c r="F206" s="167">
        <v>0</v>
      </c>
      <c r="G206" s="167">
        <v>0</v>
      </c>
      <c r="H206" s="167">
        <v>0</v>
      </c>
      <c r="I206" s="167">
        <v>0</v>
      </c>
      <c r="J206" s="167">
        <v>0</v>
      </c>
      <c r="K206" s="167">
        <v>0</v>
      </c>
      <c r="L206" s="167">
        <v>0</v>
      </c>
      <c r="M206" s="167">
        <v>0</v>
      </c>
      <c r="N206" s="167">
        <v>0</v>
      </c>
      <c r="O206" s="167">
        <v>0</v>
      </c>
      <c r="P206" s="167">
        <v>0</v>
      </c>
      <c r="Q206" s="167">
        <v>0</v>
      </c>
      <c r="R206" s="167">
        <v>0</v>
      </c>
      <c r="S206" s="167">
        <v>0</v>
      </c>
      <c r="T206" s="167">
        <v>0</v>
      </c>
      <c r="U206" s="168" t="e">
        <v>#DIV/0!</v>
      </c>
      <c r="V206" s="167">
        <v>0</v>
      </c>
      <c r="W206" s="167">
        <v>0</v>
      </c>
      <c r="X206" s="167">
        <v>0</v>
      </c>
      <c r="Y206" s="167">
        <v>0</v>
      </c>
      <c r="Z206" s="167">
        <v>0</v>
      </c>
      <c r="AA206" s="167">
        <v>0</v>
      </c>
    </row>
    <row r="207" spans="1:27" ht="12" customHeight="1" x14ac:dyDescent="0.25">
      <c r="A207" s="155" t="s">
        <v>1289</v>
      </c>
      <c r="B207" s="155" t="s">
        <v>595</v>
      </c>
      <c r="C207" s="167">
        <v>0</v>
      </c>
      <c r="D207" s="167">
        <v>0</v>
      </c>
      <c r="E207" s="167">
        <v>0</v>
      </c>
      <c r="F207" s="167">
        <v>0</v>
      </c>
      <c r="G207" s="167">
        <v>0</v>
      </c>
      <c r="H207" s="167">
        <v>0</v>
      </c>
      <c r="I207" s="167">
        <v>0</v>
      </c>
      <c r="J207" s="167">
        <v>0</v>
      </c>
      <c r="K207" s="167">
        <v>0</v>
      </c>
      <c r="L207" s="167">
        <v>0</v>
      </c>
      <c r="M207" s="167">
        <v>0</v>
      </c>
      <c r="N207" s="167">
        <v>0</v>
      </c>
      <c r="O207" s="167">
        <v>0</v>
      </c>
      <c r="P207" s="167">
        <v>0</v>
      </c>
      <c r="Q207" s="167">
        <v>0</v>
      </c>
      <c r="R207" s="167">
        <v>0</v>
      </c>
      <c r="S207" s="167">
        <v>0</v>
      </c>
      <c r="T207" s="167">
        <v>0</v>
      </c>
      <c r="U207" s="168" t="e">
        <v>#DIV/0!</v>
      </c>
      <c r="V207" s="167">
        <v>0</v>
      </c>
      <c r="W207" s="167">
        <v>0</v>
      </c>
      <c r="X207" s="167">
        <v>0</v>
      </c>
      <c r="Y207" s="167">
        <v>0</v>
      </c>
      <c r="Z207" s="167">
        <v>0</v>
      </c>
      <c r="AA207" s="167">
        <v>0</v>
      </c>
    </row>
    <row r="208" spans="1:27" ht="12" customHeight="1" x14ac:dyDescent="0.25">
      <c r="A208" s="155" t="s">
        <v>1290</v>
      </c>
      <c r="B208" s="155" t="s">
        <v>596</v>
      </c>
      <c r="C208" s="167">
        <v>0</v>
      </c>
      <c r="D208" s="167">
        <v>0</v>
      </c>
      <c r="E208" s="167">
        <v>0</v>
      </c>
      <c r="F208" s="167">
        <v>0</v>
      </c>
      <c r="G208" s="167">
        <v>0</v>
      </c>
      <c r="H208" s="167">
        <v>0</v>
      </c>
      <c r="I208" s="167">
        <v>0</v>
      </c>
      <c r="J208" s="167">
        <v>0</v>
      </c>
      <c r="K208" s="167">
        <v>0</v>
      </c>
      <c r="L208" s="167">
        <v>0</v>
      </c>
      <c r="M208" s="167">
        <v>0</v>
      </c>
      <c r="N208" s="167">
        <v>0</v>
      </c>
      <c r="O208" s="167">
        <v>0</v>
      </c>
      <c r="P208" s="167">
        <v>0</v>
      </c>
      <c r="Q208" s="167">
        <v>0</v>
      </c>
      <c r="R208" s="167">
        <v>0</v>
      </c>
      <c r="S208" s="167">
        <v>0</v>
      </c>
      <c r="T208" s="167">
        <v>0</v>
      </c>
      <c r="U208" s="168" t="e">
        <v>#DIV/0!</v>
      </c>
      <c r="V208" s="167">
        <v>0</v>
      </c>
      <c r="W208" s="167">
        <v>0</v>
      </c>
      <c r="X208" s="167">
        <v>0</v>
      </c>
      <c r="Y208" s="167">
        <v>0</v>
      </c>
      <c r="Z208" s="167">
        <v>0</v>
      </c>
      <c r="AA208" s="167">
        <v>0</v>
      </c>
    </row>
    <row r="209" spans="1:27" ht="12" customHeight="1" x14ac:dyDescent="0.25">
      <c r="A209" s="155" t="s">
        <v>1291</v>
      </c>
      <c r="B209" s="155" t="s">
        <v>597</v>
      </c>
      <c r="C209" s="167">
        <v>0</v>
      </c>
      <c r="D209" s="167">
        <v>0</v>
      </c>
      <c r="E209" s="167">
        <v>0</v>
      </c>
      <c r="F209" s="167">
        <v>0</v>
      </c>
      <c r="G209" s="167">
        <v>0</v>
      </c>
      <c r="H209" s="167">
        <v>0</v>
      </c>
      <c r="I209" s="167">
        <v>0</v>
      </c>
      <c r="J209" s="167">
        <v>0</v>
      </c>
      <c r="K209" s="167">
        <v>0</v>
      </c>
      <c r="L209" s="167">
        <v>0</v>
      </c>
      <c r="M209" s="167">
        <v>0</v>
      </c>
      <c r="N209" s="167">
        <v>0</v>
      </c>
      <c r="O209" s="167">
        <v>0</v>
      </c>
      <c r="P209" s="167">
        <v>0</v>
      </c>
      <c r="Q209" s="167">
        <v>0</v>
      </c>
      <c r="R209" s="167">
        <v>0</v>
      </c>
      <c r="S209" s="167">
        <v>0</v>
      </c>
      <c r="T209" s="167">
        <v>0</v>
      </c>
      <c r="U209" s="168" t="e">
        <v>#DIV/0!</v>
      </c>
      <c r="V209" s="167">
        <v>0</v>
      </c>
      <c r="W209" s="167">
        <v>0</v>
      </c>
      <c r="X209" s="167">
        <v>0</v>
      </c>
      <c r="Y209" s="167">
        <v>0</v>
      </c>
      <c r="Z209" s="167">
        <v>0</v>
      </c>
      <c r="AA209" s="167">
        <v>0</v>
      </c>
    </row>
    <row r="210" spans="1:27" ht="12" customHeight="1" x14ac:dyDescent="0.25">
      <c r="A210" s="155" t="s">
        <v>1292</v>
      </c>
      <c r="B210" s="155" t="s">
        <v>598</v>
      </c>
      <c r="C210" s="167">
        <v>0</v>
      </c>
      <c r="D210" s="167">
        <v>0</v>
      </c>
      <c r="E210" s="167">
        <v>0</v>
      </c>
      <c r="F210" s="167">
        <v>0</v>
      </c>
      <c r="G210" s="167">
        <v>0</v>
      </c>
      <c r="H210" s="167">
        <v>0</v>
      </c>
      <c r="I210" s="167">
        <v>0</v>
      </c>
      <c r="J210" s="167">
        <v>0</v>
      </c>
      <c r="K210" s="167">
        <v>0</v>
      </c>
      <c r="L210" s="167">
        <v>0</v>
      </c>
      <c r="M210" s="167">
        <v>0</v>
      </c>
      <c r="N210" s="167">
        <v>0</v>
      </c>
      <c r="O210" s="167">
        <v>0</v>
      </c>
      <c r="P210" s="167">
        <v>0</v>
      </c>
      <c r="Q210" s="167">
        <v>0</v>
      </c>
      <c r="R210" s="167">
        <v>0</v>
      </c>
      <c r="S210" s="167">
        <v>0</v>
      </c>
      <c r="T210" s="167">
        <v>0</v>
      </c>
      <c r="U210" s="168" t="e">
        <v>#DIV/0!</v>
      </c>
      <c r="V210" s="167">
        <v>0</v>
      </c>
      <c r="W210" s="167">
        <v>0</v>
      </c>
      <c r="X210" s="167">
        <v>0</v>
      </c>
      <c r="Y210" s="167">
        <v>0</v>
      </c>
      <c r="Z210" s="167">
        <v>0</v>
      </c>
      <c r="AA210" s="167">
        <v>0</v>
      </c>
    </row>
    <row r="211" spans="1:27" ht="12" customHeight="1" x14ac:dyDescent="0.25">
      <c r="A211" s="155" t="s">
        <v>1293</v>
      </c>
      <c r="B211" s="155" t="s">
        <v>599</v>
      </c>
      <c r="C211" s="167">
        <v>0</v>
      </c>
      <c r="D211" s="167">
        <v>0</v>
      </c>
      <c r="E211" s="167">
        <v>0</v>
      </c>
      <c r="F211" s="167">
        <v>0</v>
      </c>
      <c r="G211" s="167">
        <v>0</v>
      </c>
      <c r="H211" s="167">
        <v>0</v>
      </c>
      <c r="I211" s="167">
        <v>0</v>
      </c>
      <c r="J211" s="167">
        <v>0</v>
      </c>
      <c r="K211" s="167">
        <v>0</v>
      </c>
      <c r="L211" s="167">
        <v>0</v>
      </c>
      <c r="M211" s="167">
        <v>0</v>
      </c>
      <c r="N211" s="167">
        <v>0</v>
      </c>
      <c r="O211" s="167">
        <v>0</v>
      </c>
      <c r="P211" s="167">
        <v>0</v>
      </c>
      <c r="Q211" s="167">
        <v>0</v>
      </c>
      <c r="R211" s="167">
        <v>0</v>
      </c>
      <c r="S211" s="167">
        <v>0</v>
      </c>
      <c r="T211" s="167">
        <v>0</v>
      </c>
      <c r="U211" s="168" t="e">
        <v>#DIV/0!</v>
      </c>
      <c r="V211" s="167">
        <v>0</v>
      </c>
      <c r="W211" s="167">
        <v>0</v>
      </c>
      <c r="X211" s="167">
        <v>0</v>
      </c>
      <c r="Y211" s="167">
        <v>0</v>
      </c>
      <c r="Z211" s="167">
        <v>0</v>
      </c>
      <c r="AA211" s="167">
        <v>0</v>
      </c>
    </row>
    <row r="212" spans="1:27" ht="12" customHeight="1" x14ac:dyDescent="0.25">
      <c r="A212" s="155" t="s">
        <v>1294</v>
      </c>
      <c r="B212" s="155" t="s">
        <v>600</v>
      </c>
      <c r="C212" s="167">
        <v>0</v>
      </c>
      <c r="D212" s="167">
        <v>0</v>
      </c>
      <c r="E212" s="167">
        <v>0</v>
      </c>
      <c r="F212" s="167">
        <v>0</v>
      </c>
      <c r="G212" s="167">
        <v>0</v>
      </c>
      <c r="H212" s="167">
        <v>0</v>
      </c>
      <c r="I212" s="167">
        <v>0</v>
      </c>
      <c r="J212" s="167">
        <v>0</v>
      </c>
      <c r="K212" s="167">
        <v>0</v>
      </c>
      <c r="L212" s="167">
        <v>0</v>
      </c>
      <c r="M212" s="167">
        <v>0</v>
      </c>
      <c r="N212" s="167">
        <v>0</v>
      </c>
      <c r="O212" s="167">
        <v>0</v>
      </c>
      <c r="P212" s="167">
        <v>0</v>
      </c>
      <c r="Q212" s="167">
        <v>0</v>
      </c>
      <c r="R212" s="167">
        <v>0</v>
      </c>
      <c r="S212" s="167">
        <v>0</v>
      </c>
      <c r="T212" s="167">
        <v>0</v>
      </c>
      <c r="U212" s="168" t="e">
        <v>#DIV/0!</v>
      </c>
      <c r="V212" s="167">
        <v>0</v>
      </c>
      <c r="W212" s="167">
        <v>0</v>
      </c>
      <c r="X212" s="167">
        <v>0</v>
      </c>
      <c r="Y212" s="167">
        <v>0</v>
      </c>
      <c r="Z212" s="167">
        <v>0</v>
      </c>
      <c r="AA212" s="167">
        <v>0</v>
      </c>
    </row>
    <row r="213" spans="1:27" ht="12" customHeight="1" x14ac:dyDescent="0.25">
      <c r="A213" s="155" t="s">
        <v>1295</v>
      </c>
      <c r="B213" s="155" t="s">
        <v>601</v>
      </c>
      <c r="C213" s="167">
        <v>0</v>
      </c>
      <c r="D213" s="167">
        <v>0</v>
      </c>
      <c r="E213" s="167">
        <v>0</v>
      </c>
      <c r="F213" s="167">
        <v>0</v>
      </c>
      <c r="G213" s="167">
        <v>0</v>
      </c>
      <c r="H213" s="167">
        <v>0</v>
      </c>
      <c r="I213" s="167">
        <v>0</v>
      </c>
      <c r="J213" s="167">
        <v>0</v>
      </c>
      <c r="K213" s="167">
        <v>0</v>
      </c>
      <c r="L213" s="167">
        <v>0</v>
      </c>
      <c r="M213" s="167">
        <v>0</v>
      </c>
      <c r="N213" s="167">
        <v>0</v>
      </c>
      <c r="O213" s="167">
        <v>0</v>
      </c>
      <c r="P213" s="167">
        <v>0</v>
      </c>
      <c r="Q213" s="167">
        <v>0</v>
      </c>
      <c r="R213" s="167">
        <v>0</v>
      </c>
      <c r="S213" s="167">
        <v>0</v>
      </c>
      <c r="T213" s="167">
        <v>0</v>
      </c>
      <c r="U213" s="168" t="e">
        <v>#DIV/0!</v>
      </c>
      <c r="V213" s="167">
        <v>0</v>
      </c>
      <c r="W213" s="167">
        <v>0</v>
      </c>
      <c r="X213" s="167">
        <v>0</v>
      </c>
      <c r="Y213" s="167">
        <v>0</v>
      </c>
      <c r="Z213" s="167">
        <v>0</v>
      </c>
      <c r="AA213" s="167">
        <v>0</v>
      </c>
    </row>
    <row r="214" spans="1:27" ht="12" customHeight="1" x14ac:dyDescent="0.25">
      <c r="A214" s="155" t="s">
        <v>1296</v>
      </c>
      <c r="B214" s="155" t="s">
        <v>602</v>
      </c>
      <c r="C214" s="167">
        <v>0</v>
      </c>
      <c r="D214" s="167">
        <v>0</v>
      </c>
      <c r="E214" s="167">
        <v>0</v>
      </c>
      <c r="F214" s="167">
        <v>0</v>
      </c>
      <c r="G214" s="167">
        <v>0</v>
      </c>
      <c r="H214" s="167">
        <v>0</v>
      </c>
      <c r="I214" s="167">
        <v>0</v>
      </c>
      <c r="J214" s="167">
        <v>0</v>
      </c>
      <c r="K214" s="167">
        <v>0</v>
      </c>
      <c r="L214" s="167">
        <v>0</v>
      </c>
      <c r="M214" s="167">
        <v>0</v>
      </c>
      <c r="N214" s="167">
        <v>0</v>
      </c>
      <c r="O214" s="167">
        <v>0</v>
      </c>
      <c r="P214" s="167">
        <v>0</v>
      </c>
      <c r="Q214" s="167">
        <v>0</v>
      </c>
      <c r="R214" s="167">
        <v>0</v>
      </c>
      <c r="S214" s="167">
        <v>0</v>
      </c>
      <c r="T214" s="167">
        <v>0</v>
      </c>
      <c r="U214" s="168" t="e">
        <v>#DIV/0!</v>
      </c>
      <c r="V214" s="167">
        <v>0</v>
      </c>
      <c r="W214" s="167">
        <v>0</v>
      </c>
      <c r="X214" s="167">
        <v>0</v>
      </c>
      <c r="Y214" s="167">
        <v>0</v>
      </c>
      <c r="Z214" s="167">
        <v>0</v>
      </c>
      <c r="AA214" s="167">
        <v>0</v>
      </c>
    </row>
    <row r="215" spans="1:27" ht="12" customHeight="1" x14ac:dyDescent="0.25">
      <c r="A215" s="155" t="s">
        <v>1297</v>
      </c>
      <c r="B215" s="155" t="s">
        <v>603</v>
      </c>
      <c r="C215" s="167">
        <v>0</v>
      </c>
      <c r="D215" s="167">
        <v>0</v>
      </c>
      <c r="E215" s="167">
        <v>0</v>
      </c>
      <c r="F215" s="167">
        <v>0</v>
      </c>
      <c r="G215" s="167">
        <v>0</v>
      </c>
      <c r="H215" s="167">
        <v>0</v>
      </c>
      <c r="I215" s="167">
        <v>0</v>
      </c>
      <c r="J215" s="167">
        <v>0</v>
      </c>
      <c r="K215" s="167">
        <v>0</v>
      </c>
      <c r="L215" s="167">
        <v>0</v>
      </c>
      <c r="M215" s="167">
        <v>0</v>
      </c>
      <c r="N215" s="167">
        <v>0</v>
      </c>
      <c r="O215" s="167">
        <v>0</v>
      </c>
      <c r="P215" s="167">
        <v>0</v>
      </c>
      <c r="Q215" s="167">
        <v>0</v>
      </c>
      <c r="R215" s="167">
        <v>0</v>
      </c>
      <c r="S215" s="167">
        <v>0</v>
      </c>
      <c r="T215" s="167">
        <v>0</v>
      </c>
      <c r="U215" s="168" t="e">
        <v>#DIV/0!</v>
      </c>
      <c r="V215" s="167">
        <v>0</v>
      </c>
      <c r="W215" s="167">
        <v>0</v>
      </c>
      <c r="X215" s="167">
        <v>0</v>
      </c>
      <c r="Y215" s="167">
        <v>0</v>
      </c>
      <c r="Z215" s="167">
        <v>0</v>
      </c>
      <c r="AA215" s="167">
        <v>0</v>
      </c>
    </row>
    <row r="216" spans="1:27" ht="12" customHeight="1" x14ac:dyDescent="0.25">
      <c r="A216" s="155"/>
      <c r="B216" s="162" t="s">
        <v>604</v>
      </c>
      <c r="C216" s="163">
        <v>0</v>
      </c>
      <c r="D216" s="163">
        <v>0</v>
      </c>
      <c r="E216" s="163">
        <v>0</v>
      </c>
      <c r="F216" s="163">
        <v>0</v>
      </c>
      <c r="G216" s="163">
        <v>0</v>
      </c>
      <c r="H216" s="163">
        <v>0</v>
      </c>
      <c r="I216" s="163">
        <v>0</v>
      </c>
      <c r="J216" s="163">
        <v>0</v>
      </c>
      <c r="K216" s="163">
        <v>0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3">
        <v>0</v>
      </c>
      <c r="R216" s="163">
        <v>0</v>
      </c>
      <c r="S216" s="163">
        <v>0</v>
      </c>
      <c r="T216" s="164">
        <v>0</v>
      </c>
      <c r="U216" s="165" t="e">
        <v>#DIV/0!</v>
      </c>
      <c r="V216" s="164">
        <v>0</v>
      </c>
      <c r="W216" s="164">
        <v>0</v>
      </c>
      <c r="X216" s="164">
        <v>0</v>
      </c>
      <c r="Y216" s="164">
        <v>0</v>
      </c>
      <c r="Z216" s="164">
        <v>0</v>
      </c>
      <c r="AA216" s="164">
        <v>0</v>
      </c>
    </row>
    <row r="217" spans="1:27" ht="12" customHeight="1" x14ac:dyDescent="0.25">
      <c r="A217" s="155" t="s">
        <v>1298</v>
      </c>
      <c r="B217" s="155" t="s">
        <v>605</v>
      </c>
      <c r="C217" s="167">
        <v>0</v>
      </c>
      <c r="D217" s="167">
        <v>0</v>
      </c>
      <c r="E217" s="167">
        <v>0</v>
      </c>
      <c r="F217" s="167">
        <v>0</v>
      </c>
      <c r="G217" s="167">
        <v>0</v>
      </c>
      <c r="H217" s="167">
        <v>0</v>
      </c>
      <c r="I217" s="167">
        <v>0</v>
      </c>
      <c r="J217" s="167">
        <v>0</v>
      </c>
      <c r="K217" s="167">
        <v>0</v>
      </c>
      <c r="L217" s="167">
        <v>0</v>
      </c>
      <c r="M217" s="167">
        <v>0</v>
      </c>
      <c r="N217" s="167">
        <v>0</v>
      </c>
      <c r="O217" s="167">
        <v>0</v>
      </c>
      <c r="P217" s="167">
        <v>0</v>
      </c>
      <c r="Q217" s="167">
        <v>0</v>
      </c>
      <c r="R217" s="167">
        <v>0</v>
      </c>
      <c r="S217" s="167">
        <v>0</v>
      </c>
      <c r="T217" s="167">
        <v>0</v>
      </c>
      <c r="U217" s="168" t="e">
        <v>#DIV/0!</v>
      </c>
      <c r="V217" s="167">
        <v>0</v>
      </c>
      <c r="W217" s="167">
        <v>0</v>
      </c>
      <c r="X217" s="167">
        <v>0</v>
      </c>
      <c r="Y217" s="167">
        <v>0</v>
      </c>
      <c r="Z217" s="167">
        <v>0</v>
      </c>
      <c r="AA217" s="167">
        <v>0</v>
      </c>
    </row>
    <row r="218" spans="1:27" ht="12" customHeight="1" x14ac:dyDescent="0.25">
      <c r="A218" s="155" t="s">
        <v>1299</v>
      </c>
      <c r="B218" s="155" t="s">
        <v>606</v>
      </c>
      <c r="C218" s="167">
        <v>0</v>
      </c>
      <c r="D218" s="167">
        <v>0</v>
      </c>
      <c r="E218" s="167">
        <v>0</v>
      </c>
      <c r="F218" s="167">
        <v>0</v>
      </c>
      <c r="G218" s="167">
        <v>0</v>
      </c>
      <c r="H218" s="167">
        <v>0</v>
      </c>
      <c r="I218" s="167">
        <v>0</v>
      </c>
      <c r="J218" s="167">
        <v>0</v>
      </c>
      <c r="K218" s="167">
        <v>0</v>
      </c>
      <c r="L218" s="167">
        <v>0</v>
      </c>
      <c r="M218" s="167">
        <v>0</v>
      </c>
      <c r="N218" s="167">
        <v>0</v>
      </c>
      <c r="O218" s="167">
        <v>0</v>
      </c>
      <c r="P218" s="167">
        <v>0</v>
      </c>
      <c r="Q218" s="167">
        <v>0</v>
      </c>
      <c r="R218" s="167">
        <v>0</v>
      </c>
      <c r="S218" s="167">
        <v>0</v>
      </c>
      <c r="T218" s="167">
        <v>0</v>
      </c>
      <c r="U218" s="168" t="e">
        <v>#DIV/0!</v>
      </c>
      <c r="V218" s="167">
        <v>0</v>
      </c>
      <c r="W218" s="167">
        <v>0</v>
      </c>
      <c r="X218" s="167">
        <v>0</v>
      </c>
      <c r="Y218" s="167">
        <v>0</v>
      </c>
      <c r="Z218" s="167">
        <v>0</v>
      </c>
      <c r="AA218" s="167">
        <v>0</v>
      </c>
    </row>
    <row r="219" spans="1:27" ht="12" customHeight="1" x14ac:dyDescent="0.25">
      <c r="A219" s="155" t="s">
        <v>1300</v>
      </c>
      <c r="B219" s="155" t="s">
        <v>607</v>
      </c>
      <c r="C219" s="167">
        <v>0</v>
      </c>
      <c r="D219" s="167">
        <v>0</v>
      </c>
      <c r="E219" s="167">
        <v>0</v>
      </c>
      <c r="F219" s="167">
        <v>0</v>
      </c>
      <c r="G219" s="167">
        <v>0</v>
      </c>
      <c r="H219" s="167">
        <v>0</v>
      </c>
      <c r="I219" s="167">
        <v>0</v>
      </c>
      <c r="J219" s="167">
        <v>0</v>
      </c>
      <c r="K219" s="167">
        <v>0</v>
      </c>
      <c r="L219" s="167">
        <v>0</v>
      </c>
      <c r="M219" s="167">
        <v>0</v>
      </c>
      <c r="N219" s="167">
        <v>0</v>
      </c>
      <c r="O219" s="167">
        <v>0</v>
      </c>
      <c r="P219" s="167">
        <v>0</v>
      </c>
      <c r="Q219" s="167">
        <v>0</v>
      </c>
      <c r="R219" s="167">
        <v>0</v>
      </c>
      <c r="S219" s="167">
        <v>0</v>
      </c>
      <c r="T219" s="167">
        <v>0</v>
      </c>
      <c r="U219" s="168" t="e">
        <v>#DIV/0!</v>
      </c>
      <c r="V219" s="167">
        <v>0</v>
      </c>
      <c r="W219" s="167">
        <v>0</v>
      </c>
      <c r="X219" s="167">
        <v>0</v>
      </c>
      <c r="Y219" s="167">
        <v>0</v>
      </c>
      <c r="Z219" s="167">
        <v>0</v>
      </c>
      <c r="AA219" s="167">
        <v>0</v>
      </c>
    </row>
    <row r="220" spans="1:27" ht="12" customHeight="1" x14ac:dyDescent="0.25">
      <c r="A220" s="155"/>
      <c r="B220" s="162" t="s">
        <v>608</v>
      </c>
      <c r="C220" s="163">
        <v>0</v>
      </c>
      <c r="D220" s="163">
        <v>0</v>
      </c>
      <c r="E220" s="163">
        <v>0</v>
      </c>
      <c r="F220" s="163">
        <v>0</v>
      </c>
      <c r="G220" s="163">
        <v>0</v>
      </c>
      <c r="H220" s="163">
        <v>0</v>
      </c>
      <c r="I220" s="163">
        <v>0</v>
      </c>
      <c r="J220" s="163">
        <v>0</v>
      </c>
      <c r="K220" s="163">
        <v>0</v>
      </c>
      <c r="L220" s="163">
        <v>0</v>
      </c>
      <c r="M220" s="163">
        <v>0</v>
      </c>
      <c r="N220" s="163">
        <v>0</v>
      </c>
      <c r="O220" s="163">
        <v>0</v>
      </c>
      <c r="P220" s="163">
        <v>0</v>
      </c>
      <c r="Q220" s="163">
        <v>0</v>
      </c>
      <c r="R220" s="163">
        <v>0</v>
      </c>
      <c r="S220" s="163">
        <v>0</v>
      </c>
      <c r="T220" s="164">
        <v>0</v>
      </c>
      <c r="U220" s="165" t="e">
        <v>#DIV/0!</v>
      </c>
      <c r="V220" s="164">
        <v>0</v>
      </c>
      <c r="W220" s="164">
        <v>0</v>
      </c>
      <c r="X220" s="164">
        <v>0</v>
      </c>
      <c r="Y220" s="164">
        <v>0</v>
      </c>
      <c r="Z220" s="164">
        <v>0</v>
      </c>
      <c r="AA220" s="164">
        <v>0</v>
      </c>
    </row>
    <row r="221" spans="1:27" ht="12" customHeight="1" x14ac:dyDescent="0.25">
      <c r="A221" s="155" t="s">
        <v>1301</v>
      </c>
      <c r="B221" s="155" t="s">
        <v>609</v>
      </c>
      <c r="C221" s="167">
        <v>0</v>
      </c>
      <c r="D221" s="167">
        <v>0</v>
      </c>
      <c r="E221" s="167">
        <v>0</v>
      </c>
      <c r="F221" s="167">
        <v>0</v>
      </c>
      <c r="G221" s="167">
        <v>0</v>
      </c>
      <c r="H221" s="167">
        <v>0</v>
      </c>
      <c r="I221" s="167">
        <v>0</v>
      </c>
      <c r="J221" s="167">
        <v>0</v>
      </c>
      <c r="K221" s="167">
        <v>0</v>
      </c>
      <c r="L221" s="167">
        <v>0</v>
      </c>
      <c r="M221" s="167">
        <v>0</v>
      </c>
      <c r="N221" s="167">
        <v>0</v>
      </c>
      <c r="O221" s="167">
        <v>0</v>
      </c>
      <c r="P221" s="167">
        <v>0</v>
      </c>
      <c r="Q221" s="167">
        <v>0</v>
      </c>
      <c r="R221" s="167">
        <v>0</v>
      </c>
      <c r="S221" s="167">
        <v>0</v>
      </c>
      <c r="T221" s="167">
        <v>0</v>
      </c>
      <c r="U221" s="168" t="e">
        <v>#DIV/0!</v>
      </c>
      <c r="V221" s="167">
        <v>0</v>
      </c>
      <c r="W221" s="167">
        <v>0</v>
      </c>
      <c r="X221" s="167">
        <v>0</v>
      </c>
      <c r="Y221" s="167">
        <v>0</v>
      </c>
      <c r="Z221" s="167">
        <v>0</v>
      </c>
      <c r="AA221" s="167">
        <v>0</v>
      </c>
    </row>
    <row r="222" spans="1:27" ht="12" customHeight="1" x14ac:dyDescent="0.25">
      <c r="A222" s="155" t="s">
        <v>1302</v>
      </c>
      <c r="B222" s="155" t="s">
        <v>610</v>
      </c>
      <c r="C222" s="167">
        <v>0</v>
      </c>
      <c r="D222" s="167">
        <v>0</v>
      </c>
      <c r="E222" s="167">
        <v>0</v>
      </c>
      <c r="F222" s="167">
        <v>0</v>
      </c>
      <c r="G222" s="167">
        <v>0</v>
      </c>
      <c r="H222" s="167">
        <v>0</v>
      </c>
      <c r="I222" s="167">
        <v>0</v>
      </c>
      <c r="J222" s="167">
        <v>0</v>
      </c>
      <c r="K222" s="167">
        <v>0</v>
      </c>
      <c r="L222" s="167">
        <v>0</v>
      </c>
      <c r="M222" s="167">
        <v>0</v>
      </c>
      <c r="N222" s="167">
        <v>0</v>
      </c>
      <c r="O222" s="167">
        <v>0</v>
      </c>
      <c r="P222" s="167">
        <v>0</v>
      </c>
      <c r="Q222" s="167">
        <v>0</v>
      </c>
      <c r="R222" s="167">
        <v>0</v>
      </c>
      <c r="S222" s="167">
        <v>0</v>
      </c>
      <c r="T222" s="167">
        <v>0</v>
      </c>
      <c r="U222" s="168" t="e">
        <v>#DIV/0!</v>
      </c>
      <c r="V222" s="167">
        <v>0</v>
      </c>
      <c r="W222" s="167">
        <v>0</v>
      </c>
      <c r="X222" s="167">
        <v>0</v>
      </c>
      <c r="Y222" s="167">
        <v>0</v>
      </c>
      <c r="Z222" s="167">
        <v>0</v>
      </c>
      <c r="AA222" s="167">
        <v>0</v>
      </c>
    </row>
    <row r="223" spans="1:27" ht="12" customHeight="1" x14ac:dyDescent="0.25">
      <c r="A223" s="155" t="s">
        <v>1303</v>
      </c>
      <c r="B223" s="155" t="s">
        <v>611</v>
      </c>
      <c r="C223" s="167">
        <v>0</v>
      </c>
      <c r="D223" s="167">
        <v>0</v>
      </c>
      <c r="E223" s="167">
        <v>0</v>
      </c>
      <c r="F223" s="167">
        <v>0</v>
      </c>
      <c r="G223" s="167">
        <v>0</v>
      </c>
      <c r="H223" s="167">
        <v>0</v>
      </c>
      <c r="I223" s="167">
        <v>0</v>
      </c>
      <c r="J223" s="167">
        <v>0</v>
      </c>
      <c r="K223" s="167">
        <v>0</v>
      </c>
      <c r="L223" s="167">
        <v>0</v>
      </c>
      <c r="M223" s="167">
        <v>0</v>
      </c>
      <c r="N223" s="167">
        <v>0</v>
      </c>
      <c r="O223" s="167">
        <v>0</v>
      </c>
      <c r="P223" s="167">
        <v>0</v>
      </c>
      <c r="Q223" s="167">
        <v>0</v>
      </c>
      <c r="R223" s="167">
        <v>0</v>
      </c>
      <c r="S223" s="167">
        <v>0</v>
      </c>
      <c r="T223" s="167">
        <v>0</v>
      </c>
      <c r="U223" s="168" t="e">
        <v>#DIV/0!</v>
      </c>
      <c r="V223" s="167">
        <v>0</v>
      </c>
      <c r="W223" s="167">
        <v>0</v>
      </c>
      <c r="X223" s="167">
        <v>0</v>
      </c>
      <c r="Y223" s="167">
        <v>0</v>
      </c>
      <c r="Z223" s="167">
        <v>0</v>
      </c>
      <c r="AA223" s="167">
        <v>0</v>
      </c>
    </row>
    <row r="224" spans="1:27" ht="12" customHeight="1" x14ac:dyDescent="0.25">
      <c r="A224" s="155"/>
      <c r="B224" s="162" t="s">
        <v>612</v>
      </c>
      <c r="C224" s="163">
        <v>0</v>
      </c>
      <c r="D224" s="163">
        <v>0</v>
      </c>
      <c r="E224" s="163">
        <v>0</v>
      </c>
      <c r="F224" s="163">
        <v>0</v>
      </c>
      <c r="G224" s="163">
        <v>0</v>
      </c>
      <c r="H224" s="163">
        <v>0</v>
      </c>
      <c r="I224" s="163">
        <v>0</v>
      </c>
      <c r="J224" s="163">
        <v>0</v>
      </c>
      <c r="K224" s="163">
        <v>0</v>
      </c>
      <c r="L224" s="163">
        <v>0</v>
      </c>
      <c r="M224" s="163">
        <v>0</v>
      </c>
      <c r="N224" s="163">
        <v>0</v>
      </c>
      <c r="O224" s="163">
        <v>0</v>
      </c>
      <c r="P224" s="163">
        <v>0</v>
      </c>
      <c r="Q224" s="163">
        <v>0</v>
      </c>
      <c r="R224" s="163">
        <v>0</v>
      </c>
      <c r="S224" s="163">
        <v>0</v>
      </c>
      <c r="T224" s="164">
        <v>0</v>
      </c>
      <c r="U224" s="165" t="e">
        <v>#DIV/0!</v>
      </c>
      <c r="V224" s="164">
        <v>0</v>
      </c>
      <c r="W224" s="164">
        <v>0</v>
      </c>
      <c r="X224" s="164">
        <v>0</v>
      </c>
      <c r="Y224" s="164">
        <v>0</v>
      </c>
      <c r="Z224" s="164">
        <v>0</v>
      </c>
      <c r="AA224" s="164">
        <v>0</v>
      </c>
    </row>
    <row r="225" spans="1:27" ht="12" customHeight="1" x14ac:dyDescent="0.25">
      <c r="A225" s="155" t="s">
        <v>1304</v>
      </c>
      <c r="B225" s="155" t="s">
        <v>613</v>
      </c>
      <c r="C225" s="167">
        <v>0</v>
      </c>
      <c r="D225" s="167">
        <v>0</v>
      </c>
      <c r="E225" s="167">
        <v>0</v>
      </c>
      <c r="F225" s="167">
        <v>0</v>
      </c>
      <c r="G225" s="167">
        <v>0</v>
      </c>
      <c r="H225" s="167">
        <v>0</v>
      </c>
      <c r="I225" s="167">
        <v>0</v>
      </c>
      <c r="J225" s="167">
        <v>0</v>
      </c>
      <c r="K225" s="167">
        <v>0</v>
      </c>
      <c r="L225" s="167">
        <v>0</v>
      </c>
      <c r="M225" s="167">
        <v>0</v>
      </c>
      <c r="N225" s="167">
        <v>0</v>
      </c>
      <c r="O225" s="167">
        <v>0</v>
      </c>
      <c r="P225" s="167">
        <v>0</v>
      </c>
      <c r="Q225" s="167">
        <v>0</v>
      </c>
      <c r="R225" s="167">
        <v>0</v>
      </c>
      <c r="S225" s="167">
        <v>0</v>
      </c>
      <c r="T225" s="167">
        <v>0</v>
      </c>
      <c r="U225" s="168" t="e">
        <v>#DIV/0!</v>
      </c>
      <c r="V225" s="167">
        <v>0</v>
      </c>
      <c r="W225" s="167">
        <v>0</v>
      </c>
      <c r="X225" s="167">
        <v>0</v>
      </c>
      <c r="Y225" s="167">
        <v>0</v>
      </c>
      <c r="Z225" s="167">
        <v>0</v>
      </c>
      <c r="AA225" s="167">
        <v>0</v>
      </c>
    </row>
    <row r="226" spans="1:27" ht="12" customHeight="1" x14ac:dyDescent="0.25">
      <c r="A226" s="155" t="s">
        <v>1305</v>
      </c>
      <c r="B226" s="155" t="s">
        <v>614</v>
      </c>
      <c r="C226" s="167">
        <v>0</v>
      </c>
      <c r="D226" s="167">
        <v>0</v>
      </c>
      <c r="E226" s="167">
        <v>0</v>
      </c>
      <c r="F226" s="167">
        <v>0</v>
      </c>
      <c r="G226" s="167">
        <v>0</v>
      </c>
      <c r="H226" s="167">
        <v>0</v>
      </c>
      <c r="I226" s="167">
        <v>0</v>
      </c>
      <c r="J226" s="167">
        <v>0</v>
      </c>
      <c r="K226" s="167">
        <v>0</v>
      </c>
      <c r="L226" s="167">
        <v>0</v>
      </c>
      <c r="M226" s="167">
        <v>0</v>
      </c>
      <c r="N226" s="167">
        <v>0</v>
      </c>
      <c r="O226" s="167">
        <v>0</v>
      </c>
      <c r="P226" s="167">
        <v>0</v>
      </c>
      <c r="Q226" s="167">
        <v>0</v>
      </c>
      <c r="R226" s="167">
        <v>0</v>
      </c>
      <c r="S226" s="167">
        <v>0</v>
      </c>
      <c r="T226" s="167">
        <v>0</v>
      </c>
      <c r="U226" s="168" t="e">
        <v>#DIV/0!</v>
      </c>
      <c r="V226" s="167">
        <v>0</v>
      </c>
      <c r="W226" s="167">
        <v>0</v>
      </c>
      <c r="X226" s="167">
        <v>0</v>
      </c>
      <c r="Y226" s="167">
        <v>0</v>
      </c>
      <c r="Z226" s="167">
        <v>0</v>
      </c>
      <c r="AA226" s="167">
        <v>0</v>
      </c>
    </row>
    <row r="227" spans="1:27" ht="12" customHeight="1" x14ac:dyDescent="0.25">
      <c r="A227" s="155" t="s">
        <v>1306</v>
      </c>
      <c r="B227" s="155" t="s">
        <v>615</v>
      </c>
      <c r="C227" s="167">
        <v>0</v>
      </c>
      <c r="D227" s="167">
        <v>0</v>
      </c>
      <c r="E227" s="167">
        <v>0</v>
      </c>
      <c r="F227" s="167">
        <v>0</v>
      </c>
      <c r="G227" s="167">
        <v>0</v>
      </c>
      <c r="H227" s="167">
        <v>0</v>
      </c>
      <c r="I227" s="167">
        <v>0</v>
      </c>
      <c r="J227" s="167">
        <v>0</v>
      </c>
      <c r="K227" s="167">
        <v>0</v>
      </c>
      <c r="L227" s="167">
        <v>0</v>
      </c>
      <c r="M227" s="167">
        <v>0</v>
      </c>
      <c r="N227" s="167">
        <v>0</v>
      </c>
      <c r="O227" s="167">
        <v>0</v>
      </c>
      <c r="P227" s="167">
        <v>0</v>
      </c>
      <c r="Q227" s="167">
        <v>0</v>
      </c>
      <c r="R227" s="167">
        <v>0</v>
      </c>
      <c r="S227" s="167">
        <v>0</v>
      </c>
      <c r="T227" s="167">
        <v>0</v>
      </c>
      <c r="U227" s="168" t="e">
        <v>#DIV/0!</v>
      </c>
      <c r="V227" s="167">
        <v>0</v>
      </c>
      <c r="W227" s="167">
        <v>0</v>
      </c>
      <c r="X227" s="167">
        <v>0</v>
      </c>
      <c r="Y227" s="167">
        <v>0</v>
      </c>
      <c r="Z227" s="167">
        <v>0</v>
      </c>
      <c r="AA227" s="167">
        <v>0</v>
      </c>
    </row>
    <row r="228" spans="1:27" ht="12" customHeight="1" x14ac:dyDescent="0.25">
      <c r="A228" s="155" t="s">
        <v>1307</v>
      </c>
      <c r="B228" s="155" t="s">
        <v>616</v>
      </c>
      <c r="C228" s="167">
        <v>0</v>
      </c>
      <c r="D228" s="167">
        <v>0</v>
      </c>
      <c r="E228" s="167">
        <v>0</v>
      </c>
      <c r="F228" s="167">
        <v>0</v>
      </c>
      <c r="G228" s="167">
        <v>0</v>
      </c>
      <c r="H228" s="167">
        <v>0</v>
      </c>
      <c r="I228" s="167">
        <v>0</v>
      </c>
      <c r="J228" s="167">
        <v>0</v>
      </c>
      <c r="K228" s="167">
        <v>0</v>
      </c>
      <c r="L228" s="167">
        <v>0</v>
      </c>
      <c r="M228" s="167">
        <v>0</v>
      </c>
      <c r="N228" s="167">
        <v>0</v>
      </c>
      <c r="O228" s="167">
        <v>0</v>
      </c>
      <c r="P228" s="167">
        <v>0</v>
      </c>
      <c r="Q228" s="167">
        <v>0</v>
      </c>
      <c r="R228" s="167">
        <v>0</v>
      </c>
      <c r="S228" s="167">
        <v>0</v>
      </c>
      <c r="T228" s="167">
        <v>0</v>
      </c>
      <c r="U228" s="168" t="e">
        <v>#DIV/0!</v>
      </c>
      <c r="V228" s="167">
        <v>0</v>
      </c>
      <c r="W228" s="167">
        <v>0</v>
      </c>
      <c r="X228" s="167">
        <v>0</v>
      </c>
      <c r="Y228" s="167">
        <v>0</v>
      </c>
      <c r="Z228" s="167">
        <v>0</v>
      </c>
      <c r="AA228" s="167">
        <v>0</v>
      </c>
    </row>
    <row r="229" spans="1:27" ht="12" customHeight="1" x14ac:dyDescent="0.25">
      <c r="A229" s="155" t="s">
        <v>1308</v>
      </c>
      <c r="B229" s="155" t="s">
        <v>617</v>
      </c>
      <c r="C229" s="167">
        <v>0</v>
      </c>
      <c r="D229" s="167">
        <v>0</v>
      </c>
      <c r="E229" s="167">
        <v>0</v>
      </c>
      <c r="F229" s="167">
        <v>0</v>
      </c>
      <c r="G229" s="167">
        <v>0</v>
      </c>
      <c r="H229" s="167">
        <v>0</v>
      </c>
      <c r="I229" s="167">
        <v>0</v>
      </c>
      <c r="J229" s="167">
        <v>0</v>
      </c>
      <c r="K229" s="167">
        <v>0</v>
      </c>
      <c r="L229" s="167">
        <v>0</v>
      </c>
      <c r="M229" s="167">
        <v>0</v>
      </c>
      <c r="N229" s="167">
        <v>0</v>
      </c>
      <c r="O229" s="167">
        <v>0</v>
      </c>
      <c r="P229" s="167">
        <v>0</v>
      </c>
      <c r="Q229" s="167">
        <v>0</v>
      </c>
      <c r="R229" s="167">
        <v>0</v>
      </c>
      <c r="S229" s="167">
        <v>0</v>
      </c>
      <c r="T229" s="167">
        <v>0</v>
      </c>
      <c r="U229" s="168" t="e">
        <v>#DIV/0!</v>
      </c>
      <c r="V229" s="167">
        <v>0</v>
      </c>
      <c r="W229" s="167">
        <v>0</v>
      </c>
      <c r="X229" s="167">
        <v>0</v>
      </c>
      <c r="Y229" s="167">
        <v>0</v>
      </c>
      <c r="Z229" s="167">
        <v>0</v>
      </c>
      <c r="AA229" s="167">
        <v>0</v>
      </c>
    </row>
    <row r="230" spans="1:27" ht="12" customHeight="1" x14ac:dyDescent="0.25">
      <c r="A230" s="155" t="s">
        <v>1309</v>
      </c>
      <c r="B230" s="155" t="s">
        <v>618</v>
      </c>
      <c r="C230" s="167">
        <v>0</v>
      </c>
      <c r="D230" s="167">
        <v>0</v>
      </c>
      <c r="E230" s="167">
        <v>0</v>
      </c>
      <c r="F230" s="167">
        <v>0</v>
      </c>
      <c r="G230" s="167">
        <v>0</v>
      </c>
      <c r="H230" s="167">
        <v>0</v>
      </c>
      <c r="I230" s="167">
        <v>0</v>
      </c>
      <c r="J230" s="167">
        <v>0</v>
      </c>
      <c r="K230" s="167">
        <v>0</v>
      </c>
      <c r="L230" s="167">
        <v>0</v>
      </c>
      <c r="M230" s="167">
        <v>0</v>
      </c>
      <c r="N230" s="167">
        <v>0</v>
      </c>
      <c r="O230" s="167">
        <v>0</v>
      </c>
      <c r="P230" s="167">
        <v>0</v>
      </c>
      <c r="Q230" s="167">
        <v>0</v>
      </c>
      <c r="R230" s="167">
        <v>0</v>
      </c>
      <c r="S230" s="167">
        <v>0</v>
      </c>
      <c r="T230" s="167">
        <v>0</v>
      </c>
      <c r="U230" s="168" t="e">
        <v>#DIV/0!</v>
      </c>
      <c r="V230" s="167">
        <v>0</v>
      </c>
      <c r="W230" s="167">
        <v>0</v>
      </c>
      <c r="X230" s="167">
        <v>0</v>
      </c>
      <c r="Y230" s="167">
        <v>0</v>
      </c>
      <c r="Z230" s="167">
        <v>0</v>
      </c>
      <c r="AA230" s="167">
        <v>0</v>
      </c>
    </row>
    <row r="231" spans="1:27" ht="12" customHeight="1" x14ac:dyDescent="0.25">
      <c r="A231" s="155" t="s">
        <v>1310</v>
      </c>
      <c r="B231" s="155" t="s">
        <v>619</v>
      </c>
      <c r="C231" s="167">
        <v>0</v>
      </c>
      <c r="D231" s="167">
        <v>0</v>
      </c>
      <c r="E231" s="167">
        <v>0</v>
      </c>
      <c r="F231" s="167">
        <v>0</v>
      </c>
      <c r="G231" s="167">
        <v>0</v>
      </c>
      <c r="H231" s="167">
        <v>0</v>
      </c>
      <c r="I231" s="167">
        <v>0</v>
      </c>
      <c r="J231" s="167">
        <v>0</v>
      </c>
      <c r="K231" s="167">
        <v>0</v>
      </c>
      <c r="L231" s="167">
        <v>0</v>
      </c>
      <c r="M231" s="167">
        <v>0</v>
      </c>
      <c r="N231" s="167">
        <v>0</v>
      </c>
      <c r="O231" s="167">
        <v>0</v>
      </c>
      <c r="P231" s="167">
        <v>0</v>
      </c>
      <c r="Q231" s="167">
        <v>0</v>
      </c>
      <c r="R231" s="167">
        <v>0</v>
      </c>
      <c r="S231" s="167">
        <v>0</v>
      </c>
      <c r="T231" s="167">
        <v>0</v>
      </c>
      <c r="U231" s="168" t="e">
        <v>#DIV/0!</v>
      </c>
      <c r="V231" s="167">
        <v>0</v>
      </c>
      <c r="W231" s="167">
        <v>0</v>
      </c>
      <c r="X231" s="167">
        <v>0</v>
      </c>
      <c r="Y231" s="167">
        <v>0</v>
      </c>
      <c r="Z231" s="167">
        <v>0</v>
      </c>
      <c r="AA231" s="167">
        <v>0</v>
      </c>
    </row>
    <row r="232" spans="1:27" ht="12" customHeight="1" x14ac:dyDescent="0.25">
      <c r="A232" s="155" t="s">
        <v>1311</v>
      </c>
      <c r="B232" s="162" t="s">
        <v>620</v>
      </c>
      <c r="C232" s="164">
        <v>0</v>
      </c>
      <c r="D232" s="164">
        <v>0</v>
      </c>
      <c r="E232" s="164">
        <v>0</v>
      </c>
      <c r="F232" s="164">
        <v>0</v>
      </c>
      <c r="G232" s="164">
        <v>0</v>
      </c>
      <c r="H232" s="164">
        <v>0</v>
      </c>
      <c r="I232" s="164">
        <v>0</v>
      </c>
      <c r="J232" s="164">
        <v>0</v>
      </c>
      <c r="K232" s="164">
        <v>0</v>
      </c>
      <c r="L232" s="164">
        <v>0</v>
      </c>
      <c r="M232" s="164">
        <v>0</v>
      </c>
      <c r="N232" s="164">
        <v>0</v>
      </c>
      <c r="O232" s="164">
        <v>0</v>
      </c>
      <c r="P232" s="164">
        <v>0</v>
      </c>
      <c r="Q232" s="164">
        <v>0</v>
      </c>
      <c r="R232" s="164">
        <v>0</v>
      </c>
      <c r="S232" s="164">
        <v>0</v>
      </c>
      <c r="T232" s="164">
        <v>0</v>
      </c>
      <c r="U232" s="165" t="e">
        <v>#DIV/0!</v>
      </c>
      <c r="V232" s="164">
        <v>0</v>
      </c>
      <c r="W232" s="164">
        <v>0</v>
      </c>
      <c r="X232" s="164">
        <v>0</v>
      </c>
      <c r="Y232" s="164">
        <v>0</v>
      </c>
      <c r="Z232" s="164">
        <v>0</v>
      </c>
      <c r="AA232" s="164">
        <v>0</v>
      </c>
    </row>
    <row r="233" spans="1:27" ht="12" customHeight="1" x14ac:dyDescent="0.25">
      <c r="A233" s="155" t="s">
        <v>1312</v>
      </c>
      <c r="B233" s="162" t="s">
        <v>621</v>
      </c>
      <c r="C233" s="164">
        <v>0</v>
      </c>
      <c r="D233" s="164">
        <v>0</v>
      </c>
      <c r="E233" s="164">
        <v>0</v>
      </c>
      <c r="F233" s="164">
        <v>0</v>
      </c>
      <c r="G233" s="164">
        <v>0</v>
      </c>
      <c r="H233" s="164">
        <v>0</v>
      </c>
      <c r="I233" s="164">
        <v>0</v>
      </c>
      <c r="J233" s="164">
        <v>0</v>
      </c>
      <c r="K233" s="164">
        <v>0</v>
      </c>
      <c r="L233" s="164">
        <v>0</v>
      </c>
      <c r="M233" s="164">
        <v>0</v>
      </c>
      <c r="N233" s="164">
        <v>0</v>
      </c>
      <c r="O233" s="164">
        <v>0</v>
      </c>
      <c r="P233" s="164">
        <v>0</v>
      </c>
      <c r="Q233" s="164">
        <v>0</v>
      </c>
      <c r="R233" s="164">
        <v>0</v>
      </c>
      <c r="S233" s="164">
        <v>0</v>
      </c>
      <c r="T233" s="164">
        <v>0</v>
      </c>
      <c r="U233" s="165" t="e">
        <v>#DIV/0!</v>
      </c>
      <c r="V233" s="164">
        <v>0</v>
      </c>
      <c r="W233" s="164">
        <v>0</v>
      </c>
      <c r="X233" s="164">
        <v>0</v>
      </c>
      <c r="Y233" s="164">
        <v>0</v>
      </c>
      <c r="Z233" s="164">
        <v>0</v>
      </c>
      <c r="AA233" s="164">
        <v>0</v>
      </c>
    </row>
    <row r="234" spans="1:27" ht="12" customHeight="1" x14ac:dyDescent="0.25">
      <c r="A234" s="155" t="s">
        <v>1313</v>
      </c>
      <c r="B234" s="162" t="s">
        <v>622</v>
      </c>
      <c r="C234" s="164">
        <v>0</v>
      </c>
      <c r="D234" s="164">
        <v>0</v>
      </c>
      <c r="E234" s="164">
        <v>0</v>
      </c>
      <c r="F234" s="164">
        <v>0</v>
      </c>
      <c r="G234" s="164">
        <v>0</v>
      </c>
      <c r="H234" s="164">
        <v>0</v>
      </c>
      <c r="I234" s="164">
        <v>0</v>
      </c>
      <c r="J234" s="164">
        <v>0</v>
      </c>
      <c r="K234" s="164">
        <v>0</v>
      </c>
      <c r="L234" s="164">
        <v>0</v>
      </c>
      <c r="M234" s="164">
        <v>0</v>
      </c>
      <c r="N234" s="164">
        <v>0</v>
      </c>
      <c r="O234" s="164">
        <v>0</v>
      </c>
      <c r="P234" s="164">
        <v>0</v>
      </c>
      <c r="Q234" s="164">
        <v>0</v>
      </c>
      <c r="R234" s="164">
        <v>0</v>
      </c>
      <c r="S234" s="164">
        <v>0</v>
      </c>
      <c r="T234" s="164">
        <v>0</v>
      </c>
      <c r="U234" s="165" t="e">
        <v>#DIV/0!</v>
      </c>
      <c r="V234" s="164">
        <v>0</v>
      </c>
      <c r="W234" s="164">
        <v>0</v>
      </c>
      <c r="X234" s="164">
        <v>0</v>
      </c>
      <c r="Y234" s="164">
        <v>0</v>
      </c>
      <c r="Z234" s="164">
        <v>0</v>
      </c>
      <c r="AA234" s="164">
        <v>0</v>
      </c>
    </row>
    <row r="235" spans="1:27" ht="12" customHeight="1" x14ac:dyDescent="0.25">
      <c r="A235" s="155" t="s">
        <v>1314</v>
      </c>
      <c r="B235" s="162" t="s">
        <v>623</v>
      </c>
      <c r="C235" s="164">
        <v>0</v>
      </c>
      <c r="D235" s="164">
        <v>0</v>
      </c>
      <c r="E235" s="164">
        <v>0</v>
      </c>
      <c r="F235" s="164">
        <v>0</v>
      </c>
      <c r="G235" s="164">
        <v>0</v>
      </c>
      <c r="H235" s="164">
        <v>0</v>
      </c>
      <c r="I235" s="164">
        <v>0</v>
      </c>
      <c r="J235" s="164">
        <v>0</v>
      </c>
      <c r="K235" s="164">
        <v>0</v>
      </c>
      <c r="L235" s="164">
        <v>0</v>
      </c>
      <c r="M235" s="164">
        <v>0</v>
      </c>
      <c r="N235" s="164">
        <v>0</v>
      </c>
      <c r="O235" s="164">
        <v>0</v>
      </c>
      <c r="P235" s="164">
        <v>0</v>
      </c>
      <c r="Q235" s="164">
        <v>0</v>
      </c>
      <c r="R235" s="164">
        <v>0</v>
      </c>
      <c r="S235" s="164">
        <v>0</v>
      </c>
      <c r="T235" s="164">
        <v>0</v>
      </c>
      <c r="U235" s="165" t="e">
        <v>#DIV/0!</v>
      </c>
      <c r="V235" s="164">
        <v>0</v>
      </c>
      <c r="W235" s="164">
        <v>0</v>
      </c>
      <c r="X235" s="164">
        <v>0</v>
      </c>
      <c r="Y235" s="164">
        <v>0</v>
      </c>
      <c r="Z235" s="164">
        <v>0</v>
      </c>
      <c r="AA235" s="164">
        <v>0</v>
      </c>
    </row>
    <row r="236" spans="1:27" ht="12" customHeight="1" x14ac:dyDescent="0.25">
      <c r="A236" s="155"/>
      <c r="B236" s="162" t="s">
        <v>624</v>
      </c>
      <c r="C236" s="163">
        <v>0</v>
      </c>
      <c r="D236" s="163">
        <v>0</v>
      </c>
      <c r="E236" s="163">
        <v>0</v>
      </c>
      <c r="F236" s="163">
        <v>0</v>
      </c>
      <c r="G236" s="163">
        <v>0</v>
      </c>
      <c r="H236" s="163">
        <v>0</v>
      </c>
      <c r="I236" s="163">
        <v>0</v>
      </c>
      <c r="J236" s="163">
        <v>0</v>
      </c>
      <c r="K236" s="163">
        <v>0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3">
        <v>0</v>
      </c>
      <c r="R236" s="163">
        <v>0</v>
      </c>
      <c r="S236" s="163">
        <v>0</v>
      </c>
      <c r="T236" s="164">
        <v>0</v>
      </c>
      <c r="U236" s="165" t="e">
        <v>#DIV/0!</v>
      </c>
      <c r="V236" s="164">
        <v>0</v>
      </c>
      <c r="W236" s="164">
        <v>0</v>
      </c>
      <c r="X236" s="164">
        <v>0</v>
      </c>
      <c r="Y236" s="164">
        <v>0</v>
      </c>
      <c r="Z236" s="164">
        <v>0</v>
      </c>
      <c r="AA236" s="164">
        <v>0</v>
      </c>
    </row>
    <row r="237" spans="1:27" ht="12" customHeight="1" x14ac:dyDescent="0.25">
      <c r="A237" s="155"/>
      <c r="B237" s="155" t="s">
        <v>625</v>
      </c>
      <c r="C237" s="169">
        <v>0</v>
      </c>
      <c r="D237" s="169">
        <v>0</v>
      </c>
      <c r="E237" s="169">
        <v>0</v>
      </c>
      <c r="F237" s="169">
        <v>0</v>
      </c>
      <c r="G237" s="169">
        <v>0</v>
      </c>
      <c r="H237" s="169">
        <v>0</v>
      </c>
      <c r="I237" s="169">
        <v>0</v>
      </c>
      <c r="J237" s="169">
        <v>0</v>
      </c>
      <c r="K237" s="169">
        <v>0</v>
      </c>
      <c r="L237" s="169">
        <v>0</v>
      </c>
      <c r="M237" s="169">
        <v>0</v>
      </c>
      <c r="N237" s="169">
        <v>0</v>
      </c>
      <c r="O237" s="169">
        <v>0</v>
      </c>
      <c r="P237" s="169">
        <v>0</v>
      </c>
      <c r="Q237" s="169">
        <v>0</v>
      </c>
      <c r="R237" s="169">
        <v>0</v>
      </c>
      <c r="S237" s="169">
        <v>0</v>
      </c>
      <c r="T237" s="167">
        <v>0</v>
      </c>
      <c r="U237" s="168" t="e">
        <v>#DIV/0!</v>
      </c>
      <c r="V237" s="167">
        <v>0</v>
      </c>
      <c r="W237" s="167">
        <v>0</v>
      </c>
      <c r="X237" s="167">
        <v>0</v>
      </c>
      <c r="Y237" s="167">
        <v>0</v>
      </c>
      <c r="Z237" s="167">
        <v>0</v>
      </c>
      <c r="AA237" s="167">
        <v>0</v>
      </c>
    </row>
    <row r="238" spans="1:27" ht="12" customHeight="1" x14ac:dyDescent="0.25">
      <c r="A238" s="155"/>
      <c r="B238" s="166" t="s">
        <v>626</v>
      </c>
      <c r="C238" s="169">
        <v>0</v>
      </c>
      <c r="D238" s="169">
        <v>0</v>
      </c>
      <c r="E238" s="169">
        <v>0</v>
      </c>
      <c r="F238" s="169">
        <v>0</v>
      </c>
      <c r="G238" s="169">
        <v>0</v>
      </c>
      <c r="H238" s="169">
        <v>0</v>
      </c>
      <c r="I238" s="169">
        <v>0</v>
      </c>
      <c r="J238" s="169">
        <v>0</v>
      </c>
      <c r="K238" s="169">
        <v>0</v>
      </c>
      <c r="L238" s="169">
        <v>0</v>
      </c>
      <c r="M238" s="169">
        <v>0</v>
      </c>
      <c r="N238" s="169">
        <v>0</v>
      </c>
      <c r="O238" s="169">
        <v>0</v>
      </c>
      <c r="P238" s="169">
        <v>0</v>
      </c>
      <c r="Q238" s="169">
        <v>0</v>
      </c>
      <c r="R238" s="169">
        <v>0</v>
      </c>
      <c r="S238" s="169">
        <v>0</v>
      </c>
      <c r="T238" s="167">
        <v>0</v>
      </c>
      <c r="U238" s="168" t="e">
        <v>#DIV/0!</v>
      </c>
      <c r="V238" s="167">
        <v>0</v>
      </c>
      <c r="W238" s="167">
        <v>0</v>
      </c>
      <c r="X238" s="167">
        <v>0</v>
      </c>
      <c r="Y238" s="167">
        <v>0</v>
      </c>
      <c r="Z238" s="167">
        <v>0</v>
      </c>
      <c r="AA238" s="167">
        <v>0</v>
      </c>
    </row>
    <row r="239" spans="1:27" ht="12" customHeight="1" x14ac:dyDescent="0.25">
      <c r="A239" s="155" t="s">
        <v>1315</v>
      </c>
      <c r="B239" s="170" t="s">
        <v>627</v>
      </c>
      <c r="C239" s="167">
        <v>0</v>
      </c>
      <c r="D239" s="167">
        <v>0</v>
      </c>
      <c r="E239" s="167">
        <v>0</v>
      </c>
      <c r="F239" s="167">
        <v>0</v>
      </c>
      <c r="G239" s="167">
        <v>0</v>
      </c>
      <c r="H239" s="167">
        <v>0</v>
      </c>
      <c r="I239" s="167">
        <v>0</v>
      </c>
      <c r="J239" s="167">
        <v>0</v>
      </c>
      <c r="K239" s="167">
        <v>0</v>
      </c>
      <c r="L239" s="167">
        <v>0</v>
      </c>
      <c r="M239" s="167">
        <v>0</v>
      </c>
      <c r="N239" s="167">
        <v>0</v>
      </c>
      <c r="O239" s="167">
        <v>0</v>
      </c>
      <c r="P239" s="167">
        <v>0</v>
      </c>
      <c r="Q239" s="167">
        <v>0</v>
      </c>
      <c r="R239" s="167">
        <v>0</v>
      </c>
      <c r="S239" s="167">
        <v>0</v>
      </c>
      <c r="T239" s="167">
        <v>0</v>
      </c>
      <c r="U239" s="168" t="e">
        <v>#DIV/0!</v>
      </c>
      <c r="V239" s="167">
        <v>0</v>
      </c>
      <c r="W239" s="167">
        <v>0</v>
      </c>
      <c r="X239" s="167">
        <v>0</v>
      </c>
      <c r="Y239" s="167">
        <v>0</v>
      </c>
      <c r="Z239" s="167">
        <v>0</v>
      </c>
      <c r="AA239" s="167">
        <v>0</v>
      </c>
    </row>
    <row r="240" spans="1:27" ht="12" customHeight="1" x14ac:dyDescent="0.25">
      <c r="A240" s="155" t="s">
        <v>1316</v>
      </c>
      <c r="B240" s="170" t="s">
        <v>628</v>
      </c>
      <c r="C240" s="167">
        <v>0</v>
      </c>
      <c r="D240" s="167">
        <v>0</v>
      </c>
      <c r="E240" s="167">
        <v>0</v>
      </c>
      <c r="F240" s="167">
        <v>0</v>
      </c>
      <c r="G240" s="167">
        <v>0</v>
      </c>
      <c r="H240" s="167">
        <v>0</v>
      </c>
      <c r="I240" s="167">
        <v>0</v>
      </c>
      <c r="J240" s="167">
        <v>0</v>
      </c>
      <c r="K240" s="167">
        <v>0</v>
      </c>
      <c r="L240" s="167">
        <v>0</v>
      </c>
      <c r="M240" s="167">
        <v>0</v>
      </c>
      <c r="N240" s="167">
        <v>0</v>
      </c>
      <c r="O240" s="167">
        <v>0</v>
      </c>
      <c r="P240" s="167">
        <v>0</v>
      </c>
      <c r="Q240" s="167">
        <v>0</v>
      </c>
      <c r="R240" s="167">
        <v>0</v>
      </c>
      <c r="S240" s="167">
        <v>0</v>
      </c>
      <c r="T240" s="167">
        <v>0</v>
      </c>
      <c r="U240" s="168" t="e">
        <v>#DIV/0!</v>
      </c>
      <c r="V240" s="167">
        <v>0</v>
      </c>
      <c r="W240" s="167">
        <v>0</v>
      </c>
      <c r="X240" s="167">
        <v>0</v>
      </c>
      <c r="Y240" s="167">
        <v>0</v>
      </c>
      <c r="Z240" s="167">
        <v>0</v>
      </c>
      <c r="AA240" s="167">
        <v>0</v>
      </c>
    </row>
    <row r="241" spans="1:27" ht="12" customHeight="1" x14ac:dyDescent="0.25">
      <c r="A241" s="155"/>
      <c r="B241" s="166" t="s">
        <v>1317</v>
      </c>
      <c r="C241" s="167">
        <v>0</v>
      </c>
      <c r="D241" s="167">
        <v>0</v>
      </c>
      <c r="E241" s="167">
        <v>0</v>
      </c>
      <c r="F241" s="167">
        <v>0</v>
      </c>
      <c r="G241" s="167">
        <v>0</v>
      </c>
      <c r="H241" s="167">
        <v>0</v>
      </c>
      <c r="I241" s="167">
        <v>0</v>
      </c>
      <c r="J241" s="167">
        <v>0</v>
      </c>
      <c r="K241" s="167">
        <v>0</v>
      </c>
      <c r="L241" s="167">
        <v>0</v>
      </c>
      <c r="M241" s="167">
        <v>0</v>
      </c>
      <c r="N241" s="167">
        <v>0</v>
      </c>
      <c r="O241" s="167">
        <v>0</v>
      </c>
      <c r="P241" s="167">
        <v>0</v>
      </c>
      <c r="Q241" s="167">
        <v>0</v>
      </c>
      <c r="R241" s="167">
        <v>0</v>
      </c>
      <c r="S241" s="167">
        <v>0</v>
      </c>
      <c r="T241" s="167">
        <v>0</v>
      </c>
      <c r="U241" s="168" t="e">
        <v>#DIV/0!</v>
      </c>
      <c r="V241" s="167">
        <v>0</v>
      </c>
      <c r="W241" s="167">
        <v>0</v>
      </c>
      <c r="X241" s="167">
        <v>0</v>
      </c>
      <c r="Y241" s="167">
        <v>0</v>
      </c>
      <c r="Z241" s="167">
        <v>0</v>
      </c>
      <c r="AA241" s="167">
        <v>0</v>
      </c>
    </row>
    <row r="242" spans="1:27" ht="12" customHeight="1" x14ac:dyDescent="0.25">
      <c r="A242" s="155" t="s">
        <v>1318</v>
      </c>
      <c r="B242" s="170" t="s">
        <v>1319</v>
      </c>
      <c r="C242" s="167">
        <v>0</v>
      </c>
      <c r="D242" s="167">
        <v>0</v>
      </c>
      <c r="E242" s="167">
        <v>0</v>
      </c>
      <c r="F242" s="167">
        <v>0</v>
      </c>
      <c r="G242" s="167">
        <v>0</v>
      </c>
      <c r="H242" s="167">
        <v>0</v>
      </c>
      <c r="I242" s="167">
        <v>0</v>
      </c>
      <c r="J242" s="167">
        <v>0</v>
      </c>
      <c r="K242" s="167">
        <v>0</v>
      </c>
      <c r="L242" s="167">
        <v>0</v>
      </c>
      <c r="M242" s="167">
        <v>0</v>
      </c>
      <c r="N242" s="167">
        <v>0</v>
      </c>
      <c r="O242" s="167">
        <v>0</v>
      </c>
      <c r="P242" s="167">
        <v>0</v>
      </c>
      <c r="Q242" s="167">
        <v>0</v>
      </c>
      <c r="R242" s="167">
        <v>0</v>
      </c>
      <c r="S242" s="167">
        <v>0</v>
      </c>
      <c r="T242" s="167">
        <v>0</v>
      </c>
      <c r="U242" s="168" t="e">
        <v>#DIV/0!</v>
      </c>
      <c r="V242" s="167">
        <v>0</v>
      </c>
      <c r="W242" s="167">
        <v>0</v>
      </c>
      <c r="X242" s="167">
        <v>0</v>
      </c>
      <c r="Y242" s="167">
        <v>0</v>
      </c>
      <c r="Z242" s="167">
        <v>0</v>
      </c>
      <c r="AA242" s="167">
        <v>0</v>
      </c>
    </row>
    <row r="243" spans="1:27" ht="12" customHeight="1" x14ac:dyDescent="0.25">
      <c r="A243" s="155" t="s">
        <v>1320</v>
      </c>
      <c r="B243" s="170" t="s">
        <v>1321</v>
      </c>
      <c r="C243" s="167">
        <v>0</v>
      </c>
      <c r="D243" s="167">
        <v>0</v>
      </c>
      <c r="E243" s="167">
        <v>0</v>
      </c>
      <c r="F243" s="167">
        <v>0</v>
      </c>
      <c r="G243" s="167">
        <v>0</v>
      </c>
      <c r="H243" s="167">
        <v>0</v>
      </c>
      <c r="I243" s="167">
        <v>0</v>
      </c>
      <c r="J243" s="167">
        <v>0</v>
      </c>
      <c r="K243" s="167">
        <v>0</v>
      </c>
      <c r="L243" s="167">
        <v>0</v>
      </c>
      <c r="M243" s="167">
        <v>0</v>
      </c>
      <c r="N243" s="167">
        <v>0</v>
      </c>
      <c r="O243" s="167">
        <v>0</v>
      </c>
      <c r="P243" s="167">
        <v>0</v>
      </c>
      <c r="Q243" s="167">
        <v>0</v>
      </c>
      <c r="R243" s="167">
        <v>0</v>
      </c>
      <c r="S243" s="167">
        <v>0</v>
      </c>
      <c r="T243" s="167">
        <v>0</v>
      </c>
      <c r="U243" s="168" t="e">
        <v>#DIV/0!</v>
      </c>
      <c r="V243" s="167">
        <v>0</v>
      </c>
      <c r="W243" s="167">
        <v>0</v>
      </c>
      <c r="X243" s="167">
        <v>0</v>
      </c>
      <c r="Y243" s="167">
        <v>0</v>
      </c>
      <c r="Z243" s="167">
        <v>0</v>
      </c>
      <c r="AA243" s="167">
        <v>0</v>
      </c>
    </row>
    <row r="244" spans="1:27" ht="12" customHeight="1" x14ac:dyDescent="0.25">
      <c r="A244" s="155" t="s">
        <v>1322</v>
      </c>
      <c r="B244" s="166" t="s">
        <v>629</v>
      </c>
      <c r="C244" s="167">
        <v>0</v>
      </c>
      <c r="D244" s="167">
        <v>0</v>
      </c>
      <c r="E244" s="167">
        <v>0</v>
      </c>
      <c r="F244" s="167">
        <v>0</v>
      </c>
      <c r="G244" s="167">
        <v>0</v>
      </c>
      <c r="H244" s="167">
        <v>0</v>
      </c>
      <c r="I244" s="167">
        <v>0</v>
      </c>
      <c r="J244" s="167">
        <v>0</v>
      </c>
      <c r="K244" s="167">
        <v>0</v>
      </c>
      <c r="L244" s="167">
        <v>0</v>
      </c>
      <c r="M244" s="167">
        <v>0</v>
      </c>
      <c r="N244" s="167">
        <v>0</v>
      </c>
      <c r="O244" s="167">
        <v>0</v>
      </c>
      <c r="P244" s="167">
        <v>0</v>
      </c>
      <c r="Q244" s="167">
        <v>0</v>
      </c>
      <c r="R244" s="167">
        <v>0</v>
      </c>
      <c r="S244" s="167">
        <v>0</v>
      </c>
      <c r="T244" s="167">
        <v>0</v>
      </c>
      <c r="U244" s="168" t="e">
        <v>#DIV/0!</v>
      </c>
      <c r="V244" s="167">
        <v>0</v>
      </c>
      <c r="W244" s="167">
        <v>0</v>
      </c>
      <c r="X244" s="167">
        <v>0</v>
      </c>
      <c r="Y244" s="167">
        <v>0</v>
      </c>
      <c r="Z244" s="167">
        <v>0</v>
      </c>
      <c r="AA244" s="167">
        <v>0</v>
      </c>
    </row>
    <row r="245" spans="1:27" ht="12" customHeight="1" x14ac:dyDescent="0.25">
      <c r="A245" s="155" t="s">
        <v>1323</v>
      </c>
      <c r="B245" s="166" t="s">
        <v>630</v>
      </c>
      <c r="C245" s="167">
        <v>0</v>
      </c>
      <c r="D245" s="167">
        <v>0</v>
      </c>
      <c r="E245" s="167">
        <v>0</v>
      </c>
      <c r="F245" s="167">
        <v>0</v>
      </c>
      <c r="G245" s="167">
        <v>0</v>
      </c>
      <c r="H245" s="167">
        <v>0</v>
      </c>
      <c r="I245" s="167">
        <v>0</v>
      </c>
      <c r="J245" s="167">
        <v>0</v>
      </c>
      <c r="K245" s="167">
        <v>0</v>
      </c>
      <c r="L245" s="167">
        <v>0</v>
      </c>
      <c r="M245" s="167">
        <v>0</v>
      </c>
      <c r="N245" s="167">
        <v>0</v>
      </c>
      <c r="O245" s="167">
        <v>0</v>
      </c>
      <c r="P245" s="167">
        <v>0</v>
      </c>
      <c r="Q245" s="167">
        <v>0</v>
      </c>
      <c r="R245" s="167">
        <v>0</v>
      </c>
      <c r="S245" s="167">
        <v>0</v>
      </c>
      <c r="T245" s="167">
        <v>0</v>
      </c>
      <c r="U245" s="168" t="e">
        <v>#DIV/0!</v>
      </c>
      <c r="V245" s="167">
        <v>0</v>
      </c>
      <c r="W245" s="167">
        <v>0</v>
      </c>
      <c r="X245" s="167">
        <v>0</v>
      </c>
      <c r="Y245" s="167">
        <v>0</v>
      </c>
      <c r="Z245" s="167">
        <v>0</v>
      </c>
      <c r="AA245" s="167">
        <v>0</v>
      </c>
    </row>
    <row r="246" spans="1:27" ht="12" customHeight="1" x14ac:dyDescent="0.25">
      <c r="A246" s="155" t="s">
        <v>1324</v>
      </c>
      <c r="B246" s="155" t="s">
        <v>631</v>
      </c>
      <c r="C246" s="167">
        <v>0</v>
      </c>
      <c r="D246" s="167">
        <v>0</v>
      </c>
      <c r="E246" s="167">
        <v>0</v>
      </c>
      <c r="F246" s="167">
        <v>0</v>
      </c>
      <c r="G246" s="167">
        <v>0</v>
      </c>
      <c r="H246" s="167">
        <v>0</v>
      </c>
      <c r="I246" s="167">
        <v>0</v>
      </c>
      <c r="J246" s="167">
        <v>0</v>
      </c>
      <c r="K246" s="167">
        <v>0</v>
      </c>
      <c r="L246" s="167">
        <v>0</v>
      </c>
      <c r="M246" s="167">
        <v>0</v>
      </c>
      <c r="N246" s="167">
        <v>0</v>
      </c>
      <c r="O246" s="167">
        <v>0</v>
      </c>
      <c r="P246" s="167">
        <v>0</v>
      </c>
      <c r="Q246" s="167">
        <v>0</v>
      </c>
      <c r="R246" s="167">
        <v>0</v>
      </c>
      <c r="S246" s="167">
        <v>0</v>
      </c>
      <c r="T246" s="167">
        <v>0</v>
      </c>
      <c r="U246" s="168" t="e">
        <v>#DIV/0!</v>
      </c>
      <c r="V246" s="167">
        <v>0</v>
      </c>
      <c r="W246" s="167">
        <v>0</v>
      </c>
      <c r="X246" s="167">
        <v>0</v>
      </c>
      <c r="Y246" s="167">
        <v>0</v>
      </c>
      <c r="Z246" s="167">
        <v>0</v>
      </c>
      <c r="AA246" s="167">
        <v>0</v>
      </c>
    </row>
    <row r="247" spans="1:27" ht="12" customHeight="1" x14ac:dyDescent="0.25">
      <c r="A247" s="155" t="s">
        <v>1325</v>
      </c>
      <c r="B247" s="155" t="s">
        <v>632</v>
      </c>
      <c r="C247" s="167">
        <v>0</v>
      </c>
      <c r="D247" s="167">
        <v>0</v>
      </c>
      <c r="E247" s="167">
        <v>0</v>
      </c>
      <c r="F247" s="167">
        <v>0</v>
      </c>
      <c r="G247" s="167">
        <v>0</v>
      </c>
      <c r="H247" s="167">
        <v>0</v>
      </c>
      <c r="I247" s="167">
        <v>0</v>
      </c>
      <c r="J247" s="167">
        <v>0</v>
      </c>
      <c r="K247" s="167">
        <v>0</v>
      </c>
      <c r="L247" s="167">
        <v>0</v>
      </c>
      <c r="M247" s="167">
        <v>0</v>
      </c>
      <c r="N247" s="167">
        <v>0</v>
      </c>
      <c r="O247" s="167">
        <v>0</v>
      </c>
      <c r="P247" s="167">
        <v>0</v>
      </c>
      <c r="Q247" s="167">
        <v>0</v>
      </c>
      <c r="R247" s="167">
        <v>0</v>
      </c>
      <c r="S247" s="167">
        <v>0</v>
      </c>
      <c r="T247" s="167">
        <v>0</v>
      </c>
      <c r="U247" s="168" t="e">
        <v>#DIV/0!</v>
      </c>
      <c r="V247" s="167">
        <v>0</v>
      </c>
      <c r="W247" s="167">
        <v>0</v>
      </c>
      <c r="X247" s="167">
        <v>0</v>
      </c>
      <c r="Y247" s="167">
        <v>0</v>
      </c>
      <c r="Z247" s="167">
        <v>0</v>
      </c>
      <c r="AA247" s="167">
        <v>0</v>
      </c>
    </row>
    <row r="248" spans="1:27" ht="12" customHeight="1" x14ac:dyDescent="0.25">
      <c r="A248" s="155" t="s">
        <v>1326</v>
      </c>
      <c r="B248" s="155" t="s">
        <v>633</v>
      </c>
      <c r="C248" s="167">
        <v>0</v>
      </c>
      <c r="D248" s="167">
        <v>0</v>
      </c>
      <c r="E248" s="167">
        <v>0</v>
      </c>
      <c r="F248" s="167">
        <v>0</v>
      </c>
      <c r="G248" s="167">
        <v>0</v>
      </c>
      <c r="H248" s="167">
        <v>0</v>
      </c>
      <c r="I248" s="167">
        <v>0</v>
      </c>
      <c r="J248" s="167">
        <v>0</v>
      </c>
      <c r="K248" s="167">
        <v>0</v>
      </c>
      <c r="L248" s="167">
        <v>0</v>
      </c>
      <c r="M248" s="167">
        <v>0</v>
      </c>
      <c r="N248" s="167">
        <v>0</v>
      </c>
      <c r="O248" s="167">
        <v>0</v>
      </c>
      <c r="P248" s="167">
        <v>0</v>
      </c>
      <c r="Q248" s="167">
        <v>0</v>
      </c>
      <c r="R248" s="167">
        <v>0</v>
      </c>
      <c r="S248" s="167">
        <v>0</v>
      </c>
      <c r="T248" s="167">
        <v>0</v>
      </c>
      <c r="U248" s="168" t="e">
        <v>#DIV/0!</v>
      </c>
      <c r="V248" s="167">
        <v>0</v>
      </c>
      <c r="W248" s="167">
        <v>0</v>
      </c>
      <c r="X248" s="167">
        <v>0</v>
      </c>
      <c r="Y248" s="167">
        <v>0</v>
      </c>
      <c r="Z248" s="167">
        <v>0</v>
      </c>
      <c r="AA248" s="167">
        <v>0</v>
      </c>
    </row>
    <row r="249" spans="1:27" ht="12" customHeight="1" x14ac:dyDescent="0.25">
      <c r="A249" s="155" t="s">
        <v>1327</v>
      </c>
      <c r="B249" s="155" t="s">
        <v>634</v>
      </c>
      <c r="C249" s="167">
        <v>0</v>
      </c>
      <c r="D249" s="167">
        <v>0</v>
      </c>
      <c r="E249" s="167">
        <v>0</v>
      </c>
      <c r="F249" s="167">
        <v>0</v>
      </c>
      <c r="G249" s="167">
        <v>0</v>
      </c>
      <c r="H249" s="167">
        <v>0</v>
      </c>
      <c r="I249" s="167">
        <v>0</v>
      </c>
      <c r="J249" s="167">
        <v>0</v>
      </c>
      <c r="K249" s="167">
        <v>0</v>
      </c>
      <c r="L249" s="167">
        <v>0</v>
      </c>
      <c r="M249" s="167">
        <v>0</v>
      </c>
      <c r="N249" s="167">
        <v>0</v>
      </c>
      <c r="O249" s="167">
        <v>0</v>
      </c>
      <c r="P249" s="167">
        <v>0</v>
      </c>
      <c r="Q249" s="167">
        <v>0</v>
      </c>
      <c r="R249" s="167">
        <v>0</v>
      </c>
      <c r="S249" s="167">
        <v>0</v>
      </c>
      <c r="T249" s="167">
        <v>0</v>
      </c>
      <c r="U249" s="168" t="e">
        <v>#DIV/0!</v>
      </c>
      <c r="V249" s="167">
        <v>0</v>
      </c>
      <c r="W249" s="167">
        <v>0</v>
      </c>
      <c r="X249" s="167">
        <v>0</v>
      </c>
      <c r="Y249" s="167">
        <v>0</v>
      </c>
      <c r="Z249" s="167">
        <v>0</v>
      </c>
      <c r="AA249" s="167">
        <v>0</v>
      </c>
    </row>
    <row r="250" spans="1:27" ht="12" customHeight="1" x14ac:dyDescent="0.25">
      <c r="A250" s="155" t="s">
        <v>1328</v>
      </c>
      <c r="B250" s="155" t="s">
        <v>635</v>
      </c>
      <c r="C250" s="167">
        <v>0</v>
      </c>
      <c r="D250" s="167">
        <v>0</v>
      </c>
      <c r="E250" s="167">
        <v>0</v>
      </c>
      <c r="F250" s="167">
        <v>0</v>
      </c>
      <c r="G250" s="167">
        <v>0</v>
      </c>
      <c r="H250" s="167">
        <v>0</v>
      </c>
      <c r="I250" s="167">
        <v>0</v>
      </c>
      <c r="J250" s="167">
        <v>0</v>
      </c>
      <c r="K250" s="167">
        <v>0</v>
      </c>
      <c r="L250" s="167">
        <v>0</v>
      </c>
      <c r="M250" s="167">
        <v>0</v>
      </c>
      <c r="N250" s="167">
        <v>0</v>
      </c>
      <c r="O250" s="167">
        <v>0</v>
      </c>
      <c r="P250" s="167">
        <v>0</v>
      </c>
      <c r="Q250" s="167">
        <v>0</v>
      </c>
      <c r="R250" s="167">
        <v>0</v>
      </c>
      <c r="S250" s="167">
        <v>0</v>
      </c>
      <c r="T250" s="167">
        <v>0</v>
      </c>
      <c r="U250" s="168" t="e">
        <v>#DIV/0!</v>
      </c>
      <c r="V250" s="167">
        <v>0</v>
      </c>
      <c r="W250" s="167">
        <v>0</v>
      </c>
      <c r="X250" s="167">
        <v>0</v>
      </c>
      <c r="Y250" s="167">
        <v>0</v>
      </c>
      <c r="Z250" s="167">
        <v>0</v>
      </c>
      <c r="AA250" s="167">
        <v>0</v>
      </c>
    </row>
    <row r="251" spans="1:27" ht="12" customHeight="1" x14ac:dyDescent="0.25">
      <c r="A251" s="155"/>
      <c r="B251" s="162" t="s">
        <v>636</v>
      </c>
      <c r="C251" s="163">
        <v>0</v>
      </c>
      <c r="D251" s="163">
        <v>0</v>
      </c>
      <c r="E251" s="163">
        <v>0</v>
      </c>
      <c r="F251" s="163">
        <v>0</v>
      </c>
      <c r="G251" s="163">
        <v>0</v>
      </c>
      <c r="H251" s="163">
        <v>0</v>
      </c>
      <c r="I251" s="163">
        <v>0</v>
      </c>
      <c r="J251" s="163">
        <v>0</v>
      </c>
      <c r="K251" s="163">
        <v>0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3">
        <v>0</v>
      </c>
      <c r="R251" s="163">
        <v>0</v>
      </c>
      <c r="S251" s="163">
        <v>0</v>
      </c>
      <c r="T251" s="164">
        <v>0</v>
      </c>
      <c r="U251" s="165" t="e">
        <v>#DIV/0!</v>
      </c>
      <c r="V251" s="164">
        <v>0</v>
      </c>
      <c r="W251" s="164">
        <v>0</v>
      </c>
      <c r="X251" s="164">
        <v>0</v>
      </c>
      <c r="Y251" s="164">
        <v>0</v>
      </c>
      <c r="Z251" s="164">
        <v>0</v>
      </c>
      <c r="AA251" s="164">
        <v>0</v>
      </c>
    </row>
    <row r="252" spans="1:27" ht="12" customHeight="1" x14ac:dyDescent="0.25">
      <c r="A252" s="155" t="s">
        <v>1329</v>
      </c>
      <c r="B252" s="155" t="s">
        <v>637</v>
      </c>
      <c r="C252" s="167">
        <v>0</v>
      </c>
      <c r="D252" s="167">
        <v>0</v>
      </c>
      <c r="E252" s="167">
        <v>0</v>
      </c>
      <c r="F252" s="167">
        <v>0</v>
      </c>
      <c r="G252" s="167">
        <v>0</v>
      </c>
      <c r="H252" s="167">
        <v>0</v>
      </c>
      <c r="I252" s="167">
        <v>0</v>
      </c>
      <c r="J252" s="167">
        <v>0</v>
      </c>
      <c r="K252" s="167">
        <v>0</v>
      </c>
      <c r="L252" s="167">
        <v>0</v>
      </c>
      <c r="M252" s="167">
        <v>0</v>
      </c>
      <c r="N252" s="167">
        <v>0</v>
      </c>
      <c r="O252" s="167">
        <v>0</v>
      </c>
      <c r="P252" s="167">
        <v>0</v>
      </c>
      <c r="Q252" s="167">
        <v>0</v>
      </c>
      <c r="R252" s="167">
        <v>0</v>
      </c>
      <c r="S252" s="167">
        <v>0</v>
      </c>
      <c r="T252" s="167">
        <v>0</v>
      </c>
      <c r="U252" s="168" t="e">
        <v>#DIV/0!</v>
      </c>
      <c r="V252" s="167">
        <v>0</v>
      </c>
      <c r="W252" s="167">
        <v>0</v>
      </c>
      <c r="X252" s="167">
        <v>0</v>
      </c>
      <c r="Y252" s="167">
        <v>0</v>
      </c>
      <c r="Z252" s="167">
        <v>0</v>
      </c>
      <c r="AA252" s="167">
        <v>0</v>
      </c>
    </row>
    <row r="253" spans="1:27" ht="12" customHeight="1" x14ac:dyDescent="0.25">
      <c r="A253" s="155" t="s">
        <v>1330</v>
      </c>
      <c r="B253" s="155" t="s">
        <v>638</v>
      </c>
      <c r="C253" s="167">
        <v>0</v>
      </c>
      <c r="D253" s="167">
        <v>0</v>
      </c>
      <c r="E253" s="167">
        <v>0</v>
      </c>
      <c r="F253" s="167">
        <v>0</v>
      </c>
      <c r="G253" s="167">
        <v>0</v>
      </c>
      <c r="H253" s="167">
        <v>0</v>
      </c>
      <c r="I253" s="167">
        <v>0</v>
      </c>
      <c r="J253" s="167">
        <v>0</v>
      </c>
      <c r="K253" s="167">
        <v>0</v>
      </c>
      <c r="L253" s="167">
        <v>0</v>
      </c>
      <c r="M253" s="167">
        <v>0</v>
      </c>
      <c r="N253" s="167">
        <v>0</v>
      </c>
      <c r="O253" s="167">
        <v>0</v>
      </c>
      <c r="P253" s="167">
        <v>0</v>
      </c>
      <c r="Q253" s="167">
        <v>0</v>
      </c>
      <c r="R253" s="167">
        <v>0</v>
      </c>
      <c r="S253" s="167">
        <v>0</v>
      </c>
      <c r="T253" s="167">
        <v>0</v>
      </c>
      <c r="U253" s="168" t="e">
        <v>#DIV/0!</v>
      </c>
      <c r="V253" s="167">
        <v>0</v>
      </c>
      <c r="W253" s="167">
        <v>0</v>
      </c>
      <c r="X253" s="167">
        <v>0</v>
      </c>
      <c r="Y253" s="167">
        <v>0</v>
      </c>
      <c r="Z253" s="167">
        <v>0</v>
      </c>
      <c r="AA253" s="167">
        <v>0</v>
      </c>
    </row>
    <row r="254" spans="1:27" ht="12" customHeight="1" x14ac:dyDescent="0.25">
      <c r="A254" s="155" t="s">
        <v>1331</v>
      </c>
      <c r="B254" s="155" t="s">
        <v>639</v>
      </c>
      <c r="C254" s="167">
        <v>0</v>
      </c>
      <c r="D254" s="167">
        <v>0</v>
      </c>
      <c r="E254" s="167">
        <v>0</v>
      </c>
      <c r="F254" s="167">
        <v>0</v>
      </c>
      <c r="G254" s="167">
        <v>0</v>
      </c>
      <c r="H254" s="167">
        <v>0</v>
      </c>
      <c r="I254" s="167">
        <v>0</v>
      </c>
      <c r="J254" s="167">
        <v>0</v>
      </c>
      <c r="K254" s="167">
        <v>0</v>
      </c>
      <c r="L254" s="167">
        <v>0</v>
      </c>
      <c r="M254" s="167">
        <v>0</v>
      </c>
      <c r="N254" s="167">
        <v>0</v>
      </c>
      <c r="O254" s="167">
        <v>0</v>
      </c>
      <c r="P254" s="167">
        <v>0</v>
      </c>
      <c r="Q254" s="167">
        <v>0</v>
      </c>
      <c r="R254" s="167">
        <v>0</v>
      </c>
      <c r="S254" s="167">
        <v>0</v>
      </c>
      <c r="T254" s="167">
        <v>0</v>
      </c>
      <c r="U254" s="168" t="e">
        <v>#DIV/0!</v>
      </c>
      <c r="V254" s="167">
        <v>0</v>
      </c>
      <c r="W254" s="167">
        <v>0</v>
      </c>
      <c r="X254" s="167">
        <v>0</v>
      </c>
      <c r="Y254" s="167">
        <v>0</v>
      </c>
      <c r="Z254" s="167">
        <v>0</v>
      </c>
      <c r="AA254" s="167">
        <v>0</v>
      </c>
    </row>
    <row r="255" spans="1:27" ht="12" customHeight="1" x14ac:dyDescent="0.25">
      <c r="A255" s="155"/>
      <c r="B255" s="162" t="s">
        <v>640</v>
      </c>
      <c r="C255" s="163">
        <v>0</v>
      </c>
      <c r="D255" s="163">
        <v>0</v>
      </c>
      <c r="E255" s="163">
        <v>0</v>
      </c>
      <c r="F255" s="163">
        <v>0</v>
      </c>
      <c r="G255" s="163">
        <v>0</v>
      </c>
      <c r="H255" s="163">
        <v>0</v>
      </c>
      <c r="I255" s="163">
        <v>0</v>
      </c>
      <c r="J255" s="163">
        <v>0</v>
      </c>
      <c r="K255" s="163">
        <v>0</v>
      </c>
      <c r="L255" s="163">
        <v>0</v>
      </c>
      <c r="M255" s="163">
        <v>0</v>
      </c>
      <c r="N255" s="163">
        <v>0</v>
      </c>
      <c r="O255" s="163">
        <v>0</v>
      </c>
      <c r="P255" s="163">
        <v>0</v>
      </c>
      <c r="Q255" s="163">
        <v>0</v>
      </c>
      <c r="R255" s="163">
        <v>0</v>
      </c>
      <c r="S255" s="163">
        <v>0</v>
      </c>
      <c r="T255" s="164">
        <v>0</v>
      </c>
      <c r="U255" s="165" t="e">
        <v>#DIV/0!</v>
      </c>
      <c r="V255" s="164">
        <v>0</v>
      </c>
      <c r="W255" s="164">
        <v>0</v>
      </c>
      <c r="X255" s="164">
        <v>0</v>
      </c>
      <c r="Y255" s="164">
        <v>0</v>
      </c>
      <c r="Z255" s="164">
        <v>0</v>
      </c>
      <c r="AA255" s="164">
        <v>0</v>
      </c>
    </row>
    <row r="256" spans="1:27" ht="12" customHeight="1" x14ac:dyDescent="0.25">
      <c r="A256" s="155" t="s">
        <v>1332</v>
      </c>
      <c r="B256" s="155" t="s">
        <v>641</v>
      </c>
      <c r="C256" s="167">
        <v>0</v>
      </c>
      <c r="D256" s="167">
        <v>0</v>
      </c>
      <c r="E256" s="167">
        <v>0</v>
      </c>
      <c r="F256" s="167">
        <v>0</v>
      </c>
      <c r="G256" s="167">
        <v>0</v>
      </c>
      <c r="H256" s="167">
        <v>0</v>
      </c>
      <c r="I256" s="167">
        <v>0</v>
      </c>
      <c r="J256" s="167">
        <v>0</v>
      </c>
      <c r="K256" s="167">
        <v>0</v>
      </c>
      <c r="L256" s="167">
        <v>0</v>
      </c>
      <c r="M256" s="167">
        <v>0</v>
      </c>
      <c r="N256" s="167">
        <v>0</v>
      </c>
      <c r="O256" s="167">
        <v>0</v>
      </c>
      <c r="P256" s="167">
        <v>0</v>
      </c>
      <c r="Q256" s="167">
        <v>0</v>
      </c>
      <c r="R256" s="167">
        <v>0</v>
      </c>
      <c r="S256" s="167">
        <v>0</v>
      </c>
      <c r="T256" s="167">
        <v>0</v>
      </c>
      <c r="U256" s="168" t="e">
        <v>#DIV/0!</v>
      </c>
      <c r="V256" s="167">
        <v>0</v>
      </c>
      <c r="W256" s="167">
        <v>0</v>
      </c>
      <c r="X256" s="167">
        <v>0</v>
      </c>
      <c r="Y256" s="167">
        <v>0</v>
      </c>
      <c r="Z256" s="167">
        <v>0</v>
      </c>
      <c r="AA256" s="167">
        <v>0</v>
      </c>
    </row>
    <row r="257" spans="1:27" ht="12" customHeight="1" x14ac:dyDescent="0.25">
      <c r="A257" s="155" t="s">
        <v>1333</v>
      </c>
      <c r="B257" s="155" t="s">
        <v>642</v>
      </c>
      <c r="C257" s="167">
        <v>0</v>
      </c>
      <c r="D257" s="167">
        <v>0</v>
      </c>
      <c r="E257" s="167">
        <v>0</v>
      </c>
      <c r="F257" s="167">
        <v>0</v>
      </c>
      <c r="G257" s="167">
        <v>0</v>
      </c>
      <c r="H257" s="167">
        <v>0</v>
      </c>
      <c r="I257" s="167">
        <v>0</v>
      </c>
      <c r="J257" s="167">
        <v>0</v>
      </c>
      <c r="K257" s="167">
        <v>0</v>
      </c>
      <c r="L257" s="167">
        <v>0</v>
      </c>
      <c r="M257" s="167">
        <v>0</v>
      </c>
      <c r="N257" s="167">
        <v>0</v>
      </c>
      <c r="O257" s="167">
        <v>0</v>
      </c>
      <c r="P257" s="167">
        <v>0</v>
      </c>
      <c r="Q257" s="167">
        <v>0</v>
      </c>
      <c r="R257" s="167">
        <v>0</v>
      </c>
      <c r="S257" s="167">
        <v>0</v>
      </c>
      <c r="T257" s="167">
        <v>0</v>
      </c>
      <c r="U257" s="168" t="e">
        <v>#DIV/0!</v>
      </c>
      <c r="V257" s="167">
        <v>0</v>
      </c>
      <c r="W257" s="167">
        <v>0</v>
      </c>
      <c r="X257" s="167">
        <v>0</v>
      </c>
      <c r="Y257" s="167">
        <v>0</v>
      </c>
      <c r="Z257" s="167">
        <v>0</v>
      </c>
      <c r="AA257" s="167">
        <v>0</v>
      </c>
    </row>
    <row r="258" spans="1:27" ht="12" customHeight="1" x14ac:dyDescent="0.25">
      <c r="A258" s="155" t="s">
        <v>1334</v>
      </c>
      <c r="B258" s="155" t="s">
        <v>643</v>
      </c>
      <c r="C258" s="167">
        <v>0</v>
      </c>
      <c r="D258" s="167">
        <v>0</v>
      </c>
      <c r="E258" s="167">
        <v>0</v>
      </c>
      <c r="F258" s="167">
        <v>0</v>
      </c>
      <c r="G258" s="167">
        <v>0</v>
      </c>
      <c r="H258" s="167">
        <v>0</v>
      </c>
      <c r="I258" s="167">
        <v>0</v>
      </c>
      <c r="J258" s="167">
        <v>0</v>
      </c>
      <c r="K258" s="167">
        <v>0</v>
      </c>
      <c r="L258" s="167">
        <v>0</v>
      </c>
      <c r="M258" s="167">
        <v>0</v>
      </c>
      <c r="N258" s="167">
        <v>0</v>
      </c>
      <c r="O258" s="167">
        <v>0</v>
      </c>
      <c r="P258" s="167">
        <v>0</v>
      </c>
      <c r="Q258" s="167">
        <v>0</v>
      </c>
      <c r="R258" s="167">
        <v>0</v>
      </c>
      <c r="S258" s="167">
        <v>0</v>
      </c>
      <c r="T258" s="167">
        <v>0</v>
      </c>
      <c r="U258" s="168" t="e">
        <v>#DIV/0!</v>
      </c>
      <c r="V258" s="167">
        <v>0</v>
      </c>
      <c r="W258" s="167">
        <v>0</v>
      </c>
      <c r="X258" s="167">
        <v>0</v>
      </c>
      <c r="Y258" s="167">
        <v>0</v>
      </c>
      <c r="Z258" s="167">
        <v>0</v>
      </c>
      <c r="AA258" s="167">
        <v>0</v>
      </c>
    </row>
    <row r="259" spans="1:27" ht="12" customHeight="1" x14ac:dyDescent="0.25">
      <c r="A259" s="155" t="s">
        <v>1335</v>
      </c>
      <c r="B259" s="155" t="s">
        <v>644</v>
      </c>
      <c r="C259" s="167">
        <v>0</v>
      </c>
      <c r="D259" s="167">
        <v>0</v>
      </c>
      <c r="E259" s="167">
        <v>0</v>
      </c>
      <c r="F259" s="167">
        <v>0</v>
      </c>
      <c r="G259" s="167">
        <v>0</v>
      </c>
      <c r="H259" s="167">
        <v>0</v>
      </c>
      <c r="I259" s="167">
        <v>0</v>
      </c>
      <c r="J259" s="167">
        <v>0</v>
      </c>
      <c r="K259" s="167">
        <v>0</v>
      </c>
      <c r="L259" s="167">
        <v>0</v>
      </c>
      <c r="M259" s="167">
        <v>0</v>
      </c>
      <c r="N259" s="167">
        <v>0</v>
      </c>
      <c r="O259" s="167">
        <v>0</v>
      </c>
      <c r="P259" s="167">
        <v>0</v>
      </c>
      <c r="Q259" s="167">
        <v>0</v>
      </c>
      <c r="R259" s="167">
        <v>0</v>
      </c>
      <c r="S259" s="167">
        <v>0</v>
      </c>
      <c r="T259" s="167">
        <v>0</v>
      </c>
      <c r="U259" s="168" t="e">
        <v>#DIV/0!</v>
      </c>
      <c r="V259" s="167">
        <v>0</v>
      </c>
      <c r="W259" s="167">
        <v>0</v>
      </c>
      <c r="X259" s="167">
        <v>0</v>
      </c>
      <c r="Y259" s="167">
        <v>0</v>
      </c>
      <c r="Z259" s="167">
        <v>0</v>
      </c>
      <c r="AA259" s="167">
        <v>0</v>
      </c>
    </row>
    <row r="260" spans="1:27" ht="12" customHeight="1" x14ac:dyDescent="0.25">
      <c r="A260" s="155" t="s">
        <v>1336</v>
      </c>
      <c r="B260" s="155" t="s">
        <v>645</v>
      </c>
      <c r="C260" s="167">
        <v>0</v>
      </c>
      <c r="D260" s="167">
        <v>0</v>
      </c>
      <c r="E260" s="167">
        <v>0</v>
      </c>
      <c r="F260" s="167">
        <v>0</v>
      </c>
      <c r="G260" s="167">
        <v>0</v>
      </c>
      <c r="H260" s="167">
        <v>0</v>
      </c>
      <c r="I260" s="167">
        <v>0</v>
      </c>
      <c r="J260" s="167">
        <v>0</v>
      </c>
      <c r="K260" s="167">
        <v>0</v>
      </c>
      <c r="L260" s="167">
        <v>0</v>
      </c>
      <c r="M260" s="167">
        <v>0</v>
      </c>
      <c r="N260" s="167">
        <v>0</v>
      </c>
      <c r="O260" s="167">
        <v>0</v>
      </c>
      <c r="P260" s="167">
        <v>0</v>
      </c>
      <c r="Q260" s="167">
        <v>0</v>
      </c>
      <c r="R260" s="167">
        <v>0</v>
      </c>
      <c r="S260" s="167">
        <v>0</v>
      </c>
      <c r="T260" s="167">
        <v>0</v>
      </c>
      <c r="U260" s="168" t="e">
        <v>#DIV/0!</v>
      </c>
      <c r="V260" s="167">
        <v>0</v>
      </c>
      <c r="W260" s="167">
        <v>0</v>
      </c>
      <c r="X260" s="167">
        <v>0</v>
      </c>
      <c r="Y260" s="167">
        <v>0</v>
      </c>
      <c r="Z260" s="167">
        <v>0</v>
      </c>
      <c r="AA260" s="167">
        <v>0</v>
      </c>
    </row>
    <row r="261" spans="1:27" ht="12" customHeight="1" x14ac:dyDescent="0.25">
      <c r="A261" s="155" t="s">
        <v>1337</v>
      </c>
      <c r="B261" s="155" t="s">
        <v>646</v>
      </c>
      <c r="C261" s="167">
        <v>0</v>
      </c>
      <c r="D261" s="167">
        <v>0</v>
      </c>
      <c r="E261" s="167">
        <v>0</v>
      </c>
      <c r="F261" s="167">
        <v>0</v>
      </c>
      <c r="G261" s="167">
        <v>0</v>
      </c>
      <c r="H261" s="167">
        <v>0</v>
      </c>
      <c r="I261" s="167">
        <v>0</v>
      </c>
      <c r="J261" s="167">
        <v>0</v>
      </c>
      <c r="K261" s="167">
        <v>0</v>
      </c>
      <c r="L261" s="167">
        <v>0</v>
      </c>
      <c r="M261" s="167">
        <v>0</v>
      </c>
      <c r="N261" s="167">
        <v>0</v>
      </c>
      <c r="O261" s="167">
        <v>0</v>
      </c>
      <c r="P261" s="167">
        <v>0</v>
      </c>
      <c r="Q261" s="167">
        <v>0</v>
      </c>
      <c r="R261" s="167">
        <v>0</v>
      </c>
      <c r="S261" s="167">
        <v>0</v>
      </c>
      <c r="T261" s="167">
        <v>0</v>
      </c>
      <c r="U261" s="168" t="e">
        <v>#DIV/0!</v>
      </c>
      <c r="V261" s="167">
        <v>0</v>
      </c>
      <c r="W261" s="167">
        <v>0</v>
      </c>
      <c r="X261" s="167">
        <v>0</v>
      </c>
      <c r="Y261" s="167">
        <v>0</v>
      </c>
      <c r="Z261" s="167">
        <v>0</v>
      </c>
      <c r="AA261" s="167">
        <v>0</v>
      </c>
    </row>
    <row r="262" spans="1:27" ht="12" customHeight="1" x14ac:dyDescent="0.25">
      <c r="A262" s="155"/>
      <c r="B262" s="156" t="s">
        <v>647</v>
      </c>
      <c r="C262" s="157">
        <v>0</v>
      </c>
      <c r="D262" s="157">
        <v>0</v>
      </c>
      <c r="E262" s="157">
        <v>0</v>
      </c>
      <c r="F262" s="157">
        <v>0</v>
      </c>
      <c r="G262" s="157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7">
        <v>0</v>
      </c>
      <c r="Q262" s="157">
        <v>0</v>
      </c>
      <c r="R262" s="157">
        <v>0</v>
      </c>
      <c r="S262" s="157">
        <v>0</v>
      </c>
      <c r="T262" s="158">
        <v>0</v>
      </c>
      <c r="U262" s="159" t="e">
        <v>#DIV/0!</v>
      </c>
      <c r="V262" s="158">
        <v>0</v>
      </c>
      <c r="W262" s="158">
        <v>0</v>
      </c>
      <c r="X262" s="158">
        <v>0</v>
      </c>
      <c r="Y262" s="158">
        <v>0</v>
      </c>
      <c r="Z262" s="158">
        <v>0</v>
      </c>
      <c r="AA262" s="158">
        <v>0</v>
      </c>
    </row>
    <row r="263" spans="1:27" ht="12" customHeight="1" x14ac:dyDescent="0.25">
      <c r="A263" s="155"/>
      <c r="B263" s="162" t="s">
        <v>648</v>
      </c>
      <c r="C263" s="163">
        <v>0</v>
      </c>
      <c r="D263" s="163">
        <v>0</v>
      </c>
      <c r="E263" s="163">
        <v>0</v>
      </c>
      <c r="F263" s="163">
        <v>0</v>
      </c>
      <c r="G263" s="163">
        <v>0</v>
      </c>
      <c r="H263" s="163">
        <v>0</v>
      </c>
      <c r="I263" s="163">
        <v>0</v>
      </c>
      <c r="J263" s="163">
        <v>0</v>
      </c>
      <c r="K263" s="163">
        <v>0</v>
      </c>
      <c r="L263" s="163">
        <v>0</v>
      </c>
      <c r="M263" s="163">
        <v>0</v>
      </c>
      <c r="N263" s="163">
        <v>0</v>
      </c>
      <c r="O263" s="163">
        <v>0</v>
      </c>
      <c r="P263" s="163">
        <v>0</v>
      </c>
      <c r="Q263" s="163">
        <v>0</v>
      </c>
      <c r="R263" s="163">
        <v>0</v>
      </c>
      <c r="S263" s="163">
        <v>0</v>
      </c>
      <c r="T263" s="164">
        <v>0</v>
      </c>
      <c r="U263" s="165" t="e">
        <v>#DIV/0!</v>
      </c>
      <c r="V263" s="164">
        <v>0</v>
      </c>
      <c r="W263" s="164">
        <v>0</v>
      </c>
      <c r="X263" s="164">
        <v>0</v>
      </c>
      <c r="Y263" s="164">
        <v>0</v>
      </c>
      <c r="Z263" s="164">
        <v>0</v>
      </c>
      <c r="AA263" s="164">
        <v>0</v>
      </c>
    </row>
    <row r="264" spans="1:27" ht="12" customHeight="1" x14ac:dyDescent="0.25">
      <c r="A264" s="155" t="s">
        <v>1338</v>
      </c>
      <c r="B264" s="155" t="s">
        <v>649</v>
      </c>
      <c r="C264" s="167">
        <v>0</v>
      </c>
      <c r="D264" s="167">
        <v>0</v>
      </c>
      <c r="E264" s="167">
        <v>0</v>
      </c>
      <c r="F264" s="167">
        <v>0</v>
      </c>
      <c r="G264" s="167">
        <v>0</v>
      </c>
      <c r="H264" s="167">
        <v>0</v>
      </c>
      <c r="I264" s="167">
        <v>0</v>
      </c>
      <c r="J264" s="167">
        <v>0</v>
      </c>
      <c r="K264" s="167">
        <v>0</v>
      </c>
      <c r="L264" s="167">
        <v>0</v>
      </c>
      <c r="M264" s="167">
        <v>0</v>
      </c>
      <c r="N264" s="167">
        <v>0</v>
      </c>
      <c r="O264" s="167">
        <v>0</v>
      </c>
      <c r="P264" s="167">
        <v>0</v>
      </c>
      <c r="Q264" s="167">
        <v>0</v>
      </c>
      <c r="R264" s="167">
        <v>0</v>
      </c>
      <c r="S264" s="167">
        <v>0</v>
      </c>
      <c r="T264" s="167">
        <v>0</v>
      </c>
      <c r="U264" s="168" t="e">
        <v>#DIV/0!</v>
      </c>
      <c r="V264" s="167">
        <v>0</v>
      </c>
      <c r="W264" s="167">
        <v>0</v>
      </c>
      <c r="X264" s="167">
        <v>0</v>
      </c>
      <c r="Y264" s="167">
        <v>0</v>
      </c>
      <c r="Z264" s="167">
        <v>0</v>
      </c>
      <c r="AA264" s="167">
        <v>0</v>
      </c>
    </row>
    <row r="265" spans="1:27" ht="12" customHeight="1" x14ac:dyDescent="0.25">
      <c r="A265" s="155" t="s">
        <v>1339</v>
      </c>
      <c r="B265" s="155" t="s">
        <v>650</v>
      </c>
      <c r="C265" s="167">
        <v>0</v>
      </c>
      <c r="D265" s="167">
        <v>0</v>
      </c>
      <c r="E265" s="167">
        <v>0</v>
      </c>
      <c r="F265" s="167">
        <v>0</v>
      </c>
      <c r="G265" s="167">
        <v>0</v>
      </c>
      <c r="H265" s="167">
        <v>0</v>
      </c>
      <c r="I265" s="167">
        <v>0</v>
      </c>
      <c r="J265" s="167">
        <v>0</v>
      </c>
      <c r="K265" s="167">
        <v>0</v>
      </c>
      <c r="L265" s="167">
        <v>0</v>
      </c>
      <c r="M265" s="167">
        <v>0</v>
      </c>
      <c r="N265" s="167">
        <v>0</v>
      </c>
      <c r="O265" s="167">
        <v>0</v>
      </c>
      <c r="P265" s="167">
        <v>0</v>
      </c>
      <c r="Q265" s="167">
        <v>0</v>
      </c>
      <c r="R265" s="167">
        <v>0</v>
      </c>
      <c r="S265" s="167">
        <v>0</v>
      </c>
      <c r="T265" s="167">
        <v>0</v>
      </c>
      <c r="U265" s="168" t="e">
        <v>#DIV/0!</v>
      </c>
      <c r="V265" s="167">
        <v>0</v>
      </c>
      <c r="W265" s="167">
        <v>0</v>
      </c>
      <c r="X265" s="167">
        <v>0</v>
      </c>
      <c r="Y265" s="167">
        <v>0</v>
      </c>
      <c r="Z265" s="167">
        <v>0</v>
      </c>
      <c r="AA265" s="167">
        <v>0</v>
      </c>
    </row>
    <row r="266" spans="1:27" ht="12" customHeight="1" x14ac:dyDescent="0.25">
      <c r="A266" s="155" t="s">
        <v>1340</v>
      </c>
      <c r="B266" s="155" t="s">
        <v>651</v>
      </c>
      <c r="C266" s="167">
        <v>0</v>
      </c>
      <c r="D266" s="167">
        <v>0</v>
      </c>
      <c r="E266" s="167">
        <v>0</v>
      </c>
      <c r="F266" s="167">
        <v>0</v>
      </c>
      <c r="G266" s="167">
        <v>0</v>
      </c>
      <c r="H266" s="167">
        <v>0</v>
      </c>
      <c r="I266" s="167">
        <v>0</v>
      </c>
      <c r="J266" s="167">
        <v>0</v>
      </c>
      <c r="K266" s="167">
        <v>0</v>
      </c>
      <c r="L266" s="167">
        <v>0</v>
      </c>
      <c r="M266" s="167">
        <v>0</v>
      </c>
      <c r="N266" s="167">
        <v>0</v>
      </c>
      <c r="O266" s="167">
        <v>0</v>
      </c>
      <c r="P266" s="167">
        <v>0</v>
      </c>
      <c r="Q266" s="167">
        <v>0</v>
      </c>
      <c r="R266" s="167">
        <v>0</v>
      </c>
      <c r="S266" s="167">
        <v>0</v>
      </c>
      <c r="T266" s="167">
        <v>0</v>
      </c>
      <c r="U266" s="168" t="e">
        <v>#DIV/0!</v>
      </c>
      <c r="V266" s="167">
        <v>0</v>
      </c>
      <c r="W266" s="167">
        <v>0</v>
      </c>
      <c r="X266" s="167">
        <v>0</v>
      </c>
      <c r="Y266" s="167">
        <v>0</v>
      </c>
      <c r="Z266" s="167">
        <v>0</v>
      </c>
      <c r="AA266" s="167">
        <v>0</v>
      </c>
    </row>
    <row r="267" spans="1:27" ht="12" customHeight="1" x14ac:dyDescent="0.25">
      <c r="A267" s="155" t="s">
        <v>1341</v>
      </c>
      <c r="B267" s="155" t="s">
        <v>652</v>
      </c>
      <c r="C267" s="167">
        <v>0</v>
      </c>
      <c r="D267" s="167">
        <v>0</v>
      </c>
      <c r="E267" s="167">
        <v>0</v>
      </c>
      <c r="F267" s="167">
        <v>0</v>
      </c>
      <c r="G267" s="167">
        <v>0</v>
      </c>
      <c r="H267" s="167">
        <v>0</v>
      </c>
      <c r="I267" s="167">
        <v>0</v>
      </c>
      <c r="J267" s="167">
        <v>0</v>
      </c>
      <c r="K267" s="167">
        <v>0</v>
      </c>
      <c r="L267" s="167">
        <v>0</v>
      </c>
      <c r="M267" s="167">
        <v>0</v>
      </c>
      <c r="N267" s="167">
        <v>0</v>
      </c>
      <c r="O267" s="167">
        <v>0</v>
      </c>
      <c r="P267" s="167">
        <v>0</v>
      </c>
      <c r="Q267" s="167">
        <v>0</v>
      </c>
      <c r="R267" s="167">
        <v>0</v>
      </c>
      <c r="S267" s="167">
        <v>0</v>
      </c>
      <c r="T267" s="167">
        <v>0</v>
      </c>
      <c r="U267" s="168" t="e">
        <v>#DIV/0!</v>
      </c>
      <c r="V267" s="167">
        <v>0</v>
      </c>
      <c r="W267" s="167">
        <v>0</v>
      </c>
      <c r="X267" s="167">
        <v>0</v>
      </c>
      <c r="Y267" s="167">
        <v>0</v>
      </c>
      <c r="Z267" s="167">
        <v>0</v>
      </c>
      <c r="AA267" s="167">
        <v>0</v>
      </c>
    </row>
    <row r="268" spans="1:27" ht="12" customHeight="1" x14ac:dyDescent="0.25">
      <c r="A268" s="155" t="s">
        <v>1342</v>
      </c>
      <c r="B268" s="155" t="s">
        <v>653</v>
      </c>
      <c r="C268" s="167">
        <v>0</v>
      </c>
      <c r="D268" s="167">
        <v>0</v>
      </c>
      <c r="E268" s="167">
        <v>0</v>
      </c>
      <c r="F268" s="167">
        <v>0</v>
      </c>
      <c r="G268" s="167">
        <v>0</v>
      </c>
      <c r="H268" s="167">
        <v>0</v>
      </c>
      <c r="I268" s="167">
        <v>0</v>
      </c>
      <c r="J268" s="167">
        <v>0</v>
      </c>
      <c r="K268" s="167">
        <v>0</v>
      </c>
      <c r="L268" s="167">
        <v>0</v>
      </c>
      <c r="M268" s="167">
        <v>0</v>
      </c>
      <c r="N268" s="167">
        <v>0</v>
      </c>
      <c r="O268" s="167">
        <v>0</v>
      </c>
      <c r="P268" s="167">
        <v>0</v>
      </c>
      <c r="Q268" s="167">
        <v>0</v>
      </c>
      <c r="R268" s="167">
        <v>0</v>
      </c>
      <c r="S268" s="167">
        <v>0</v>
      </c>
      <c r="T268" s="167">
        <v>0</v>
      </c>
      <c r="U268" s="168" t="e">
        <v>#DIV/0!</v>
      </c>
      <c r="V268" s="167">
        <v>0</v>
      </c>
      <c r="W268" s="167">
        <v>0</v>
      </c>
      <c r="X268" s="167">
        <v>0</v>
      </c>
      <c r="Y268" s="167">
        <v>0</v>
      </c>
      <c r="Z268" s="167">
        <v>0</v>
      </c>
      <c r="AA268" s="167">
        <v>0</v>
      </c>
    </row>
    <row r="269" spans="1:27" ht="12" customHeight="1" x14ac:dyDescent="0.25">
      <c r="A269" s="155" t="s">
        <v>1343</v>
      </c>
      <c r="B269" s="155" t="s">
        <v>654</v>
      </c>
      <c r="C269" s="167">
        <v>0</v>
      </c>
      <c r="D269" s="167">
        <v>0</v>
      </c>
      <c r="E269" s="167">
        <v>0</v>
      </c>
      <c r="F269" s="167">
        <v>0</v>
      </c>
      <c r="G269" s="167">
        <v>0</v>
      </c>
      <c r="H269" s="167">
        <v>0</v>
      </c>
      <c r="I269" s="167">
        <v>0</v>
      </c>
      <c r="J269" s="167">
        <v>0</v>
      </c>
      <c r="K269" s="167">
        <v>0</v>
      </c>
      <c r="L269" s="167">
        <v>0</v>
      </c>
      <c r="M269" s="167">
        <v>0</v>
      </c>
      <c r="N269" s="167">
        <v>0</v>
      </c>
      <c r="O269" s="167">
        <v>0</v>
      </c>
      <c r="P269" s="167">
        <v>0</v>
      </c>
      <c r="Q269" s="167">
        <v>0</v>
      </c>
      <c r="R269" s="167">
        <v>0</v>
      </c>
      <c r="S269" s="167">
        <v>0</v>
      </c>
      <c r="T269" s="167">
        <v>0</v>
      </c>
      <c r="U269" s="168" t="e">
        <v>#DIV/0!</v>
      </c>
      <c r="V269" s="167">
        <v>0</v>
      </c>
      <c r="W269" s="167">
        <v>0</v>
      </c>
      <c r="X269" s="167">
        <v>0</v>
      </c>
      <c r="Y269" s="167">
        <v>0</v>
      </c>
      <c r="Z269" s="167">
        <v>0</v>
      </c>
      <c r="AA269" s="167">
        <v>0</v>
      </c>
    </row>
    <row r="270" spans="1:27" ht="12" customHeight="1" x14ac:dyDescent="0.25">
      <c r="A270" s="155" t="s">
        <v>1344</v>
      </c>
      <c r="B270" s="155" t="s">
        <v>655</v>
      </c>
      <c r="C270" s="167">
        <v>0</v>
      </c>
      <c r="D270" s="167">
        <v>0</v>
      </c>
      <c r="E270" s="167">
        <v>0</v>
      </c>
      <c r="F270" s="167">
        <v>0</v>
      </c>
      <c r="G270" s="167">
        <v>0</v>
      </c>
      <c r="H270" s="167">
        <v>0</v>
      </c>
      <c r="I270" s="167">
        <v>0</v>
      </c>
      <c r="J270" s="167">
        <v>0</v>
      </c>
      <c r="K270" s="167">
        <v>0</v>
      </c>
      <c r="L270" s="167">
        <v>0</v>
      </c>
      <c r="M270" s="167">
        <v>0</v>
      </c>
      <c r="N270" s="167">
        <v>0</v>
      </c>
      <c r="O270" s="167">
        <v>0</v>
      </c>
      <c r="P270" s="167">
        <v>0</v>
      </c>
      <c r="Q270" s="167">
        <v>0</v>
      </c>
      <c r="R270" s="167">
        <v>0</v>
      </c>
      <c r="S270" s="167">
        <v>0</v>
      </c>
      <c r="T270" s="167">
        <v>0</v>
      </c>
      <c r="U270" s="168" t="e">
        <v>#DIV/0!</v>
      </c>
      <c r="V270" s="167">
        <v>0</v>
      </c>
      <c r="W270" s="167">
        <v>0</v>
      </c>
      <c r="X270" s="167">
        <v>0</v>
      </c>
      <c r="Y270" s="167">
        <v>0</v>
      </c>
      <c r="Z270" s="167">
        <v>0</v>
      </c>
      <c r="AA270" s="167">
        <v>0</v>
      </c>
    </row>
    <row r="271" spans="1:27" ht="12" customHeight="1" x14ac:dyDescent="0.25">
      <c r="A271" s="155" t="s">
        <v>1345</v>
      </c>
      <c r="B271" s="155" t="s">
        <v>656</v>
      </c>
      <c r="C271" s="167">
        <v>0</v>
      </c>
      <c r="D271" s="167">
        <v>0</v>
      </c>
      <c r="E271" s="167">
        <v>0</v>
      </c>
      <c r="F271" s="167">
        <v>0</v>
      </c>
      <c r="G271" s="167">
        <v>0</v>
      </c>
      <c r="H271" s="167">
        <v>0</v>
      </c>
      <c r="I271" s="167">
        <v>0</v>
      </c>
      <c r="J271" s="167">
        <v>0</v>
      </c>
      <c r="K271" s="167">
        <v>0</v>
      </c>
      <c r="L271" s="167">
        <v>0</v>
      </c>
      <c r="M271" s="167">
        <v>0</v>
      </c>
      <c r="N271" s="167">
        <v>0</v>
      </c>
      <c r="O271" s="167">
        <v>0</v>
      </c>
      <c r="P271" s="167">
        <v>0</v>
      </c>
      <c r="Q271" s="167">
        <v>0</v>
      </c>
      <c r="R271" s="167">
        <v>0</v>
      </c>
      <c r="S271" s="167">
        <v>0</v>
      </c>
      <c r="T271" s="167">
        <v>0</v>
      </c>
      <c r="U271" s="168" t="e">
        <v>#DIV/0!</v>
      </c>
      <c r="V271" s="167">
        <v>0</v>
      </c>
      <c r="W271" s="167">
        <v>0</v>
      </c>
      <c r="X271" s="167">
        <v>0</v>
      </c>
      <c r="Y271" s="167">
        <v>0</v>
      </c>
      <c r="Z271" s="167">
        <v>0</v>
      </c>
      <c r="AA271" s="167">
        <v>0</v>
      </c>
    </row>
    <row r="272" spans="1:27" ht="12" customHeight="1" x14ac:dyDescent="0.25">
      <c r="A272" s="155" t="s">
        <v>1346</v>
      </c>
      <c r="B272" s="155" t="s">
        <v>657</v>
      </c>
      <c r="C272" s="167">
        <v>0</v>
      </c>
      <c r="D272" s="167">
        <v>0</v>
      </c>
      <c r="E272" s="167">
        <v>0</v>
      </c>
      <c r="F272" s="167">
        <v>0</v>
      </c>
      <c r="G272" s="167">
        <v>0</v>
      </c>
      <c r="H272" s="167">
        <v>0</v>
      </c>
      <c r="I272" s="167">
        <v>0</v>
      </c>
      <c r="J272" s="167">
        <v>0</v>
      </c>
      <c r="K272" s="167">
        <v>0</v>
      </c>
      <c r="L272" s="167">
        <v>0</v>
      </c>
      <c r="M272" s="167">
        <v>0</v>
      </c>
      <c r="N272" s="167">
        <v>0</v>
      </c>
      <c r="O272" s="167">
        <v>0</v>
      </c>
      <c r="P272" s="167">
        <v>0</v>
      </c>
      <c r="Q272" s="167">
        <v>0</v>
      </c>
      <c r="R272" s="167">
        <v>0</v>
      </c>
      <c r="S272" s="167">
        <v>0</v>
      </c>
      <c r="T272" s="167">
        <v>0</v>
      </c>
      <c r="U272" s="168" t="e">
        <v>#DIV/0!</v>
      </c>
      <c r="V272" s="167">
        <v>0</v>
      </c>
      <c r="W272" s="167">
        <v>0</v>
      </c>
      <c r="X272" s="167">
        <v>0</v>
      </c>
      <c r="Y272" s="167">
        <v>0</v>
      </c>
      <c r="Z272" s="167">
        <v>0</v>
      </c>
      <c r="AA272" s="167">
        <v>0</v>
      </c>
    </row>
    <row r="273" spans="1:27" ht="12" customHeight="1" x14ac:dyDescent="0.25">
      <c r="A273" s="155" t="s">
        <v>1347</v>
      </c>
      <c r="B273" s="155" t="s">
        <v>658</v>
      </c>
      <c r="C273" s="167">
        <v>0</v>
      </c>
      <c r="D273" s="167">
        <v>0</v>
      </c>
      <c r="E273" s="167">
        <v>0</v>
      </c>
      <c r="F273" s="167">
        <v>0</v>
      </c>
      <c r="G273" s="167">
        <v>0</v>
      </c>
      <c r="H273" s="167">
        <v>0</v>
      </c>
      <c r="I273" s="167">
        <v>0</v>
      </c>
      <c r="J273" s="167">
        <v>0</v>
      </c>
      <c r="K273" s="167">
        <v>0</v>
      </c>
      <c r="L273" s="167">
        <v>0</v>
      </c>
      <c r="M273" s="167">
        <v>0</v>
      </c>
      <c r="N273" s="167">
        <v>0</v>
      </c>
      <c r="O273" s="167">
        <v>0</v>
      </c>
      <c r="P273" s="167">
        <v>0</v>
      </c>
      <c r="Q273" s="167">
        <v>0</v>
      </c>
      <c r="R273" s="167">
        <v>0</v>
      </c>
      <c r="S273" s="167">
        <v>0</v>
      </c>
      <c r="T273" s="167">
        <v>0</v>
      </c>
      <c r="U273" s="168" t="e">
        <v>#DIV/0!</v>
      </c>
      <c r="V273" s="167">
        <v>0</v>
      </c>
      <c r="W273" s="167">
        <v>0</v>
      </c>
      <c r="X273" s="167">
        <v>0</v>
      </c>
      <c r="Y273" s="167">
        <v>0</v>
      </c>
      <c r="Z273" s="167">
        <v>0</v>
      </c>
      <c r="AA273" s="167">
        <v>0</v>
      </c>
    </row>
    <row r="274" spans="1:27" ht="12" customHeight="1" x14ac:dyDescent="0.25">
      <c r="A274" s="155" t="s">
        <v>1348</v>
      </c>
      <c r="B274" s="155" t="s">
        <v>659</v>
      </c>
      <c r="C274" s="167">
        <v>0</v>
      </c>
      <c r="D274" s="167">
        <v>0</v>
      </c>
      <c r="E274" s="167">
        <v>0</v>
      </c>
      <c r="F274" s="167">
        <v>0</v>
      </c>
      <c r="G274" s="167">
        <v>0</v>
      </c>
      <c r="H274" s="167">
        <v>0</v>
      </c>
      <c r="I274" s="167">
        <v>0</v>
      </c>
      <c r="J274" s="167">
        <v>0</v>
      </c>
      <c r="K274" s="167">
        <v>0</v>
      </c>
      <c r="L274" s="167">
        <v>0</v>
      </c>
      <c r="M274" s="167">
        <v>0</v>
      </c>
      <c r="N274" s="167">
        <v>0</v>
      </c>
      <c r="O274" s="167">
        <v>0</v>
      </c>
      <c r="P274" s="167">
        <v>0</v>
      </c>
      <c r="Q274" s="167">
        <v>0</v>
      </c>
      <c r="R274" s="167">
        <v>0</v>
      </c>
      <c r="S274" s="167">
        <v>0</v>
      </c>
      <c r="T274" s="167">
        <v>0</v>
      </c>
      <c r="U274" s="168" t="e">
        <v>#DIV/0!</v>
      </c>
      <c r="V274" s="167">
        <v>0</v>
      </c>
      <c r="W274" s="167">
        <v>0</v>
      </c>
      <c r="X274" s="167">
        <v>0</v>
      </c>
      <c r="Y274" s="167">
        <v>0</v>
      </c>
      <c r="Z274" s="167">
        <v>0</v>
      </c>
      <c r="AA274" s="167">
        <v>0</v>
      </c>
    </row>
    <row r="275" spans="1:27" ht="12" customHeight="1" x14ac:dyDescent="0.25">
      <c r="A275" s="155" t="s">
        <v>1349</v>
      </c>
      <c r="B275" s="155" t="s">
        <v>660</v>
      </c>
      <c r="C275" s="167">
        <v>0</v>
      </c>
      <c r="D275" s="167">
        <v>0</v>
      </c>
      <c r="E275" s="167">
        <v>0</v>
      </c>
      <c r="F275" s="167">
        <v>0</v>
      </c>
      <c r="G275" s="167">
        <v>0</v>
      </c>
      <c r="H275" s="167">
        <v>0</v>
      </c>
      <c r="I275" s="167">
        <v>0</v>
      </c>
      <c r="J275" s="167">
        <v>0</v>
      </c>
      <c r="K275" s="167">
        <v>0</v>
      </c>
      <c r="L275" s="167">
        <v>0</v>
      </c>
      <c r="M275" s="167">
        <v>0</v>
      </c>
      <c r="N275" s="167">
        <v>0</v>
      </c>
      <c r="O275" s="167">
        <v>0</v>
      </c>
      <c r="P275" s="167">
        <v>0</v>
      </c>
      <c r="Q275" s="167">
        <v>0</v>
      </c>
      <c r="R275" s="167">
        <v>0</v>
      </c>
      <c r="S275" s="167">
        <v>0</v>
      </c>
      <c r="T275" s="167">
        <v>0</v>
      </c>
      <c r="U275" s="168" t="e">
        <v>#DIV/0!</v>
      </c>
      <c r="V275" s="167">
        <v>0</v>
      </c>
      <c r="W275" s="167">
        <v>0</v>
      </c>
      <c r="X275" s="167">
        <v>0</v>
      </c>
      <c r="Y275" s="167">
        <v>0</v>
      </c>
      <c r="Z275" s="167">
        <v>0</v>
      </c>
      <c r="AA275" s="167">
        <v>0</v>
      </c>
    </row>
    <row r="276" spans="1:27" ht="12" customHeight="1" x14ac:dyDescent="0.25">
      <c r="A276" s="155" t="s">
        <v>1350</v>
      </c>
      <c r="B276" s="155" t="s">
        <v>661</v>
      </c>
      <c r="C276" s="167">
        <v>0</v>
      </c>
      <c r="D276" s="167">
        <v>0</v>
      </c>
      <c r="E276" s="167">
        <v>0</v>
      </c>
      <c r="F276" s="167">
        <v>0</v>
      </c>
      <c r="G276" s="167">
        <v>0</v>
      </c>
      <c r="H276" s="167">
        <v>0</v>
      </c>
      <c r="I276" s="167">
        <v>0</v>
      </c>
      <c r="J276" s="167">
        <v>0</v>
      </c>
      <c r="K276" s="167">
        <v>0</v>
      </c>
      <c r="L276" s="167">
        <v>0</v>
      </c>
      <c r="M276" s="167">
        <v>0</v>
      </c>
      <c r="N276" s="167">
        <v>0</v>
      </c>
      <c r="O276" s="167">
        <v>0</v>
      </c>
      <c r="P276" s="167">
        <v>0</v>
      </c>
      <c r="Q276" s="167">
        <v>0</v>
      </c>
      <c r="R276" s="167">
        <v>0</v>
      </c>
      <c r="S276" s="167">
        <v>0</v>
      </c>
      <c r="T276" s="167">
        <v>0</v>
      </c>
      <c r="U276" s="168" t="e">
        <v>#DIV/0!</v>
      </c>
      <c r="V276" s="167">
        <v>0</v>
      </c>
      <c r="W276" s="167">
        <v>0</v>
      </c>
      <c r="X276" s="167">
        <v>0</v>
      </c>
      <c r="Y276" s="167">
        <v>0</v>
      </c>
      <c r="Z276" s="167">
        <v>0</v>
      </c>
      <c r="AA276" s="167">
        <v>0</v>
      </c>
    </row>
    <row r="277" spans="1:27" ht="12" customHeight="1" x14ac:dyDescent="0.25">
      <c r="A277" s="155" t="s">
        <v>1351</v>
      </c>
      <c r="B277" s="155" t="s">
        <v>662</v>
      </c>
      <c r="C277" s="167">
        <v>0</v>
      </c>
      <c r="D277" s="167">
        <v>0</v>
      </c>
      <c r="E277" s="167">
        <v>0</v>
      </c>
      <c r="F277" s="167">
        <v>0</v>
      </c>
      <c r="G277" s="167">
        <v>0</v>
      </c>
      <c r="H277" s="167">
        <v>0</v>
      </c>
      <c r="I277" s="167">
        <v>0</v>
      </c>
      <c r="J277" s="167">
        <v>0</v>
      </c>
      <c r="K277" s="167">
        <v>0</v>
      </c>
      <c r="L277" s="167">
        <v>0</v>
      </c>
      <c r="M277" s="167">
        <v>0</v>
      </c>
      <c r="N277" s="167">
        <v>0</v>
      </c>
      <c r="O277" s="167">
        <v>0</v>
      </c>
      <c r="P277" s="167">
        <v>0</v>
      </c>
      <c r="Q277" s="167">
        <v>0</v>
      </c>
      <c r="R277" s="167">
        <v>0</v>
      </c>
      <c r="S277" s="167">
        <v>0</v>
      </c>
      <c r="T277" s="167">
        <v>0</v>
      </c>
      <c r="U277" s="168" t="e">
        <v>#DIV/0!</v>
      </c>
      <c r="V277" s="167">
        <v>0</v>
      </c>
      <c r="W277" s="167">
        <v>0</v>
      </c>
      <c r="X277" s="167">
        <v>0</v>
      </c>
      <c r="Y277" s="167">
        <v>0</v>
      </c>
      <c r="Z277" s="167">
        <v>0</v>
      </c>
      <c r="AA277" s="167">
        <v>0</v>
      </c>
    </row>
    <row r="278" spans="1:27" ht="12" customHeight="1" x14ac:dyDescent="0.25">
      <c r="A278" s="155" t="s">
        <v>1352</v>
      </c>
      <c r="B278" s="162" t="s">
        <v>663</v>
      </c>
      <c r="C278" s="164">
        <v>0</v>
      </c>
      <c r="D278" s="164">
        <v>0</v>
      </c>
      <c r="E278" s="164">
        <v>0</v>
      </c>
      <c r="F278" s="164">
        <v>0</v>
      </c>
      <c r="G278" s="164">
        <v>0</v>
      </c>
      <c r="H278" s="164">
        <v>0</v>
      </c>
      <c r="I278" s="164">
        <v>0</v>
      </c>
      <c r="J278" s="164">
        <v>0</v>
      </c>
      <c r="K278" s="164">
        <v>0</v>
      </c>
      <c r="L278" s="164">
        <v>0</v>
      </c>
      <c r="M278" s="164">
        <v>0</v>
      </c>
      <c r="N278" s="164">
        <v>0</v>
      </c>
      <c r="O278" s="164">
        <v>0</v>
      </c>
      <c r="P278" s="164">
        <v>0</v>
      </c>
      <c r="Q278" s="164">
        <v>0</v>
      </c>
      <c r="R278" s="164">
        <v>0</v>
      </c>
      <c r="S278" s="164">
        <v>0</v>
      </c>
      <c r="T278" s="164">
        <v>0</v>
      </c>
      <c r="U278" s="165" t="e">
        <v>#DIV/0!</v>
      </c>
      <c r="V278" s="164">
        <v>0</v>
      </c>
      <c r="W278" s="164">
        <v>0</v>
      </c>
      <c r="X278" s="164">
        <v>0</v>
      </c>
      <c r="Y278" s="164">
        <v>0</v>
      </c>
      <c r="Z278" s="164">
        <v>0</v>
      </c>
      <c r="AA278" s="164">
        <v>0</v>
      </c>
    </row>
    <row r="279" spans="1:27" ht="12" customHeight="1" x14ac:dyDescent="0.25">
      <c r="A279" s="155"/>
      <c r="B279" s="156" t="s">
        <v>664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>
        <v>0</v>
      </c>
      <c r="S279" s="157">
        <v>0</v>
      </c>
      <c r="T279" s="158">
        <v>0</v>
      </c>
      <c r="U279" s="159" t="e">
        <v>#DIV/0!</v>
      </c>
      <c r="V279" s="158">
        <v>0</v>
      </c>
      <c r="W279" s="158">
        <v>0</v>
      </c>
      <c r="X279" s="158">
        <v>0</v>
      </c>
      <c r="Y279" s="158">
        <v>0</v>
      </c>
      <c r="Z279" s="158">
        <v>0</v>
      </c>
      <c r="AA279" s="158">
        <v>0</v>
      </c>
    </row>
    <row r="280" spans="1:27" ht="12" customHeight="1" x14ac:dyDescent="0.25">
      <c r="A280" s="155"/>
      <c r="B280" s="162" t="s">
        <v>665</v>
      </c>
      <c r="C280" s="163">
        <v>0</v>
      </c>
      <c r="D280" s="163">
        <v>0</v>
      </c>
      <c r="E280" s="163">
        <v>0</v>
      </c>
      <c r="F280" s="163">
        <v>0</v>
      </c>
      <c r="G280" s="163">
        <v>0</v>
      </c>
      <c r="H280" s="163">
        <v>0</v>
      </c>
      <c r="I280" s="163">
        <v>0</v>
      </c>
      <c r="J280" s="163">
        <v>0</v>
      </c>
      <c r="K280" s="163">
        <v>0</v>
      </c>
      <c r="L280" s="163">
        <v>0</v>
      </c>
      <c r="M280" s="163">
        <v>0</v>
      </c>
      <c r="N280" s="163">
        <v>0</v>
      </c>
      <c r="O280" s="163">
        <v>0</v>
      </c>
      <c r="P280" s="163">
        <v>0</v>
      </c>
      <c r="Q280" s="163">
        <v>0</v>
      </c>
      <c r="R280" s="163">
        <v>0</v>
      </c>
      <c r="S280" s="163">
        <v>0</v>
      </c>
      <c r="T280" s="164">
        <v>0</v>
      </c>
      <c r="U280" s="165" t="e">
        <v>#DIV/0!</v>
      </c>
      <c r="V280" s="164">
        <v>0</v>
      </c>
      <c r="W280" s="164">
        <v>0</v>
      </c>
      <c r="X280" s="164">
        <v>0</v>
      </c>
      <c r="Y280" s="164">
        <v>0</v>
      </c>
      <c r="Z280" s="164">
        <v>0</v>
      </c>
      <c r="AA280" s="164">
        <v>0</v>
      </c>
    </row>
    <row r="281" spans="1:27" ht="12" customHeight="1" x14ac:dyDescent="0.25">
      <c r="A281" s="155" t="s">
        <v>1353</v>
      </c>
      <c r="B281" s="155" t="s">
        <v>666</v>
      </c>
      <c r="C281" s="167">
        <v>0</v>
      </c>
      <c r="D281" s="167">
        <v>0</v>
      </c>
      <c r="E281" s="167">
        <v>0</v>
      </c>
      <c r="F281" s="167">
        <v>0</v>
      </c>
      <c r="G281" s="167">
        <v>0</v>
      </c>
      <c r="H281" s="167">
        <v>0</v>
      </c>
      <c r="I281" s="167">
        <v>0</v>
      </c>
      <c r="J281" s="167">
        <v>0</v>
      </c>
      <c r="K281" s="167">
        <v>0</v>
      </c>
      <c r="L281" s="167">
        <v>0</v>
      </c>
      <c r="M281" s="167">
        <v>0</v>
      </c>
      <c r="N281" s="167">
        <v>0</v>
      </c>
      <c r="O281" s="167">
        <v>0</v>
      </c>
      <c r="P281" s="167">
        <v>0</v>
      </c>
      <c r="Q281" s="167">
        <v>0</v>
      </c>
      <c r="R281" s="167">
        <v>0</v>
      </c>
      <c r="S281" s="167">
        <v>0</v>
      </c>
      <c r="T281" s="167">
        <v>0</v>
      </c>
      <c r="U281" s="168" t="e">
        <v>#DIV/0!</v>
      </c>
      <c r="V281" s="167">
        <v>0</v>
      </c>
      <c r="W281" s="167">
        <v>0</v>
      </c>
      <c r="X281" s="167">
        <v>0</v>
      </c>
      <c r="Y281" s="167">
        <v>0</v>
      </c>
      <c r="Z281" s="167">
        <v>0</v>
      </c>
      <c r="AA281" s="167">
        <v>0</v>
      </c>
    </row>
    <row r="282" spans="1:27" ht="12" customHeight="1" x14ac:dyDescent="0.25">
      <c r="A282" s="155" t="s">
        <v>1354</v>
      </c>
      <c r="B282" s="155" t="s">
        <v>667</v>
      </c>
      <c r="C282" s="167">
        <v>0</v>
      </c>
      <c r="D282" s="167">
        <v>0</v>
      </c>
      <c r="E282" s="167">
        <v>0</v>
      </c>
      <c r="F282" s="167">
        <v>0</v>
      </c>
      <c r="G282" s="167">
        <v>0</v>
      </c>
      <c r="H282" s="167">
        <v>0</v>
      </c>
      <c r="I282" s="167">
        <v>0</v>
      </c>
      <c r="J282" s="167">
        <v>0</v>
      </c>
      <c r="K282" s="167">
        <v>0</v>
      </c>
      <c r="L282" s="167">
        <v>0</v>
      </c>
      <c r="M282" s="167">
        <v>0</v>
      </c>
      <c r="N282" s="167">
        <v>0</v>
      </c>
      <c r="O282" s="167">
        <v>0</v>
      </c>
      <c r="P282" s="167">
        <v>0</v>
      </c>
      <c r="Q282" s="167">
        <v>0</v>
      </c>
      <c r="R282" s="167">
        <v>0</v>
      </c>
      <c r="S282" s="167">
        <v>0</v>
      </c>
      <c r="T282" s="167">
        <v>0</v>
      </c>
      <c r="U282" s="168" t="e">
        <v>#DIV/0!</v>
      </c>
      <c r="V282" s="167">
        <v>0</v>
      </c>
      <c r="W282" s="167">
        <v>0</v>
      </c>
      <c r="X282" s="167">
        <v>0</v>
      </c>
      <c r="Y282" s="167">
        <v>0</v>
      </c>
      <c r="Z282" s="167">
        <v>0</v>
      </c>
      <c r="AA282" s="167">
        <v>0</v>
      </c>
    </row>
    <row r="283" spans="1:27" ht="12" customHeight="1" x14ac:dyDescent="0.25">
      <c r="A283" s="155" t="s">
        <v>1355</v>
      </c>
      <c r="B283" s="155" t="s">
        <v>668</v>
      </c>
      <c r="C283" s="167">
        <v>0</v>
      </c>
      <c r="D283" s="167">
        <v>0</v>
      </c>
      <c r="E283" s="167">
        <v>0</v>
      </c>
      <c r="F283" s="167">
        <v>0</v>
      </c>
      <c r="G283" s="167">
        <v>0</v>
      </c>
      <c r="H283" s="167">
        <v>0</v>
      </c>
      <c r="I283" s="167">
        <v>0</v>
      </c>
      <c r="J283" s="167">
        <v>0</v>
      </c>
      <c r="K283" s="167">
        <v>0</v>
      </c>
      <c r="L283" s="167">
        <v>0</v>
      </c>
      <c r="M283" s="167">
        <v>0</v>
      </c>
      <c r="N283" s="167">
        <v>0</v>
      </c>
      <c r="O283" s="167">
        <v>0</v>
      </c>
      <c r="P283" s="167">
        <v>0</v>
      </c>
      <c r="Q283" s="167">
        <v>0</v>
      </c>
      <c r="R283" s="167">
        <v>0</v>
      </c>
      <c r="S283" s="167">
        <v>0</v>
      </c>
      <c r="T283" s="167">
        <v>0</v>
      </c>
      <c r="U283" s="168" t="e">
        <v>#DIV/0!</v>
      </c>
      <c r="V283" s="167">
        <v>0</v>
      </c>
      <c r="W283" s="167">
        <v>0</v>
      </c>
      <c r="X283" s="167">
        <v>0</v>
      </c>
      <c r="Y283" s="167">
        <v>0</v>
      </c>
      <c r="Z283" s="167">
        <v>0</v>
      </c>
      <c r="AA283" s="167">
        <v>0</v>
      </c>
    </row>
    <row r="284" spans="1:27" ht="12" customHeight="1" x14ac:dyDescent="0.25">
      <c r="A284" s="155" t="s">
        <v>1356</v>
      </c>
      <c r="B284" s="155" t="s">
        <v>669</v>
      </c>
      <c r="C284" s="167">
        <v>0</v>
      </c>
      <c r="D284" s="167">
        <v>0</v>
      </c>
      <c r="E284" s="167">
        <v>0</v>
      </c>
      <c r="F284" s="167">
        <v>0</v>
      </c>
      <c r="G284" s="167">
        <v>0</v>
      </c>
      <c r="H284" s="167">
        <v>0</v>
      </c>
      <c r="I284" s="167">
        <v>0</v>
      </c>
      <c r="J284" s="167">
        <v>0</v>
      </c>
      <c r="K284" s="167">
        <v>0</v>
      </c>
      <c r="L284" s="167">
        <v>0</v>
      </c>
      <c r="M284" s="167">
        <v>0</v>
      </c>
      <c r="N284" s="167">
        <v>0</v>
      </c>
      <c r="O284" s="167">
        <v>0</v>
      </c>
      <c r="P284" s="167">
        <v>0</v>
      </c>
      <c r="Q284" s="167">
        <v>0</v>
      </c>
      <c r="R284" s="167">
        <v>0</v>
      </c>
      <c r="S284" s="167">
        <v>0</v>
      </c>
      <c r="T284" s="167">
        <v>0</v>
      </c>
      <c r="U284" s="168" t="e">
        <v>#DIV/0!</v>
      </c>
      <c r="V284" s="167">
        <v>0</v>
      </c>
      <c r="W284" s="167">
        <v>0</v>
      </c>
      <c r="X284" s="167">
        <v>0</v>
      </c>
      <c r="Y284" s="167">
        <v>0</v>
      </c>
      <c r="Z284" s="167">
        <v>0</v>
      </c>
      <c r="AA284" s="167">
        <v>0</v>
      </c>
    </row>
    <row r="285" spans="1:27" ht="12" customHeight="1" x14ac:dyDescent="0.25">
      <c r="A285" s="155" t="s">
        <v>1357</v>
      </c>
      <c r="B285" s="155" t="s">
        <v>670</v>
      </c>
      <c r="C285" s="167">
        <v>0</v>
      </c>
      <c r="D285" s="167">
        <v>0</v>
      </c>
      <c r="E285" s="167">
        <v>0</v>
      </c>
      <c r="F285" s="167">
        <v>0</v>
      </c>
      <c r="G285" s="167">
        <v>0</v>
      </c>
      <c r="H285" s="167">
        <v>0</v>
      </c>
      <c r="I285" s="167">
        <v>0</v>
      </c>
      <c r="J285" s="167">
        <v>0</v>
      </c>
      <c r="K285" s="167">
        <v>0</v>
      </c>
      <c r="L285" s="167">
        <v>0</v>
      </c>
      <c r="M285" s="167">
        <v>0</v>
      </c>
      <c r="N285" s="167">
        <v>0</v>
      </c>
      <c r="O285" s="167">
        <v>0</v>
      </c>
      <c r="P285" s="167">
        <v>0</v>
      </c>
      <c r="Q285" s="167">
        <v>0</v>
      </c>
      <c r="R285" s="167">
        <v>0</v>
      </c>
      <c r="S285" s="167">
        <v>0</v>
      </c>
      <c r="T285" s="167">
        <v>0</v>
      </c>
      <c r="U285" s="168" t="e">
        <v>#DIV/0!</v>
      </c>
      <c r="V285" s="167">
        <v>0</v>
      </c>
      <c r="W285" s="167">
        <v>0</v>
      </c>
      <c r="X285" s="167">
        <v>0</v>
      </c>
      <c r="Y285" s="167">
        <v>0</v>
      </c>
      <c r="Z285" s="167">
        <v>0</v>
      </c>
      <c r="AA285" s="167">
        <v>0</v>
      </c>
    </row>
    <row r="286" spans="1:27" ht="12" customHeight="1" x14ac:dyDescent="0.25">
      <c r="A286" s="155" t="s">
        <v>1358</v>
      </c>
      <c r="B286" s="155" t="s">
        <v>671</v>
      </c>
      <c r="C286" s="167">
        <v>0</v>
      </c>
      <c r="D286" s="167">
        <v>0</v>
      </c>
      <c r="E286" s="167">
        <v>0</v>
      </c>
      <c r="F286" s="167">
        <v>0</v>
      </c>
      <c r="G286" s="167">
        <v>0</v>
      </c>
      <c r="H286" s="167">
        <v>0</v>
      </c>
      <c r="I286" s="167">
        <v>0</v>
      </c>
      <c r="J286" s="167">
        <v>0</v>
      </c>
      <c r="K286" s="167">
        <v>0</v>
      </c>
      <c r="L286" s="167">
        <v>0</v>
      </c>
      <c r="M286" s="167">
        <v>0</v>
      </c>
      <c r="N286" s="167">
        <v>0</v>
      </c>
      <c r="O286" s="167">
        <v>0</v>
      </c>
      <c r="P286" s="167">
        <v>0</v>
      </c>
      <c r="Q286" s="167">
        <v>0</v>
      </c>
      <c r="R286" s="167">
        <v>0</v>
      </c>
      <c r="S286" s="167">
        <v>0</v>
      </c>
      <c r="T286" s="167">
        <v>0</v>
      </c>
      <c r="U286" s="168" t="e">
        <v>#DIV/0!</v>
      </c>
      <c r="V286" s="167">
        <v>0</v>
      </c>
      <c r="W286" s="167">
        <v>0</v>
      </c>
      <c r="X286" s="167">
        <v>0</v>
      </c>
      <c r="Y286" s="167">
        <v>0</v>
      </c>
      <c r="Z286" s="167">
        <v>0</v>
      </c>
      <c r="AA286" s="167">
        <v>0</v>
      </c>
    </row>
    <row r="287" spans="1:27" ht="12" customHeight="1" x14ac:dyDescent="0.25">
      <c r="A287" s="155" t="s">
        <v>1359</v>
      </c>
      <c r="B287" s="155" t="s">
        <v>672</v>
      </c>
      <c r="C287" s="167">
        <v>0</v>
      </c>
      <c r="D287" s="167">
        <v>0</v>
      </c>
      <c r="E287" s="167">
        <v>0</v>
      </c>
      <c r="F287" s="167">
        <v>0</v>
      </c>
      <c r="G287" s="167">
        <v>0</v>
      </c>
      <c r="H287" s="167">
        <v>0</v>
      </c>
      <c r="I287" s="167">
        <v>0</v>
      </c>
      <c r="J287" s="167">
        <v>0</v>
      </c>
      <c r="K287" s="167">
        <v>0</v>
      </c>
      <c r="L287" s="167">
        <v>0</v>
      </c>
      <c r="M287" s="167">
        <v>0</v>
      </c>
      <c r="N287" s="167">
        <v>0</v>
      </c>
      <c r="O287" s="167">
        <v>0</v>
      </c>
      <c r="P287" s="167">
        <v>0</v>
      </c>
      <c r="Q287" s="167">
        <v>0</v>
      </c>
      <c r="R287" s="167">
        <v>0</v>
      </c>
      <c r="S287" s="167">
        <v>0</v>
      </c>
      <c r="T287" s="167">
        <v>0</v>
      </c>
      <c r="U287" s="168" t="e">
        <v>#DIV/0!</v>
      </c>
      <c r="V287" s="167">
        <v>0</v>
      </c>
      <c r="W287" s="167">
        <v>0</v>
      </c>
      <c r="X287" s="167">
        <v>0</v>
      </c>
      <c r="Y287" s="167">
        <v>0</v>
      </c>
      <c r="Z287" s="167">
        <v>0</v>
      </c>
      <c r="AA287" s="167">
        <v>0</v>
      </c>
    </row>
    <row r="288" spans="1:27" ht="12" customHeight="1" x14ac:dyDescent="0.25">
      <c r="A288" s="155" t="s">
        <v>1360</v>
      </c>
      <c r="B288" s="155" t="s">
        <v>673</v>
      </c>
      <c r="C288" s="167">
        <v>0</v>
      </c>
      <c r="D288" s="167">
        <v>0</v>
      </c>
      <c r="E288" s="167">
        <v>0</v>
      </c>
      <c r="F288" s="167">
        <v>0</v>
      </c>
      <c r="G288" s="167">
        <v>0</v>
      </c>
      <c r="H288" s="167">
        <v>0</v>
      </c>
      <c r="I288" s="167">
        <v>0</v>
      </c>
      <c r="J288" s="167">
        <v>0</v>
      </c>
      <c r="K288" s="167">
        <v>0</v>
      </c>
      <c r="L288" s="167">
        <v>0</v>
      </c>
      <c r="M288" s="167">
        <v>0</v>
      </c>
      <c r="N288" s="167">
        <v>0</v>
      </c>
      <c r="O288" s="167">
        <v>0</v>
      </c>
      <c r="P288" s="167">
        <v>0</v>
      </c>
      <c r="Q288" s="167">
        <v>0</v>
      </c>
      <c r="R288" s="167">
        <v>0</v>
      </c>
      <c r="S288" s="167">
        <v>0</v>
      </c>
      <c r="T288" s="167">
        <v>0</v>
      </c>
      <c r="U288" s="168" t="e">
        <v>#DIV/0!</v>
      </c>
      <c r="V288" s="167">
        <v>0</v>
      </c>
      <c r="W288" s="167">
        <v>0</v>
      </c>
      <c r="X288" s="167">
        <v>0</v>
      </c>
      <c r="Y288" s="167">
        <v>0</v>
      </c>
      <c r="Z288" s="167">
        <v>0</v>
      </c>
      <c r="AA288" s="167">
        <v>0</v>
      </c>
    </row>
    <row r="289" spans="1:27" ht="12" customHeight="1" x14ac:dyDescent="0.25">
      <c r="A289" s="155" t="s">
        <v>1361</v>
      </c>
      <c r="B289" s="155" t="s">
        <v>674</v>
      </c>
      <c r="C289" s="167">
        <v>0</v>
      </c>
      <c r="D289" s="167">
        <v>0</v>
      </c>
      <c r="E289" s="167">
        <v>0</v>
      </c>
      <c r="F289" s="167">
        <v>0</v>
      </c>
      <c r="G289" s="167">
        <v>0</v>
      </c>
      <c r="H289" s="167">
        <v>0</v>
      </c>
      <c r="I289" s="167">
        <v>0</v>
      </c>
      <c r="J289" s="167">
        <v>0</v>
      </c>
      <c r="K289" s="167">
        <v>0</v>
      </c>
      <c r="L289" s="167">
        <v>0</v>
      </c>
      <c r="M289" s="167">
        <v>0</v>
      </c>
      <c r="N289" s="167">
        <v>0</v>
      </c>
      <c r="O289" s="167">
        <v>0</v>
      </c>
      <c r="P289" s="167">
        <v>0</v>
      </c>
      <c r="Q289" s="167">
        <v>0</v>
      </c>
      <c r="R289" s="167">
        <v>0</v>
      </c>
      <c r="S289" s="167">
        <v>0</v>
      </c>
      <c r="T289" s="167">
        <v>0</v>
      </c>
      <c r="U289" s="168" t="e">
        <v>#DIV/0!</v>
      </c>
      <c r="V289" s="167">
        <v>0</v>
      </c>
      <c r="W289" s="167">
        <v>0</v>
      </c>
      <c r="X289" s="167">
        <v>0</v>
      </c>
      <c r="Y289" s="167">
        <v>0</v>
      </c>
      <c r="Z289" s="167">
        <v>0</v>
      </c>
      <c r="AA289" s="167">
        <v>0</v>
      </c>
    </row>
    <row r="290" spans="1:27" ht="12" customHeight="1" x14ac:dyDescent="0.25">
      <c r="A290" s="155" t="s">
        <v>1362</v>
      </c>
      <c r="B290" s="155" t="s">
        <v>675</v>
      </c>
      <c r="C290" s="167">
        <v>0</v>
      </c>
      <c r="D290" s="167">
        <v>0</v>
      </c>
      <c r="E290" s="167">
        <v>0</v>
      </c>
      <c r="F290" s="167">
        <v>0</v>
      </c>
      <c r="G290" s="167">
        <v>0</v>
      </c>
      <c r="H290" s="167">
        <v>0</v>
      </c>
      <c r="I290" s="167">
        <v>0</v>
      </c>
      <c r="J290" s="167">
        <v>0</v>
      </c>
      <c r="K290" s="167">
        <v>0</v>
      </c>
      <c r="L290" s="167">
        <v>0</v>
      </c>
      <c r="M290" s="167">
        <v>0</v>
      </c>
      <c r="N290" s="167">
        <v>0</v>
      </c>
      <c r="O290" s="167">
        <v>0</v>
      </c>
      <c r="P290" s="167">
        <v>0</v>
      </c>
      <c r="Q290" s="167">
        <v>0</v>
      </c>
      <c r="R290" s="167">
        <v>0</v>
      </c>
      <c r="S290" s="167">
        <v>0</v>
      </c>
      <c r="T290" s="167">
        <v>0</v>
      </c>
      <c r="U290" s="168" t="e">
        <v>#DIV/0!</v>
      </c>
      <c r="V290" s="167">
        <v>0</v>
      </c>
      <c r="W290" s="167">
        <v>0</v>
      </c>
      <c r="X290" s="167">
        <v>0</v>
      </c>
      <c r="Y290" s="167">
        <v>0</v>
      </c>
      <c r="Z290" s="167">
        <v>0</v>
      </c>
      <c r="AA290" s="167">
        <v>0</v>
      </c>
    </row>
    <row r="291" spans="1:27" ht="12" customHeight="1" x14ac:dyDescent="0.25">
      <c r="A291" s="155" t="s">
        <v>1363</v>
      </c>
      <c r="B291" s="155" t="s">
        <v>676</v>
      </c>
      <c r="C291" s="167">
        <v>0</v>
      </c>
      <c r="D291" s="167">
        <v>0</v>
      </c>
      <c r="E291" s="167">
        <v>0</v>
      </c>
      <c r="F291" s="167">
        <v>0</v>
      </c>
      <c r="G291" s="167">
        <v>0</v>
      </c>
      <c r="H291" s="167">
        <v>0</v>
      </c>
      <c r="I291" s="167">
        <v>0</v>
      </c>
      <c r="J291" s="167">
        <v>0</v>
      </c>
      <c r="K291" s="167">
        <v>0</v>
      </c>
      <c r="L291" s="167">
        <v>0</v>
      </c>
      <c r="M291" s="167">
        <v>0</v>
      </c>
      <c r="N291" s="167">
        <v>0</v>
      </c>
      <c r="O291" s="167">
        <v>0</v>
      </c>
      <c r="P291" s="167">
        <v>0</v>
      </c>
      <c r="Q291" s="167">
        <v>0</v>
      </c>
      <c r="R291" s="167">
        <v>0</v>
      </c>
      <c r="S291" s="167">
        <v>0</v>
      </c>
      <c r="T291" s="167">
        <v>0</v>
      </c>
      <c r="U291" s="168" t="e">
        <v>#DIV/0!</v>
      </c>
      <c r="V291" s="167">
        <v>0</v>
      </c>
      <c r="W291" s="167">
        <v>0</v>
      </c>
      <c r="X291" s="167">
        <v>0</v>
      </c>
      <c r="Y291" s="167">
        <v>0</v>
      </c>
      <c r="Z291" s="167">
        <v>0</v>
      </c>
      <c r="AA291" s="167">
        <v>0</v>
      </c>
    </row>
    <row r="292" spans="1:27" ht="12" customHeight="1" x14ac:dyDescent="0.25">
      <c r="A292" s="155" t="s">
        <v>1364</v>
      </c>
      <c r="B292" s="155" t="s">
        <v>677</v>
      </c>
      <c r="C292" s="167">
        <v>0</v>
      </c>
      <c r="D292" s="167">
        <v>0</v>
      </c>
      <c r="E292" s="167">
        <v>0</v>
      </c>
      <c r="F292" s="167">
        <v>0</v>
      </c>
      <c r="G292" s="167">
        <v>0</v>
      </c>
      <c r="H292" s="167">
        <v>0</v>
      </c>
      <c r="I292" s="167">
        <v>0</v>
      </c>
      <c r="J292" s="167">
        <v>0</v>
      </c>
      <c r="K292" s="167">
        <v>0</v>
      </c>
      <c r="L292" s="167">
        <v>0</v>
      </c>
      <c r="M292" s="167">
        <v>0</v>
      </c>
      <c r="N292" s="167">
        <v>0</v>
      </c>
      <c r="O292" s="167">
        <v>0</v>
      </c>
      <c r="P292" s="167">
        <v>0</v>
      </c>
      <c r="Q292" s="167">
        <v>0</v>
      </c>
      <c r="R292" s="167">
        <v>0</v>
      </c>
      <c r="S292" s="167">
        <v>0</v>
      </c>
      <c r="T292" s="167">
        <v>0</v>
      </c>
      <c r="U292" s="168" t="e">
        <v>#DIV/0!</v>
      </c>
      <c r="V292" s="167">
        <v>0</v>
      </c>
      <c r="W292" s="167">
        <v>0</v>
      </c>
      <c r="X292" s="167">
        <v>0</v>
      </c>
      <c r="Y292" s="167">
        <v>0</v>
      </c>
      <c r="Z292" s="167">
        <v>0</v>
      </c>
      <c r="AA292" s="167">
        <v>0</v>
      </c>
    </row>
    <row r="293" spans="1:27" ht="12" customHeight="1" x14ac:dyDescent="0.25">
      <c r="A293" s="155" t="s">
        <v>1365</v>
      </c>
      <c r="B293" s="155" t="s">
        <v>678</v>
      </c>
      <c r="C293" s="167">
        <v>0</v>
      </c>
      <c r="D293" s="167">
        <v>0</v>
      </c>
      <c r="E293" s="167">
        <v>0</v>
      </c>
      <c r="F293" s="167">
        <v>0</v>
      </c>
      <c r="G293" s="167">
        <v>0</v>
      </c>
      <c r="H293" s="167">
        <v>0</v>
      </c>
      <c r="I293" s="167">
        <v>0</v>
      </c>
      <c r="J293" s="167">
        <v>0</v>
      </c>
      <c r="K293" s="167">
        <v>0</v>
      </c>
      <c r="L293" s="167">
        <v>0</v>
      </c>
      <c r="M293" s="167">
        <v>0</v>
      </c>
      <c r="N293" s="167">
        <v>0</v>
      </c>
      <c r="O293" s="167">
        <v>0</v>
      </c>
      <c r="P293" s="167">
        <v>0</v>
      </c>
      <c r="Q293" s="167">
        <v>0</v>
      </c>
      <c r="R293" s="167">
        <v>0</v>
      </c>
      <c r="S293" s="167">
        <v>0</v>
      </c>
      <c r="T293" s="167">
        <v>0</v>
      </c>
      <c r="U293" s="168" t="e">
        <v>#DIV/0!</v>
      </c>
      <c r="V293" s="167">
        <v>0</v>
      </c>
      <c r="W293" s="167">
        <v>0</v>
      </c>
      <c r="X293" s="167">
        <v>0</v>
      </c>
      <c r="Y293" s="167">
        <v>0</v>
      </c>
      <c r="Z293" s="167">
        <v>0</v>
      </c>
      <c r="AA293" s="167">
        <v>0</v>
      </c>
    </row>
    <row r="294" spans="1:27" ht="12" customHeight="1" x14ac:dyDescent="0.25">
      <c r="A294" s="155" t="s">
        <v>1366</v>
      </c>
      <c r="B294" s="155" t="s">
        <v>679</v>
      </c>
      <c r="C294" s="167">
        <v>0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0</v>
      </c>
      <c r="K294" s="167">
        <v>0</v>
      </c>
      <c r="L294" s="167">
        <v>0</v>
      </c>
      <c r="M294" s="167">
        <v>0</v>
      </c>
      <c r="N294" s="167">
        <v>0</v>
      </c>
      <c r="O294" s="167">
        <v>0</v>
      </c>
      <c r="P294" s="167">
        <v>0</v>
      </c>
      <c r="Q294" s="167">
        <v>0</v>
      </c>
      <c r="R294" s="167">
        <v>0</v>
      </c>
      <c r="S294" s="167">
        <v>0</v>
      </c>
      <c r="T294" s="167">
        <v>0</v>
      </c>
      <c r="U294" s="168" t="e">
        <v>#DIV/0!</v>
      </c>
      <c r="V294" s="167">
        <v>0</v>
      </c>
      <c r="W294" s="167">
        <v>0</v>
      </c>
      <c r="X294" s="167">
        <v>0</v>
      </c>
      <c r="Y294" s="167">
        <v>0</v>
      </c>
      <c r="Z294" s="167">
        <v>0</v>
      </c>
      <c r="AA294" s="167">
        <v>0</v>
      </c>
    </row>
    <row r="295" spans="1:27" ht="12" customHeight="1" x14ac:dyDescent="0.25">
      <c r="A295" s="155" t="s">
        <v>1367</v>
      </c>
      <c r="B295" s="155" t="s">
        <v>680</v>
      </c>
      <c r="C295" s="167">
        <v>0</v>
      </c>
      <c r="D295" s="167">
        <v>0</v>
      </c>
      <c r="E295" s="167">
        <v>0</v>
      </c>
      <c r="F295" s="167">
        <v>0</v>
      </c>
      <c r="G295" s="167">
        <v>0</v>
      </c>
      <c r="H295" s="167">
        <v>0</v>
      </c>
      <c r="I295" s="167">
        <v>0</v>
      </c>
      <c r="J295" s="167">
        <v>0</v>
      </c>
      <c r="K295" s="167">
        <v>0</v>
      </c>
      <c r="L295" s="167">
        <v>0</v>
      </c>
      <c r="M295" s="167">
        <v>0</v>
      </c>
      <c r="N295" s="167">
        <v>0</v>
      </c>
      <c r="O295" s="167">
        <v>0</v>
      </c>
      <c r="P295" s="167">
        <v>0</v>
      </c>
      <c r="Q295" s="167">
        <v>0</v>
      </c>
      <c r="R295" s="167">
        <v>0</v>
      </c>
      <c r="S295" s="167">
        <v>0</v>
      </c>
      <c r="T295" s="167">
        <v>0</v>
      </c>
      <c r="U295" s="168" t="e">
        <v>#DIV/0!</v>
      </c>
      <c r="V295" s="167">
        <v>0</v>
      </c>
      <c r="W295" s="167">
        <v>0</v>
      </c>
      <c r="X295" s="167">
        <v>0</v>
      </c>
      <c r="Y295" s="167">
        <v>0</v>
      </c>
      <c r="Z295" s="167">
        <v>0</v>
      </c>
      <c r="AA295" s="167">
        <v>0</v>
      </c>
    </row>
    <row r="296" spans="1:27" ht="12" customHeight="1" x14ac:dyDescent="0.25">
      <c r="A296" s="155" t="s">
        <v>1368</v>
      </c>
      <c r="B296" s="155" t="s">
        <v>681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0</v>
      </c>
      <c r="K296" s="167">
        <v>0</v>
      </c>
      <c r="L296" s="167">
        <v>0</v>
      </c>
      <c r="M296" s="167">
        <v>0</v>
      </c>
      <c r="N296" s="167">
        <v>0</v>
      </c>
      <c r="O296" s="167">
        <v>0</v>
      </c>
      <c r="P296" s="167">
        <v>0</v>
      </c>
      <c r="Q296" s="167">
        <v>0</v>
      </c>
      <c r="R296" s="167">
        <v>0</v>
      </c>
      <c r="S296" s="167">
        <v>0</v>
      </c>
      <c r="T296" s="167">
        <v>0</v>
      </c>
      <c r="U296" s="168" t="e">
        <v>#DIV/0!</v>
      </c>
      <c r="V296" s="167">
        <v>0</v>
      </c>
      <c r="W296" s="167">
        <v>0</v>
      </c>
      <c r="X296" s="167">
        <v>0</v>
      </c>
      <c r="Y296" s="167">
        <v>0</v>
      </c>
      <c r="Z296" s="167">
        <v>0</v>
      </c>
      <c r="AA296" s="167">
        <v>0</v>
      </c>
    </row>
    <row r="297" spans="1:27" ht="12" customHeight="1" x14ac:dyDescent="0.25">
      <c r="A297" s="155" t="s">
        <v>1369</v>
      </c>
      <c r="B297" s="155" t="s">
        <v>682</v>
      </c>
      <c r="C297" s="167">
        <v>0</v>
      </c>
      <c r="D297" s="167">
        <v>0</v>
      </c>
      <c r="E297" s="167">
        <v>0</v>
      </c>
      <c r="F297" s="167">
        <v>0</v>
      </c>
      <c r="G297" s="167">
        <v>0</v>
      </c>
      <c r="H297" s="167">
        <v>0</v>
      </c>
      <c r="I297" s="167">
        <v>0</v>
      </c>
      <c r="J297" s="167">
        <v>0</v>
      </c>
      <c r="K297" s="167">
        <v>0</v>
      </c>
      <c r="L297" s="167">
        <v>0</v>
      </c>
      <c r="M297" s="167">
        <v>0</v>
      </c>
      <c r="N297" s="167">
        <v>0</v>
      </c>
      <c r="O297" s="167">
        <v>0</v>
      </c>
      <c r="P297" s="167">
        <v>0</v>
      </c>
      <c r="Q297" s="167">
        <v>0</v>
      </c>
      <c r="R297" s="167">
        <v>0</v>
      </c>
      <c r="S297" s="167">
        <v>0</v>
      </c>
      <c r="T297" s="167">
        <v>0</v>
      </c>
      <c r="U297" s="168" t="e">
        <v>#DIV/0!</v>
      </c>
      <c r="V297" s="167">
        <v>0</v>
      </c>
      <c r="W297" s="167">
        <v>0</v>
      </c>
      <c r="X297" s="167">
        <v>0</v>
      </c>
      <c r="Y297" s="167">
        <v>0</v>
      </c>
      <c r="Z297" s="167">
        <v>0</v>
      </c>
      <c r="AA297" s="167">
        <v>0</v>
      </c>
    </row>
    <row r="298" spans="1:27" ht="12" customHeight="1" x14ac:dyDescent="0.25">
      <c r="A298" s="155" t="s">
        <v>1370</v>
      </c>
      <c r="B298" s="155" t="s">
        <v>683</v>
      </c>
      <c r="C298" s="167">
        <v>0</v>
      </c>
      <c r="D298" s="167">
        <v>0</v>
      </c>
      <c r="E298" s="167">
        <v>0</v>
      </c>
      <c r="F298" s="167">
        <v>0</v>
      </c>
      <c r="G298" s="167">
        <v>0</v>
      </c>
      <c r="H298" s="167">
        <v>0</v>
      </c>
      <c r="I298" s="167">
        <v>0</v>
      </c>
      <c r="J298" s="167">
        <v>0</v>
      </c>
      <c r="K298" s="167">
        <v>0</v>
      </c>
      <c r="L298" s="167">
        <v>0</v>
      </c>
      <c r="M298" s="167">
        <v>0</v>
      </c>
      <c r="N298" s="167">
        <v>0</v>
      </c>
      <c r="O298" s="167">
        <v>0</v>
      </c>
      <c r="P298" s="167">
        <v>0</v>
      </c>
      <c r="Q298" s="167">
        <v>0</v>
      </c>
      <c r="R298" s="167">
        <v>0</v>
      </c>
      <c r="S298" s="167">
        <v>0</v>
      </c>
      <c r="T298" s="167">
        <v>0</v>
      </c>
      <c r="U298" s="168" t="e">
        <v>#DIV/0!</v>
      </c>
      <c r="V298" s="167">
        <v>0</v>
      </c>
      <c r="W298" s="167">
        <v>0</v>
      </c>
      <c r="X298" s="167">
        <v>0</v>
      </c>
      <c r="Y298" s="167">
        <v>0</v>
      </c>
      <c r="Z298" s="167">
        <v>0</v>
      </c>
      <c r="AA298" s="167">
        <v>0</v>
      </c>
    </row>
    <row r="299" spans="1:27" ht="12" customHeight="1" x14ac:dyDescent="0.25">
      <c r="A299" s="155"/>
      <c r="B299" s="171" t="s">
        <v>684</v>
      </c>
      <c r="C299" s="172">
        <v>0</v>
      </c>
      <c r="D299" s="172">
        <v>0</v>
      </c>
      <c r="E299" s="172">
        <v>0</v>
      </c>
      <c r="F299" s="172">
        <v>0</v>
      </c>
      <c r="G299" s="172">
        <v>0</v>
      </c>
      <c r="H299" s="172">
        <v>0</v>
      </c>
      <c r="I299" s="172">
        <v>0</v>
      </c>
      <c r="J299" s="172">
        <v>0</v>
      </c>
      <c r="K299" s="172">
        <v>0</v>
      </c>
      <c r="L299" s="172">
        <v>0</v>
      </c>
      <c r="M299" s="172">
        <v>0</v>
      </c>
      <c r="N299" s="172">
        <v>0</v>
      </c>
      <c r="O299" s="172">
        <v>0</v>
      </c>
      <c r="P299" s="172">
        <v>0</v>
      </c>
      <c r="Q299" s="172">
        <v>0</v>
      </c>
      <c r="R299" s="172">
        <v>0</v>
      </c>
      <c r="S299" s="172">
        <v>0</v>
      </c>
      <c r="T299" s="173">
        <v>0</v>
      </c>
      <c r="U299" s="174" t="e">
        <v>#DIV/0!</v>
      </c>
      <c r="V299" s="173">
        <v>0</v>
      </c>
      <c r="W299" s="173">
        <v>0</v>
      </c>
      <c r="X299" s="173">
        <v>0</v>
      </c>
      <c r="Y299" s="173">
        <v>0</v>
      </c>
      <c r="Z299" s="173">
        <v>0</v>
      </c>
      <c r="AA299" s="173">
        <v>0</v>
      </c>
    </row>
    <row r="300" spans="1:27" ht="12" customHeight="1" x14ac:dyDescent="0.25">
      <c r="A300" s="155" t="s">
        <v>1371</v>
      </c>
      <c r="B300" s="162" t="s">
        <v>685</v>
      </c>
      <c r="C300" s="164">
        <v>0</v>
      </c>
      <c r="D300" s="164">
        <v>0</v>
      </c>
      <c r="E300" s="164">
        <v>0</v>
      </c>
      <c r="F300" s="164">
        <v>0</v>
      </c>
      <c r="G300" s="164">
        <v>0</v>
      </c>
      <c r="H300" s="164">
        <v>0</v>
      </c>
      <c r="I300" s="164">
        <v>0</v>
      </c>
      <c r="J300" s="164">
        <v>0</v>
      </c>
      <c r="K300" s="164">
        <v>0</v>
      </c>
      <c r="L300" s="164">
        <v>0</v>
      </c>
      <c r="M300" s="164">
        <v>0</v>
      </c>
      <c r="N300" s="164">
        <v>0</v>
      </c>
      <c r="O300" s="164">
        <v>0</v>
      </c>
      <c r="P300" s="164">
        <v>0</v>
      </c>
      <c r="Q300" s="164">
        <v>0</v>
      </c>
      <c r="R300" s="164">
        <v>0</v>
      </c>
      <c r="S300" s="164">
        <v>0</v>
      </c>
      <c r="T300" s="164">
        <v>0</v>
      </c>
      <c r="U300" s="165" t="e">
        <v>#DIV/0!</v>
      </c>
      <c r="V300" s="164">
        <v>0</v>
      </c>
      <c r="W300" s="164">
        <v>0</v>
      </c>
      <c r="X300" s="164">
        <v>0</v>
      </c>
      <c r="Y300" s="164">
        <v>0</v>
      </c>
      <c r="Z300" s="164">
        <v>0</v>
      </c>
      <c r="AA300" s="164">
        <v>0</v>
      </c>
    </row>
    <row r="301" spans="1:27" ht="12" customHeight="1" x14ac:dyDescent="0.25">
      <c r="A301" s="155"/>
      <c r="B301" s="162" t="s">
        <v>686</v>
      </c>
      <c r="C301" s="163">
        <v>0</v>
      </c>
      <c r="D301" s="163">
        <v>0</v>
      </c>
      <c r="E301" s="163">
        <v>0</v>
      </c>
      <c r="F301" s="163">
        <v>0</v>
      </c>
      <c r="G301" s="163">
        <v>0</v>
      </c>
      <c r="H301" s="163">
        <v>0</v>
      </c>
      <c r="I301" s="163">
        <v>0</v>
      </c>
      <c r="J301" s="163">
        <v>0</v>
      </c>
      <c r="K301" s="163">
        <v>0</v>
      </c>
      <c r="L301" s="163">
        <v>0</v>
      </c>
      <c r="M301" s="163">
        <v>0</v>
      </c>
      <c r="N301" s="163">
        <v>0</v>
      </c>
      <c r="O301" s="163">
        <v>0</v>
      </c>
      <c r="P301" s="163">
        <v>0</v>
      </c>
      <c r="Q301" s="163">
        <v>0</v>
      </c>
      <c r="R301" s="163">
        <v>0</v>
      </c>
      <c r="S301" s="163">
        <v>0</v>
      </c>
      <c r="T301" s="164">
        <v>0</v>
      </c>
      <c r="U301" s="165" t="e">
        <v>#DIV/0!</v>
      </c>
      <c r="V301" s="164">
        <v>0</v>
      </c>
      <c r="W301" s="164">
        <v>0</v>
      </c>
      <c r="X301" s="164">
        <v>0</v>
      </c>
      <c r="Y301" s="164">
        <v>0</v>
      </c>
      <c r="Z301" s="164">
        <v>0</v>
      </c>
      <c r="AA301" s="164">
        <v>0</v>
      </c>
    </row>
    <row r="302" spans="1:27" ht="12" customHeight="1" x14ac:dyDescent="0.25">
      <c r="A302" s="155" t="s">
        <v>1372</v>
      </c>
      <c r="B302" s="155" t="s">
        <v>687</v>
      </c>
      <c r="C302" s="167">
        <v>0</v>
      </c>
      <c r="D302" s="167">
        <v>0</v>
      </c>
      <c r="E302" s="167">
        <v>0</v>
      </c>
      <c r="F302" s="167">
        <v>0</v>
      </c>
      <c r="G302" s="167">
        <v>0</v>
      </c>
      <c r="H302" s="167">
        <v>0</v>
      </c>
      <c r="I302" s="167">
        <v>0</v>
      </c>
      <c r="J302" s="167">
        <v>0</v>
      </c>
      <c r="K302" s="167">
        <v>0</v>
      </c>
      <c r="L302" s="167">
        <v>0</v>
      </c>
      <c r="M302" s="167">
        <v>0</v>
      </c>
      <c r="N302" s="167">
        <v>0</v>
      </c>
      <c r="O302" s="167">
        <v>0</v>
      </c>
      <c r="P302" s="167">
        <v>0</v>
      </c>
      <c r="Q302" s="167">
        <v>0</v>
      </c>
      <c r="R302" s="167">
        <v>0</v>
      </c>
      <c r="S302" s="167">
        <v>0</v>
      </c>
      <c r="T302" s="167">
        <v>0</v>
      </c>
      <c r="U302" s="168" t="e">
        <v>#DIV/0!</v>
      </c>
      <c r="V302" s="167">
        <v>0</v>
      </c>
      <c r="W302" s="167">
        <v>0</v>
      </c>
      <c r="X302" s="167">
        <v>0</v>
      </c>
      <c r="Y302" s="167">
        <v>0</v>
      </c>
      <c r="Z302" s="167">
        <v>0</v>
      </c>
      <c r="AA302" s="167">
        <v>0</v>
      </c>
    </row>
    <row r="303" spans="1:27" ht="12" customHeight="1" x14ac:dyDescent="0.25">
      <c r="A303" s="155" t="s">
        <v>1373</v>
      </c>
      <c r="B303" s="155" t="s">
        <v>688</v>
      </c>
      <c r="C303" s="167">
        <v>0</v>
      </c>
      <c r="D303" s="167">
        <v>0</v>
      </c>
      <c r="E303" s="167">
        <v>0</v>
      </c>
      <c r="F303" s="167">
        <v>0</v>
      </c>
      <c r="G303" s="167">
        <v>0</v>
      </c>
      <c r="H303" s="167">
        <v>0</v>
      </c>
      <c r="I303" s="167">
        <v>0</v>
      </c>
      <c r="J303" s="167">
        <v>0</v>
      </c>
      <c r="K303" s="167">
        <v>0</v>
      </c>
      <c r="L303" s="167">
        <v>0</v>
      </c>
      <c r="M303" s="167">
        <v>0</v>
      </c>
      <c r="N303" s="167">
        <v>0</v>
      </c>
      <c r="O303" s="167">
        <v>0</v>
      </c>
      <c r="P303" s="167">
        <v>0</v>
      </c>
      <c r="Q303" s="167">
        <v>0</v>
      </c>
      <c r="R303" s="167">
        <v>0</v>
      </c>
      <c r="S303" s="167">
        <v>0</v>
      </c>
      <c r="T303" s="167">
        <v>0</v>
      </c>
      <c r="U303" s="168" t="e">
        <v>#DIV/0!</v>
      </c>
      <c r="V303" s="167">
        <v>0</v>
      </c>
      <c r="W303" s="167">
        <v>0</v>
      </c>
      <c r="X303" s="167">
        <v>0</v>
      </c>
      <c r="Y303" s="167">
        <v>0</v>
      </c>
      <c r="Z303" s="167">
        <v>0</v>
      </c>
      <c r="AA303" s="167">
        <v>0</v>
      </c>
    </row>
    <row r="304" spans="1:27" ht="12" customHeight="1" x14ac:dyDescent="0.25">
      <c r="A304" s="155" t="s">
        <v>1374</v>
      </c>
      <c r="B304" s="155" t="s">
        <v>689</v>
      </c>
      <c r="C304" s="167">
        <v>0</v>
      </c>
      <c r="D304" s="167">
        <v>0</v>
      </c>
      <c r="E304" s="167">
        <v>0</v>
      </c>
      <c r="F304" s="167">
        <v>0</v>
      </c>
      <c r="G304" s="167">
        <v>0</v>
      </c>
      <c r="H304" s="167">
        <v>0</v>
      </c>
      <c r="I304" s="167">
        <v>0</v>
      </c>
      <c r="J304" s="167">
        <v>0</v>
      </c>
      <c r="K304" s="167">
        <v>0</v>
      </c>
      <c r="L304" s="167">
        <v>0</v>
      </c>
      <c r="M304" s="167">
        <v>0</v>
      </c>
      <c r="N304" s="167">
        <v>0</v>
      </c>
      <c r="O304" s="167">
        <v>0</v>
      </c>
      <c r="P304" s="167">
        <v>0</v>
      </c>
      <c r="Q304" s="167">
        <v>0</v>
      </c>
      <c r="R304" s="167">
        <v>0</v>
      </c>
      <c r="S304" s="167">
        <v>0</v>
      </c>
      <c r="T304" s="167">
        <v>0</v>
      </c>
      <c r="U304" s="168" t="e">
        <v>#DIV/0!</v>
      </c>
      <c r="V304" s="167">
        <v>0</v>
      </c>
      <c r="W304" s="167">
        <v>0</v>
      </c>
      <c r="X304" s="167">
        <v>0</v>
      </c>
      <c r="Y304" s="167">
        <v>0</v>
      </c>
      <c r="Z304" s="167">
        <v>0</v>
      </c>
      <c r="AA304" s="167">
        <v>0</v>
      </c>
    </row>
    <row r="305" spans="1:27" ht="12" customHeight="1" x14ac:dyDescent="0.25">
      <c r="A305" s="155"/>
      <c r="B305" s="162" t="s">
        <v>690</v>
      </c>
      <c r="C305" s="163">
        <v>0</v>
      </c>
      <c r="D305" s="163">
        <v>0</v>
      </c>
      <c r="E305" s="163">
        <v>0</v>
      </c>
      <c r="F305" s="163">
        <v>0</v>
      </c>
      <c r="G305" s="163">
        <v>0</v>
      </c>
      <c r="H305" s="163">
        <v>0</v>
      </c>
      <c r="I305" s="163">
        <v>0</v>
      </c>
      <c r="J305" s="163">
        <v>0</v>
      </c>
      <c r="K305" s="163">
        <v>0</v>
      </c>
      <c r="L305" s="163">
        <v>0</v>
      </c>
      <c r="M305" s="163">
        <v>0</v>
      </c>
      <c r="N305" s="163">
        <v>0</v>
      </c>
      <c r="O305" s="163">
        <v>0</v>
      </c>
      <c r="P305" s="163">
        <v>0</v>
      </c>
      <c r="Q305" s="163">
        <v>0</v>
      </c>
      <c r="R305" s="163">
        <v>0</v>
      </c>
      <c r="S305" s="163">
        <v>0</v>
      </c>
      <c r="T305" s="164">
        <v>0</v>
      </c>
      <c r="U305" s="165" t="e">
        <v>#DIV/0!</v>
      </c>
      <c r="V305" s="164">
        <v>0</v>
      </c>
      <c r="W305" s="164">
        <v>0</v>
      </c>
      <c r="X305" s="164">
        <v>0</v>
      </c>
      <c r="Y305" s="164">
        <v>0</v>
      </c>
      <c r="Z305" s="164">
        <v>0</v>
      </c>
      <c r="AA305" s="164">
        <v>0</v>
      </c>
    </row>
    <row r="306" spans="1:27" ht="12" customHeight="1" x14ac:dyDescent="0.25">
      <c r="A306" s="155" t="s">
        <v>1375</v>
      </c>
      <c r="B306" s="155" t="s">
        <v>691</v>
      </c>
      <c r="C306" s="167">
        <v>0</v>
      </c>
      <c r="D306" s="167">
        <v>0</v>
      </c>
      <c r="E306" s="167">
        <v>0</v>
      </c>
      <c r="F306" s="167">
        <v>0</v>
      </c>
      <c r="G306" s="167">
        <v>0</v>
      </c>
      <c r="H306" s="167">
        <v>0</v>
      </c>
      <c r="I306" s="167">
        <v>0</v>
      </c>
      <c r="J306" s="167">
        <v>0</v>
      </c>
      <c r="K306" s="167">
        <v>0</v>
      </c>
      <c r="L306" s="167">
        <v>0</v>
      </c>
      <c r="M306" s="167">
        <v>0</v>
      </c>
      <c r="N306" s="167">
        <v>0</v>
      </c>
      <c r="O306" s="167">
        <v>0</v>
      </c>
      <c r="P306" s="167">
        <v>0</v>
      </c>
      <c r="Q306" s="167">
        <v>0</v>
      </c>
      <c r="R306" s="167">
        <v>0</v>
      </c>
      <c r="S306" s="167">
        <v>0</v>
      </c>
      <c r="T306" s="167">
        <v>0</v>
      </c>
      <c r="U306" s="168" t="e">
        <v>#DIV/0!</v>
      </c>
      <c r="V306" s="167">
        <v>0</v>
      </c>
      <c r="W306" s="167">
        <v>0</v>
      </c>
      <c r="X306" s="167">
        <v>0</v>
      </c>
      <c r="Y306" s="167">
        <v>0</v>
      </c>
      <c r="Z306" s="167">
        <v>0</v>
      </c>
      <c r="AA306" s="167">
        <v>0</v>
      </c>
    </row>
    <row r="307" spans="1:27" ht="12" customHeight="1" x14ac:dyDescent="0.25">
      <c r="A307" s="155" t="s">
        <v>1376</v>
      </c>
      <c r="B307" s="155" t="s">
        <v>692</v>
      </c>
      <c r="C307" s="167">
        <v>0</v>
      </c>
      <c r="D307" s="167">
        <v>0</v>
      </c>
      <c r="E307" s="167">
        <v>0</v>
      </c>
      <c r="F307" s="167">
        <v>0</v>
      </c>
      <c r="G307" s="167">
        <v>0</v>
      </c>
      <c r="H307" s="167">
        <v>0</v>
      </c>
      <c r="I307" s="167">
        <v>0</v>
      </c>
      <c r="J307" s="167">
        <v>0</v>
      </c>
      <c r="K307" s="167">
        <v>0</v>
      </c>
      <c r="L307" s="167">
        <v>0</v>
      </c>
      <c r="M307" s="167">
        <v>0</v>
      </c>
      <c r="N307" s="167">
        <v>0</v>
      </c>
      <c r="O307" s="167">
        <v>0</v>
      </c>
      <c r="P307" s="167">
        <v>0</v>
      </c>
      <c r="Q307" s="167">
        <v>0</v>
      </c>
      <c r="R307" s="167">
        <v>0</v>
      </c>
      <c r="S307" s="167">
        <v>0</v>
      </c>
      <c r="T307" s="167">
        <v>0</v>
      </c>
      <c r="U307" s="168" t="e">
        <v>#DIV/0!</v>
      </c>
      <c r="V307" s="167">
        <v>0</v>
      </c>
      <c r="W307" s="167">
        <v>0</v>
      </c>
      <c r="X307" s="167">
        <v>0</v>
      </c>
      <c r="Y307" s="167">
        <v>0</v>
      </c>
      <c r="Z307" s="167">
        <v>0</v>
      </c>
      <c r="AA307" s="167">
        <v>0</v>
      </c>
    </row>
    <row r="308" spans="1:27" ht="12" customHeight="1" x14ac:dyDescent="0.25">
      <c r="A308" s="155" t="s">
        <v>1377</v>
      </c>
      <c r="B308" s="155" t="s">
        <v>693</v>
      </c>
      <c r="C308" s="167">
        <v>0</v>
      </c>
      <c r="D308" s="167">
        <v>0</v>
      </c>
      <c r="E308" s="167">
        <v>0</v>
      </c>
      <c r="F308" s="167">
        <v>0</v>
      </c>
      <c r="G308" s="167">
        <v>0</v>
      </c>
      <c r="H308" s="167">
        <v>0</v>
      </c>
      <c r="I308" s="167">
        <v>0</v>
      </c>
      <c r="J308" s="167">
        <v>0</v>
      </c>
      <c r="K308" s="167">
        <v>0</v>
      </c>
      <c r="L308" s="167">
        <v>0</v>
      </c>
      <c r="M308" s="167">
        <v>0</v>
      </c>
      <c r="N308" s="167">
        <v>0</v>
      </c>
      <c r="O308" s="167">
        <v>0</v>
      </c>
      <c r="P308" s="167">
        <v>0</v>
      </c>
      <c r="Q308" s="167">
        <v>0</v>
      </c>
      <c r="R308" s="167">
        <v>0</v>
      </c>
      <c r="S308" s="167">
        <v>0</v>
      </c>
      <c r="T308" s="167">
        <v>0</v>
      </c>
      <c r="U308" s="168" t="e">
        <v>#DIV/0!</v>
      </c>
      <c r="V308" s="167">
        <v>0</v>
      </c>
      <c r="W308" s="167">
        <v>0</v>
      </c>
      <c r="X308" s="167">
        <v>0</v>
      </c>
      <c r="Y308" s="167">
        <v>0</v>
      </c>
      <c r="Z308" s="167">
        <v>0</v>
      </c>
      <c r="AA308" s="167">
        <v>0</v>
      </c>
    </row>
    <row r="309" spans="1:27" ht="12" customHeight="1" x14ac:dyDescent="0.25">
      <c r="A309" s="155" t="s">
        <v>1378</v>
      </c>
      <c r="B309" s="162" t="s">
        <v>694</v>
      </c>
      <c r="C309" s="164">
        <v>0</v>
      </c>
      <c r="D309" s="164">
        <v>0</v>
      </c>
      <c r="E309" s="164">
        <v>0</v>
      </c>
      <c r="F309" s="164">
        <v>0</v>
      </c>
      <c r="G309" s="164">
        <v>0</v>
      </c>
      <c r="H309" s="164">
        <v>0</v>
      </c>
      <c r="I309" s="164">
        <v>0</v>
      </c>
      <c r="J309" s="164">
        <v>0</v>
      </c>
      <c r="K309" s="164">
        <v>0</v>
      </c>
      <c r="L309" s="164">
        <v>0</v>
      </c>
      <c r="M309" s="164">
        <v>0</v>
      </c>
      <c r="N309" s="164">
        <v>0</v>
      </c>
      <c r="O309" s="164">
        <v>0</v>
      </c>
      <c r="P309" s="164">
        <v>0</v>
      </c>
      <c r="Q309" s="164">
        <v>0</v>
      </c>
      <c r="R309" s="164">
        <v>0</v>
      </c>
      <c r="S309" s="164">
        <v>0</v>
      </c>
      <c r="T309" s="164">
        <v>0</v>
      </c>
      <c r="U309" s="165" t="e">
        <v>#DIV/0!</v>
      </c>
      <c r="V309" s="164">
        <v>0</v>
      </c>
      <c r="W309" s="164">
        <v>0</v>
      </c>
      <c r="X309" s="164">
        <v>0</v>
      </c>
      <c r="Y309" s="164">
        <v>0</v>
      </c>
      <c r="Z309" s="164">
        <v>0</v>
      </c>
      <c r="AA309" s="164">
        <v>0</v>
      </c>
    </row>
    <row r="310" spans="1:27" ht="12" customHeight="1" x14ac:dyDescent="0.25">
      <c r="A310" s="155"/>
      <c r="B310" s="175" t="s">
        <v>35</v>
      </c>
      <c r="C310" s="176">
        <v>0</v>
      </c>
      <c r="D310" s="176">
        <v>0</v>
      </c>
      <c r="E310" s="176">
        <v>0</v>
      </c>
      <c r="F310" s="176">
        <v>0</v>
      </c>
      <c r="G310" s="176">
        <v>0</v>
      </c>
      <c r="H310" s="176">
        <v>0</v>
      </c>
      <c r="I310" s="176">
        <v>0</v>
      </c>
      <c r="J310" s="176">
        <v>0</v>
      </c>
      <c r="K310" s="176">
        <v>0</v>
      </c>
      <c r="L310" s="176">
        <v>0</v>
      </c>
      <c r="M310" s="176">
        <v>0</v>
      </c>
      <c r="N310" s="176">
        <v>0</v>
      </c>
      <c r="O310" s="176">
        <v>0</v>
      </c>
      <c r="P310" s="176">
        <v>0</v>
      </c>
      <c r="Q310" s="176">
        <v>0</v>
      </c>
      <c r="R310" s="176">
        <v>0</v>
      </c>
      <c r="S310" s="176">
        <v>0</v>
      </c>
      <c r="T310" s="177">
        <v>0</v>
      </c>
      <c r="U310" s="178" t="e">
        <v>#DIV/0!</v>
      </c>
      <c r="V310" s="177">
        <v>0</v>
      </c>
      <c r="W310" s="177">
        <v>0</v>
      </c>
      <c r="X310" s="177">
        <v>0</v>
      </c>
      <c r="Y310" s="177">
        <v>0</v>
      </c>
      <c r="Z310" s="177">
        <v>0</v>
      </c>
      <c r="AA310" s="177">
        <v>0</v>
      </c>
    </row>
    <row r="311" spans="1:27" ht="12" customHeight="1" x14ac:dyDescent="0.25">
      <c r="A311" s="155"/>
      <c r="B311" s="179" t="s">
        <v>1379</v>
      </c>
      <c r="C311" s="180">
        <v>0</v>
      </c>
      <c r="D311" s="180">
        <v>0</v>
      </c>
      <c r="E311" s="180">
        <v>0</v>
      </c>
      <c r="F311" s="180">
        <v>0</v>
      </c>
      <c r="G311" s="180">
        <v>0</v>
      </c>
      <c r="H311" s="180">
        <v>0</v>
      </c>
      <c r="I311" s="180">
        <v>0</v>
      </c>
      <c r="J311" s="180">
        <v>0</v>
      </c>
      <c r="K311" s="180">
        <v>0</v>
      </c>
      <c r="L311" s="180">
        <v>0</v>
      </c>
      <c r="M311" s="180">
        <v>0</v>
      </c>
      <c r="N311" s="180">
        <v>0</v>
      </c>
      <c r="O311" s="180">
        <v>0</v>
      </c>
      <c r="P311" s="180">
        <v>0</v>
      </c>
      <c r="Q311" s="180">
        <v>0</v>
      </c>
      <c r="R311" s="180">
        <v>0</v>
      </c>
      <c r="S311" s="180">
        <v>0</v>
      </c>
      <c r="T311" s="181">
        <v>0</v>
      </c>
      <c r="U311" s="182" t="e">
        <v>#DIV/0!</v>
      </c>
      <c r="V311" s="181">
        <v>0</v>
      </c>
      <c r="W311" s="181">
        <v>0</v>
      </c>
      <c r="X311" s="181">
        <v>0</v>
      </c>
      <c r="Y311" s="181">
        <v>0</v>
      </c>
      <c r="Z311" s="181">
        <v>0</v>
      </c>
      <c r="AA311" s="181">
        <v>0</v>
      </c>
    </row>
    <row r="312" spans="1:27" ht="12" customHeight="1" x14ac:dyDescent="0.25">
      <c r="A312" s="155"/>
      <c r="B312" s="183" t="s">
        <v>74</v>
      </c>
      <c r="C312" s="184">
        <v>0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5">
        <v>0</v>
      </c>
      <c r="U312" s="186" t="e">
        <v>#DIV/0!</v>
      </c>
      <c r="V312" s="185">
        <v>0</v>
      </c>
      <c r="W312" s="185">
        <v>0</v>
      </c>
      <c r="X312" s="185">
        <v>0</v>
      </c>
      <c r="Y312" s="185">
        <v>0</v>
      </c>
      <c r="Z312" s="185">
        <v>0</v>
      </c>
      <c r="AA312" s="185">
        <v>0</v>
      </c>
    </row>
    <row r="313" spans="1:27" ht="12" customHeight="1" x14ac:dyDescent="0.25">
      <c r="A313" s="161"/>
      <c r="B313" s="161"/>
      <c r="C313" s="161"/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</row>
    <row r="314" spans="1:27" ht="12" customHeight="1" x14ac:dyDescent="0.25">
      <c r="A314" s="161"/>
      <c r="B314" s="161"/>
      <c r="C314" s="161"/>
      <c r="D314" s="161"/>
      <c r="E314" s="161"/>
      <c r="F314" s="161"/>
      <c r="G314" s="161"/>
      <c r="H314" s="161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</row>
    <row r="315" spans="1:27" ht="12" customHeight="1" x14ac:dyDescent="0.25">
      <c r="A315" s="161"/>
      <c r="B315" s="161"/>
      <c r="C315" s="161"/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</row>
    <row r="316" spans="1:27" ht="12" customHeight="1" x14ac:dyDescent="0.25">
      <c r="A316" s="161"/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</row>
    <row r="317" spans="1:27" ht="12" customHeight="1" x14ac:dyDescent="0.25">
      <c r="A317" s="161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</row>
    <row r="318" spans="1:27" ht="12" customHeight="1" x14ac:dyDescent="0.25">
      <c r="A318" s="161"/>
      <c r="B318" s="161"/>
      <c r="C318" s="161"/>
      <c r="D318" s="161"/>
      <c r="E318" s="161"/>
      <c r="F318" s="161"/>
      <c r="G318" s="161"/>
      <c r="H318" s="161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</row>
    <row r="319" spans="1:27" ht="12" customHeight="1" x14ac:dyDescent="0.25">
      <c r="A319" s="161"/>
      <c r="B319" s="161"/>
      <c r="C319" s="161"/>
      <c r="D319" s="161"/>
      <c r="E319" s="161"/>
      <c r="F319" s="161"/>
      <c r="G319" s="161"/>
      <c r="H319" s="161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</row>
    <row r="320" spans="1:27" ht="12" customHeight="1" x14ac:dyDescent="0.25">
      <c r="A320" s="161"/>
      <c r="B320" s="161"/>
      <c r="C320" s="161"/>
      <c r="D320" s="161"/>
      <c r="E320" s="161"/>
      <c r="F320" s="161"/>
      <c r="G320" s="161"/>
      <c r="H320" s="161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</row>
    <row r="321" spans="1:27" ht="12" customHeight="1" x14ac:dyDescent="0.25">
      <c r="A321" s="161"/>
      <c r="B321" s="161"/>
      <c r="C321" s="161"/>
      <c r="D321" s="161"/>
      <c r="E321" s="161"/>
      <c r="F321" s="161"/>
      <c r="G321" s="161"/>
      <c r="H321" s="161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</row>
    <row r="322" spans="1:27" ht="12" customHeight="1" x14ac:dyDescent="0.25">
      <c r="A322" s="161"/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</row>
    <row r="323" spans="1:27" ht="12" customHeight="1" x14ac:dyDescent="0.25">
      <c r="A323" s="161"/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</row>
    <row r="324" spans="1:27" ht="12" customHeight="1" x14ac:dyDescent="0.25">
      <c r="A324" s="161"/>
      <c r="B324" s="161"/>
      <c r="C324" s="161"/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</row>
    <row r="325" spans="1:27" ht="12" customHeight="1" x14ac:dyDescent="0.25">
      <c r="A325" s="161"/>
      <c r="B325" s="161"/>
      <c r="C325" s="161"/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</row>
    <row r="326" spans="1:27" ht="12" customHeight="1" x14ac:dyDescent="0.25">
      <c r="A326" s="161"/>
      <c r="B326" s="161"/>
      <c r="C326" s="161"/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</row>
    <row r="327" spans="1:27" ht="12" customHeight="1" x14ac:dyDescent="0.25">
      <c r="A327" s="161"/>
      <c r="B327" s="161"/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</row>
    <row r="328" spans="1:27" ht="12" customHeight="1" x14ac:dyDescent="0.25">
      <c r="A328" s="161"/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</row>
    <row r="329" spans="1:27" ht="12" customHeight="1" x14ac:dyDescent="0.25">
      <c r="A329" s="161"/>
      <c r="B329" s="161"/>
      <c r="C329" s="161"/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</row>
    <row r="330" spans="1:27" ht="12" customHeight="1" x14ac:dyDescent="0.25">
      <c r="A330" s="161"/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</row>
    <row r="331" spans="1:27" ht="12" customHeight="1" x14ac:dyDescent="0.25">
      <c r="A331" s="161"/>
      <c r="B331" s="161"/>
      <c r="C331" s="161"/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</row>
    <row r="332" spans="1:27" ht="12" customHeight="1" x14ac:dyDescent="0.25">
      <c r="A332" s="161"/>
      <c r="B332" s="161"/>
      <c r="C332" s="161"/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</row>
    <row r="333" spans="1:27" ht="12" customHeight="1" x14ac:dyDescent="0.25">
      <c r="A333" s="161"/>
      <c r="B333" s="161"/>
      <c r="C333" s="161"/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</row>
    <row r="334" spans="1:27" ht="12" customHeight="1" x14ac:dyDescent="0.25">
      <c r="A334" s="161"/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</row>
    <row r="335" spans="1:27" ht="12" customHeight="1" x14ac:dyDescent="0.25">
      <c r="A335" s="161"/>
      <c r="B335" s="161"/>
      <c r="C335" s="161"/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</row>
    <row r="336" spans="1:27" ht="12" customHeight="1" x14ac:dyDescent="0.25">
      <c r="A336" s="161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</row>
    <row r="337" spans="1:27" ht="12" customHeight="1" x14ac:dyDescent="0.25">
      <c r="A337" s="161"/>
      <c r="B337" s="161"/>
      <c r="C337" s="161"/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</row>
    <row r="338" spans="1:27" ht="12" customHeight="1" x14ac:dyDescent="0.25">
      <c r="A338" s="161"/>
      <c r="B338" s="161"/>
      <c r="C338" s="161"/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</row>
    <row r="339" spans="1:27" ht="12" customHeight="1" x14ac:dyDescent="0.25">
      <c r="A339" s="161"/>
      <c r="B339" s="161"/>
      <c r="C339" s="161"/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</row>
    <row r="340" spans="1:27" ht="12" customHeight="1" x14ac:dyDescent="0.25">
      <c r="A340" s="161"/>
      <c r="B340" s="161"/>
      <c r="C340" s="161"/>
      <c r="D340" s="161"/>
      <c r="E340" s="161"/>
      <c r="F340" s="161"/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</row>
    <row r="341" spans="1:27" ht="12" customHeight="1" x14ac:dyDescent="0.25">
      <c r="A341" s="161"/>
      <c r="B341" s="161"/>
      <c r="C341" s="161"/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</row>
    <row r="342" spans="1:27" ht="12" customHeight="1" x14ac:dyDescent="0.25">
      <c r="A342" s="161"/>
      <c r="B342" s="161"/>
      <c r="C342" s="161"/>
      <c r="D342" s="161"/>
      <c r="E342" s="161"/>
      <c r="F342" s="161"/>
      <c r="G342" s="161"/>
      <c r="H342" s="161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</row>
    <row r="343" spans="1:27" ht="12" customHeight="1" x14ac:dyDescent="0.25">
      <c r="A343" s="161"/>
      <c r="B343" s="161"/>
      <c r="C343" s="161"/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</row>
    <row r="344" spans="1:27" ht="12" customHeight="1" x14ac:dyDescent="0.25">
      <c r="A344" s="161"/>
      <c r="B344" s="161"/>
      <c r="C344" s="161"/>
      <c r="D344" s="161"/>
      <c r="E344" s="161"/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</row>
    <row r="345" spans="1:27" ht="12" customHeight="1" x14ac:dyDescent="0.25">
      <c r="A345" s="161"/>
      <c r="B345" s="161"/>
      <c r="C345" s="161"/>
      <c r="D345" s="161"/>
      <c r="E345" s="161"/>
      <c r="F345" s="161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</row>
    <row r="346" spans="1:27" ht="12" customHeight="1" x14ac:dyDescent="0.25">
      <c r="A346" s="161"/>
      <c r="B346" s="161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</row>
    <row r="347" spans="1:27" ht="12" customHeight="1" x14ac:dyDescent="0.25">
      <c r="A347" s="161"/>
      <c r="B347" s="161"/>
      <c r="C347" s="161"/>
      <c r="D347" s="161"/>
      <c r="E347" s="161"/>
      <c r="F347" s="161"/>
      <c r="G347" s="161"/>
      <c r="H347" s="161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</row>
    <row r="348" spans="1:27" ht="12" customHeight="1" x14ac:dyDescent="0.25">
      <c r="A348" s="161"/>
      <c r="B348" s="161"/>
      <c r="C348" s="161"/>
      <c r="D348" s="161"/>
      <c r="E348" s="161"/>
      <c r="F348" s="161"/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</row>
    <row r="349" spans="1:27" ht="12" customHeight="1" x14ac:dyDescent="0.25">
      <c r="A349" s="161"/>
      <c r="B349" s="161"/>
      <c r="C349" s="161"/>
      <c r="D349" s="161"/>
      <c r="E349" s="161"/>
      <c r="F349" s="161"/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</row>
    <row r="350" spans="1:27" ht="12" customHeight="1" x14ac:dyDescent="0.25">
      <c r="A350" s="161"/>
      <c r="B350" s="161"/>
      <c r="C350" s="161"/>
      <c r="D350" s="161"/>
      <c r="E350" s="161"/>
      <c r="F350" s="161"/>
      <c r="G350" s="161"/>
      <c r="H350" s="161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</row>
    <row r="351" spans="1:27" ht="12" customHeight="1" x14ac:dyDescent="0.25">
      <c r="A351" s="161"/>
      <c r="B351" s="161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</row>
    <row r="352" spans="1:27" ht="12" customHeight="1" x14ac:dyDescent="0.25">
      <c r="A352" s="161"/>
      <c r="B352" s="161"/>
      <c r="C352" s="161"/>
      <c r="D352" s="161"/>
      <c r="E352" s="161"/>
      <c r="F352" s="161"/>
      <c r="G352" s="161"/>
      <c r="H352" s="161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</row>
    <row r="353" spans="1:27" ht="12" customHeight="1" x14ac:dyDescent="0.25">
      <c r="A353" s="161"/>
      <c r="B353" s="161"/>
      <c r="C353" s="161"/>
      <c r="D353" s="161"/>
      <c r="E353" s="161"/>
      <c r="F353" s="161"/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</row>
    <row r="354" spans="1:27" ht="12" customHeight="1" x14ac:dyDescent="0.25">
      <c r="A354" s="161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</row>
    <row r="355" spans="1:27" ht="12" customHeight="1" x14ac:dyDescent="0.25">
      <c r="A355" s="161"/>
      <c r="B355" s="161"/>
      <c r="C355" s="161"/>
      <c r="D355" s="161"/>
      <c r="E355" s="161"/>
      <c r="F355" s="161"/>
      <c r="G355" s="161"/>
      <c r="H355" s="161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</row>
    <row r="356" spans="1:27" ht="12" customHeight="1" x14ac:dyDescent="0.25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</row>
    <row r="357" spans="1:27" ht="12" customHeight="1" x14ac:dyDescent="0.25">
      <c r="A357" s="161"/>
      <c r="B357" s="161"/>
      <c r="C357" s="161"/>
      <c r="D357" s="161"/>
      <c r="E357" s="161"/>
      <c r="F357" s="161"/>
      <c r="G357" s="161"/>
      <c r="H357" s="161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</row>
    <row r="358" spans="1:27" ht="12" customHeight="1" x14ac:dyDescent="0.25">
      <c r="A358" s="161"/>
      <c r="B358" s="161"/>
      <c r="C358" s="161"/>
      <c r="D358" s="161"/>
      <c r="E358" s="161"/>
      <c r="F358" s="161"/>
      <c r="G358" s="161"/>
      <c r="H358" s="161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</row>
    <row r="359" spans="1:27" ht="12" customHeight="1" x14ac:dyDescent="0.25">
      <c r="A359" s="161"/>
      <c r="B359" s="161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</row>
    <row r="360" spans="1:27" ht="12" customHeight="1" x14ac:dyDescent="0.25">
      <c r="A360" s="161"/>
      <c r="B360" s="161"/>
      <c r="C360" s="161"/>
      <c r="D360" s="161"/>
      <c r="E360" s="161"/>
      <c r="F360" s="161"/>
      <c r="G360" s="161"/>
      <c r="H360" s="161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</row>
    <row r="361" spans="1:27" ht="12" customHeight="1" x14ac:dyDescent="0.25">
      <c r="A361" s="161"/>
      <c r="B361" s="161"/>
      <c r="C361" s="161"/>
      <c r="D361" s="161"/>
      <c r="E361" s="161"/>
      <c r="F361" s="161"/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</row>
    <row r="362" spans="1:27" ht="12" customHeight="1" x14ac:dyDescent="0.25">
      <c r="A362" s="161"/>
      <c r="B362" s="161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</row>
    <row r="363" spans="1:27" ht="12" customHeight="1" x14ac:dyDescent="0.25">
      <c r="A363" s="161"/>
      <c r="B363" s="161"/>
      <c r="C363" s="161"/>
      <c r="D363" s="161"/>
      <c r="E363" s="161"/>
      <c r="F363" s="161"/>
      <c r="G363" s="161"/>
      <c r="H363" s="161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</row>
    <row r="364" spans="1:27" ht="12" customHeight="1" x14ac:dyDescent="0.25">
      <c r="A364" s="161"/>
      <c r="B364" s="161"/>
      <c r="C364" s="161"/>
      <c r="D364" s="161"/>
      <c r="E364" s="161"/>
      <c r="F364" s="161"/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</row>
    <row r="365" spans="1:27" ht="12" customHeight="1" x14ac:dyDescent="0.25">
      <c r="A365" s="161"/>
      <c r="B365" s="161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</row>
    <row r="366" spans="1:27" ht="12" customHeight="1" x14ac:dyDescent="0.25">
      <c r="A366" s="161"/>
      <c r="B366" s="161"/>
      <c r="C366" s="161"/>
      <c r="D366" s="161"/>
      <c r="E366" s="161"/>
      <c r="F366" s="161"/>
      <c r="G366" s="161"/>
      <c r="H366" s="161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</row>
    <row r="367" spans="1:27" ht="12" customHeight="1" x14ac:dyDescent="0.25">
      <c r="A367" s="161"/>
      <c r="B367" s="161"/>
      <c r="C367" s="161"/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</row>
    <row r="368" spans="1:27" ht="12" customHeight="1" x14ac:dyDescent="0.25">
      <c r="A368" s="161"/>
      <c r="B368" s="161"/>
      <c r="C368" s="161"/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</row>
    <row r="369" spans="1:27" ht="12" customHeight="1" x14ac:dyDescent="0.25">
      <c r="A369" s="161"/>
      <c r="B369" s="161"/>
      <c r="C369" s="161"/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</row>
    <row r="370" spans="1:27" ht="12" customHeight="1" x14ac:dyDescent="0.25">
      <c r="A370" s="161"/>
      <c r="B370" s="161"/>
      <c r="C370" s="161"/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</row>
    <row r="371" spans="1:27" ht="12" customHeight="1" x14ac:dyDescent="0.25">
      <c r="A371" s="161"/>
      <c r="B371" s="161"/>
      <c r="C371" s="161"/>
      <c r="D371" s="161"/>
      <c r="E371" s="161"/>
      <c r="F371" s="161"/>
      <c r="G371" s="161"/>
      <c r="H371" s="161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</row>
    <row r="372" spans="1:27" ht="12" customHeight="1" x14ac:dyDescent="0.25">
      <c r="A372" s="161"/>
      <c r="B372" s="161"/>
      <c r="C372" s="161"/>
      <c r="D372" s="161"/>
      <c r="E372" s="161"/>
      <c r="F372" s="161"/>
      <c r="G372" s="161"/>
      <c r="H372" s="161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</row>
    <row r="373" spans="1:27" ht="12" customHeight="1" x14ac:dyDescent="0.25">
      <c r="A373" s="161"/>
      <c r="B373" s="161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</row>
    <row r="374" spans="1:27" ht="12" customHeight="1" x14ac:dyDescent="0.25">
      <c r="A374" s="161"/>
      <c r="B374" s="161"/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</row>
    <row r="375" spans="1:27" ht="12" customHeight="1" x14ac:dyDescent="0.25">
      <c r="A375" s="161"/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</row>
    <row r="376" spans="1:27" ht="12" customHeight="1" x14ac:dyDescent="0.25">
      <c r="A376" s="161"/>
      <c r="B376" s="161"/>
      <c r="C376" s="161"/>
      <c r="D376" s="161"/>
      <c r="E376" s="161"/>
      <c r="F376" s="161"/>
      <c r="G376" s="161"/>
      <c r="H376" s="161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</row>
    <row r="377" spans="1:27" ht="12" customHeight="1" x14ac:dyDescent="0.25">
      <c r="A377" s="161"/>
      <c r="B377" s="161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</row>
    <row r="378" spans="1:27" ht="12" customHeight="1" x14ac:dyDescent="0.25">
      <c r="A378" s="161"/>
      <c r="B378" s="161"/>
      <c r="C378" s="161"/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</row>
    <row r="379" spans="1:27" ht="12" customHeight="1" x14ac:dyDescent="0.25">
      <c r="A379" s="161"/>
      <c r="B379" s="161"/>
      <c r="C379" s="161"/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</row>
    <row r="380" spans="1:27" ht="12" customHeight="1" x14ac:dyDescent="0.25">
      <c r="A380" s="161"/>
      <c r="B380" s="161"/>
      <c r="C380" s="161"/>
      <c r="D380" s="161"/>
      <c r="E380" s="161"/>
      <c r="F380" s="161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</row>
    <row r="381" spans="1:27" ht="12" customHeight="1" x14ac:dyDescent="0.25">
      <c r="A381" s="161"/>
      <c r="B381" s="161"/>
      <c r="C381" s="161"/>
      <c r="D381" s="161"/>
      <c r="E381" s="161"/>
      <c r="F381" s="161"/>
      <c r="G381" s="161"/>
      <c r="H381" s="161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</row>
    <row r="382" spans="1:27" ht="12" customHeight="1" x14ac:dyDescent="0.25">
      <c r="A382" s="161"/>
      <c r="B382" s="161"/>
      <c r="C382" s="161"/>
      <c r="D382" s="161"/>
      <c r="E382" s="161"/>
      <c r="F382" s="161"/>
      <c r="G382" s="161"/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</row>
    <row r="383" spans="1:27" ht="12" customHeight="1" x14ac:dyDescent="0.25">
      <c r="A383" s="161"/>
      <c r="B383" s="161"/>
      <c r="C383" s="161"/>
      <c r="D383" s="161"/>
      <c r="E383" s="161"/>
      <c r="F383" s="161"/>
      <c r="G383" s="161"/>
      <c r="H383" s="161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</row>
    <row r="384" spans="1:27" ht="12" customHeight="1" x14ac:dyDescent="0.25">
      <c r="A384" s="161"/>
      <c r="B384" s="161"/>
      <c r="C384" s="161"/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</row>
    <row r="385" spans="1:27" ht="12" customHeight="1" x14ac:dyDescent="0.25">
      <c r="A385" s="161"/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</row>
    <row r="386" spans="1:27" ht="12" customHeight="1" x14ac:dyDescent="0.25">
      <c r="A386" s="161"/>
      <c r="B386" s="161"/>
      <c r="C386" s="161"/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</row>
    <row r="387" spans="1:27" ht="12" customHeight="1" x14ac:dyDescent="0.25">
      <c r="A387" s="161"/>
      <c r="B387" s="161"/>
      <c r="C387" s="161"/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</row>
    <row r="388" spans="1:27" ht="12" customHeight="1" x14ac:dyDescent="0.25">
      <c r="A388" s="161"/>
      <c r="B388" s="161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</row>
    <row r="389" spans="1:27" ht="12" customHeight="1" x14ac:dyDescent="0.25">
      <c r="A389" s="161"/>
      <c r="B389" s="161"/>
      <c r="C389" s="161"/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</row>
    <row r="390" spans="1:27" ht="12" customHeight="1" x14ac:dyDescent="0.25">
      <c r="A390" s="161"/>
      <c r="B390" s="161"/>
      <c r="C390" s="161"/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</row>
    <row r="391" spans="1:27" ht="12" customHeight="1" x14ac:dyDescent="0.25">
      <c r="A391" s="161"/>
      <c r="B391" s="161"/>
      <c r="C391" s="161"/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</row>
    <row r="392" spans="1:27" ht="12" customHeight="1" x14ac:dyDescent="0.25">
      <c r="A392" s="161"/>
      <c r="B392" s="161"/>
      <c r="C392" s="161"/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</row>
    <row r="393" spans="1:27" ht="12" customHeight="1" x14ac:dyDescent="0.25">
      <c r="A393" s="161"/>
      <c r="B393" s="161"/>
      <c r="C393" s="161"/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</row>
    <row r="394" spans="1:27" ht="12" customHeight="1" x14ac:dyDescent="0.25">
      <c r="A394" s="161"/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</row>
    <row r="395" spans="1:27" ht="12" customHeight="1" x14ac:dyDescent="0.25">
      <c r="A395" s="161"/>
      <c r="B395" s="161"/>
      <c r="C395" s="161"/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</row>
    <row r="396" spans="1:27" ht="12" customHeight="1" x14ac:dyDescent="0.25">
      <c r="A396" s="161"/>
      <c r="B396" s="161"/>
      <c r="C396" s="161"/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</row>
    <row r="397" spans="1:27" ht="12" customHeight="1" x14ac:dyDescent="0.25">
      <c r="A397" s="161"/>
      <c r="B397" s="161"/>
      <c r="C397" s="161"/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</row>
    <row r="398" spans="1:27" ht="12" customHeight="1" x14ac:dyDescent="0.25">
      <c r="A398" s="161"/>
      <c r="B398" s="161"/>
      <c r="C398" s="161"/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</row>
    <row r="399" spans="1:27" ht="12" customHeight="1" x14ac:dyDescent="0.25">
      <c r="A399" s="161"/>
      <c r="B399" s="161"/>
      <c r="C399" s="161"/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</row>
    <row r="400" spans="1:27" ht="12" customHeight="1" x14ac:dyDescent="0.25">
      <c r="A400" s="161"/>
      <c r="B400" s="161"/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</row>
    <row r="401" spans="1:27" ht="12" customHeight="1" x14ac:dyDescent="0.25">
      <c r="A401" s="161"/>
      <c r="B401" s="161"/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</row>
    <row r="402" spans="1:27" ht="12" customHeight="1" x14ac:dyDescent="0.25">
      <c r="A402" s="161"/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</row>
    <row r="403" spans="1:27" ht="12" customHeight="1" x14ac:dyDescent="0.25">
      <c r="A403" s="161"/>
      <c r="B403" s="161"/>
      <c r="C403" s="161"/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</row>
    <row r="404" spans="1:27" ht="12" customHeight="1" x14ac:dyDescent="0.25">
      <c r="A404" s="161"/>
      <c r="B404" s="161"/>
      <c r="C404" s="161"/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</row>
    <row r="405" spans="1:27" ht="12" customHeight="1" x14ac:dyDescent="0.25">
      <c r="A405" s="161"/>
      <c r="B405" s="161"/>
      <c r="C405" s="161"/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</row>
    <row r="406" spans="1:27" ht="12" customHeight="1" x14ac:dyDescent="0.25">
      <c r="A406" s="161"/>
      <c r="B406" s="161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</row>
    <row r="407" spans="1:27" ht="12" customHeight="1" x14ac:dyDescent="0.25">
      <c r="A407" s="161"/>
      <c r="B407" s="161"/>
      <c r="C407" s="161"/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</row>
    <row r="408" spans="1:27" ht="12" customHeight="1" x14ac:dyDescent="0.25">
      <c r="A408" s="161"/>
      <c r="B408" s="161"/>
      <c r="C408" s="161"/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</row>
    <row r="409" spans="1:27" ht="12" customHeight="1" x14ac:dyDescent="0.25">
      <c r="A409" s="161"/>
      <c r="B409" s="161"/>
      <c r="C409" s="161"/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</row>
    <row r="410" spans="1:27" ht="12" customHeight="1" x14ac:dyDescent="0.25">
      <c r="A410" s="161"/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</row>
    <row r="411" spans="1:27" ht="12" customHeight="1" x14ac:dyDescent="0.25">
      <c r="A411" s="161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</row>
    <row r="412" spans="1:27" ht="12" customHeight="1" x14ac:dyDescent="0.25">
      <c r="A412" s="161"/>
      <c r="B412" s="161"/>
      <c r="C412" s="161"/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</row>
    <row r="413" spans="1:27" ht="12" customHeight="1" x14ac:dyDescent="0.25">
      <c r="A413" s="161"/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</row>
    <row r="414" spans="1:27" ht="12" customHeight="1" x14ac:dyDescent="0.25">
      <c r="A414" s="161"/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</row>
    <row r="415" spans="1:27" ht="12" customHeight="1" x14ac:dyDescent="0.25">
      <c r="A415" s="161"/>
      <c r="B415" s="161"/>
      <c r="C415" s="161"/>
      <c r="D415" s="161"/>
      <c r="E415" s="161"/>
      <c r="F415" s="161"/>
      <c r="G415" s="161"/>
      <c r="H415" s="161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</row>
    <row r="416" spans="1:27" ht="12" customHeight="1" x14ac:dyDescent="0.25">
      <c r="A416" s="161"/>
      <c r="B416" s="161"/>
      <c r="C416" s="161"/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</row>
    <row r="417" spans="1:27" ht="12" customHeight="1" x14ac:dyDescent="0.25">
      <c r="A417" s="161"/>
      <c r="B417" s="161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</row>
    <row r="418" spans="1:27" ht="12" customHeight="1" x14ac:dyDescent="0.25">
      <c r="A418" s="161"/>
      <c r="B418" s="161"/>
      <c r="C418" s="161"/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</row>
    <row r="419" spans="1:27" ht="12" customHeight="1" x14ac:dyDescent="0.25">
      <c r="A419" s="161"/>
      <c r="B419" s="161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</row>
    <row r="420" spans="1:27" ht="12" customHeight="1" x14ac:dyDescent="0.25">
      <c r="A420" s="161"/>
      <c r="B420" s="161"/>
      <c r="C420" s="161"/>
      <c r="D420" s="161"/>
      <c r="E420" s="161"/>
      <c r="F420" s="161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</row>
    <row r="421" spans="1:27" ht="12" customHeight="1" x14ac:dyDescent="0.25">
      <c r="A421" s="161"/>
      <c r="B421" s="161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</row>
    <row r="422" spans="1:27" ht="12" customHeight="1" x14ac:dyDescent="0.25">
      <c r="A422" s="161"/>
      <c r="B422" s="161"/>
      <c r="C422" s="161"/>
      <c r="D422" s="161"/>
      <c r="E422" s="161"/>
      <c r="F422" s="161"/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</row>
    <row r="423" spans="1:27" ht="12" customHeight="1" x14ac:dyDescent="0.25">
      <c r="A423" s="161"/>
      <c r="B423" s="161"/>
      <c r="C423" s="161"/>
      <c r="D423" s="161"/>
      <c r="E423" s="161"/>
      <c r="F423" s="161"/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</row>
    <row r="424" spans="1:27" ht="12" customHeight="1" x14ac:dyDescent="0.25">
      <c r="A424" s="161"/>
      <c r="B424" s="161"/>
      <c r="C424" s="161"/>
      <c r="D424" s="161"/>
      <c r="E424" s="161"/>
      <c r="F424" s="161"/>
      <c r="G424" s="161"/>
      <c r="H424" s="161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</row>
    <row r="425" spans="1:27" ht="12" customHeight="1" x14ac:dyDescent="0.25">
      <c r="A425" s="161"/>
      <c r="B425" s="161"/>
      <c r="C425" s="161"/>
      <c r="D425" s="161"/>
      <c r="E425" s="161"/>
      <c r="F425" s="161"/>
      <c r="G425" s="161"/>
      <c r="H425" s="161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</row>
    <row r="426" spans="1:27" ht="12" customHeight="1" x14ac:dyDescent="0.25">
      <c r="A426" s="161"/>
      <c r="B426" s="161"/>
      <c r="C426" s="161"/>
      <c r="D426" s="161"/>
      <c r="E426" s="161"/>
      <c r="F426" s="161"/>
      <c r="G426" s="161"/>
      <c r="H426" s="161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</row>
    <row r="427" spans="1:27" ht="12" customHeight="1" x14ac:dyDescent="0.25">
      <c r="A427" s="161"/>
      <c r="B427" s="161"/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</row>
    <row r="428" spans="1:27" ht="12" customHeight="1" x14ac:dyDescent="0.25">
      <c r="A428" s="161"/>
      <c r="B428" s="161"/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</row>
    <row r="429" spans="1:27" ht="12" customHeight="1" x14ac:dyDescent="0.25">
      <c r="A429" s="161"/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</row>
    <row r="430" spans="1:27" ht="12" customHeight="1" x14ac:dyDescent="0.25">
      <c r="A430" s="161"/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</row>
    <row r="431" spans="1:27" ht="12" customHeight="1" x14ac:dyDescent="0.25">
      <c r="A431" s="161"/>
      <c r="B431" s="161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</row>
    <row r="432" spans="1:27" ht="12" customHeight="1" x14ac:dyDescent="0.25">
      <c r="A432" s="161"/>
      <c r="B432" s="161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</row>
    <row r="433" spans="1:27" ht="12" customHeight="1" x14ac:dyDescent="0.25">
      <c r="A433" s="161"/>
      <c r="B433" s="161"/>
      <c r="C433" s="161"/>
      <c r="D433" s="161"/>
      <c r="E433" s="161"/>
      <c r="F433" s="161"/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</row>
    <row r="434" spans="1:27" ht="12" customHeight="1" x14ac:dyDescent="0.25">
      <c r="A434" s="161"/>
      <c r="B434" s="161"/>
      <c r="C434" s="161"/>
      <c r="D434" s="161"/>
      <c r="E434" s="161"/>
      <c r="F434" s="161"/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</row>
    <row r="435" spans="1:27" ht="12" customHeight="1" x14ac:dyDescent="0.25">
      <c r="A435" s="161"/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</row>
    <row r="436" spans="1:27" ht="12" customHeight="1" x14ac:dyDescent="0.25">
      <c r="A436" s="161"/>
      <c r="B436" s="161"/>
      <c r="C436" s="161"/>
      <c r="D436" s="161"/>
      <c r="E436" s="161"/>
      <c r="F436" s="161"/>
      <c r="G436" s="161"/>
      <c r="H436" s="161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</row>
    <row r="437" spans="1:27" ht="12" customHeight="1" x14ac:dyDescent="0.25">
      <c r="A437" s="161"/>
      <c r="B437" s="161"/>
      <c r="C437" s="161"/>
      <c r="D437" s="161"/>
      <c r="E437" s="161"/>
      <c r="F437" s="161"/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</row>
    <row r="438" spans="1:27" ht="12" customHeight="1" x14ac:dyDescent="0.25">
      <c r="A438" s="161"/>
      <c r="B438" s="161"/>
      <c r="C438" s="161"/>
      <c r="D438" s="161"/>
      <c r="E438" s="161"/>
      <c r="F438" s="161"/>
      <c r="G438" s="161"/>
      <c r="H438" s="161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</row>
    <row r="439" spans="1:27" ht="12" customHeight="1" x14ac:dyDescent="0.25">
      <c r="A439" s="161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</row>
    <row r="440" spans="1:27" ht="12" customHeight="1" x14ac:dyDescent="0.25">
      <c r="A440" s="161"/>
      <c r="B440" s="161"/>
      <c r="C440" s="161"/>
      <c r="D440" s="161"/>
      <c r="E440" s="161"/>
      <c r="F440" s="161"/>
      <c r="G440" s="161"/>
      <c r="H440" s="161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</row>
    <row r="441" spans="1:27" ht="12" customHeight="1" x14ac:dyDescent="0.25">
      <c r="A441" s="161"/>
      <c r="B441" s="161"/>
      <c r="C441" s="161"/>
      <c r="D441" s="161"/>
      <c r="E441" s="161"/>
      <c r="F441" s="161"/>
      <c r="G441" s="161"/>
      <c r="H441" s="161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</row>
    <row r="442" spans="1:27" ht="12" customHeight="1" x14ac:dyDescent="0.25">
      <c r="A442" s="161"/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</row>
    <row r="443" spans="1:27" ht="12" customHeight="1" x14ac:dyDescent="0.25">
      <c r="A443" s="161"/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</row>
    <row r="444" spans="1:27" ht="12" customHeight="1" x14ac:dyDescent="0.25">
      <c r="A444" s="161"/>
      <c r="B444" s="161"/>
      <c r="C444" s="161"/>
      <c r="D444" s="161"/>
      <c r="E444" s="161"/>
      <c r="F444" s="161"/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</row>
    <row r="445" spans="1:27" ht="12" customHeight="1" x14ac:dyDescent="0.25">
      <c r="A445" s="161"/>
      <c r="B445" s="161"/>
      <c r="C445" s="161"/>
      <c r="D445" s="161"/>
      <c r="E445" s="161"/>
      <c r="F445" s="161"/>
      <c r="G445" s="161"/>
      <c r="H445" s="161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</row>
    <row r="446" spans="1:27" ht="12" customHeight="1" x14ac:dyDescent="0.25">
      <c r="A446" s="161"/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</row>
    <row r="447" spans="1:27" ht="12" customHeight="1" x14ac:dyDescent="0.25">
      <c r="A447" s="161"/>
      <c r="B447" s="161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</row>
    <row r="448" spans="1:27" ht="12" customHeight="1" x14ac:dyDescent="0.25">
      <c r="A448" s="161"/>
      <c r="B448" s="161"/>
      <c r="C448" s="161"/>
      <c r="D448" s="161"/>
      <c r="E448" s="161"/>
      <c r="F448" s="161"/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</row>
    <row r="449" spans="1:27" ht="12" customHeight="1" x14ac:dyDescent="0.25">
      <c r="A449" s="161"/>
      <c r="B449" s="161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</row>
    <row r="450" spans="1:27" ht="12" customHeight="1" x14ac:dyDescent="0.25">
      <c r="A450" s="161"/>
      <c r="B450" s="161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</row>
    <row r="451" spans="1:27" ht="12" customHeight="1" x14ac:dyDescent="0.25">
      <c r="A451" s="161"/>
      <c r="B451" s="161"/>
      <c r="C451" s="161"/>
      <c r="D451" s="161"/>
      <c r="E451" s="161"/>
      <c r="F451" s="161"/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</row>
    <row r="452" spans="1:27" ht="12" customHeight="1" x14ac:dyDescent="0.25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</row>
    <row r="453" spans="1:27" ht="12" customHeight="1" x14ac:dyDescent="0.25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</row>
    <row r="454" spans="1:27" ht="12" customHeight="1" x14ac:dyDescent="0.25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</row>
    <row r="455" spans="1:27" ht="12" customHeight="1" x14ac:dyDescent="0.25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</row>
    <row r="456" spans="1:27" ht="12" customHeight="1" x14ac:dyDescent="0.25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</row>
    <row r="457" spans="1:27" ht="12" customHeight="1" x14ac:dyDescent="0.25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</row>
    <row r="458" spans="1:27" ht="12" customHeight="1" x14ac:dyDescent="0.25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</row>
    <row r="459" spans="1:27" ht="12" customHeight="1" x14ac:dyDescent="0.25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</row>
    <row r="460" spans="1:27" ht="12" customHeight="1" x14ac:dyDescent="0.25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</row>
    <row r="461" spans="1:27" ht="12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</row>
    <row r="462" spans="1:27" ht="12" customHeight="1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</row>
    <row r="463" spans="1:27" ht="12" customHeight="1" x14ac:dyDescent="0.25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</row>
    <row r="464" spans="1:27" ht="12" customHeight="1" x14ac:dyDescent="0.25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</row>
    <row r="465" spans="1:27" ht="12" customHeight="1" x14ac:dyDescent="0.25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</row>
    <row r="466" spans="1:27" ht="12" customHeight="1" x14ac:dyDescent="0.25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</row>
    <row r="467" spans="1:27" ht="12" customHeight="1" x14ac:dyDescent="0.25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</row>
    <row r="468" spans="1:27" ht="12" customHeight="1" x14ac:dyDescent="0.25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</row>
    <row r="469" spans="1:27" ht="12" customHeight="1" x14ac:dyDescent="0.25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</row>
    <row r="470" spans="1:27" ht="12" customHeight="1" x14ac:dyDescent="0.25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</row>
    <row r="471" spans="1:27" ht="12" customHeight="1" x14ac:dyDescent="0.25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</row>
    <row r="472" spans="1:27" ht="12" customHeight="1" x14ac:dyDescent="0.25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</row>
    <row r="473" spans="1:27" ht="12" customHeight="1" x14ac:dyDescent="0.25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</row>
    <row r="474" spans="1:27" ht="12" customHeight="1" x14ac:dyDescent="0.25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</row>
    <row r="475" spans="1:27" ht="12" customHeight="1" x14ac:dyDescent="0.25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</row>
    <row r="476" spans="1:27" ht="12" customHeight="1" x14ac:dyDescent="0.25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</row>
    <row r="477" spans="1:27" ht="12" customHeight="1" x14ac:dyDescent="0.25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</row>
    <row r="478" spans="1:27" ht="12" customHeight="1" x14ac:dyDescent="0.25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</row>
    <row r="479" spans="1:27" ht="12" customHeight="1" x14ac:dyDescent="0.25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</row>
    <row r="480" spans="1:27" ht="12" customHeight="1" x14ac:dyDescent="0.25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</row>
    <row r="481" spans="1:27" ht="12" customHeight="1" x14ac:dyDescent="0.25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</row>
    <row r="482" spans="1:27" ht="12" customHeight="1" x14ac:dyDescent="0.25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</row>
    <row r="483" spans="1:27" ht="12" customHeight="1" x14ac:dyDescent="0.25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</row>
    <row r="484" spans="1:27" ht="12" customHeight="1" x14ac:dyDescent="0.25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</row>
    <row r="485" spans="1:27" ht="12" customHeight="1" x14ac:dyDescent="0.25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</row>
    <row r="486" spans="1:27" ht="12" customHeight="1" x14ac:dyDescent="0.25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</row>
    <row r="487" spans="1:27" ht="12" customHeight="1" x14ac:dyDescent="0.25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</row>
    <row r="488" spans="1:27" ht="12" customHeight="1" x14ac:dyDescent="0.25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</row>
    <row r="489" spans="1:27" ht="12" customHeight="1" x14ac:dyDescent="0.25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</row>
    <row r="490" spans="1:27" ht="12" customHeight="1" x14ac:dyDescent="0.25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</row>
    <row r="491" spans="1:27" ht="12" customHeight="1" x14ac:dyDescent="0.25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</row>
    <row r="492" spans="1:27" ht="12" customHeight="1" x14ac:dyDescent="0.25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</row>
    <row r="493" spans="1:27" ht="12" customHeight="1" x14ac:dyDescent="0.25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</row>
    <row r="494" spans="1:27" ht="12" customHeight="1" x14ac:dyDescent="0.25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</row>
    <row r="495" spans="1:27" ht="12" customHeight="1" x14ac:dyDescent="0.25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</row>
    <row r="496" spans="1:27" ht="12" customHeight="1" x14ac:dyDescent="0.25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</row>
    <row r="497" spans="1:27" ht="12" customHeight="1" x14ac:dyDescent="0.25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</row>
    <row r="498" spans="1:27" ht="12" customHeight="1" x14ac:dyDescent="0.25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</row>
    <row r="499" spans="1:27" ht="12" customHeight="1" x14ac:dyDescent="0.25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</row>
    <row r="500" spans="1:27" ht="12" customHeight="1" x14ac:dyDescent="0.25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</row>
    <row r="501" spans="1:27" ht="12" customHeight="1" x14ac:dyDescent="0.25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</row>
    <row r="502" spans="1:27" ht="12" customHeight="1" x14ac:dyDescent="0.25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</row>
    <row r="503" spans="1:27" ht="12" customHeight="1" x14ac:dyDescent="0.25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</row>
    <row r="504" spans="1:27" ht="12" customHeight="1" x14ac:dyDescent="0.25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</row>
    <row r="505" spans="1:27" ht="12" customHeight="1" x14ac:dyDescent="0.25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</row>
    <row r="506" spans="1:27" ht="12" customHeight="1" x14ac:dyDescent="0.25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</row>
    <row r="507" spans="1:27" ht="12" customHeight="1" x14ac:dyDescent="0.25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</row>
    <row r="508" spans="1:27" ht="12" customHeight="1" x14ac:dyDescent="0.25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</row>
    <row r="509" spans="1:27" ht="12" customHeight="1" x14ac:dyDescent="0.25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</row>
    <row r="510" spans="1:27" ht="12" customHeight="1" x14ac:dyDescent="0.25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</row>
    <row r="511" spans="1:27" ht="12" customHeight="1" x14ac:dyDescent="0.25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</row>
    <row r="512" spans="1:27" ht="12" customHeight="1" x14ac:dyDescent="0.25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</row>
    <row r="513" spans="1:27" ht="12" customHeight="1" x14ac:dyDescent="0.25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</row>
    <row r="514" spans="1:27" ht="12" customHeight="1" x14ac:dyDescent="0.25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</row>
    <row r="515" spans="1:27" ht="12" customHeight="1" x14ac:dyDescent="0.25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</row>
    <row r="516" spans="1:27" ht="12" customHeight="1" x14ac:dyDescent="0.25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</row>
    <row r="517" spans="1:27" ht="12" customHeight="1" x14ac:dyDescent="0.25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</row>
    <row r="518" spans="1:27" ht="12" customHeight="1" x14ac:dyDescent="0.25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</row>
    <row r="519" spans="1:27" ht="12" customHeight="1" x14ac:dyDescent="0.25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</row>
    <row r="520" spans="1:27" ht="12" customHeight="1" x14ac:dyDescent="0.25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</row>
    <row r="521" spans="1:27" ht="12" customHeight="1" x14ac:dyDescent="0.25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</row>
    <row r="522" spans="1:27" ht="12" customHeight="1" x14ac:dyDescent="0.25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</row>
    <row r="523" spans="1:27" ht="12" customHeight="1" x14ac:dyDescent="0.25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</row>
    <row r="524" spans="1:27" ht="12" customHeight="1" x14ac:dyDescent="0.25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</row>
    <row r="525" spans="1:27" ht="12" customHeight="1" x14ac:dyDescent="0.25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</row>
    <row r="526" spans="1:27" ht="12" customHeight="1" x14ac:dyDescent="0.25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</row>
    <row r="527" spans="1:27" ht="12" customHeight="1" x14ac:dyDescent="0.25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</row>
    <row r="528" spans="1:27" ht="12" customHeight="1" x14ac:dyDescent="0.25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</row>
    <row r="529" spans="1:27" ht="12" customHeight="1" x14ac:dyDescent="0.25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</row>
    <row r="530" spans="1:27" ht="12" customHeight="1" x14ac:dyDescent="0.25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</row>
    <row r="531" spans="1:27" ht="12" customHeight="1" x14ac:dyDescent="0.25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</row>
    <row r="532" spans="1:27" ht="12" customHeight="1" x14ac:dyDescent="0.25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</row>
    <row r="533" spans="1:27" ht="12" customHeight="1" x14ac:dyDescent="0.25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</row>
    <row r="534" spans="1:27" ht="12" customHeight="1" x14ac:dyDescent="0.25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</row>
    <row r="535" spans="1:27" ht="12" customHeight="1" x14ac:dyDescent="0.25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</row>
    <row r="536" spans="1:27" ht="12" customHeight="1" x14ac:dyDescent="0.25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</row>
    <row r="537" spans="1:27" ht="12" customHeight="1" x14ac:dyDescent="0.25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</row>
    <row r="538" spans="1:27" ht="12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</row>
    <row r="539" spans="1:27" ht="12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</row>
    <row r="540" spans="1:27" ht="12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</row>
    <row r="541" spans="1:27" ht="12" customHeight="1" x14ac:dyDescent="0.25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</row>
    <row r="542" spans="1:27" ht="12" customHeight="1" x14ac:dyDescent="0.25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</row>
    <row r="543" spans="1:27" ht="12" customHeight="1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</row>
    <row r="544" spans="1:27" ht="12" customHeight="1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</row>
    <row r="545" spans="1:27" ht="12" customHeight="1" x14ac:dyDescent="0.25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</row>
    <row r="546" spans="1:27" ht="12" customHeight="1" x14ac:dyDescent="0.25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</row>
    <row r="547" spans="1:27" ht="12" customHeight="1" x14ac:dyDescent="0.25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</row>
    <row r="548" spans="1:27" ht="12" customHeight="1" x14ac:dyDescent="0.25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</row>
    <row r="549" spans="1:27" ht="12" customHeight="1" x14ac:dyDescent="0.25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</row>
    <row r="550" spans="1:27" ht="12" customHeight="1" x14ac:dyDescent="0.25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</row>
    <row r="551" spans="1:27" ht="12" customHeight="1" x14ac:dyDescent="0.25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</row>
    <row r="552" spans="1:27" ht="12" customHeight="1" x14ac:dyDescent="0.25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</row>
    <row r="553" spans="1:27" ht="12" customHeight="1" x14ac:dyDescent="0.25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</row>
    <row r="554" spans="1:27" ht="12" customHeight="1" x14ac:dyDescent="0.25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</row>
    <row r="555" spans="1:27" ht="12" customHeight="1" x14ac:dyDescent="0.25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</row>
    <row r="556" spans="1:27" ht="12" customHeight="1" x14ac:dyDescent="0.25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</row>
    <row r="557" spans="1:27" ht="12" customHeight="1" x14ac:dyDescent="0.25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</row>
    <row r="558" spans="1:27" ht="12" customHeight="1" x14ac:dyDescent="0.25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</row>
    <row r="559" spans="1:27" ht="12" customHeight="1" x14ac:dyDescent="0.25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</row>
    <row r="560" spans="1:27" ht="12" customHeight="1" x14ac:dyDescent="0.25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</row>
    <row r="561" spans="1:27" ht="12" customHeight="1" x14ac:dyDescent="0.25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</row>
    <row r="562" spans="1:27" ht="12" customHeight="1" x14ac:dyDescent="0.25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</row>
    <row r="563" spans="1:27" ht="12" customHeight="1" x14ac:dyDescent="0.25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</row>
    <row r="564" spans="1:27" ht="12" customHeight="1" x14ac:dyDescent="0.25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</row>
    <row r="565" spans="1:27" ht="12" customHeight="1" x14ac:dyDescent="0.25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</row>
    <row r="566" spans="1:27" ht="12" customHeight="1" x14ac:dyDescent="0.25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</row>
    <row r="567" spans="1:27" ht="12" customHeight="1" x14ac:dyDescent="0.25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</row>
    <row r="568" spans="1:27" ht="12" customHeight="1" x14ac:dyDescent="0.25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</row>
    <row r="569" spans="1:27" ht="12" customHeight="1" x14ac:dyDescent="0.25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</row>
    <row r="570" spans="1:27" ht="12" customHeight="1" x14ac:dyDescent="0.25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</row>
    <row r="571" spans="1:27" ht="12" customHeight="1" x14ac:dyDescent="0.25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</row>
    <row r="572" spans="1:27" ht="12" customHeight="1" x14ac:dyDescent="0.25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</row>
    <row r="573" spans="1:27" ht="12" customHeight="1" x14ac:dyDescent="0.25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</row>
    <row r="574" spans="1:27" ht="12" customHeight="1" x14ac:dyDescent="0.25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</row>
    <row r="575" spans="1:27" ht="12" customHeight="1" x14ac:dyDescent="0.25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</row>
    <row r="576" spans="1:27" ht="12" customHeight="1" x14ac:dyDescent="0.25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</row>
    <row r="577" spans="1:27" ht="12" customHeight="1" x14ac:dyDescent="0.25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</row>
    <row r="578" spans="1:27" ht="12" customHeight="1" x14ac:dyDescent="0.25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</row>
    <row r="579" spans="1:27" ht="12" customHeight="1" x14ac:dyDescent="0.25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</row>
    <row r="580" spans="1:27" ht="12" customHeight="1" x14ac:dyDescent="0.25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</row>
    <row r="581" spans="1:27" ht="12" customHeight="1" x14ac:dyDescent="0.25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</row>
    <row r="582" spans="1:27" ht="12" customHeight="1" x14ac:dyDescent="0.25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</row>
    <row r="583" spans="1:27" ht="12" customHeight="1" x14ac:dyDescent="0.25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</row>
    <row r="584" spans="1:27" ht="12" customHeight="1" x14ac:dyDescent="0.25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</row>
    <row r="585" spans="1:27" ht="12" customHeight="1" x14ac:dyDescent="0.25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</row>
    <row r="586" spans="1:27" ht="12" customHeight="1" x14ac:dyDescent="0.25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</row>
    <row r="587" spans="1:27" ht="12" customHeight="1" x14ac:dyDescent="0.25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</row>
    <row r="588" spans="1:27" ht="12" customHeight="1" x14ac:dyDescent="0.25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</row>
    <row r="589" spans="1:27" ht="12" customHeight="1" x14ac:dyDescent="0.25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</row>
    <row r="590" spans="1:27" ht="12" customHeight="1" x14ac:dyDescent="0.25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</row>
    <row r="591" spans="1:27" ht="12" customHeight="1" x14ac:dyDescent="0.25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</row>
    <row r="592" spans="1:27" ht="12" customHeight="1" x14ac:dyDescent="0.25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</row>
    <row r="593" spans="1:27" ht="12" customHeight="1" x14ac:dyDescent="0.25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</row>
    <row r="594" spans="1:27" ht="12" customHeight="1" x14ac:dyDescent="0.25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</row>
    <row r="595" spans="1:27" ht="12" customHeight="1" x14ac:dyDescent="0.25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</row>
    <row r="596" spans="1:27" ht="12" customHeight="1" x14ac:dyDescent="0.25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</row>
    <row r="597" spans="1:27" ht="12" customHeight="1" x14ac:dyDescent="0.25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</row>
    <row r="598" spans="1:27" ht="12" customHeight="1" x14ac:dyDescent="0.25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</row>
    <row r="599" spans="1:27" ht="12" customHeight="1" x14ac:dyDescent="0.25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</row>
    <row r="600" spans="1:27" ht="12" customHeight="1" x14ac:dyDescent="0.25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</row>
    <row r="601" spans="1:27" ht="12" customHeight="1" x14ac:dyDescent="0.25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</row>
    <row r="602" spans="1:27" ht="12" customHeight="1" x14ac:dyDescent="0.25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</row>
    <row r="603" spans="1:27" ht="12" customHeight="1" x14ac:dyDescent="0.25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</row>
    <row r="604" spans="1:27" ht="12" customHeight="1" x14ac:dyDescent="0.25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</row>
    <row r="605" spans="1:27" ht="12" customHeight="1" x14ac:dyDescent="0.25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</row>
    <row r="606" spans="1:27" ht="12" customHeight="1" x14ac:dyDescent="0.25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</row>
    <row r="607" spans="1:27" ht="12" customHeight="1" x14ac:dyDescent="0.25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</row>
    <row r="608" spans="1:27" ht="12" customHeight="1" x14ac:dyDescent="0.25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</row>
    <row r="609" spans="1:27" ht="12" customHeight="1" x14ac:dyDescent="0.25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</row>
    <row r="610" spans="1:27" ht="12" customHeight="1" x14ac:dyDescent="0.25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</row>
    <row r="611" spans="1:27" ht="12" customHeight="1" x14ac:dyDescent="0.25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</row>
    <row r="612" spans="1:27" ht="12" customHeight="1" x14ac:dyDescent="0.25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</row>
    <row r="613" spans="1:27" ht="12" customHeight="1" x14ac:dyDescent="0.25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</row>
    <row r="614" spans="1:27" ht="12" customHeight="1" x14ac:dyDescent="0.25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</row>
    <row r="615" spans="1:27" ht="12" customHeight="1" x14ac:dyDescent="0.25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</row>
    <row r="616" spans="1:27" ht="12" customHeight="1" x14ac:dyDescent="0.25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</row>
    <row r="617" spans="1:27" ht="12" customHeight="1" x14ac:dyDescent="0.25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</row>
    <row r="618" spans="1:27" ht="12" customHeight="1" x14ac:dyDescent="0.25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</row>
    <row r="619" spans="1:27" ht="12" customHeight="1" x14ac:dyDescent="0.25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</row>
    <row r="620" spans="1:27" ht="12" customHeight="1" x14ac:dyDescent="0.25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</row>
    <row r="621" spans="1:27" ht="12" customHeight="1" x14ac:dyDescent="0.25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</row>
    <row r="622" spans="1:27" ht="12" customHeight="1" x14ac:dyDescent="0.25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</row>
    <row r="623" spans="1:27" ht="12" customHeight="1" x14ac:dyDescent="0.25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</row>
    <row r="624" spans="1:27" ht="12" customHeight="1" x14ac:dyDescent="0.25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</row>
    <row r="625" spans="1:27" ht="12" customHeight="1" x14ac:dyDescent="0.25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</row>
    <row r="626" spans="1:27" ht="12" customHeight="1" x14ac:dyDescent="0.25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</row>
    <row r="627" spans="1:27" ht="12" customHeight="1" x14ac:dyDescent="0.25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</row>
    <row r="628" spans="1:27" ht="12" customHeight="1" x14ac:dyDescent="0.25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</row>
    <row r="629" spans="1:27" ht="12" customHeight="1" x14ac:dyDescent="0.25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</row>
    <row r="630" spans="1:27" ht="12" customHeight="1" x14ac:dyDescent="0.25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</row>
    <row r="631" spans="1:27" ht="12" customHeight="1" x14ac:dyDescent="0.25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</row>
    <row r="632" spans="1:27" ht="12" customHeight="1" x14ac:dyDescent="0.25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</row>
    <row r="633" spans="1:27" ht="12" customHeight="1" x14ac:dyDescent="0.25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</row>
    <row r="634" spans="1:27" ht="12" customHeight="1" x14ac:dyDescent="0.25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</row>
    <row r="635" spans="1:27" ht="12" customHeight="1" x14ac:dyDescent="0.25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</row>
    <row r="636" spans="1:27" ht="12" customHeight="1" x14ac:dyDescent="0.25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</row>
    <row r="637" spans="1:27" ht="12" customHeight="1" x14ac:dyDescent="0.25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</row>
    <row r="638" spans="1:27" ht="12" customHeight="1" x14ac:dyDescent="0.25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</row>
    <row r="639" spans="1:27" ht="12" customHeight="1" x14ac:dyDescent="0.25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</row>
    <row r="640" spans="1:27" ht="12" customHeight="1" x14ac:dyDescent="0.25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</row>
    <row r="641" spans="1:27" ht="12" customHeight="1" x14ac:dyDescent="0.25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</row>
    <row r="642" spans="1:27" ht="12" customHeight="1" x14ac:dyDescent="0.25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</row>
    <row r="643" spans="1:27" ht="12" customHeight="1" x14ac:dyDescent="0.25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</row>
    <row r="644" spans="1:27" ht="12" customHeight="1" x14ac:dyDescent="0.25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</row>
    <row r="645" spans="1:27" ht="12" customHeight="1" x14ac:dyDescent="0.25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</row>
    <row r="646" spans="1:27" ht="12" customHeight="1" x14ac:dyDescent="0.25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</row>
    <row r="647" spans="1:27" ht="12" customHeight="1" x14ac:dyDescent="0.25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</row>
    <row r="648" spans="1:27" ht="12" customHeight="1" x14ac:dyDescent="0.25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</row>
    <row r="649" spans="1:27" ht="12" customHeight="1" x14ac:dyDescent="0.25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</row>
    <row r="650" spans="1:27" ht="12" customHeight="1" x14ac:dyDescent="0.25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</row>
    <row r="651" spans="1:27" ht="12" customHeight="1" x14ac:dyDescent="0.25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</row>
    <row r="652" spans="1:27" ht="12" customHeight="1" x14ac:dyDescent="0.25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</row>
    <row r="653" spans="1:27" ht="12" customHeight="1" x14ac:dyDescent="0.25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</row>
    <row r="654" spans="1:27" ht="12" customHeight="1" x14ac:dyDescent="0.25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</row>
    <row r="655" spans="1:27" ht="12" customHeight="1" x14ac:dyDescent="0.25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</row>
    <row r="656" spans="1:27" ht="12" customHeight="1" x14ac:dyDescent="0.25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</row>
    <row r="657" spans="1:27" ht="12" customHeight="1" x14ac:dyDescent="0.25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</row>
    <row r="658" spans="1:27" ht="12" customHeight="1" x14ac:dyDescent="0.25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</row>
    <row r="659" spans="1:27" ht="12" customHeight="1" x14ac:dyDescent="0.25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</row>
    <row r="660" spans="1:27" ht="12" customHeight="1" x14ac:dyDescent="0.25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</row>
    <row r="661" spans="1:27" ht="12" customHeight="1" x14ac:dyDescent="0.25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</row>
    <row r="662" spans="1:27" ht="12" customHeight="1" x14ac:dyDescent="0.25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</row>
    <row r="663" spans="1:27" ht="12" customHeight="1" x14ac:dyDescent="0.25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</row>
    <row r="664" spans="1:27" ht="12" customHeight="1" x14ac:dyDescent="0.25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</row>
    <row r="665" spans="1:27" ht="12" customHeight="1" x14ac:dyDescent="0.25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</row>
    <row r="666" spans="1:27" ht="12" customHeight="1" x14ac:dyDescent="0.25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</row>
    <row r="667" spans="1:27" ht="12" customHeight="1" x14ac:dyDescent="0.25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</row>
    <row r="668" spans="1:27" ht="12" customHeight="1" x14ac:dyDescent="0.25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</row>
    <row r="669" spans="1:27" ht="12" customHeight="1" x14ac:dyDescent="0.25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</row>
    <row r="670" spans="1:27" ht="12" customHeight="1" x14ac:dyDescent="0.25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</row>
    <row r="671" spans="1:27" ht="12" customHeight="1" x14ac:dyDescent="0.25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</row>
    <row r="672" spans="1:27" ht="12" customHeight="1" x14ac:dyDescent="0.25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</row>
    <row r="673" spans="1:27" ht="12" customHeight="1" x14ac:dyDescent="0.25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</row>
    <row r="674" spans="1:27" ht="12" customHeight="1" x14ac:dyDescent="0.25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</row>
    <row r="675" spans="1:27" ht="12" customHeight="1" x14ac:dyDescent="0.25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</row>
    <row r="676" spans="1:27" ht="12" customHeight="1" x14ac:dyDescent="0.25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</row>
    <row r="677" spans="1:27" ht="12" customHeight="1" x14ac:dyDescent="0.25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</row>
    <row r="678" spans="1:27" ht="12" customHeight="1" x14ac:dyDescent="0.25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</row>
    <row r="679" spans="1:27" ht="12" customHeight="1" x14ac:dyDescent="0.25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</row>
    <row r="680" spans="1:27" ht="12" customHeight="1" x14ac:dyDescent="0.25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</row>
    <row r="681" spans="1:27" ht="12" customHeight="1" x14ac:dyDescent="0.25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</row>
    <row r="682" spans="1:27" ht="12" customHeight="1" x14ac:dyDescent="0.25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</row>
    <row r="683" spans="1:27" ht="12" customHeight="1" x14ac:dyDescent="0.25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</row>
    <row r="684" spans="1:27" ht="12" customHeight="1" x14ac:dyDescent="0.25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</row>
    <row r="685" spans="1:27" ht="12" customHeight="1" x14ac:dyDescent="0.25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</row>
    <row r="686" spans="1:27" ht="12" customHeight="1" x14ac:dyDescent="0.25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</row>
    <row r="687" spans="1:27" ht="12" customHeight="1" x14ac:dyDescent="0.25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</row>
    <row r="688" spans="1:27" ht="12" customHeight="1" x14ac:dyDescent="0.25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</row>
    <row r="689" spans="1:27" ht="12" customHeight="1" x14ac:dyDescent="0.25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</row>
    <row r="690" spans="1:27" ht="12" customHeight="1" x14ac:dyDescent="0.25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</row>
    <row r="691" spans="1:27" ht="12" customHeight="1" x14ac:dyDescent="0.25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</row>
    <row r="692" spans="1:27" ht="12" customHeight="1" x14ac:dyDescent="0.25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</row>
    <row r="693" spans="1:27" ht="12" customHeight="1" x14ac:dyDescent="0.25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</row>
    <row r="694" spans="1:27" ht="12" customHeight="1" x14ac:dyDescent="0.25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</row>
    <row r="695" spans="1:27" ht="12" customHeight="1" x14ac:dyDescent="0.25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</row>
    <row r="696" spans="1:27" ht="12" customHeight="1" x14ac:dyDescent="0.25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</row>
    <row r="697" spans="1:27" ht="12" customHeight="1" x14ac:dyDescent="0.25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</row>
    <row r="698" spans="1:27" ht="12" customHeight="1" x14ac:dyDescent="0.25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</row>
    <row r="699" spans="1:27" ht="12" customHeight="1" x14ac:dyDescent="0.25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</row>
    <row r="700" spans="1:27" ht="12" customHeight="1" x14ac:dyDescent="0.25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</row>
    <row r="701" spans="1:27" ht="12" customHeight="1" x14ac:dyDescent="0.25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</row>
    <row r="702" spans="1:27" ht="12" customHeight="1" x14ac:dyDescent="0.25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</row>
    <row r="703" spans="1:27" ht="12" customHeight="1" x14ac:dyDescent="0.25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</row>
    <row r="704" spans="1:27" ht="12" customHeight="1" x14ac:dyDescent="0.25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</row>
    <row r="705" spans="1:27" ht="12" customHeight="1" x14ac:dyDescent="0.25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</row>
    <row r="706" spans="1:27" ht="12" customHeight="1" x14ac:dyDescent="0.25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</row>
    <row r="707" spans="1:27" ht="12" customHeight="1" x14ac:dyDescent="0.25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</row>
    <row r="708" spans="1:27" ht="12" customHeight="1" x14ac:dyDescent="0.25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</row>
    <row r="709" spans="1:27" ht="12" customHeight="1" x14ac:dyDescent="0.25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</row>
    <row r="710" spans="1:27" ht="12" customHeight="1" x14ac:dyDescent="0.25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</row>
    <row r="711" spans="1:27" ht="12" customHeight="1" x14ac:dyDescent="0.25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</row>
    <row r="712" spans="1:27" ht="12" customHeight="1" x14ac:dyDescent="0.25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</row>
    <row r="713" spans="1:27" ht="12" customHeight="1" x14ac:dyDescent="0.25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</row>
    <row r="714" spans="1:27" ht="12" customHeight="1" x14ac:dyDescent="0.25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</row>
    <row r="715" spans="1:27" ht="12" customHeight="1" x14ac:dyDescent="0.25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</row>
    <row r="716" spans="1:27" ht="12" customHeight="1" x14ac:dyDescent="0.25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</row>
    <row r="717" spans="1:27" ht="12" customHeight="1" x14ac:dyDescent="0.25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</row>
    <row r="718" spans="1:27" ht="12" customHeight="1" x14ac:dyDescent="0.25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</row>
    <row r="719" spans="1:27" ht="12" customHeight="1" x14ac:dyDescent="0.25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</row>
    <row r="720" spans="1:27" ht="12" customHeight="1" x14ac:dyDescent="0.25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</row>
    <row r="721" spans="1:27" ht="12" customHeight="1" x14ac:dyDescent="0.25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</row>
    <row r="722" spans="1:27" ht="12" customHeight="1" x14ac:dyDescent="0.25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</row>
    <row r="723" spans="1:27" ht="12" customHeight="1" x14ac:dyDescent="0.25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</row>
    <row r="724" spans="1:27" ht="12" customHeight="1" x14ac:dyDescent="0.25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</row>
    <row r="725" spans="1:27" ht="12" customHeight="1" x14ac:dyDescent="0.25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</row>
    <row r="726" spans="1:27" ht="12" customHeight="1" x14ac:dyDescent="0.25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</row>
    <row r="727" spans="1:27" ht="12" customHeight="1" x14ac:dyDescent="0.25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</row>
    <row r="728" spans="1:27" ht="12" customHeight="1" x14ac:dyDescent="0.25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</row>
    <row r="729" spans="1:27" ht="12" customHeight="1" x14ac:dyDescent="0.25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</row>
    <row r="730" spans="1:27" ht="12" customHeight="1" x14ac:dyDescent="0.25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</row>
    <row r="731" spans="1:27" ht="12" customHeight="1" x14ac:dyDescent="0.25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</row>
    <row r="732" spans="1:27" ht="12" customHeight="1" x14ac:dyDescent="0.25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</row>
    <row r="733" spans="1:27" ht="12" customHeight="1" x14ac:dyDescent="0.25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</row>
    <row r="734" spans="1:27" ht="12" customHeight="1" x14ac:dyDescent="0.25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</row>
    <row r="735" spans="1:27" ht="12" customHeight="1" x14ac:dyDescent="0.25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</row>
    <row r="736" spans="1:27" ht="12" customHeight="1" x14ac:dyDescent="0.25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</row>
    <row r="737" spans="1:27" ht="12" customHeight="1" x14ac:dyDescent="0.25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</row>
    <row r="738" spans="1:27" ht="12" customHeight="1" x14ac:dyDescent="0.25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</row>
    <row r="739" spans="1:27" ht="12" customHeight="1" x14ac:dyDescent="0.25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</row>
    <row r="740" spans="1:27" ht="12" customHeight="1" x14ac:dyDescent="0.25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</row>
    <row r="741" spans="1:27" ht="12" customHeight="1" x14ac:dyDescent="0.25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</row>
    <row r="742" spans="1:27" ht="12" customHeight="1" x14ac:dyDescent="0.25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</row>
    <row r="743" spans="1:27" ht="12" customHeight="1" x14ac:dyDescent="0.25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</row>
    <row r="744" spans="1:27" ht="12" customHeight="1" x14ac:dyDescent="0.25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</row>
    <row r="745" spans="1:27" ht="12" customHeight="1" x14ac:dyDescent="0.25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</row>
    <row r="746" spans="1:27" ht="12" customHeight="1" x14ac:dyDescent="0.25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</row>
    <row r="747" spans="1:27" ht="12" customHeight="1" x14ac:dyDescent="0.25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</row>
    <row r="748" spans="1:27" ht="12" customHeight="1" x14ac:dyDescent="0.25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</row>
    <row r="749" spans="1:27" ht="12" customHeight="1" x14ac:dyDescent="0.25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</row>
    <row r="750" spans="1:27" ht="12" customHeight="1" x14ac:dyDescent="0.25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</row>
    <row r="751" spans="1:27" ht="12" customHeight="1" x14ac:dyDescent="0.25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</row>
    <row r="752" spans="1:27" ht="12" customHeight="1" x14ac:dyDescent="0.25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</row>
    <row r="753" spans="1:27" ht="12" customHeight="1" x14ac:dyDescent="0.25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</row>
    <row r="754" spans="1:27" ht="12" customHeight="1" x14ac:dyDescent="0.25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</row>
    <row r="755" spans="1:27" ht="12" customHeight="1" x14ac:dyDescent="0.25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</row>
    <row r="756" spans="1:27" ht="12" customHeight="1" x14ac:dyDescent="0.25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</row>
    <row r="757" spans="1:27" ht="12" customHeight="1" x14ac:dyDescent="0.25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</row>
    <row r="758" spans="1:27" ht="12" customHeight="1" x14ac:dyDescent="0.25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</row>
    <row r="759" spans="1:27" ht="12" customHeight="1" x14ac:dyDescent="0.25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</row>
    <row r="760" spans="1:27" ht="12" customHeight="1" x14ac:dyDescent="0.25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</row>
    <row r="761" spans="1:27" ht="12" customHeight="1" x14ac:dyDescent="0.25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</row>
    <row r="762" spans="1:27" ht="12" customHeight="1" x14ac:dyDescent="0.25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</row>
    <row r="763" spans="1:27" ht="12" customHeight="1" x14ac:dyDescent="0.25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</row>
    <row r="764" spans="1:27" ht="12" customHeight="1" x14ac:dyDescent="0.25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</row>
    <row r="765" spans="1:27" ht="12" customHeight="1" x14ac:dyDescent="0.25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</row>
    <row r="766" spans="1:27" ht="12" customHeight="1" x14ac:dyDescent="0.25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</row>
    <row r="767" spans="1:27" ht="12" customHeight="1" x14ac:dyDescent="0.25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</row>
    <row r="768" spans="1:27" ht="12" customHeight="1" x14ac:dyDescent="0.25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</row>
    <row r="769" spans="1:27" ht="12" customHeight="1" x14ac:dyDescent="0.25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</row>
    <row r="770" spans="1:27" ht="12" customHeight="1" x14ac:dyDescent="0.25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</row>
    <row r="771" spans="1:27" ht="12" customHeight="1" x14ac:dyDescent="0.25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</row>
    <row r="772" spans="1:27" ht="12" customHeight="1" x14ac:dyDescent="0.25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</row>
    <row r="773" spans="1:27" ht="12" customHeight="1" x14ac:dyDescent="0.25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</row>
    <row r="774" spans="1:27" ht="12" customHeight="1" x14ac:dyDescent="0.25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</row>
    <row r="775" spans="1:27" ht="12" customHeight="1" x14ac:dyDescent="0.25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</row>
    <row r="776" spans="1:27" ht="12" customHeight="1" x14ac:dyDescent="0.25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</row>
    <row r="777" spans="1:27" ht="12" customHeight="1" x14ac:dyDescent="0.25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</row>
    <row r="778" spans="1:27" ht="12" customHeight="1" x14ac:dyDescent="0.25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</row>
    <row r="779" spans="1:27" ht="12" customHeight="1" x14ac:dyDescent="0.25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</row>
    <row r="780" spans="1:27" ht="12" customHeight="1" x14ac:dyDescent="0.25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</row>
    <row r="781" spans="1:27" ht="12" customHeight="1" x14ac:dyDescent="0.25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</row>
    <row r="782" spans="1:27" ht="12" customHeight="1" x14ac:dyDescent="0.25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</row>
    <row r="783" spans="1:27" ht="12" customHeight="1" x14ac:dyDescent="0.25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</row>
    <row r="784" spans="1:27" ht="12" customHeight="1" x14ac:dyDescent="0.25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</row>
    <row r="785" spans="1:27" ht="12" customHeight="1" x14ac:dyDescent="0.25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</row>
    <row r="786" spans="1:27" ht="12" customHeight="1" x14ac:dyDescent="0.25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</row>
    <row r="787" spans="1:27" ht="12" customHeight="1" x14ac:dyDescent="0.25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</row>
    <row r="788" spans="1:27" ht="12" customHeight="1" x14ac:dyDescent="0.25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</row>
    <row r="789" spans="1:27" ht="12" customHeight="1" x14ac:dyDescent="0.25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</row>
    <row r="790" spans="1:27" ht="12" customHeight="1" x14ac:dyDescent="0.25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</row>
    <row r="791" spans="1:27" ht="12" customHeight="1" x14ac:dyDescent="0.25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</row>
    <row r="792" spans="1:27" ht="12" customHeight="1" x14ac:dyDescent="0.25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</row>
    <row r="793" spans="1:27" ht="12" customHeight="1" x14ac:dyDescent="0.25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</row>
    <row r="794" spans="1:27" ht="12" customHeight="1" x14ac:dyDescent="0.25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</row>
    <row r="795" spans="1:27" ht="12" customHeight="1" x14ac:dyDescent="0.25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</row>
    <row r="796" spans="1:27" ht="12" customHeight="1" x14ac:dyDescent="0.25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</row>
    <row r="797" spans="1:27" ht="12" customHeight="1" x14ac:dyDescent="0.25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</row>
    <row r="798" spans="1:27" ht="12" customHeight="1" x14ac:dyDescent="0.25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</row>
    <row r="799" spans="1:27" ht="12" customHeight="1" x14ac:dyDescent="0.25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</row>
    <row r="800" spans="1:27" ht="12" customHeight="1" x14ac:dyDescent="0.25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</row>
    <row r="801" spans="1:27" ht="12" customHeight="1" x14ac:dyDescent="0.25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</row>
    <row r="802" spans="1:27" ht="12" customHeight="1" x14ac:dyDescent="0.25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</row>
    <row r="803" spans="1:27" ht="12" customHeight="1" x14ac:dyDescent="0.25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</row>
    <row r="804" spans="1:27" ht="12" customHeight="1" x14ac:dyDescent="0.25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</row>
    <row r="805" spans="1:27" ht="12" customHeight="1" x14ac:dyDescent="0.25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</row>
    <row r="806" spans="1:27" ht="12" customHeight="1" x14ac:dyDescent="0.25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</row>
    <row r="807" spans="1:27" ht="12" customHeight="1" x14ac:dyDescent="0.25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</row>
    <row r="808" spans="1:27" ht="12" customHeight="1" x14ac:dyDescent="0.25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</row>
    <row r="809" spans="1:27" ht="12" customHeight="1" x14ac:dyDescent="0.25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</row>
    <row r="810" spans="1:27" ht="12" customHeight="1" x14ac:dyDescent="0.25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</row>
    <row r="811" spans="1:27" ht="12" customHeight="1" x14ac:dyDescent="0.25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</row>
    <row r="812" spans="1:27" ht="12" customHeight="1" x14ac:dyDescent="0.25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</row>
    <row r="813" spans="1:27" ht="12" customHeight="1" x14ac:dyDescent="0.25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</row>
    <row r="814" spans="1:27" ht="12" customHeight="1" x14ac:dyDescent="0.25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</row>
    <row r="815" spans="1:27" ht="12" customHeight="1" x14ac:dyDescent="0.25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</row>
    <row r="816" spans="1:27" ht="12" customHeight="1" x14ac:dyDescent="0.25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</row>
    <row r="817" spans="1:27" ht="12" customHeight="1" x14ac:dyDescent="0.25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</row>
    <row r="818" spans="1:27" ht="12" customHeight="1" x14ac:dyDescent="0.25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</row>
    <row r="819" spans="1:27" ht="12" customHeight="1" x14ac:dyDescent="0.25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</row>
    <row r="820" spans="1:27" ht="12" customHeight="1" x14ac:dyDescent="0.25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</row>
    <row r="821" spans="1:27" ht="12" customHeight="1" x14ac:dyDescent="0.25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</row>
    <row r="822" spans="1:27" ht="12" customHeight="1" x14ac:dyDescent="0.25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</row>
    <row r="823" spans="1:27" ht="12" customHeight="1" x14ac:dyDescent="0.25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</row>
    <row r="824" spans="1:27" ht="12" customHeight="1" x14ac:dyDescent="0.25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</row>
    <row r="825" spans="1:27" ht="12" customHeight="1" x14ac:dyDescent="0.25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</row>
    <row r="826" spans="1:27" ht="12" customHeight="1" x14ac:dyDescent="0.25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</row>
    <row r="827" spans="1:27" ht="12" customHeight="1" x14ac:dyDescent="0.25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</row>
    <row r="828" spans="1:27" ht="12" customHeight="1" x14ac:dyDescent="0.25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</row>
    <row r="829" spans="1:27" ht="12" customHeight="1" x14ac:dyDescent="0.25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</row>
    <row r="830" spans="1:27" ht="12" customHeight="1" x14ac:dyDescent="0.25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</row>
    <row r="831" spans="1:27" ht="12" customHeight="1" x14ac:dyDescent="0.25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</row>
    <row r="832" spans="1:27" ht="12" customHeight="1" x14ac:dyDescent="0.25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</row>
    <row r="833" spans="1:27" ht="12" customHeight="1" x14ac:dyDescent="0.25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</row>
    <row r="834" spans="1:27" ht="12" customHeight="1" x14ac:dyDescent="0.25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</row>
    <row r="835" spans="1:27" ht="12" customHeight="1" x14ac:dyDescent="0.25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</row>
    <row r="836" spans="1:27" ht="12" customHeight="1" x14ac:dyDescent="0.25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</row>
    <row r="837" spans="1:27" ht="12" customHeight="1" x14ac:dyDescent="0.25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</row>
    <row r="838" spans="1:27" ht="12" customHeight="1" x14ac:dyDescent="0.25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</row>
    <row r="839" spans="1:27" ht="12" customHeight="1" x14ac:dyDescent="0.25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</row>
    <row r="840" spans="1:27" ht="12" customHeight="1" x14ac:dyDescent="0.25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</row>
    <row r="841" spans="1:27" ht="12" customHeight="1" x14ac:dyDescent="0.25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</row>
    <row r="842" spans="1:27" ht="12" customHeight="1" x14ac:dyDescent="0.25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</row>
    <row r="843" spans="1:27" ht="12" customHeight="1" x14ac:dyDescent="0.25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</row>
    <row r="844" spans="1:27" ht="12" customHeight="1" x14ac:dyDescent="0.25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</row>
    <row r="845" spans="1:27" ht="12" customHeight="1" x14ac:dyDescent="0.25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</row>
    <row r="846" spans="1:27" ht="12" customHeight="1" x14ac:dyDescent="0.25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</row>
    <row r="847" spans="1:27" ht="12" customHeight="1" x14ac:dyDescent="0.25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</row>
    <row r="848" spans="1:27" ht="12" customHeight="1" x14ac:dyDescent="0.25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</row>
    <row r="849" spans="1:27" ht="12" customHeight="1" x14ac:dyDescent="0.25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</row>
    <row r="850" spans="1:27" ht="12" customHeight="1" x14ac:dyDescent="0.25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</row>
    <row r="851" spans="1:27" ht="12" customHeight="1" x14ac:dyDescent="0.25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</row>
    <row r="852" spans="1:27" ht="12" customHeight="1" x14ac:dyDescent="0.25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</row>
    <row r="853" spans="1:27" ht="12" customHeight="1" x14ac:dyDescent="0.25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</row>
    <row r="854" spans="1:27" ht="12" customHeight="1" x14ac:dyDescent="0.25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</row>
    <row r="855" spans="1:27" ht="12" customHeight="1" x14ac:dyDescent="0.25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</row>
    <row r="856" spans="1:27" ht="12" customHeight="1" x14ac:dyDescent="0.25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</row>
    <row r="857" spans="1:27" ht="12" customHeight="1" x14ac:dyDescent="0.25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</row>
    <row r="858" spans="1:27" ht="12" customHeight="1" x14ac:dyDescent="0.25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</row>
    <row r="859" spans="1:27" ht="12" customHeight="1" x14ac:dyDescent="0.25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</row>
    <row r="860" spans="1:27" ht="12" customHeight="1" x14ac:dyDescent="0.25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</row>
    <row r="861" spans="1:27" ht="12" customHeight="1" x14ac:dyDescent="0.25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</row>
    <row r="862" spans="1:27" ht="12" customHeight="1" x14ac:dyDescent="0.25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</row>
    <row r="863" spans="1:27" ht="12" customHeight="1" x14ac:dyDescent="0.25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</row>
    <row r="864" spans="1:27" ht="12" customHeight="1" x14ac:dyDescent="0.25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</row>
    <row r="865" spans="1:27" ht="12" customHeight="1" x14ac:dyDescent="0.25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</row>
    <row r="866" spans="1:27" ht="12" customHeight="1" x14ac:dyDescent="0.25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</row>
    <row r="867" spans="1:27" ht="12" customHeight="1" x14ac:dyDescent="0.25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</row>
    <row r="868" spans="1:27" ht="12" customHeight="1" x14ac:dyDescent="0.25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</row>
    <row r="869" spans="1:27" ht="12" customHeight="1" x14ac:dyDescent="0.25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</row>
    <row r="870" spans="1:27" ht="12" customHeight="1" x14ac:dyDescent="0.25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</row>
    <row r="871" spans="1:27" ht="12" customHeight="1" x14ac:dyDescent="0.25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</row>
    <row r="872" spans="1:27" ht="12" customHeight="1" x14ac:dyDescent="0.25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</row>
    <row r="873" spans="1:27" ht="12" customHeight="1" x14ac:dyDescent="0.25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</row>
    <row r="874" spans="1:27" ht="12" customHeight="1" x14ac:dyDescent="0.25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</row>
    <row r="875" spans="1:27" ht="12" customHeight="1" x14ac:dyDescent="0.25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</row>
    <row r="876" spans="1:27" ht="12" customHeight="1" x14ac:dyDescent="0.25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</row>
    <row r="877" spans="1:27" ht="12" customHeight="1" x14ac:dyDescent="0.25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</row>
    <row r="878" spans="1:27" ht="12" customHeight="1" x14ac:dyDescent="0.25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</row>
    <row r="879" spans="1:27" ht="12" customHeight="1" x14ac:dyDescent="0.25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</row>
    <row r="880" spans="1:27" ht="12" customHeight="1" x14ac:dyDescent="0.25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</row>
    <row r="881" spans="1:27" ht="12" customHeight="1" x14ac:dyDescent="0.25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</row>
    <row r="882" spans="1:27" ht="12" customHeight="1" x14ac:dyDescent="0.25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</row>
    <row r="883" spans="1:27" ht="12" customHeight="1" x14ac:dyDescent="0.25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</row>
    <row r="884" spans="1:27" ht="12" customHeight="1" x14ac:dyDescent="0.25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</row>
    <row r="885" spans="1:27" ht="12" customHeight="1" x14ac:dyDescent="0.25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</row>
    <row r="886" spans="1:27" ht="12" customHeight="1" x14ac:dyDescent="0.25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</row>
    <row r="887" spans="1:27" ht="12" customHeight="1" x14ac:dyDescent="0.25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</row>
    <row r="888" spans="1:27" ht="12" customHeight="1" x14ac:dyDescent="0.25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</row>
    <row r="889" spans="1:27" ht="12" customHeight="1" x14ac:dyDescent="0.25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</row>
    <row r="890" spans="1:27" ht="12" customHeight="1" x14ac:dyDescent="0.25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</row>
    <row r="891" spans="1:27" ht="12" customHeight="1" x14ac:dyDescent="0.25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</row>
    <row r="892" spans="1:27" ht="12" customHeight="1" x14ac:dyDescent="0.25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</row>
    <row r="893" spans="1:27" ht="12" customHeight="1" x14ac:dyDescent="0.25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</row>
    <row r="894" spans="1:27" ht="12" customHeight="1" x14ac:dyDescent="0.25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</row>
    <row r="895" spans="1:27" ht="12" customHeight="1" x14ac:dyDescent="0.25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</row>
    <row r="896" spans="1:27" ht="12" customHeight="1" x14ac:dyDescent="0.25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</row>
    <row r="897" spans="1:27" ht="12" customHeight="1" x14ac:dyDescent="0.25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</row>
    <row r="898" spans="1:27" ht="12" customHeight="1" x14ac:dyDescent="0.25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</row>
    <row r="899" spans="1:27" ht="12" customHeight="1" x14ac:dyDescent="0.25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</row>
    <row r="900" spans="1:27" ht="12" customHeight="1" x14ac:dyDescent="0.25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</row>
    <row r="901" spans="1:27" ht="12" customHeight="1" x14ac:dyDescent="0.25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</row>
    <row r="902" spans="1:27" ht="12" customHeight="1" x14ac:dyDescent="0.25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</row>
    <row r="903" spans="1:27" ht="12" customHeight="1" x14ac:dyDescent="0.25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</row>
    <row r="904" spans="1:27" ht="12" customHeight="1" x14ac:dyDescent="0.25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</row>
    <row r="905" spans="1:27" ht="12" customHeight="1" x14ac:dyDescent="0.25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</row>
    <row r="906" spans="1:27" ht="12" customHeight="1" x14ac:dyDescent="0.25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</row>
    <row r="907" spans="1:27" ht="12" customHeight="1" x14ac:dyDescent="0.25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</row>
    <row r="908" spans="1:27" ht="12" customHeight="1" x14ac:dyDescent="0.25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</row>
    <row r="909" spans="1:27" ht="12" customHeight="1" x14ac:dyDescent="0.25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</row>
    <row r="910" spans="1:27" ht="12" customHeight="1" x14ac:dyDescent="0.25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</row>
    <row r="911" spans="1:27" ht="12" customHeight="1" x14ac:dyDescent="0.25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</row>
    <row r="912" spans="1:27" ht="12" customHeight="1" x14ac:dyDescent="0.25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</row>
    <row r="913" spans="1:27" ht="12" customHeight="1" x14ac:dyDescent="0.25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</row>
    <row r="914" spans="1:27" ht="12" customHeight="1" x14ac:dyDescent="0.25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</row>
    <row r="915" spans="1:27" ht="12" customHeight="1" x14ac:dyDescent="0.25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</row>
    <row r="916" spans="1:27" ht="12" customHeight="1" x14ac:dyDescent="0.25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</row>
    <row r="917" spans="1:27" ht="12" customHeight="1" x14ac:dyDescent="0.25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</row>
    <row r="918" spans="1:27" ht="12" customHeight="1" x14ac:dyDescent="0.25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</row>
    <row r="919" spans="1:27" ht="12" customHeight="1" x14ac:dyDescent="0.25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</row>
    <row r="920" spans="1:27" ht="12" customHeight="1" x14ac:dyDescent="0.25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</row>
    <row r="921" spans="1:27" ht="12" customHeight="1" x14ac:dyDescent="0.25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</row>
    <row r="922" spans="1:27" ht="12" customHeight="1" x14ac:dyDescent="0.25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</row>
    <row r="923" spans="1:27" ht="12" customHeight="1" x14ac:dyDescent="0.25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</row>
    <row r="924" spans="1:27" ht="12" customHeight="1" x14ac:dyDescent="0.25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</row>
    <row r="925" spans="1:27" ht="12" customHeight="1" x14ac:dyDescent="0.25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</row>
    <row r="926" spans="1:27" ht="12" customHeight="1" x14ac:dyDescent="0.25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</row>
    <row r="927" spans="1:27" ht="12" customHeight="1" x14ac:dyDescent="0.25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</row>
    <row r="928" spans="1:27" ht="12" customHeight="1" x14ac:dyDescent="0.25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</row>
    <row r="929" spans="1:27" ht="12" customHeight="1" x14ac:dyDescent="0.25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</row>
    <row r="930" spans="1:27" ht="12" customHeight="1" x14ac:dyDescent="0.25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</row>
    <row r="931" spans="1:27" ht="12" customHeight="1" x14ac:dyDescent="0.25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</row>
    <row r="932" spans="1:27" ht="12" customHeight="1" x14ac:dyDescent="0.25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</row>
    <row r="933" spans="1:27" ht="12" customHeight="1" x14ac:dyDescent="0.25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</row>
    <row r="934" spans="1:27" ht="12" customHeight="1" x14ac:dyDescent="0.25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</row>
    <row r="935" spans="1:27" ht="12" customHeight="1" x14ac:dyDescent="0.25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</row>
    <row r="936" spans="1:27" ht="12" customHeight="1" x14ac:dyDescent="0.25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</row>
    <row r="937" spans="1:27" ht="12" customHeight="1" x14ac:dyDescent="0.25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</row>
    <row r="938" spans="1:27" ht="12" customHeight="1" x14ac:dyDescent="0.25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</row>
    <row r="939" spans="1:27" ht="12" customHeight="1" x14ac:dyDescent="0.25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</row>
    <row r="940" spans="1:27" ht="12" customHeight="1" x14ac:dyDescent="0.25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</row>
    <row r="941" spans="1:27" ht="12" customHeight="1" x14ac:dyDescent="0.25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</row>
    <row r="942" spans="1:27" ht="12" customHeight="1" x14ac:dyDescent="0.25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</row>
    <row r="943" spans="1:27" ht="12" customHeight="1" x14ac:dyDescent="0.25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</row>
    <row r="944" spans="1:27" ht="12" customHeight="1" x14ac:dyDescent="0.25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</row>
    <row r="945" spans="1:27" ht="12" customHeight="1" x14ac:dyDescent="0.25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</row>
    <row r="946" spans="1:27" ht="12" customHeight="1" x14ac:dyDescent="0.25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</row>
    <row r="947" spans="1:27" ht="12" customHeight="1" x14ac:dyDescent="0.25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</row>
    <row r="948" spans="1:27" ht="12" customHeight="1" x14ac:dyDescent="0.25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</row>
    <row r="949" spans="1:27" ht="12" customHeight="1" x14ac:dyDescent="0.25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</row>
    <row r="950" spans="1:27" ht="12" customHeight="1" x14ac:dyDescent="0.25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</row>
    <row r="951" spans="1:27" ht="12" customHeight="1" x14ac:dyDescent="0.25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</row>
    <row r="952" spans="1:27" ht="12" customHeight="1" x14ac:dyDescent="0.25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</row>
    <row r="953" spans="1:27" ht="12" customHeight="1" x14ac:dyDescent="0.25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</row>
    <row r="954" spans="1:27" ht="12" customHeight="1" x14ac:dyDescent="0.25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</row>
    <row r="955" spans="1:27" ht="12" customHeight="1" x14ac:dyDescent="0.25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</row>
    <row r="956" spans="1:27" ht="12" customHeight="1" x14ac:dyDescent="0.25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</row>
    <row r="957" spans="1:27" ht="12" customHeight="1" x14ac:dyDescent="0.25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</row>
    <row r="958" spans="1:27" ht="12" customHeight="1" x14ac:dyDescent="0.25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</row>
    <row r="959" spans="1:27" ht="12" customHeight="1" x14ac:dyDescent="0.25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</row>
    <row r="960" spans="1:27" ht="12" customHeight="1" x14ac:dyDescent="0.25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</row>
    <row r="961" spans="1:27" ht="12" customHeight="1" x14ac:dyDescent="0.25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</row>
    <row r="962" spans="1:27" ht="12" customHeight="1" x14ac:dyDescent="0.25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</row>
    <row r="963" spans="1:27" ht="12" customHeight="1" x14ac:dyDescent="0.25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</row>
    <row r="964" spans="1:27" ht="12" customHeight="1" x14ac:dyDescent="0.25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</row>
    <row r="965" spans="1:27" ht="12" customHeight="1" x14ac:dyDescent="0.25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</row>
    <row r="966" spans="1:27" ht="12" customHeight="1" x14ac:dyDescent="0.25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</row>
    <row r="967" spans="1:27" ht="12" customHeight="1" x14ac:dyDescent="0.25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</row>
    <row r="968" spans="1:27" ht="12" customHeight="1" x14ac:dyDescent="0.25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</row>
    <row r="969" spans="1:27" ht="12" customHeight="1" x14ac:dyDescent="0.25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</row>
    <row r="970" spans="1:27" ht="12" customHeight="1" x14ac:dyDescent="0.25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</row>
    <row r="971" spans="1:27" ht="12" customHeight="1" x14ac:dyDescent="0.25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</row>
    <row r="972" spans="1:27" ht="12" customHeight="1" x14ac:dyDescent="0.25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</row>
    <row r="973" spans="1:27" ht="12" customHeight="1" x14ac:dyDescent="0.25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</row>
    <row r="974" spans="1:27" ht="12" customHeight="1" x14ac:dyDescent="0.25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</row>
    <row r="975" spans="1:27" ht="12" customHeight="1" x14ac:dyDescent="0.25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</row>
    <row r="976" spans="1:27" ht="12" customHeight="1" x14ac:dyDescent="0.25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</row>
    <row r="977" spans="1:27" ht="12" customHeight="1" x14ac:dyDescent="0.25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</row>
    <row r="978" spans="1:27" ht="12" customHeight="1" x14ac:dyDescent="0.25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</row>
    <row r="979" spans="1:27" ht="12" customHeight="1" x14ac:dyDescent="0.25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</row>
    <row r="980" spans="1:27" ht="12" customHeight="1" x14ac:dyDescent="0.25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</row>
    <row r="981" spans="1:27" ht="12" customHeight="1" x14ac:dyDescent="0.25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</row>
    <row r="982" spans="1:27" ht="12" customHeight="1" x14ac:dyDescent="0.25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</row>
    <row r="983" spans="1:27" ht="12" customHeight="1" x14ac:dyDescent="0.25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</row>
    <row r="984" spans="1:27" ht="12" customHeight="1" x14ac:dyDescent="0.25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</row>
    <row r="985" spans="1:27" ht="12" customHeight="1" x14ac:dyDescent="0.25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</row>
    <row r="986" spans="1:27" ht="12" customHeight="1" x14ac:dyDescent="0.25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</row>
    <row r="987" spans="1:27" ht="12" customHeight="1" x14ac:dyDescent="0.25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</row>
    <row r="988" spans="1:27" ht="12" customHeight="1" x14ac:dyDescent="0.25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</row>
    <row r="989" spans="1:27" ht="12" customHeight="1" x14ac:dyDescent="0.25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</row>
    <row r="990" spans="1:27" ht="12" customHeight="1" x14ac:dyDescent="0.25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</row>
    <row r="991" spans="1:27" ht="12" customHeight="1" x14ac:dyDescent="0.25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</row>
    <row r="992" spans="1:27" ht="12" customHeight="1" x14ac:dyDescent="0.25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</row>
    <row r="993" spans="1:27" ht="12" customHeight="1" x14ac:dyDescent="0.25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</row>
    <row r="994" spans="1:27" ht="12" customHeight="1" x14ac:dyDescent="0.25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</row>
    <row r="995" spans="1:27" ht="12" customHeight="1" x14ac:dyDescent="0.25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</row>
    <row r="996" spans="1:27" ht="12" customHeight="1" x14ac:dyDescent="0.25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</row>
    <row r="997" spans="1:27" ht="12" customHeight="1" x14ac:dyDescent="0.25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</row>
    <row r="998" spans="1:27" ht="12" customHeight="1" x14ac:dyDescent="0.25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</row>
    <row r="999" spans="1:27" ht="12" customHeight="1" x14ac:dyDescent="0.25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</row>
    <row r="1000" spans="1:27" ht="12" customHeight="1" x14ac:dyDescent="0.25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</row>
  </sheetData>
  <sheetProtection formatCells="0" formatColumns="0" formatRows="0" autoFilter="0"/>
  <mergeCells count="28">
    <mergeCell ref="X10:X11"/>
    <mergeCell ref="Y10:Y11"/>
    <mergeCell ref="Z10:Z11"/>
    <mergeCell ref="AA10:AA11"/>
    <mergeCell ref="P10:P11"/>
    <mergeCell ref="Q10:Q11"/>
    <mergeCell ref="R10:R11"/>
    <mergeCell ref="S10:S11"/>
    <mergeCell ref="V10:V11"/>
    <mergeCell ref="W10:W11"/>
    <mergeCell ref="O10:O11"/>
    <mergeCell ref="A10:A12"/>
    <mergeCell ref="B10:B12"/>
    <mergeCell ref="C10:C11"/>
    <mergeCell ref="D10:D11"/>
    <mergeCell ref="H10:H11"/>
    <mergeCell ref="I10:I11"/>
    <mergeCell ref="J10:J11"/>
    <mergeCell ref="K10:K11"/>
    <mergeCell ref="L10:L11"/>
    <mergeCell ref="M10:M11"/>
    <mergeCell ref="N10:N11"/>
    <mergeCell ref="B9:AA9"/>
    <mergeCell ref="A2:W2"/>
    <mergeCell ref="A3:W3"/>
    <mergeCell ref="A4:W4"/>
    <mergeCell ref="B6:C6"/>
    <mergeCell ref="B7:C7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CD830-30BC-4C82-8E4D-E068A32E6F59}">
  <sheetPr>
    <tabColor theme="0" tint="-0.249977111117893"/>
  </sheetPr>
  <dimension ref="A1:AA1000"/>
  <sheetViews>
    <sheetView workbookViewId="0">
      <pane ySplit="12" topLeftCell="A295" activePane="bottomLeft" state="frozen"/>
      <selection pane="bottomLeft" activeCell="G319" sqref="G319"/>
    </sheetView>
  </sheetViews>
  <sheetFormatPr defaultColWidth="14.42578125" defaultRowHeight="15" customHeight="1" x14ac:dyDescent="0.25"/>
  <cols>
    <col min="1" max="1" width="214.140625" style="145" hidden="1" customWidth="1"/>
    <col min="2" max="2" width="87.140625" style="145" customWidth="1"/>
    <col min="3" max="3" width="15.140625" style="145" customWidth="1"/>
    <col min="4" max="4" width="15.5703125" style="145" customWidth="1"/>
    <col min="5" max="5" width="14.85546875" style="145" customWidth="1"/>
    <col min="6" max="6" width="15.85546875" style="145" customWidth="1"/>
    <col min="7" max="7" width="16.28515625" style="145" customWidth="1"/>
    <col min="8" max="19" width="12.7109375" style="145" customWidth="1"/>
    <col min="20" max="20" width="17" style="145" customWidth="1"/>
    <col min="21" max="21" width="20.7109375" style="145" customWidth="1"/>
    <col min="22" max="22" width="17.7109375" style="145" customWidth="1"/>
    <col min="23" max="23" width="15.85546875" style="145" customWidth="1"/>
    <col min="24" max="24" width="13.42578125" style="145" customWidth="1"/>
    <col min="25" max="25" width="16.85546875" style="145" customWidth="1"/>
    <col min="26" max="26" width="18.42578125" style="145" customWidth="1"/>
    <col min="27" max="27" width="14.140625" style="145" customWidth="1"/>
    <col min="28" max="16384" width="14.42578125" style="145"/>
  </cols>
  <sheetData>
    <row r="1" spans="1:27" ht="12" customHeight="1" x14ac:dyDescent="0.25">
      <c r="A1" s="143"/>
      <c r="B1" s="143"/>
      <c r="C1" s="143"/>
      <c r="D1" s="144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</row>
    <row r="2" spans="1:27" ht="12" customHeight="1" x14ac:dyDescent="0.25">
      <c r="A2" s="528" t="s">
        <v>1119</v>
      </c>
      <c r="B2" s="529"/>
      <c r="C2" s="529"/>
      <c r="D2" s="529"/>
      <c r="E2" s="529"/>
      <c r="F2" s="529"/>
      <c r="G2" s="529"/>
      <c r="H2" s="529"/>
      <c r="I2" s="529"/>
      <c r="J2" s="529"/>
      <c r="K2" s="529"/>
      <c r="L2" s="529"/>
      <c r="M2" s="529"/>
      <c r="N2" s="529"/>
      <c r="O2" s="529"/>
      <c r="P2" s="529"/>
      <c r="Q2" s="529"/>
      <c r="R2" s="529"/>
      <c r="S2" s="529"/>
      <c r="T2" s="529"/>
      <c r="U2" s="529"/>
      <c r="V2" s="529"/>
      <c r="W2" s="529"/>
      <c r="X2" s="143"/>
      <c r="Y2" s="143"/>
      <c r="Z2" s="143"/>
      <c r="AA2" s="143"/>
    </row>
    <row r="3" spans="1:27" ht="15" customHeight="1" x14ac:dyDescent="0.25">
      <c r="A3" s="528" t="s">
        <v>1383</v>
      </c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143"/>
      <c r="Y3" s="143"/>
      <c r="Z3" s="143"/>
      <c r="AA3" s="143"/>
    </row>
    <row r="4" spans="1:27" ht="12" customHeight="1" x14ac:dyDescent="0.25">
      <c r="A4" s="530">
        <v>2026</v>
      </c>
      <c r="B4" s="529"/>
      <c r="C4" s="529"/>
      <c r="D4" s="529"/>
      <c r="E4" s="529"/>
      <c r="F4" s="529"/>
      <c r="G4" s="529"/>
      <c r="H4" s="529"/>
      <c r="I4" s="529"/>
      <c r="J4" s="529"/>
      <c r="K4" s="529"/>
      <c r="L4" s="529"/>
      <c r="M4" s="529"/>
      <c r="N4" s="529"/>
      <c r="O4" s="529"/>
      <c r="P4" s="529"/>
      <c r="Q4" s="529"/>
      <c r="R4" s="529"/>
      <c r="S4" s="529"/>
      <c r="T4" s="529"/>
      <c r="U4" s="529"/>
      <c r="V4" s="529"/>
      <c r="W4" s="529"/>
      <c r="X4" s="143"/>
      <c r="Y4" s="143"/>
      <c r="Z4" s="143"/>
      <c r="AA4" s="143"/>
    </row>
    <row r="5" spans="1:27" ht="12" customHeight="1" x14ac:dyDescent="0.25">
      <c r="A5" s="146"/>
      <c r="B5" s="147" t="s">
        <v>1383</v>
      </c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3"/>
      <c r="Y5" s="143"/>
      <c r="Z5" s="143"/>
      <c r="AA5" s="143"/>
    </row>
    <row r="6" spans="1:27" ht="12" customHeight="1" x14ac:dyDescent="0.25">
      <c r="A6" s="146"/>
      <c r="B6" s="536" t="s">
        <v>1385</v>
      </c>
      <c r="C6" s="529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3"/>
      <c r="Y6" s="143"/>
      <c r="Z6" s="143"/>
      <c r="AA6" s="143"/>
    </row>
    <row r="7" spans="1:27" ht="12" customHeight="1" x14ac:dyDescent="0.25">
      <c r="A7" s="146"/>
      <c r="B7" s="531" t="s">
        <v>1407</v>
      </c>
      <c r="C7" s="532"/>
      <c r="D7" s="532"/>
      <c r="E7" s="532"/>
      <c r="F7" s="532"/>
      <c r="G7" s="187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9"/>
      <c r="Y7" s="149"/>
      <c r="Z7" s="149"/>
      <c r="AA7" s="149"/>
    </row>
    <row r="8" spans="1:27" ht="12" customHeight="1" x14ac:dyDescent="0.25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146"/>
      <c r="P8" s="146"/>
      <c r="Q8" s="146"/>
      <c r="R8" s="146"/>
      <c r="S8" s="146"/>
      <c r="T8" s="146"/>
      <c r="U8" s="146"/>
      <c r="V8" s="146"/>
      <c r="W8" s="146"/>
      <c r="X8" s="143"/>
      <c r="Y8" s="143"/>
      <c r="Z8" s="143"/>
      <c r="AA8" s="150" t="s">
        <v>1</v>
      </c>
    </row>
    <row r="9" spans="1:27" ht="12" customHeight="1" x14ac:dyDescent="0.25">
      <c r="A9" s="151"/>
      <c r="B9" s="533" t="s">
        <v>34</v>
      </c>
      <c r="C9" s="534"/>
      <c r="D9" s="534"/>
      <c r="E9" s="534"/>
      <c r="F9" s="534"/>
      <c r="G9" s="534"/>
      <c r="H9" s="534"/>
      <c r="I9" s="534"/>
      <c r="J9" s="534"/>
      <c r="K9" s="534"/>
      <c r="L9" s="534"/>
      <c r="M9" s="534"/>
      <c r="N9" s="534"/>
      <c r="O9" s="534"/>
      <c r="P9" s="534"/>
      <c r="Q9" s="534"/>
      <c r="R9" s="534"/>
      <c r="S9" s="534"/>
      <c r="T9" s="534"/>
      <c r="U9" s="534"/>
      <c r="V9" s="534"/>
      <c r="W9" s="534"/>
      <c r="X9" s="534"/>
      <c r="Y9" s="534"/>
      <c r="Z9" s="534"/>
      <c r="AA9" s="535"/>
    </row>
    <row r="10" spans="1:27" ht="12" customHeight="1" x14ac:dyDescent="0.25">
      <c r="A10" s="524"/>
      <c r="B10" s="527" t="s">
        <v>1389</v>
      </c>
      <c r="C10" s="527" t="s">
        <v>2</v>
      </c>
      <c r="D10" s="527" t="s">
        <v>3</v>
      </c>
      <c r="E10" s="152" t="s">
        <v>57</v>
      </c>
      <c r="F10" s="152" t="s">
        <v>30</v>
      </c>
      <c r="G10" s="152" t="s">
        <v>58</v>
      </c>
      <c r="H10" s="527" t="s">
        <v>5</v>
      </c>
      <c r="I10" s="527" t="s">
        <v>6</v>
      </c>
      <c r="J10" s="527" t="s">
        <v>7</v>
      </c>
      <c r="K10" s="527" t="s">
        <v>8</v>
      </c>
      <c r="L10" s="527" t="s">
        <v>9</v>
      </c>
      <c r="M10" s="527" t="s">
        <v>10</v>
      </c>
      <c r="N10" s="527" t="s">
        <v>11</v>
      </c>
      <c r="O10" s="527" t="s">
        <v>12</v>
      </c>
      <c r="P10" s="527" t="s">
        <v>13</v>
      </c>
      <c r="Q10" s="527" t="s">
        <v>14</v>
      </c>
      <c r="R10" s="527" t="s">
        <v>15</v>
      </c>
      <c r="S10" s="527" t="s">
        <v>16</v>
      </c>
      <c r="T10" s="152" t="s">
        <v>17</v>
      </c>
      <c r="U10" s="152" t="s">
        <v>18</v>
      </c>
      <c r="V10" s="527" t="s">
        <v>59</v>
      </c>
      <c r="W10" s="527" t="s">
        <v>60</v>
      </c>
      <c r="X10" s="527" t="s">
        <v>32</v>
      </c>
      <c r="Y10" s="527" t="s">
        <v>31</v>
      </c>
      <c r="Z10" s="527" t="s">
        <v>61</v>
      </c>
      <c r="AA10" s="527" t="s">
        <v>62</v>
      </c>
    </row>
    <row r="11" spans="1:27" ht="12" customHeight="1" x14ac:dyDescent="0.25">
      <c r="A11" s="525"/>
      <c r="B11" s="525"/>
      <c r="C11" s="526"/>
      <c r="D11" s="526"/>
      <c r="E11" s="153" t="s">
        <v>1408</v>
      </c>
      <c r="F11" s="153" t="s">
        <v>1408</v>
      </c>
      <c r="G11" s="153" t="s">
        <v>1408</v>
      </c>
      <c r="H11" s="526"/>
      <c r="I11" s="526"/>
      <c r="J11" s="526"/>
      <c r="K11" s="526"/>
      <c r="L11" s="526"/>
      <c r="M11" s="526"/>
      <c r="N11" s="526"/>
      <c r="O11" s="526"/>
      <c r="P11" s="526"/>
      <c r="Q11" s="526"/>
      <c r="R11" s="526"/>
      <c r="S11" s="526"/>
      <c r="T11" s="153" t="s">
        <v>1408</v>
      </c>
      <c r="U11" s="153" t="s">
        <v>1408</v>
      </c>
      <c r="V11" s="526"/>
      <c r="W11" s="526"/>
      <c r="X11" s="526"/>
      <c r="Y11" s="526"/>
      <c r="Z11" s="526"/>
      <c r="AA11" s="526"/>
    </row>
    <row r="12" spans="1:27" ht="12" customHeight="1" x14ac:dyDescent="0.25">
      <c r="A12" s="526"/>
      <c r="B12" s="526"/>
      <c r="C12" s="154" t="s">
        <v>20</v>
      </c>
      <c r="D12" s="154" t="s">
        <v>21</v>
      </c>
      <c r="E12" s="154" t="s">
        <v>22</v>
      </c>
      <c r="F12" s="154" t="s">
        <v>23</v>
      </c>
      <c r="G12" s="154" t="s">
        <v>24</v>
      </c>
      <c r="H12" s="154" t="s">
        <v>63</v>
      </c>
      <c r="I12" s="154" t="s">
        <v>63</v>
      </c>
      <c r="J12" s="154" t="s">
        <v>63</v>
      </c>
      <c r="K12" s="154" t="s">
        <v>63</v>
      </c>
      <c r="L12" s="154" t="s">
        <v>63</v>
      </c>
      <c r="M12" s="154" t="s">
        <v>63</v>
      </c>
      <c r="N12" s="154" t="s">
        <v>63</v>
      </c>
      <c r="O12" s="154" t="s">
        <v>63</v>
      </c>
      <c r="P12" s="154" t="s">
        <v>63</v>
      </c>
      <c r="Q12" s="154" t="s">
        <v>63</v>
      </c>
      <c r="R12" s="154" t="s">
        <v>63</v>
      </c>
      <c r="S12" s="154" t="s">
        <v>63</v>
      </c>
      <c r="T12" s="154" t="s">
        <v>64</v>
      </c>
      <c r="U12" s="154" t="s">
        <v>65</v>
      </c>
      <c r="V12" s="154" t="s">
        <v>66</v>
      </c>
      <c r="W12" s="154" t="s">
        <v>67</v>
      </c>
      <c r="X12" s="154" t="s">
        <v>68</v>
      </c>
      <c r="Y12" s="154" t="s">
        <v>69</v>
      </c>
      <c r="Z12" s="154" t="s">
        <v>70</v>
      </c>
      <c r="AA12" s="154" t="s">
        <v>71</v>
      </c>
    </row>
    <row r="13" spans="1:27" ht="12" customHeight="1" x14ac:dyDescent="0.25">
      <c r="A13" s="155"/>
      <c r="B13" s="156" t="s">
        <v>404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  <c r="I13" s="157">
        <v>0</v>
      </c>
      <c r="J13" s="157">
        <v>0</v>
      </c>
      <c r="K13" s="157">
        <v>0</v>
      </c>
      <c r="L13" s="157">
        <v>0</v>
      </c>
      <c r="M13" s="157">
        <v>0</v>
      </c>
      <c r="N13" s="157">
        <v>0</v>
      </c>
      <c r="O13" s="157">
        <v>0</v>
      </c>
      <c r="P13" s="157">
        <v>0</v>
      </c>
      <c r="Q13" s="157">
        <v>0</v>
      </c>
      <c r="R13" s="157">
        <v>0</v>
      </c>
      <c r="S13" s="157">
        <v>0</v>
      </c>
      <c r="T13" s="158">
        <v>0</v>
      </c>
      <c r="U13" s="159" t="e">
        <v>#DIV/0!</v>
      </c>
      <c r="V13" s="158">
        <v>0</v>
      </c>
      <c r="W13" s="158">
        <v>0</v>
      </c>
      <c r="X13" s="158">
        <v>0</v>
      </c>
      <c r="Y13" s="158">
        <v>0</v>
      </c>
      <c r="Z13" s="158">
        <v>0</v>
      </c>
      <c r="AA13" s="158">
        <v>0</v>
      </c>
    </row>
    <row r="14" spans="1:27" ht="12" customHeight="1" x14ac:dyDescent="0.25">
      <c r="A14" s="155"/>
      <c r="B14" s="162" t="s">
        <v>405</v>
      </c>
      <c r="C14" s="163">
        <v>0</v>
      </c>
      <c r="D14" s="163">
        <v>0</v>
      </c>
      <c r="E14" s="163">
        <v>0</v>
      </c>
      <c r="F14" s="163">
        <v>0</v>
      </c>
      <c r="G14" s="163">
        <v>0</v>
      </c>
      <c r="H14" s="163">
        <v>0</v>
      </c>
      <c r="I14" s="163">
        <v>0</v>
      </c>
      <c r="J14" s="163">
        <v>0</v>
      </c>
      <c r="K14" s="163">
        <v>0</v>
      </c>
      <c r="L14" s="163">
        <v>0</v>
      </c>
      <c r="M14" s="163">
        <v>0</v>
      </c>
      <c r="N14" s="163">
        <v>0</v>
      </c>
      <c r="O14" s="163">
        <v>0</v>
      </c>
      <c r="P14" s="163">
        <v>0</v>
      </c>
      <c r="Q14" s="163">
        <v>0</v>
      </c>
      <c r="R14" s="163">
        <v>0</v>
      </c>
      <c r="S14" s="163">
        <v>0</v>
      </c>
      <c r="T14" s="164">
        <v>0</v>
      </c>
      <c r="U14" s="165" t="e">
        <v>#DIV/0!</v>
      </c>
      <c r="V14" s="164">
        <v>0</v>
      </c>
      <c r="W14" s="164">
        <v>0</v>
      </c>
      <c r="X14" s="164">
        <v>0</v>
      </c>
      <c r="Y14" s="164">
        <v>0</v>
      </c>
      <c r="Z14" s="164">
        <v>0</v>
      </c>
      <c r="AA14" s="164">
        <v>0</v>
      </c>
    </row>
    <row r="15" spans="1:27" ht="12" customHeight="1" x14ac:dyDescent="0.25">
      <c r="A15" s="155" t="s">
        <v>1120</v>
      </c>
      <c r="B15" s="166" t="s">
        <v>406</v>
      </c>
      <c r="C15" s="167">
        <v>0</v>
      </c>
      <c r="D15" s="167">
        <v>0</v>
      </c>
      <c r="E15" s="167">
        <v>0</v>
      </c>
      <c r="F15" s="167">
        <v>0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8" t="e">
        <v>#DIV/0!</v>
      </c>
      <c r="V15" s="167">
        <v>0</v>
      </c>
      <c r="W15" s="167">
        <v>0</v>
      </c>
      <c r="X15" s="167">
        <v>0</v>
      </c>
      <c r="Y15" s="167">
        <v>0</v>
      </c>
      <c r="Z15" s="167">
        <v>0</v>
      </c>
      <c r="AA15" s="167">
        <v>0</v>
      </c>
    </row>
    <row r="16" spans="1:27" ht="12" customHeight="1" x14ac:dyDescent="0.25">
      <c r="A16" s="155" t="s">
        <v>1121</v>
      </c>
      <c r="B16" s="166" t="s">
        <v>407</v>
      </c>
      <c r="C16" s="167">
        <v>0</v>
      </c>
      <c r="D16" s="167">
        <v>0</v>
      </c>
      <c r="E16" s="167">
        <v>0</v>
      </c>
      <c r="F16" s="167">
        <v>0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8" t="e">
        <v>#DIV/0!</v>
      </c>
      <c r="V16" s="167">
        <v>0</v>
      </c>
      <c r="W16" s="167">
        <v>0</v>
      </c>
      <c r="X16" s="167">
        <v>0</v>
      </c>
      <c r="Y16" s="167">
        <v>0</v>
      </c>
      <c r="Z16" s="167">
        <v>0</v>
      </c>
      <c r="AA16" s="167">
        <v>0</v>
      </c>
    </row>
    <row r="17" spans="1:27" ht="12" customHeight="1" x14ac:dyDescent="0.25">
      <c r="A17" s="155" t="s">
        <v>1122</v>
      </c>
      <c r="B17" s="166" t="s">
        <v>408</v>
      </c>
      <c r="C17" s="167">
        <v>0</v>
      </c>
      <c r="D17" s="167">
        <v>0</v>
      </c>
      <c r="E17" s="167">
        <v>0</v>
      </c>
      <c r="F17" s="167">
        <v>0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8" t="e">
        <v>#DIV/0!</v>
      </c>
      <c r="V17" s="167">
        <v>0</v>
      </c>
      <c r="W17" s="167">
        <v>0</v>
      </c>
      <c r="X17" s="167">
        <v>0</v>
      </c>
      <c r="Y17" s="167">
        <v>0</v>
      </c>
      <c r="Z17" s="167">
        <v>0</v>
      </c>
      <c r="AA17" s="167">
        <v>0</v>
      </c>
    </row>
    <row r="18" spans="1:27" ht="12" customHeight="1" x14ac:dyDescent="0.25">
      <c r="A18" s="155" t="s">
        <v>1123</v>
      </c>
      <c r="B18" s="166" t="s">
        <v>409</v>
      </c>
      <c r="C18" s="167">
        <v>0</v>
      </c>
      <c r="D18" s="167">
        <v>0</v>
      </c>
      <c r="E18" s="167">
        <v>0</v>
      </c>
      <c r="F18" s="167">
        <v>0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8" t="e">
        <v>#DIV/0!</v>
      </c>
      <c r="V18" s="167">
        <v>0</v>
      </c>
      <c r="W18" s="167">
        <v>0</v>
      </c>
      <c r="X18" s="167">
        <v>0</v>
      </c>
      <c r="Y18" s="167">
        <v>0</v>
      </c>
      <c r="Z18" s="167">
        <v>0</v>
      </c>
      <c r="AA18" s="167">
        <v>0</v>
      </c>
    </row>
    <row r="19" spans="1:27" ht="12" customHeight="1" x14ac:dyDescent="0.25">
      <c r="A19" s="155" t="s">
        <v>1124</v>
      </c>
      <c r="B19" s="166" t="s">
        <v>410</v>
      </c>
      <c r="C19" s="167">
        <v>0</v>
      </c>
      <c r="D19" s="167">
        <v>0</v>
      </c>
      <c r="E19" s="167">
        <v>0</v>
      </c>
      <c r="F19" s="167">
        <v>0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8" t="e">
        <v>#DIV/0!</v>
      </c>
      <c r="V19" s="167">
        <v>0</v>
      </c>
      <c r="W19" s="167">
        <v>0</v>
      </c>
      <c r="X19" s="167">
        <v>0</v>
      </c>
      <c r="Y19" s="167">
        <v>0</v>
      </c>
      <c r="Z19" s="167">
        <v>0</v>
      </c>
      <c r="AA19" s="167">
        <v>0</v>
      </c>
    </row>
    <row r="20" spans="1:27" ht="12" customHeight="1" x14ac:dyDescent="0.25">
      <c r="A20" s="155" t="s">
        <v>1125</v>
      </c>
      <c r="B20" s="166" t="s">
        <v>411</v>
      </c>
      <c r="C20" s="167">
        <v>0</v>
      </c>
      <c r="D20" s="167">
        <v>0</v>
      </c>
      <c r="E20" s="167">
        <v>0</v>
      </c>
      <c r="F20" s="167">
        <v>0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8" t="e">
        <v>#DIV/0!</v>
      </c>
      <c r="V20" s="167">
        <v>0</v>
      </c>
      <c r="W20" s="167">
        <v>0</v>
      </c>
      <c r="X20" s="167">
        <v>0</v>
      </c>
      <c r="Y20" s="167">
        <v>0</v>
      </c>
      <c r="Z20" s="167">
        <v>0</v>
      </c>
      <c r="AA20" s="167">
        <v>0</v>
      </c>
    </row>
    <row r="21" spans="1:27" ht="12" customHeight="1" x14ac:dyDescent="0.25">
      <c r="A21" s="155" t="s">
        <v>1126</v>
      </c>
      <c r="B21" s="166" t="s">
        <v>412</v>
      </c>
      <c r="C21" s="167">
        <v>0</v>
      </c>
      <c r="D21" s="167">
        <v>0</v>
      </c>
      <c r="E21" s="167">
        <v>0</v>
      </c>
      <c r="F21" s="167">
        <v>0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8" t="e">
        <v>#DIV/0!</v>
      </c>
      <c r="V21" s="167">
        <v>0</v>
      </c>
      <c r="W21" s="167">
        <v>0</v>
      </c>
      <c r="X21" s="167">
        <v>0</v>
      </c>
      <c r="Y21" s="167">
        <v>0</v>
      </c>
      <c r="Z21" s="167">
        <v>0</v>
      </c>
      <c r="AA21" s="167">
        <v>0</v>
      </c>
    </row>
    <row r="22" spans="1:27" ht="12" customHeight="1" x14ac:dyDescent="0.25">
      <c r="A22" s="155" t="s">
        <v>1127</v>
      </c>
      <c r="B22" s="166" t="s">
        <v>413</v>
      </c>
      <c r="C22" s="167">
        <v>0</v>
      </c>
      <c r="D22" s="167">
        <v>0</v>
      </c>
      <c r="E22" s="167">
        <v>0</v>
      </c>
      <c r="F22" s="167">
        <v>0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8" t="e">
        <v>#DIV/0!</v>
      </c>
      <c r="V22" s="167">
        <v>0</v>
      </c>
      <c r="W22" s="167">
        <v>0</v>
      </c>
      <c r="X22" s="167">
        <v>0</v>
      </c>
      <c r="Y22" s="167">
        <v>0</v>
      </c>
      <c r="Z22" s="167">
        <v>0</v>
      </c>
      <c r="AA22" s="167">
        <v>0</v>
      </c>
    </row>
    <row r="23" spans="1:27" ht="12" customHeight="1" x14ac:dyDescent="0.25">
      <c r="A23" s="155" t="s">
        <v>1128</v>
      </c>
      <c r="B23" s="166" t="s">
        <v>414</v>
      </c>
      <c r="C23" s="167">
        <v>0</v>
      </c>
      <c r="D23" s="167">
        <v>0</v>
      </c>
      <c r="E23" s="167">
        <v>0</v>
      </c>
      <c r="F23" s="167">
        <v>0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8" t="e">
        <v>#DIV/0!</v>
      </c>
      <c r="V23" s="167">
        <v>0</v>
      </c>
      <c r="W23" s="167">
        <v>0</v>
      </c>
      <c r="X23" s="167">
        <v>0</v>
      </c>
      <c r="Y23" s="167">
        <v>0</v>
      </c>
      <c r="Z23" s="167">
        <v>0</v>
      </c>
      <c r="AA23" s="167">
        <v>0</v>
      </c>
    </row>
    <row r="24" spans="1:27" ht="12" customHeight="1" x14ac:dyDescent="0.25">
      <c r="A24" s="155" t="s">
        <v>1129</v>
      </c>
      <c r="B24" s="166" t="s">
        <v>415</v>
      </c>
      <c r="C24" s="167">
        <v>0</v>
      </c>
      <c r="D24" s="167">
        <v>0</v>
      </c>
      <c r="E24" s="167">
        <v>0</v>
      </c>
      <c r="F24" s="167">
        <v>0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8" t="e">
        <v>#DIV/0!</v>
      </c>
      <c r="V24" s="167">
        <v>0</v>
      </c>
      <c r="W24" s="167">
        <v>0</v>
      </c>
      <c r="X24" s="167">
        <v>0</v>
      </c>
      <c r="Y24" s="167">
        <v>0</v>
      </c>
      <c r="Z24" s="167">
        <v>0</v>
      </c>
      <c r="AA24" s="167">
        <v>0</v>
      </c>
    </row>
    <row r="25" spans="1:27" ht="12" customHeight="1" x14ac:dyDescent="0.25">
      <c r="A25" s="155" t="s">
        <v>1130</v>
      </c>
      <c r="B25" s="166" t="s">
        <v>416</v>
      </c>
      <c r="C25" s="167">
        <v>0</v>
      </c>
      <c r="D25" s="167">
        <v>0</v>
      </c>
      <c r="E25" s="167">
        <v>0</v>
      </c>
      <c r="F25" s="167">
        <v>0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8" t="e">
        <v>#DIV/0!</v>
      </c>
      <c r="V25" s="167">
        <v>0</v>
      </c>
      <c r="W25" s="167">
        <v>0</v>
      </c>
      <c r="X25" s="167">
        <v>0</v>
      </c>
      <c r="Y25" s="167">
        <v>0</v>
      </c>
      <c r="Z25" s="167">
        <v>0</v>
      </c>
      <c r="AA25" s="167">
        <v>0</v>
      </c>
    </row>
    <row r="26" spans="1:27" ht="12" customHeight="1" x14ac:dyDescent="0.25">
      <c r="A26" s="155" t="s">
        <v>1131</v>
      </c>
      <c r="B26" s="166" t="s">
        <v>417</v>
      </c>
      <c r="C26" s="167">
        <v>0</v>
      </c>
      <c r="D26" s="167">
        <v>0</v>
      </c>
      <c r="E26" s="167">
        <v>0</v>
      </c>
      <c r="F26" s="167">
        <v>0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8" t="e">
        <v>#DIV/0!</v>
      </c>
      <c r="V26" s="167">
        <v>0</v>
      </c>
      <c r="W26" s="167">
        <v>0</v>
      </c>
      <c r="X26" s="167">
        <v>0</v>
      </c>
      <c r="Y26" s="167">
        <v>0</v>
      </c>
      <c r="Z26" s="167">
        <v>0</v>
      </c>
      <c r="AA26" s="167">
        <v>0</v>
      </c>
    </row>
    <row r="27" spans="1:27" ht="12" customHeight="1" x14ac:dyDescent="0.25">
      <c r="A27" s="155"/>
      <c r="B27" s="162" t="s">
        <v>418</v>
      </c>
      <c r="C27" s="163">
        <v>0</v>
      </c>
      <c r="D27" s="163">
        <v>0</v>
      </c>
      <c r="E27" s="163">
        <v>0</v>
      </c>
      <c r="F27" s="163">
        <v>0</v>
      </c>
      <c r="G27" s="163">
        <v>0</v>
      </c>
      <c r="H27" s="163">
        <v>0</v>
      </c>
      <c r="I27" s="163">
        <v>0</v>
      </c>
      <c r="J27" s="163">
        <v>0</v>
      </c>
      <c r="K27" s="163">
        <v>0</v>
      </c>
      <c r="L27" s="163">
        <v>0</v>
      </c>
      <c r="M27" s="163">
        <v>0</v>
      </c>
      <c r="N27" s="163">
        <v>0</v>
      </c>
      <c r="O27" s="163">
        <v>0</v>
      </c>
      <c r="P27" s="163">
        <v>0</v>
      </c>
      <c r="Q27" s="163">
        <v>0</v>
      </c>
      <c r="R27" s="163">
        <v>0</v>
      </c>
      <c r="S27" s="163">
        <v>0</v>
      </c>
      <c r="T27" s="164">
        <v>0</v>
      </c>
      <c r="U27" s="165" t="e">
        <v>#DIV/0!</v>
      </c>
      <c r="V27" s="164">
        <v>0</v>
      </c>
      <c r="W27" s="164">
        <v>0</v>
      </c>
      <c r="X27" s="164">
        <v>0</v>
      </c>
      <c r="Y27" s="164">
        <v>0</v>
      </c>
      <c r="Z27" s="164">
        <v>0</v>
      </c>
      <c r="AA27" s="164">
        <v>0</v>
      </c>
    </row>
    <row r="28" spans="1:27" ht="12" customHeight="1" x14ac:dyDescent="0.25">
      <c r="A28" s="155" t="s">
        <v>1132</v>
      </c>
      <c r="B28" s="166" t="s">
        <v>419</v>
      </c>
      <c r="C28" s="167">
        <v>0</v>
      </c>
      <c r="D28" s="167">
        <v>0</v>
      </c>
      <c r="E28" s="167">
        <v>0</v>
      </c>
      <c r="F28" s="167">
        <v>0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8" t="e">
        <v>#DIV/0!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</row>
    <row r="29" spans="1:27" ht="12" customHeight="1" x14ac:dyDescent="0.25">
      <c r="A29" s="155" t="s">
        <v>1133</v>
      </c>
      <c r="B29" s="166" t="s">
        <v>420</v>
      </c>
      <c r="C29" s="167">
        <v>0</v>
      </c>
      <c r="D29" s="167">
        <v>0</v>
      </c>
      <c r="E29" s="167">
        <v>0</v>
      </c>
      <c r="F29" s="167">
        <v>0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8" t="e">
        <v>#DIV/0!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</row>
    <row r="30" spans="1:27" ht="12" customHeight="1" x14ac:dyDescent="0.25">
      <c r="A30" s="155" t="s">
        <v>1134</v>
      </c>
      <c r="B30" s="166" t="s">
        <v>421</v>
      </c>
      <c r="C30" s="167">
        <v>0</v>
      </c>
      <c r="D30" s="167">
        <v>0</v>
      </c>
      <c r="E30" s="167">
        <v>0</v>
      </c>
      <c r="F30" s="167">
        <v>0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8" t="e">
        <v>#DIV/0!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</row>
    <row r="31" spans="1:27" ht="12" customHeight="1" x14ac:dyDescent="0.25">
      <c r="A31" s="155" t="s">
        <v>1135</v>
      </c>
      <c r="B31" s="166" t="s">
        <v>422</v>
      </c>
      <c r="C31" s="167">
        <v>0</v>
      </c>
      <c r="D31" s="167">
        <v>0</v>
      </c>
      <c r="E31" s="167">
        <v>0</v>
      </c>
      <c r="F31" s="167">
        <v>0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8" t="e">
        <v>#DIV/0!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</row>
    <row r="32" spans="1:27" ht="12" customHeight="1" x14ac:dyDescent="0.25">
      <c r="A32" s="155" t="s">
        <v>1136</v>
      </c>
      <c r="B32" s="166" t="s">
        <v>423</v>
      </c>
      <c r="C32" s="167">
        <v>0</v>
      </c>
      <c r="D32" s="167">
        <v>0</v>
      </c>
      <c r="E32" s="167">
        <v>0</v>
      </c>
      <c r="F32" s="167">
        <v>0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8" t="e">
        <v>#DIV/0!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</row>
    <row r="33" spans="1:27" ht="12" customHeight="1" x14ac:dyDescent="0.25">
      <c r="A33" s="155" t="s">
        <v>1137</v>
      </c>
      <c r="B33" s="166" t="s">
        <v>424</v>
      </c>
      <c r="C33" s="167">
        <v>0</v>
      </c>
      <c r="D33" s="167">
        <v>0</v>
      </c>
      <c r="E33" s="167">
        <v>0</v>
      </c>
      <c r="F33" s="167">
        <v>0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8" t="e">
        <v>#DIV/0!</v>
      </c>
      <c r="V33" s="167">
        <v>0</v>
      </c>
      <c r="W33" s="167">
        <v>0</v>
      </c>
      <c r="X33" s="167">
        <v>0</v>
      </c>
      <c r="Y33" s="167">
        <v>0</v>
      </c>
      <c r="Z33" s="167">
        <v>0</v>
      </c>
      <c r="AA33" s="167">
        <v>0</v>
      </c>
    </row>
    <row r="34" spans="1:27" ht="12" customHeight="1" x14ac:dyDescent="0.25">
      <c r="A34" s="155" t="s">
        <v>1138</v>
      </c>
      <c r="B34" s="166" t="s">
        <v>425</v>
      </c>
      <c r="C34" s="167">
        <v>0</v>
      </c>
      <c r="D34" s="167">
        <v>0</v>
      </c>
      <c r="E34" s="167">
        <v>0</v>
      </c>
      <c r="F34" s="167">
        <v>0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8" t="e">
        <v>#DIV/0!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</row>
    <row r="35" spans="1:27" ht="12" customHeight="1" x14ac:dyDescent="0.25">
      <c r="A35" s="155" t="s">
        <v>1139</v>
      </c>
      <c r="B35" s="166" t="s">
        <v>426</v>
      </c>
      <c r="C35" s="167">
        <v>0</v>
      </c>
      <c r="D35" s="167">
        <v>0</v>
      </c>
      <c r="E35" s="167">
        <v>0</v>
      </c>
      <c r="F35" s="167">
        <v>0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8" t="e">
        <v>#DIV/0!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v>0</v>
      </c>
    </row>
    <row r="36" spans="1:27" ht="12" customHeight="1" x14ac:dyDescent="0.25">
      <c r="A36" s="155" t="s">
        <v>1140</v>
      </c>
      <c r="B36" s="166" t="s">
        <v>427</v>
      </c>
      <c r="C36" s="167">
        <v>0</v>
      </c>
      <c r="D36" s="167">
        <v>0</v>
      </c>
      <c r="E36" s="167">
        <v>0</v>
      </c>
      <c r="F36" s="167">
        <v>0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8" t="e">
        <v>#DIV/0!</v>
      </c>
      <c r="V36" s="167">
        <v>0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</row>
    <row r="37" spans="1:27" ht="12" customHeight="1" x14ac:dyDescent="0.25">
      <c r="A37" s="155" t="s">
        <v>1141</v>
      </c>
      <c r="B37" s="162" t="s">
        <v>428</v>
      </c>
      <c r="C37" s="167">
        <v>0</v>
      </c>
      <c r="D37" s="167">
        <v>0</v>
      </c>
      <c r="E37" s="167">
        <v>0</v>
      </c>
      <c r="F37" s="167">
        <v>0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4">
        <v>0</v>
      </c>
      <c r="U37" s="165" t="e">
        <v>#DIV/0!</v>
      </c>
      <c r="V37" s="164">
        <v>0</v>
      </c>
      <c r="W37" s="164">
        <v>0</v>
      </c>
      <c r="X37" s="164">
        <v>0</v>
      </c>
      <c r="Y37" s="164">
        <v>0</v>
      </c>
      <c r="Z37" s="164">
        <v>0</v>
      </c>
      <c r="AA37" s="164">
        <v>0</v>
      </c>
    </row>
    <row r="38" spans="1:27" ht="12" customHeight="1" x14ac:dyDescent="0.25">
      <c r="A38" s="155" t="s">
        <v>1142</v>
      </c>
      <c r="B38" s="162" t="s">
        <v>429</v>
      </c>
      <c r="C38" s="167">
        <v>0</v>
      </c>
      <c r="D38" s="167">
        <v>0</v>
      </c>
      <c r="E38" s="167">
        <v>0</v>
      </c>
      <c r="F38" s="167">
        <v>0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4">
        <v>0</v>
      </c>
      <c r="U38" s="165" t="e">
        <v>#DIV/0!</v>
      </c>
      <c r="V38" s="164">
        <v>0</v>
      </c>
      <c r="W38" s="164">
        <v>0</v>
      </c>
      <c r="X38" s="164">
        <v>0</v>
      </c>
      <c r="Y38" s="164">
        <v>0</v>
      </c>
      <c r="Z38" s="164">
        <v>0</v>
      </c>
      <c r="AA38" s="164">
        <v>0</v>
      </c>
    </row>
    <row r="39" spans="1:27" ht="12" customHeight="1" x14ac:dyDescent="0.25">
      <c r="A39" s="155"/>
      <c r="B39" s="156" t="s">
        <v>430</v>
      </c>
      <c r="C39" s="157">
        <v>0</v>
      </c>
      <c r="D39" s="157">
        <v>0</v>
      </c>
      <c r="E39" s="157">
        <v>0</v>
      </c>
      <c r="F39" s="157">
        <v>0</v>
      </c>
      <c r="G39" s="157">
        <v>0</v>
      </c>
      <c r="H39" s="157">
        <v>0</v>
      </c>
      <c r="I39" s="157">
        <v>0</v>
      </c>
      <c r="J39" s="157">
        <v>0</v>
      </c>
      <c r="K39" s="157">
        <v>0</v>
      </c>
      <c r="L39" s="157">
        <v>0</v>
      </c>
      <c r="M39" s="157">
        <v>0</v>
      </c>
      <c r="N39" s="157">
        <v>0</v>
      </c>
      <c r="O39" s="157">
        <v>0</v>
      </c>
      <c r="P39" s="157">
        <v>0</v>
      </c>
      <c r="Q39" s="157">
        <v>0</v>
      </c>
      <c r="R39" s="157">
        <v>0</v>
      </c>
      <c r="S39" s="157">
        <v>0</v>
      </c>
      <c r="T39" s="158">
        <v>0</v>
      </c>
      <c r="U39" s="159" t="e">
        <v>#DIV/0!</v>
      </c>
      <c r="V39" s="158">
        <v>0</v>
      </c>
      <c r="W39" s="158">
        <v>0</v>
      </c>
      <c r="X39" s="158">
        <v>0</v>
      </c>
      <c r="Y39" s="158">
        <v>0</v>
      </c>
      <c r="Z39" s="158">
        <v>0</v>
      </c>
      <c r="AA39" s="158">
        <v>0</v>
      </c>
    </row>
    <row r="40" spans="1:27" ht="12" customHeight="1" x14ac:dyDescent="0.25">
      <c r="A40" s="155" t="s">
        <v>1143</v>
      </c>
      <c r="B40" s="162" t="s">
        <v>431</v>
      </c>
      <c r="C40" s="167">
        <v>0</v>
      </c>
      <c r="D40" s="167">
        <v>0</v>
      </c>
      <c r="E40" s="167">
        <v>0</v>
      </c>
      <c r="F40" s="167">
        <v>0</v>
      </c>
      <c r="G40" s="167">
        <v>0</v>
      </c>
      <c r="H40" s="167">
        <v>0</v>
      </c>
      <c r="I40" s="167">
        <v>0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4">
        <v>0</v>
      </c>
      <c r="U40" s="165" t="e">
        <v>#DIV/0!</v>
      </c>
      <c r="V40" s="164">
        <v>0</v>
      </c>
      <c r="W40" s="164">
        <v>0</v>
      </c>
      <c r="X40" s="164">
        <v>0</v>
      </c>
      <c r="Y40" s="164">
        <v>0</v>
      </c>
      <c r="Z40" s="164">
        <v>0</v>
      </c>
      <c r="AA40" s="164">
        <v>0</v>
      </c>
    </row>
    <row r="41" spans="1:27" ht="12" customHeight="1" x14ac:dyDescent="0.25">
      <c r="A41" s="155" t="s">
        <v>1144</v>
      </c>
      <c r="B41" s="162" t="s">
        <v>432</v>
      </c>
      <c r="C41" s="167">
        <v>0</v>
      </c>
      <c r="D41" s="167">
        <v>0</v>
      </c>
      <c r="E41" s="167">
        <v>0</v>
      </c>
      <c r="F41" s="167">
        <v>0</v>
      </c>
      <c r="G41" s="167">
        <v>0</v>
      </c>
      <c r="H41" s="167">
        <v>0</v>
      </c>
      <c r="I41" s="167">
        <v>0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4">
        <v>0</v>
      </c>
      <c r="U41" s="165" t="e">
        <v>#DIV/0!</v>
      </c>
      <c r="V41" s="164">
        <v>0</v>
      </c>
      <c r="W41" s="164">
        <v>0</v>
      </c>
      <c r="X41" s="164">
        <v>0</v>
      </c>
      <c r="Y41" s="164">
        <v>0</v>
      </c>
      <c r="Z41" s="164">
        <v>0</v>
      </c>
      <c r="AA41" s="164">
        <v>0</v>
      </c>
    </row>
    <row r="42" spans="1:27" ht="12" customHeight="1" x14ac:dyDescent="0.25">
      <c r="A42" s="155"/>
      <c r="B42" s="162" t="s">
        <v>433</v>
      </c>
      <c r="C42" s="163">
        <v>0</v>
      </c>
      <c r="D42" s="163">
        <v>0</v>
      </c>
      <c r="E42" s="163">
        <v>0</v>
      </c>
      <c r="F42" s="163">
        <v>0</v>
      </c>
      <c r="G42" s="163">
        <v>0</v>
      </c>
      <c r="H42" s="163">
        <v>0</v>
      </c>
      <c r="I42" s="163">
        <v>0</v>
      </c>
      <c r="J42" s="163">
        <v>0</v>
      </c>
      <c r="K42" s="163">
        <v>0</v>
      </c>
      <c r="L42" s="163">
        <v>0</v>
      </c>
      <c r="M42" s="163">
        <v>0</v>
      </c>
      <c r="N42" s="163">
        <v>0</v>
      </c>
      <c r="O42" s="163">
        <v>0</v>
      </c>
      <c r="P42" s="163">
        <v>0</v>
      </c>
      <c r="Q42" s="163">
        <v>0</v>
      </c>
      <c r="R42" s="163">
        <v>0</v>
      </c>
      <c r="S42" s="163">
        <v>0</v>
      </c>
      <c r="T42" s="164">
        <v>0</v>
      </c>
      <c r="U42" s="165" t="e">
        <v>#DIV/0!</v>
      </c>
      <c r="V42" s="164">
        <v>0</v>
      </c>
      <c r="W42" s="164">
        <v>0</v>
      </c>
      <c r="X42" s="164">
        <v>0</v>
      </c>
      <c r="Y42" s="164">
        <v>0</v>
      </c>
      <c r="Z42" s="164">
        <v>0</v>
      </c>
      <c r="AA42" s="164">
        <v>0</v>
      </c>
    </row>
    <row r="43" spans="1:27" ht="12" customHeight="1" x14ac:dyDescent="0.25">
      <c r="A43" s="155" t="s">
        <v>1145</v>
      </c>
      <c r="B43" s="166" t="s">
        <v>434</v>
      </c>
      <c r="C43" s="167">
        <v>0</v>
      </c>
      <c r="D43" s="167">
        <v>0</v>
      </c>
      <c r="E43" s="167">
        <v>0</v>
      </c>
      <c r="F43" s="167">
        <v>0</v>
      </c>
      <c r="G43" s="167">
        <v>0</v>
      </c>
      <c r="H43" s="167">
        <v>0</v>
      </c>
      <c r="I43" s="167"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8" t="e">
        <v>#DIV/0!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</row>
    <row r="44" spans="1:27" ht="12" customHeight="1" x14ac:dyDescent="0.25">
      <c r="A44" s="155" t="s">
        <v>1146</v>
      </c>
      <c r="B44" s="166" t="s">
        <v>435</v>
      </c>
      <c r="C44" s="167">
        <v>0</v>
      </c>
      <c r="D44" s="167">
        <v>0</v>
      </c>
      <c r="E44" s="167">
        <v>0</v>
      </c>
      <c r="F44" s="167">
        <v>0</v>
      </c>
      <c r="G44" s="167">
        <v>0</v>
      </c>
      <c r="H44" s="167">
        <v>0</v>
      </c>
      <c r="I44" s="167"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8" t="e">
        <v>#DIV/0!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</row>
    <row r="45" spans="1:27" ht="12" customHeight="1" x14ac:dyDescent="0.25">
      <c r="A45" s="155"/>
      <c r="B45" s="162" t="s">
        <v>436</v>
      </c>
      <c r="C45" s="163">
        <v>0</v>
      </c>
      <c r="D45" s="163">
        <v>0</v>
      </c>
      <c r="E45" s="163">
        <v>0</v>
      </c>
      <c r="F45" s="163">
        <v>0</v>
      </c>
      <c r="G45" s="163">
        <v>0</v>
      </c>
      <c r="H45" s="163">
        <v>0</v>
      </c>
      <c r="I45" s="163">
        <v>0</v>
      </c>
      <c r="J45" s="163">
        <v>0</v>
      </c>
      <c r="K45" s="163">
        <v>0</v>
      </c>
      <c r="L45" s="163">
        <v>0</v>
      </c>
      <c r="M45" s="163">
        <v>0</v>
      </c>
      <c r="N45" s="163">
        <v>0</v>
      </c>
      <c r="O45" s="163">
        <v>0</v>
      </c>
      <c r="P45" s="163">
        <v>0</v>
      </c>
      <c r="Q45" s="163">
        <v>0</v>
      </c>
      <c r="R45" s="163">
        <v>0</v>
      </c>
      <c r="S45" s="163">
        <v>0</v>
      </c>
      <c r="T45" s="164">
        <v>0</v>
      </c>
      <c r="U45" s="165" t="e">
        <v>#DIV/0!</v>
      </c>
      <c r="V45" s="164">
        <v>0</v>
      </c>
      <c r="W45" s="164">
        <v>0</v>
      </c>
      <c r="X45" s="164">
        <v>0</v>
      </c>
      <c r="Y45" s="164">
        <v>0</v>
      </c>
      <c r="Z45" s="164">
        <v>0</v>
      </c>
      <c r="AA45" s="164">
        <v>0</v>
      </c>
    </row>
    <row r="46" spans="1:27" ht="12" customHeight="1" x14ac:dyDescent="0.25">
      <c r="A46" s="155" t="s">
        <v>1147</v>
      </c>
      <c r="B46" s="166" t="s">
        <v>437</v>
      </c>
      <c r="C46" s="167">
        <v>0</v>
      </c>
      <c r="D46" s="167">
        <v>0</v>
      </c>
      <c r="E46" s="167">
        <v>0</v>
      </c>
      <c r="F46" s="167">
        <v>0</v>
      </c>
      <c r="G46" s="167">
        <v>0</v>
      </c>
      <c r="H46" s="167">
        <v>0</v>
      </c>
      <c r="I46" s="167">
        <v>0</v>
      </c>
      <c r="J46" s="167">
        <v>0</v>
      </c>
      <c r="K46" s="167">
        <v>0</v>
      </c>
      <c r="L46" s="167">
        <v>0</v>
      </c>
      <c r="M46" s="167">
        <v>0</v>
      </c>
      <c r="N46" s="167">
        <v>0</v>
      </c>
      <c r="O46" s="167">
        <v>0</v>
      </c>
      <c r="P46" s="167">
        <v>0</v>
      </c>
      <c r="Q46" s="167">
        <v>0</v>
      </c>
      <c r="R46" s="167">
        <v>0</v>
      </c>
      <c r="S46" s="167">
        <v>0</v>
      </c>
      <c r="T46" s="167">
        <v>0</v>
      </c>
      <c r="U46" s="168" t="e">
        <v>#DIV/0!</v>
      </c>
      <c r="V46" s="167">
        <v>0</v>
      </c>
      <c r="W46" s="167">
        <v>0</v>
      </c>
      <c r="X46" s="167">
        <v>0</v>
      </c>
      <c r="Y46" s="167">
        <v>0</v>
      </c>
      <c r="Z46" s="167">
        <v>0</v>
      </c>
      <c r="AA46" s="167">
        <v>0</v>
      </c>
    </row>
    <row r="47" spans="1:27" ht="12" customHeight="1" x14ac:dyDescent="0.25">
      <c r="A47" s="155" t="s">
        <v>1148</v>
      </c>
      <c r="B47" s="166" t="s">
        <v>438</v>
      </c>
      <c r="C47" s="167">
        <v>0</v>
      </c>
      <c r="D47" s="167">
        <v>0</v>
      </c>
      <c r="E47" s="167">
        <v>0</v>
      </c>
      <c r="F47" s="167">
        <v>0</v>
      </c>
      <c r="G47" s="167">
        <v>0</v>
      </c>
      <c r="H47" s="167">
        <v>0</v>
      </c>
      <c r="I47" s="167"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8" t="e">
        <v>#DIV/0!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</row>
    <row r="48" spans="1:27" ht="12" customHeight="1" x14ac:dyDescent="0.25">
      <c r="A48" s="155" t="s">
        <v>1149</v>
      </c>
      <c r="B48" s="166" t="s">
        <v>439</v>
      </c>
      <c r="C48" s="167">
        <v>0</v>
      </c>
      <c r="D48" s="167">
        <v>0</v>
      </c>
      <c r="E48" s="167">
        <v>0</v>
      </c>
      <c r="F48" s="167">
        <v>0</v>
      </c>
      <c r="G48" s="167">
        <v>0</v>
      </c>
      <c r="H48" s="167">
        <v>0</v>
      </c>
      <c r="I48" s="167"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8" t="e">
        <v>#DIV/0!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</row>
    <row r="49" spans="1:27" ht="12" customHeight="1" x14ac:dyDescent="0.25">
      <c r="A49" s="155" t="s">
        <v>1150</v>
      </c>
      <c r="B49" s="166" t="s">
        <v>440</v>
      </c>
      <c r="C49" s="167">
        <v>0</v>
      </c>
      <c r="D49" s="167">
        <v>0</v>
      </c>
      <c r="E49" s="167">
        <v>0</v>
      </c>
      <c r="F49" s="167">
        <v>0</v>
      </c>
      <c r="G49" s="167">
        <v>0</v>
      </c>
      <c r="H49" s="167">
        <v>0</v>
      </c>
      <c r="I49" s="167"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8" t="e">
        <v>#DIV/0!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</row>
    <row r="50" spans="1:27" ht="12" customHeight="1" x14ac:dyDescent="0.25">
      <c r="A50" s="155"/>
      <c r="B50" s="162" t="s">
        <v>441</v>
      </c>
      <c r="C50" s="163">
        <v>0</v>
      </c>
      <c r="D50" s="163">
        <v>0</v>
      </c>
      <c r="E50" s="163">
        <v>0</v>
      </c>
      <c r="F50" s="163">
        <v>0</v>
      </c>
      <c r="G50" s="163">
        <v>0</v>
      </c>
      <c r="H50" s="163">
        <v>0</v>
      </c>
      <c r="I50" s="163">
        <v>0</v>
      </c>
      <c r="J50" s="163">
        <v>0</v>
      </c>
      <c r="K50" s="163">
        <v>0</v>
      </c>
      <c r="L50" s="163">
        <v>0</v>
      </c>
      <c r="M50" s="163">
        <v>0</v>
      </c>
      <c r="N50" s="163">
        <v>0</v>
      </c>
      <c r="O50" s="163">
        <v>0</v>
      </c>
      <c r="P50" s="163">
        <v>0</v>
      </c>
      <c r="Q50" s="163">
        <v>0</v>
      </c>
      <c r="R50" s="163">
        <v>0</v>
      </c>
      <c r="S50" s="163">
        <v>0</v>
      </c>
      <c r="T50" s="164">
        <v>0</v>
      </c>
      <c r="U50" s="165" t="e">
        <v>#DIV/0!</v>
      </c>
      <c r="V50" s="164">
        <v>0</v>
      </c>
      <c r="W50" s="164">
        <v>0</v>
      </c>
      <c r="X50" s="164">
        <v>0</v>
      </c>
      <c r="Y50" s="164">
        <v>0</v>
      </c>
      <c r="Z50" s="164">
        <v>0</v>
      </c>
      <c r="AA50" s="164">
        <v>0</v>
      </c>
    </row>
    <row r="51" spans="1:27" ht="12" customHeight="1" x14ac:dyDescent="0.25">
      <c r="A51" s="155" t="s">
        <v>1151</v>
      </c>
      <c r="B51" s="166" t="s">
        <v>442</v>
      </c>
      <c r="C51" s="167">
        <v>0</v>
      </c>
      <c r="D51" s="167">
        <v>0</v>
      </c>
      <c r="E51" s="167">
        <v>0</v>
      </c>
      <c r="F51" s="167">
        <v>0</v>
      </c>
      <c r="G51" s="167">
        <v>0</v>
      </c>
      <c r="H51" s="167">
        <v>0</v>
      </c>
      <c r="I51" s="167"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8" t="e">
        <v>#DIV/0!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</row>
    <row r="52" spans="1:27" ht="12" customHeight="1" x14ac:dyDescent="0.25">
      <c r="A52" s="155" t="s">
        <v>1152</v>
      </c>
      <c r="B52" s="166" t="s">
        <v>443</v>
      </c>
      <c r="C52" s="167">
        <v>0</v>
      </c>
      <c r="D52" s="167">
        <v>0</v>
      </c>
      <c r="E52" s="167">
        <v>0</v>
      </c>
      <c r="F52" s="167">
        <v>0</v>
      </c>
      <c r="G52" s="167">
        <v>0</v>
      </c>
      <c r="H52" s="167">
        <v>0</v>
      </c>
      <c r="I52" s="167"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8" t="e">
        <v>#DIV/0!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</row>
    <row r="53" spans="1:27" ht="12" customHeight="1" x14ac:dyDescent="0.25">
      <c r="A53" s="155" t="s">
        <v>1153</v>
      </c>
      <c r="B53" s="166" t="s">
        <v>444</v>
      </c>
      <c r="C53" s="167">
        <v>0</v>
      </c>
      <c r="D53" s="167">
        <v>0</v>
      </c>
      <c r="E53" s="167">
        <v>0</v>
      </c>
      <c r="F53" s="167">
        <v>0</v>
      </c>
      <c r="G53" s="167">
        <v>0</v>
      </c>
      <c r="H53" s="167">
        <v>0</v>
      </c>
      <c r="I53" s="167"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8" t="e">
        <v>#DIV/0!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</row>
    <row r="54" spans="1:27" ht="12" customHeight="1" x14ac:dyDescent="0.25">
      <c r="A54" s="155" t="s">
        <v>1154</v>
      </c>
      <c r="B54" s="166" t="s">
        <v>445</v>
      </c>
      <c r="C54" s="167">
        <v>0</v>
      </c>
      <c r="D54" s="167">
        <v>0</v>
      </c>
      <c r="E54" s="167">
        <v>0</v>
      </c>
      <c r="F54" s="167">
        <v>0</v>
      </c>
      <c r="G54" s="167">
        <v>0</v>
      </c>
      <c r="H54" s="167">
        <v>0</v>
      </c>
      <c r="I54" s="167">
        <v>0</v>
      </c>
      <c r="J54" s="167">
        <v>0</v>
      </c>
      <c r="K54" s="167">
        <v>0</v>
      </c>
      <c r="L54" s="167">
        <v>0</v>
      </c>
      <c r="M54" s="167"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v>0</v>
      </c>
      <c r="U54" s="168" t="e">
        <v>#DIV/0!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v>0</v>
      </c>
    </row>
    <row r="55" spans="1:27" ht="12" customHeight="1" x14ac:dyDescent="0.25">
      <c r="A55" s="155" t="s">
        <v>1155</v>
      </c>
      <c r="B55" s="162" t="s">
        <v>446</v>
      </c>
      <c r="C55" s="167">
        <v>0</v>
      </c>
      <c r="D55" s="167">
        <v>0</v>
      </c>
      <c r="E55" s="167">
        <v>0</v>
      </c>
      <c r="F55" s="167">
        <v>0</v>
      </c>
      <c r="G55" s="167">
        <v>0</v>
      </c>
      <c r="H55" s="167">
        <v>0</v>
      </c>
      <c r="I55" s="167">
        <v>0</v>
      </c>
      <c r="J55" s="167">
        <v>0</v>
      </c>
      <c r="K55" s="167">
        <v>0</v>
      </c>
      <c r="L55" s="167">
        <v>0</v>
      </c>
      <c r="M55" s="167">
        <v>0</v>
      </c>
      <c r="N55" s="167">
        <v>0</v>
      </c>
      <c r="O55" s="167">
        <v>0</v>
      </c>
      <c r="P55" s="167">
        <v>0</v>
      </c>
      <c r="Q55" s="167">
        <v>0</v>
      </c>
      <c r="R55" s="167">
        <v>0</v>
      </c>
      <c r="S55" s="167">
        <v>0</v>
      </c>
      <c r="T55" s="164">
        <v>0</v>
      </c>
      <c r="U55" s="165" t="e">
        <v>#DIV/0!</v>
      </c>
      <c r="V55" s="164">
        <v>0</v>
      </c>
      <c r="W55" s="164">
        <v>0</v>
      </c>
      <c r="X55" s="164">
        <v>0</v>
      </c>
      <c r="Y55" s="164">
        <v>0</v>
      </c>
      <c r="Z55" s="164">
        <v>0</v>
      </c>
      <c r="AA55" s="164">
        <v>0</v>
      </c>
    </row>
    <row r="56" spans="1:27" ht="12" customHeight="1" x14ac:dyDescent="0.25">
      <c r="A56" s="155" t="s">
        <v>1156</v>
      </c>
      <c r="B56" s="162" t="s">
        <v>447</v>
      </c>
      <c r="C56" s="167">
        <v>0</v>
      </c>
      <c r="D56" s="167">
        <v>0</v>
      </c>
      <c r="E56" s="167">
        <v>0</v>
      </c>
      <c r="F56" s="167">
        <v>0</v>
      </c>
      <c r="G56" s="167">
        <v>0</v>
      </c>
      <c r="H56" s="167">
        <v>0</v>
      </c>
      <c r="I56" s="167"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4">
        <v>0</v>
      </c>
      <c r="U56" s="165" t="e">
        <v>#DIV/0!</v>
      </c>
      <c r="V56" s="164">
        <v>0</v>
      </c>
      <c r="W56" s="164">
        <v>0</v>
      </c>
      <c r="X56" s="164">
        <v>0</v>
      </c>
      <c r="Y56" s="164">
        <v>0</v>
      </c>
      <c r="Z56" s="164">
        <v>0</v>
      </c>
      <c r="AA56" s="164">
        <v>0</v>
      </c>
    </row>
    <row r="57" spans="1:27" ht="12" customHeight="1" x14ac:dyDescent="0.25">
      <c r="A57" s="155" t="s">
        <v>1157</v>
      </c>
      <c r="B57" s="162" t="s">
        <v>448</v>
      </c>
      <c r="C57" s="167">
        <v>0</v>
      </c>
      <c r="D57" s="167">
        <v>0</v>
      </c>
      <c r="E57" s="167">
        <v>0</v>
      </c>
      <c r="F57" s="167">
        <v>0</v>
      </c>
      <c r="G57" s="167">
        <v>0</v>
      </c>
      <c r="H57" s="167">
        <v>0</v>
      </c>
      <c r="I57" s="167"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4">
        <v>0</v>
      </c>
      <c r="U57" s="165" t="e">
        <v>#DIV/0!</v>
      </c>
      <c r="V57" s="164">
        <v>0</v>
      </c>
      <c r="W57" s="164">
        <v>0</v>
      </c>
      <c r="X57" s="164">
        <v>0</v>
      </c>
      <c r="Y57" s="164">
        <v>0</v>
      </c>
      <c r="Z57" s="164">
        <v>0</v>
      </c>
      <c r="AA57" s="164">
        <v>0</v>
      </c>
    </row>
    <row r="58" spans="1:27" ht="12" customHeight="1" x14ac:dyDescent="0.25">
      <c r="A58" s="155" t="s">
        <v>1158</v>
      </c>
      <c r="B58" s="162" t="s">
        <v>449</v>
      </c>
      <c r="C58" s="167">
        <v>0</v>
      </c>
      <c r="D58" s="167">
        <v>0</v>
      </c>
      <c r="E58" s="167">
        <v>0</v>
      </c>
      <c r="F58" s="167">
        <v>0</v>
      </c>
      <c r="G58" s="167">
        <v>0</v>
      </c>
      <c r="H58" s="167">
        <v>0</v>
      </c>
      <c r="I58" s="167"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4">
        <v>0</v>
      </c>
      <c r="U58" s="165" t="e">
        <v>#DIV/0!</v>
      </c>
      <c r="V58" s="164">
        <v>0</v>
      </c>
      <c r="W58" s="164">
        <v>0</v>
      </c>
      <c r="X58" s="164">
        <v>0</v>
      </c>
      <c r="Y58" s="164">
        <v>0</v>
      </c>
      <c r="Z58" s="164">
        <v>0</v>
      </c>
      <c r="AA58" s="164">
        <v>0</v>
      </c>
    </row>
    <row r="59" spans="1:27" ht="12" customHeight="1" x14ac:dyDescent="0.25">
      <c r="A59" s="155"/>
      <c r="B59" s="162" t="s">
        <v>450</v>
      </c>
      <c r="C59" s="163">
        <v>0</v>
      </c>
      <c r="D59" s="163">
        <v>0</v>
      </c>
      <c r="E59" s="163">
        <v>0</v>
      </c>
      <c r="F59" s="163">
        <v>0</v>
      </c>
      <c r="G59" s="163">
        <v>0</v>
      </c>
      <c r="H59" s="163">
        <v>0</v>
      </c>
      <c r="I59" s="163">
        <v>0</v>
      </c>
      <c r="J59" s="163">
        <v>0</v>
      </c>
      <c r="K59" s="163">
        <v>0</v>
      </c>
      <c r="L59" s="163">
        <v>0</v>
      </c>
      <c r="M59" s="163">
        <v>0</v>
      </c>
      <c r="N59" s="163">
        <v>0</v>
      </c>
      <c r="O59" s="163">
        <v>0</v>
      </c>
      <c r="P59" s="163">
        <v>0</v>
      </c>
      <c r="Q59" s="163">
        <v>0</v>
      </c>
      <c r="R59" s="163">
        <v>0</v>
      </c>
      <c r="S59" s="163">
        <v>0</v>
      </c>
      <c r="T59" s="164">
        <v>0</v>
      </c>
      <c r="U59" s="165" t="e">
        <v>#DIV/0!</v>
      </c>
      <c r="V59" s="164">
        <v>0</v>
      </c>
      <c r="W59" s="164">
        <v>0</v>
      </c>
      <c r="X59" s="164">
        <v>0</v>
      </c>
      <c r="Y59" s="164">
        <v>0</v>
      </c>
      <c r="Z59" s="164">
        <v>0</v>
      </c>
      <c r="AA59" s="164">
        <v>0</v>
      </c>
    </row>
    <row r="60" spans="1:27" ht="12" customHeight="1" x14ac:dyDescent="0.25">
      <c r="A60" s="155" t="s">
        <v>1159</v>
      </c>
      <c r="B60" s="166" t="s">
        <v>451</v>
      </c>
      <c r="C60" s="167">
        <v>0</v>
      </c>
      <c r="D60" s="167">
        <v>0</v>
      </c>
      <c r="E60" s="167">
        <v>0</v>
      </c>
      <c r="F60" s="167">
        <v>0</v>
      </c>
      <c r="G60" s="167">
        <v>0</v>
      </c>
      <c r="H60" s="167">
        <v>0</v>
      </c>
      <c r="I60" s="167">
        <v>0</v>
      </c>
      <c r="J60" s="167">
        <v>0</v>
      </c>
      <c r="K60" s="167">
        <v>0</v>
      </c>
      <c r="L60" s="167">
        <v>0</v>
      </c>
      <c r="M60" s="167">
        <v>0</v>
      </c>
      <c r="N60" s="167">
        <v>0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67">
        <v>0</v>
      </c>
      <c r="U60" s="168" t="e">
        <v>#DIV/0!</v>
      </c>
      <c r="V60" s="167">
        <v>0</v>
      </c>
      <c r="W60" s="167">
        <v>0</v>
      </c>
      <c r="X60" s="167">
        <v>0</v>
      </c>
      <c r="Y60" s="167">
        <v>0</v>
      </c>
      <c r="Z60" s="167">
        <v>0</v>
      </c>
      <c r="AA60" s="167">
        <v>0</v>
      </c>
    </row>
    <row r="61" spans="1:27" ht="12" customHeight="1" x14ac:dyDescent="0.25">
      <c r="A61" s="155" t="s">
        <v>1160</v>
      </c>
      <c r="B61" s="166" t="s">
        <v>452</v>
      </c>
      <c r="C61" s="167">
        <v>0</v>
      </c>
      <c r="D61" s="167">
        <v>0</v>
      </c>
      <c r="E61" s="167">
        <v>0</v>
      </c>
      <c r="F61" s="167">
        <v>0</v>
      </c>
      <c r="G61" s="167">
        <v>0</v>
      </c>
      <c r="H61" s="167">
        <v>0</v>
      </c>
      <c r="I61" s="167">
        <v>0</v>
      </c>
      <c r="J61" s="167">
        <v>0</v>
      </c>
      <c r="K61" s="167">
        <v>0</v>
      </c>
      <c r="L61" s="167">
        <v>0</v>
      </c>
      <c r="M61" s="167">
        <v>0</v>
      </c>
      <c r="N61" s="167">
        <v>0</v>
      </c>
      <c r="O61" s="167">
        <v>0</v>
      </c>
      <c r="P61" s="167">
        <v>0</v>
      </c>
      <c r="Q61" s="167">
        <v>0</v>
      </c>
      <c r="R61" s="167">
        <v>0</v>
      </c>
      <c r="S61" s="167">
        <v>0</v>
      </c>
      <c r="T61" s="167">
        <v>0</v>
      </c>
      <c r="U61" s="168" t="e">
        <v>#DIV/0!</v>
      </c>
      <c r="V61" s="167">
        <v>0</v>
      </c>
      <c r="W61" s="167">
        <v>0</v>
      </c>
      <c r="X61" s="167">
        <v>0</v>
      </c>
      <c r="Y61" s="167">
        <v>0</v>
      </c>
      <c r="Z61" s="167">
        <v>0</v>
      </c>
      <c r="AA61" s="167">
        <v>0</v>
      </c>
    </row>
    <row r="62" spans="1:27" ht="12" customHeight="1" x14ac:dyDescent="0.25">
      <c r="A62" s="155" t="s">
        <v>1161</v>
      </c>
      <c r="B62" s="166" t="s">
        <v>453</v>
      </c>
      <c r="C62" s="167">
        <v>0</v>
      </c>
      <c r="D62" s="167">
        <v>0</v>
      </c>
      <c r="E62" s="167">
        <v>0</v>
      </c>
      <c r="F62" s="167">
        <v>0</v>
      </c>
      <c r="G62" s="167">
        <v>0</v>
      </c>
      <c r="H62" s="167">
        <v>0</v>
      </c>
      <c r="I62" s="167">
        <v>0</v>
      </c>
      <c r="J62" s="167">
        <v>0</v>
      </c>
      <c r="K62" s="167">
        <v>0</v>
      </c>
      <c r="L62" s="167">
        <v>0</v>
      </c>
      <c r="M62" s="167">
        <v>0</v>
      </c>
      <c r="N62" s="167">
        <v>0</v>
      </c>
      <c r="O62" s="167">
        <v>0</v>
      </c>
      <c r="P62" s="167">
        <v>0</v>
      </c>
      <c r="Q62" s="167">
        <v>0</v>
      </c>
      <c r="R62" s="167">
        <v>0</v>
      </c>
      <c r="S62" s="167">
        <v>0</v>
      </c>
      <c r="T62" s="167">
        <v>0</v>
      </c>
      <c r="U62" s="168" t="e">
        <v>#DIV/0!</v>
      </c>
      <c r="V62" s="167">
        <v>0</v>
      </c>
      <c r="W62" s="167">
        <v>0</v>
      </c>
      <c r="X62" s="167">
        <v>0</v>
      </c>
      <c r="Y62" s="167">
        <v>0</v>
      </c>
      <c r="Z62" s="167">
        <v>0</v>
      </c>
      <c r="AA62" s="167">
        <v>0</v>
      </c>
    </row>
    <row r="63" spans="1:27" ht="12" customHeight="1" x14ac:dyDescent="0.25">
      <c r="A63" s="155" t="s">
        <v>1162</v>
      </c>
      <c r="B63" s="166" t="s">
        <v>454</v>
      </c>
      <c r="C63" s="167">
        <v>0</v>
      </c>
      <c r="D63" s="167">
        <v>0</v>
      </c>
      <c r="E63" s="167">
        <v>0</v>
      </c>
      <c r="F63" s="167">
        <v>0</v>
      </c>
      <c r="G63" s="167">
        <v>0</v>
      </c>
      <c r="H63" s="167">
        <v>0</v>
      </c>
      <c r="I63" s="167">
        <v>0</v>
      </c>
      <c r="J63" s="167">
        <v>0</v>
      </c>
      <c r="K63" s="167">
        <v>0</v>
      </c>
      <c r="L63" s="167">
        <v>0</v>
      </c>
      <c r="M63" s="167">
        <v>0</v>
      </c>
      <c r="N63" s="167">
        <v>0</v>
      </c>
      <c r="O63" s="167">
        <v>0</v>
      </c>
      <c r="P63" s="167">
        <v>0</v>
      </c>
      <c r="Q63" s="167">
        <v>0</v>
      </c>
      <c r="R63" s="167">
        <v>0</v>
      </c>
      <c r="S63" s="167">
        <v>0</v>
      </c>
      <c r="T63" s="167">
        <v>0</v>
      </c>
      <c r="U63" s="168" t="e">
        <v>#DIV/0!</v>
      </c>
      <c r="V63" s="167">
        <v>0</v>
      </c>
      <c r="W63" s="167">
        <v>0</v>
      </c>
      <c r="X63" s="167">
        <v>0</v>
      </c>
      <c r="Y63" s="167">
        <v>0</v>
      </c>
      <c r="Z63" s="167">
        <v>0</v>
      </c>
      <c r="AA63" s="167">
        <v>0</v>
      </c>
    </row>
    <row r="64" spans="1:27" ht="12" customHeight="1" x14ac:dyDescent="0.25">
      <c r="A64" s="155" t="s">
        <v>1163</v>
      </c>
      <c r="B64" s="166" t="s">
        <v>455</v>
      </c>
      <c r="C64" s="167">
        <v>0</v>
      </c>
      <c r="D64" s="167">
        <v>0</v>
      </c>
      <c r="E64" s="167">
        <v>0</v>
      </c>
      <c r="F64" s="167">
        <v>0</v>
      </c>
      <c r="G64" s="167">
        <v>0</v>
      </c>
      <c r="H64" s="167">
        <v>0</v>
      </c>
      <c r="I64" s="167">
        <v>0</v>
      </c>
      <c r="J64" s="167">
        <v>0</v>
      </c>
      <c r="K64" s="167">
        <v>0</v>
      </c>
      <c r="L64" s="167">
        <v>0</v>
      </c>
      <c r="M64" s="167">
        <v>0</v>
      </c>
      <c r="N64" s="167">
        <v>0</v>
      </c>
      <c r="O64" s="167">
        <v>0</v>
      </c>
      <c r="P64" s="167">
        <v>0</v>
      </c>
      <c r="Q64" s="167">
        <v>0</v>
      </c>
      <c r="R64" s="167">
        <v>0</v>
      </c>
      <c r="S64" s="167">
        <v>0</v>
      </c>
      <c r="T64" s="167">
        <v>0</v>
      </c>
      <c r="U64" s="168" t="e">
        <v>#DIV/0!</v>
      </c>
      <c r="V64" s="167">
        <v>0</v>
      </c>
      <c r="W64" s="167">
        <v>0</v>
      </c>
      <c r="X64" s="167">
        <v>0</v>
      </c>
      <c r="Y64" s="167">
        <v>0</v>
      </c>
      <c r="Z64" s="167">
        <v>0</v>
      </c>
      <c r="AA64" s="167">
        <v>0</v>
      </c>
    </row>
    <row r="65" spans="1:27" ht="12" customHeight="1" x14ac:dyDescent="0.25">
      <c r="A65" s="155"/>
      <c r="B65" s="162" t="s">
        <v>456</v>
      </c>
      <c r="C65" s="163">
        <v>0</v>
      </c>
      <c r="D65" s="163">
        <v>0</v>
      </c>
      <c r="E65" s="163">
        <v>0</v>
      </c>
      <c r="F65" s="163">
        <v>0</v>
      </c>
      <c r="G65" s="163">
        <v>0</v>
      </c>
      <c r="H65" s="163">
        <v>0</v>
      </c>
      <c r="I65" s="163">
        <v>0</v>
      </c>
      <c r="J65" s="163">
        <v>0</v>
      </c>
      <c r="K65" s="163">
        <v>0</v>
      </c>
      <c r="L65" s="163">
        <v>0</v>
      </c>
      <c r="M65" s="163">
        <v>0</v>
      </c>
      <c r="N65" s="163">
        <v>0</v>
      </c>
      <c r="O65" s="163">
        <v>0</v>
      </c>
      <c r="P65" s="163">
        <v>0</v>
      </c>
      <c r="Q65" s="163">
        <v>0</v>
      </c>
      <c r="R65" s="163">
        <v>0</v>
      </c>
      <c r="S65" s="163">
        <v>0</v>
      </c>
      <c r="T65" s="164">
        <v>0</v>
      </c>
      <c r="U65" s="165" t="e">
        <v>#DIV/0!</v>
      </c>
      <c r="V65" s="164">
        <v>0</v>
      </c>
      <c r="W65" s="164">
        <v>0</v>
      </c>
      <c r="X65" s="164">
        <v>0</v>
      </c>
      <c r="Y65" s="164">
        <v>0</v>
      </c>
      <c r="Z65" s="164">
        <v>0</v>
      </c>
      <c r="AA65" s="164">
        <v>0</v>
      </c>
    </row>
    <row r="66" spans="1:27" ht="12" customHeight="1" x14ac:dyDescent="0.25">
      <c r="A66" s="155" t="s">
        <v>1164</v>
      </c>
      <c r="B66" s="166" t="s">
        <v>457</v>
      </c>
      <c r="C66" s="167">
        <v>0</v>
      </c>
      <c r="D66" s="167">
        <v>0</v>
      </c>
      <c r="E66" s="167">
        <v>0</v>
      </c>
      <c r="F66" s="167">
        <v>0</v>
      </c>
      <c r="G66" s="167">
        <v>0</v>
      </c>
      <c r="H66" s="167">
        <v>0</v>
      </c>
      <c r="I66" s="167">
        <v>0</v>
      </c>
      <c r="J66" s="167">
        <v>0</v>
      </c>
      <c r="K66" s="167">
        <v>0</v>
      </c>
      <c r="L66" s="167">
        <v>0</v>
      </c>
      <c r="M66" s="167">
        <v>0</v>
      </c>
      <c r="N66" s="167">
        <v>0</v>
      </c>
      <c r="O66" s="167">
        <v>0</v>
      </c>
      <c r="P66" s="167">
        <v>0</v>
      </c>
      <c r="Q66" s="167">
        <v>0</v>
      </c>
      <c r="R66" s="167">
        <v>0</v>
      </c>
      <c r="S66" s="167">
        <v>0</v>
      </c>
      <c r="T66" s="167">
        <v>0</v>
      </c>
      <c r="U66" s="168" t="e">
        <v>#DIV/0!</v>
      </c>
      <c r="V66" s="167">
        <v>0</v>
      </c>
      <c r="W66" s="167">
        <v>0</v>
      </c>
      <c r="X66" s="167">
        <v>0</v>
      </c>
      <c r="Y66" s="167">
        <v>0</v>
      </c>
      <c r="Z66" s="167">
        <v>0</v>
      </c>
      <c r="AA66" s="167">
        <v>0</v>
      </c>
    </row>
    <row r="67" spans="1:27" ht="12" customHeight="1" x14ac:dyDescent="0.25">
      <c r="A67" s="155" t="s">
        <v>1165</v>
      </c>
      <c r="B67" s="166" t="s">
        <v>458</v>
      </c>
      <c r="C67" s="167">
        <v>0</v>
      </c>
      <c r="D67" s="167">
        <v>0</v>
      </c>
      <c r="E67" s="167">
        <v>0</v>
      </c>
      <c r="F67" s="167">
        <v>0</v>
      </c>
      <c r="G67" s="167">
        <v>0</v>
      </c>
      <c r="H67" s="167">
        <v>0</v>
      </c>
      <c r="I67" s="167">
        <v>0</v>
      </c>
      <c r="J67" s="167">
        <v>0</v>
      </c>
      <c r="K67" s="167">
        <v>0</v>
      </c>
      <c r="L67" s="167">
        <v>0</v>
      </c>
      <c r="M67" s="167">
        <v>0</v>
      </c>
      <c r="N67" s="167">
        <v>0</v>
      </c>
      <c r="O67" s="167">
        <v>0</v>
      </c>
      <c r="P67" s="167">
        <v>0</v>
      </c>
      <c r="Q67" s="167">
        <v>0</v>
      </c>
      <c r="R67" s="167">
        <v>0</v>
      </c>
      <c r="S67" s="167">
        <v>0</v>
      </c>
      <c r="T67" s="167">
        <v>0</v>
      </c>
      <c r="U67" s="168" t="e">
        <v>#DIV/0!</v>
      </c>
      <c r="V67" s="167">
        <v>0</v>
      </c>
      <c r="W67" s="167">
        <v>0</v>
      </c>
      <c r="X67" s="167">
        <v>0</v>
      </c>
      <c r="Y67" s="167">
        <v>0</v>
      </c>
      <c r="Z67" s="167">
        <v>0</v>
      </c>
      <c r="AA67" s="167">
        <v>0</v>
      </c>
    </row>
    <row r="68" spans="1:27" ht="12" customHeight="1" x14ac:dyDescent="0.25">
      <c r="A68" s="155" t="s">
        <v>1166</v>
      </c>
      <c r="B68" s="166" t="s">
        <v>459</v>
      </c>
      <c r="C68" s="167">
        <v>0</v>
      </c>
      <c r="D68" s="167">
        <v>0</v>
      </c>
      <c r="E68" s="167">
        <v>0</v>
      </c>
      <c r="F68" s="167">
        <v>0</v>
      </c>
      <c r="G68" s="167">
        <v>0</v>
      </c>
      <c r="H68" s="167">
        <v>0</v>
      </c>
      <c r="I68" s="167">
        <v>0</v>
      </c>
      <c r="J68" s="167">
        <v>0</v>
      </c>
      <c r="K68" s="167">
        <v>0</v>
      </c>
      <c r="L68" s="167">
        <v>0</v>
      </c>
      <c r="M68" s="167">
        <v>0</v>
      </c>
      <c r="N68" s="167">
        <v>0</v>
      </c>
      <c r="O68" s="167">
        <v>0</v>
      </c>
      <c r="P68" s="167">
        <v>0</v>
      </c>
      <c r="Q68" s="167">
        <v>0</v>
      </c>
      <c r="R68" s="167">
        <v>0</v>
      </c>
      <c r="S68" s="167">
        <v>0</v>
      </c>
      <c r="T68" s="167">
        <v>0</v>
      </c>
      <c r="U68" s="168" t="e">
        <v>#DIV/0!</v>
      </c>
      <c r="V68" s="167">
        <v>0</v>
      </c>
      <c r="W68" s="167">
        <v>0</v>
      </c>
      <c r="X68" s="167">
        <v>0</v>
      </c>
      <c r="Y68" s="167">
        <v>0</v>
      </c>
      <c r="Z68" s="167">
        <v>0</v>
      </c>
      <c r="AA68" s="167">
        <v>0</v>
      </c>
    </row>
    <row r="69" spans="1:27" ht="12" customHeight="1" x14ac:dyDescent="0.25">
      <c r="A69" s="155" t="s">
        <v>1167</v>
      </c>
      <c r="B69" s="166" t="s">
        <v>460</v>
      </c>
      <c r="C69" s="167">
        <v>0</v>
      </c>
      <c r="D69" s="167">
        <v>0</v>
      </c>
      <c r="E69" s="167">
        <v>0</v>
      </c>
      <c r="F69" s="167">
        <v>0</v>
      </c>
      <c r="G69" s="167">
        <v>0</v>
      </c>
      <c r="H69" s="167">
        <v>0</v>
      </c>
      <c r="I69" s="167">
        <v>0</v>
      </c>
      <c r="J69" s="167">
        <v>0</v>
      </c>
      <c r="K69" s="167">
        <v>0</v>
      </c>
      <c r="L69" s="167">
        <v>0</v>
      </c>
      <c r="M69" s="167">
        <v>0</v>
      </c>
      <c r="N69" s="167">
        <v>0</v>
      </c>
      <c r="O69" s="167">
        <v>0</v>
      </c>
      <c r="P69" s="167">
        <v>0</v>
      </c>
      <c r="Q69" s="167">
        <v>0</v>
      </c>
      <c r="R69" s="167">
        <v>0</v>
      </c>
      <c r="S69" s="167">
        <v>0</v>
      </c>
      <c r="T69" s="167">
        <v>0</v>
      </c>
      <c r="U69" s="168" t="e">
        <v>#DIV/0!</v>
      </c>
      <c r="V69" s="167">
        <v>0</v>
      </c>
      <c r="W69" s="167">
        <v>0</v>
      </c>
      <c r="X69" s="167">
        <v>0</v>
      </c>
      <c r="Y69" s="167">
        <v>0</v>
      </c>
      <c r="Z69" s="167">
        <v>0</v>
      </c>
      <c r="AA69" s="167">
        <v>0</v>
      </c>
    </row>
    <row r="70" spans="1:27" ht="12" customHeight="1" x14ac:dyDescent="0.25">
      <c r="A70" s="155" t="s">
        <v>1168</v>
      </c>
      <c r="B70" s="166" t="s">
        <v>461</v>
      </c>
      <c r="C70" s="167">
        <v>0</v>
      </c>
      <c r="D70" s="167">
        <v>0</v>
      </c>
      <c r="E70" s="167">
        <v>0</v>
      </c>
      <c r="F70" s="167">
        <v>0</v>
      </c>
      <c r="G70" s="167">
        <v>0</v>
      </c>
      <c r="H70" s="167">
        <v>0</v>
      </c>
      <c r="I70" s="167">
        <v>0</v>
      </c>
      <c r="J70" s="167">
        <v>0</v>
      </c>
      <c r="K70" s="167">
        <v>0</v>
      </c>
      <c r="L70" s="167">
        <v>0</v>
      </c>
      <c r="M70" s="167">
        <v>0</v>
      </c>
      <c r="N70" s="167">
        <v>0</v>
      </c>
      <c r="O70" s="167">
        <v>0</v>
      </c>
      <c r="P70" s="167">
        <v>0</v>
      </c>
      <c r="Q70" s="167">
        <v>0</v>
      </c>
      <c r="R70" s="167">
        <v>0</v>
      </c>
      <c r="S70" s="167">
        <v>0</v>
      </c>
      <c r="T70" s="167">
        <v>0</v>
      </c>
      <c r="U70" s="168" t="e">
        <v>#DIV/0!</v>
      </c>
      <c r="V70" s="167">
        <v>0</v>
      </c>
      <c r="W70" s="167">
        <v>0</v>
      </c>
      <c r="X70" s="167">
        <v>0</v>
      </c>
      <c r="Y70" s="167">
        <v>0</v>
      </c>
      <c r="Z70" s="167">
        <v>0</v>
      </c>
      <c r="AA70" s="167">
        <v>0</v>
      </c>
    </row>
    <row r="71" spans="1:27" ht="12" customHeight="1" x14ac:dyDescent="0.25">
      <c r="A71" s="155" t="s">
        <v>1169</v>
      </c>
      <c r="B71" s="166" t="s">
        <v>462</v>
      </c>
      <c r="C71" s="167">
        <v>0</v>
      </c>
      <c r="D71" s="167">
        <v>0</v>
      </c>
      <c r="E71" s="167">
        <v>0</v>
      </c>
      <c r="F71" s="167">
        <v>0</v>
      </c>
      <c r="G71" s="167">
        <v>0</v>
      </c>
      <c r="H71" s="167">
        <v>0</v>
      </c>
      <c r="I71" s="167">
        <v>0</v>
      </c>
      <c r="J71" s="167">
        <v>0</v>
      </c>
      <c r="K71" s="167">
        <v>0</v>
      </c>
      <c r="L71" s="167">
        <v>0</v>
      </c>
      <c r="M71" s="167">
        <v>0</v>
      </c>
      <c r="N71" s="167">
        <v>0</v>
      </c>
      <c r="O71" s="167">
        <v>0</v>
      </c>
      <c r="P71" s="167">
        <v>0</v>
      </c>
      <c r="Q71" s="167">
        <v>0</v>
      </c>
      <c r="R71" s="167">
        <v>0</v>
      </c>
      <c r="S71" s="167">
        <v>0</v>
      </c>
      <c r="T71" s="167">
        <v>0</v>
      </c>
      <c r="U71" s="168" t="e">
        <v>#DIV/0!</v>
      </c>
      <c r="V71" s="167">
        <v>0</v>
      </c>
      <c r="W71" s="167">
        <v>0</v>
      </c>
      <c r="X71" s="167">
        <v>0</v>
      </c>
      <c r="Y71" s="167">
        <v>0</v>
      </c>
      <c r="Z71" s="167">
        <v>0</v>
      </c>
      <c r="AA71" s="167">
        <v>0</v>
      </c>
    </row>
    <row r="72" spans="1:27" ht="12" customHeight="1" x14ac:dyDescent="0.25">
      <c r="A72" s="155"/>
      <c r="B72" s="162" t="s">
        <v>463</v>
      </c>
      <c r="C72" s="163">
        <v>0</v>
      </c>
      <c r="D72" s="163">
        <v>0</v>
      </c>
      <c r="E72" s="163">
        <v>0</v>
      </c>
      <c r="F72" s="163">
        <v>0</v>
      </c>
      <c r="G72" s="163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3">
        <v>0</v>
      </c>
      <c r="T72" s="164">
        <v>0</v>
      </c>
      <c r="U72" s="165" t="e">
        <v>#DIV/0!</v>
      </c>
      <c r="V72" s="164">
        <v>0</v>
      </c>
      <c r="W72" s="164">
        <v>0</v>
      </c>
      <c r="X72" s="164">
        <v>0</v>
      </c>
      <c r="Y72" s="164">
        <v>0</v>
      </c>
      <c r="Z72" s="164">
        <v>0</v>
      </c>
      <c r="AA72" s="164">
        <v>0</v>
      </c>
    </row>
    <row r="73" spans="1:27" ht="12" customHeight="1" x14ac:dyDescent="0.25">
      <c r="A73" s="155" t="s">
        <v>1170</v>
      </c>
      <c r="B73" s="166" t="s">
        <v>464</v>
      </c>
      <c r="C73" s="167">
        <v>0</v>
      </c>
      <c r="D73" s="167">
        <v>0</v>
      </c>
      <c r="E73" s="167">
        <v>0</v>
      </c>
      <c r="F73" s="167">
        <v>0</v>
      </c>
      <c r="G73" s="167">
        <v>0</v>
      </c>
      <c r="H73" s="167">
        <v>0</v>
      </c>
      <c r="I73" s="167">
        <v>0</v>
      </c>
      <c r="J73" s="167">
        <v>0</v>
      </c>
      <c r="K73" s="167">
        <v>0</v>
      </c>
      <c r="L73" s="167">
        <v>0</v>
      </c>
      <c r="M73" s="167">
        <v>0</v>
      </c>
      <c r="N73" s="167">
        <v>0</v>
      </c>
      <c r="O73" s="167">
        <v>0</v>
      </c>
      <c r="P73" s="167">
        <v>0</v>
      </c>
      <c r="Q73" s="167">
        <v>0</v>
      </c>
      <c r="R73" s="167">
        <v>0</v>
      </c>
      <c r="S73" s="167">
        <v>0</v>
      </c>
      <c r="T73" s="167">
        <v>0</v>
      </c>
      <c r="U73" s="168" t="e">
        <v>#DIV/0!</v>
      </c>
      <c r="V73" s="167">
        <v>0</v>
      </c>
      <c r="W73" s="167">
        <v>0</v>
      </c>
      <c r="X73" s="167">
        <v>0</v>
      </c>
      <c r="Y73" s="167">
        <v>0</v>
      </c>
      <c r="Z73" s="167">
        <v>0</v>
      </c>
      <c r="AA73" s="167">
        <v>0</v>
      </c>
    </row>
    <row r="74" spans="1:27" ht="12" customHeight="1" x14ac:dyDescent="0.25">
      <c r="A74" s="155" t="s">
        <v>1171</v>
      </c>
      <c r="B74" s="166" t="s">
        <v>465</v>
      </c>
      <c r="C74" s="167">
        <v>0</v>
      </c>
      <c r="D74" s="167">
        <v>0</v>
      </c>
      <c r="E74" s="167">
        <v>0</v>
      </c>
      <c r="F74" s="167">
        <v>0</v>
      </c>
      <c r="G74" s="167">
        <v>0</v>
      </c>
      <c r="H74" s="167">
        <v>0</v>
      </c>
      <c r="I74" s="167">
        <v>0</v>
      </c>
      <c r="J74" s="167">
        <v>0</v>
      </c>
      <c r="K74" s="167">
        <v>0</v>
      </c>
      <c r="L74" s="167">
        <v>0</v>
      </c>
      <c r="M74" s="167">
        <v>0</v>
      </c>
      <c r="N74" s="167">
        <v>0</v>
      </c>
      <c r="O74" s="167">
        <v>0</v>
      </c>
      <c r="P74" s="167">
        <v>0</v>
      </c>
      <c r="Q74" s="167">
        <v>0</v>
      </c>
      <c r="R74" s="167">
        <v>0</v>
      </c>
      <c r="S74" s="167">
        <v>0</v>
      </c>
      <c r="T74" s="167">
        <v>0</v>
      </c>
      <c r="U74" s="168" t="e">
        <v>#DIV/0!</v>
      </c>
      <c r="V74" s="167">
        <v>0</v>
      </c>
      <c r="W74" s="167">
        <v>0</v>
      </c>
      <c r="X74" s="167">
        <v>0</v>
      </c>
      <c r="Y74" s="167">
        <v>0</v>
      </c>
      <c r="Z74" s="167">
        <v>0</v>
      </c>
      <c r="AA74" s="167">
        <v>0</v>
      </c>
    </row>
    <row r="75" spans="1:27" ht="12" customHeight="1" x14ac:dyDescent="0.25">
      <c r="A75" s="155" t="s">
        <v>1172</v>
      </c>
      <c r="B75" s="162" t="s">
        <v>466</v>
      </c>
      <c r="C75" s="167">
        <v>0</v>
      </c>
      <c r="D75" s="167">
        <v>0</v>
      </c>
      <c r="E75" s="167">
        <v>0</v>
      </c>
      <c r="F75" s="167">
        <v>0</v>
      </c>
      <c r="G75" s="167">
        <v>0</v>
      </c>
      <c r="H75" s="167">
        <v>0</v>
      </c>
      <c r="I75" s="167">
        <v>0</v>
      </c>
      <c r="J75" s="167">
        <v>0</v>
      </c>
      <c r="K75" s="167">
        <v>0</v>
      </c>
      <c r="L75" s="167">
        <v>0</v>
      </c>
      <c r="M75" s="167">
        <v>0</v>
      </c>
      <c r="N75" s="167">
        <v>0</v>
      </c>
      <c r="O75" s="167">
        <v>0</v>
      </c>
      <c r="P75" s="167">
        <v>0</v>
      </c>
      <c r="Q75" s="167">
        <v>0</v>
      </c>
      <c r="R75" s="167">
        <v>0</v>
      </c>
      <c r="S75" s="167">
        <v>0</v>
      </c>
      <c r="T75" s="164">
        <v>0</v>
      </c>
      <c r="U75" s="165" t="e">
        <v>#DIV/0!</v>
      </c>
      <c r="V75" s="164">
        <v>0</v>
      </c>
      <c r="W75" s="164">
        <v>0</v>
      </c>
      <c r="X75" s="164">
        <v>0</v>
      </c>
      <c r="Y75" s="164">
        <v>0</v>
      </c>
      <c r="Z75" s="164">
        <v>0</v>
      </c>
      <c r="AA75" s="164">
        <v>0</v>
      </c>
    </row>
    <row r="76" spans="1:27" ht="12" customHeight="1" x14ac:dyDescent="0.25">
      <c r="A76" s="155" t="s">
        <v>1173</v>
      </c>
      <c r="B76" s="162" t="s">
        <v>467</v>
      </c>
      <c r="C76" s="167">
        <v>0</v>
      </c>
      <c r="D76" s="167">
        <v>0</v>
      </c>
      <c r="E76" s="167">
        <v>0</v>
      </c>
      <c r="F76" s="167">
        <v>0</v>
      </c>
      <c r="G76" s="167">
        <v>0</v>
      </c>
      <c r="H76" s="167">
        <v>0</v>
      </c>
      <c r="I76" s="167">
        <v>0</v>
      </c>
      <c r="J76" s="167">
        <v>0</v>
      </c>
      <c r="K76" s="167">
        <v>0</v>
      </c>
      <c r="L76" s="167">
        <v>0</v>
      </c>
      <c r="M76" s="167">
        <v>0</v>
      </c>
      <c r="N76" s="167">
        <v>0</v>
      </c>
      <c r="O76" s="167">
        <v>0</v>
      </c>
      <c r="P76" s="167">
        <v>0</v>
      </c>
      <c r="Q76" s="167">
        <v>0</v>
      </c>
      <c r="R76" s="167">
        <v>0</v>
      </c>
      <c r="S76" s="167">
        <v>0</v>
      </c>
      <c r="T76" s="164">
        <v>0</v>
      </c>
      <c r="U76" s="165" t="e">
        <v>#DIV/0!</v>
      </c>
      <c r="V76" s="164">
        <v>0</v>
      </c>
      <c r="W76" s="164">
        <v>0</v>
      </c>
      <c r="X76" s="164">
        <v>0</v>
      </c>
      <c r="Y76" s="164">
        <v>0</v>
      </c>
      <c r="Z76" s="164">
        <v>0</v>
      </c>
      <c r="AA76" s="164">
        <v>0</v>
      </c>
    </row>
    <row r="77" spans="1:27" ht="12" customHeight="1" x14ac:dyDescent="0.25">
      <c r="A77" s="155" t="s">
        <v>1174</v>
      </c>
      <c r="B77" s="162" t="s">
        <v>468</v>
      </c>
      <c r="C77" s="167">
        <v>0</v>
      </c>
      <c r="D77" s="167">
        <v>0</v>
      </c>
      <c r="E77" s="167">
        <v>0</v>
      </c>
      <c r="F77" s="167">
        <v>0</v>
      </c>
      <c r="G77" s="167">
        <v>0</v>
      </c>
      <c r="H77" s="167">
        <v>0</v>
      </c>
      <c r="I77" s="167">
        <v>0</v>
      </c>
      <c r="J77" s="167">
        <v>0</v>
      </c>
      <c r="K77" s="167">
        <v>0</v>
      </c>
      <c r="L77" s="167">
        <v>0</v>
      </c>
      <c r="M77" s="167">
        <v>0</v>
      </c>
      <c r="N77" s="167">
        <v>0</v>
      </c>
      <c r="O77" s="167">
        <v>0</v>
      </c>
      <c r="P77" s="167">
        <v>0</v>
      </c>
      <c r="Q77" s="167">
        <v>0</v>
      </c>
      <c r="R77" s="167">
        <v>0</v>
      </c>
      <c r="S77" s="167">
        <v>0</v>
      </c>
      <c r="T77" s="164">
        <v>0</v>
      </c>
      <c r="U77" s="165" t="e">
        <v>#DIV/0!</v>
      </c>
      <c r="V77" s="164">
        <v>0</v>
      </c>
      <c r="W77" s="164">
        <v>0</v>
      </c>
      <c r="X77" s="164">
        <v>0</v>
      </c>
      <c r="Y77" s="164">
        <v>0</v>
      </c>
      <c r="Z77" s="164">
        <v>0</v>
      </c>
      <c r="AA77" s="164">
        <v>0</v>
      </c>
    </row>
    <row r="78" spans="1:27" ht="12" customHeight="1" x14ac:dyDescent="0.25">
      <c r="A78" s="155"/>
      <c r="B78" s="162" t="s">
        <v>469</v>
      </c>
      <c r="C78" s="163">
        <v>0</v>
      </c>
      <c r="D78" s="163">
        <v>0</v>
      </c>
      <c r="E78" s="163">
        <v>0</v>
      </c>
      <c r="F78" s="163">
        <v>0</v>
      </c>
      <c r="G78" s="163">
        <v>0</v>
      </c>
      <c r="H78" s="163">
        <v>0</v>
      </c>
      <c r="I78" s="163">
        <v>0</v>
      </c>
      <c r="J78" s="163">
        <v>0</v>
      </c>
      <c r="K78" s="163">
        <v>0</v>
      </c>
      <c r="L78" s="163">
        <v>0</v>
      </c>
      <c r="M78" s="163">
        <v>0</v>
      </c>
      <c r="N78" s="163">
        <v>0</v>
      </c>
      <c r="O78" s="163">
        <v>0</v>
      </c>
      <c r="P78" s="163">
        <v>0</v>
      </c>
      <c r="Q78" s="163">
        <v>0</v>
      </c>
      <c r="R78" s="163">
        <v>0</v>
      </c>
      <c r="S78" s="163">
        <v>0</v>
      </c>
      <c r="T78" s="164">
        <v>0</v>
      </c>
      <c r="U78" s="165" t="e">
        <v>#DIV/0!</v>
      </c>
      <c r="V78" s="164">
        <v>0</v>
      </c>
      <c r="W78" s="164">
        <v>0</v>
      </c>
      <c r="X78" s="164">
        <v>0</v>
      </c>
      <c r="Y78" s="164">
        <v>0</v>
      </c>
      <c r="Z78" s="164">
        <v>0</v>
      </c>
      <c r="AA78" s="164">
        <v>0</v>
      </c>
    </row>
    <row r="79" spans="1:27" ht="12" customHeight="1" x14ac:dyDescent="0.25">
      <c r="A79" s="155" t="s">
        <v>1175</v>
      </c>
      <c r="B79" s="166" t="s">
        <v>470</v>
      </c>
      <c r="C79" s="167">
        <v>0</v>
      </c>
      <c r="D79" s="167">
        <v>0</v>
      </c>
      <c r="E79" s="167">
        <v>0</v>
      </c>
      <c r="F79" s="167">
        <v>0</v>
      </c>
      <c r="G79" s="167">
        <v>0</v>
      </c>
      <c r="H79" s="167">
        <v>0</v>
      </c>
      <c r="I79" s="167">
        <v>0</v>
      </c>
      <c r="J79" s="167">
        <v>0</v>
      </c>
      <c r="K79" s="167">
        <v>0</v>
      </c>
      <c r="L79" s="167">
        <v>0</v>
      </c>
      <c r="M79" s="167">
        <v>0</v>
      </c>
      <c r="N79" s="167">
        <v>0</v>
      </c>
      <c r="O79" s="167">
        <v>0</v>
      </c>
      <c r="P79" s="167">
        <v>0</v>
      </c>
      <c r="Q79" s="167">
        <v>0</v>
      </c>
      <c r="R79" s="167">
        <v>0</v>
      </c>
      <c r="S79" s="167">
        <v>0</v>
      </c>
      <c r="T79" s="167">
        <v>0</v>
      </c>
      <c r="U79" s="168" t="e">
        <v>#DIV/0!</v>
      </c>
      <c r="V79" s="167">
        <v>0</v>
      </c>
      <c r="W79" s="167">
        <v>0</v>
      </c>
      <c r="X79" s="167">
        <v>0</v>
      </c>
      <c r="Y79" s="167">
        <v>0</v>
      </c>
      <c r="Z79" s="167">
        <v>0</v>
      </c>
      <c r="AA79" s="167">
        <v>0</v>
      </c>
    </row>
    <row r="80" spans="1:27" ht="12" customHeight="1" x14ac:dyDescent="0.25">
      <c r="A80" s="155" t="s">
        <v>1176</v>
      </c>
      <c r="B80" s="166" t="s">
        <v>471</v>
      </c>
      <c r="C80" s="167">
        <v>0</v>
      </c>
      <c r="D80" s="167">
        <v>0</v>
      </c>
      <c r="E80" s="167">
        <v>0</v>
      </c>
      <c r="F80" s="167">
        <v>0</v>
      </c>
      <c r="G80" s="167">
        <v>0</v>
      </c>
      <c r="H80" s="167">
        <v>0</v>
      </c>
      <c r="I80" s="167">
        <v>0</v>
      </c>
      <c r="J80" s="167">
        <v>0</v>
      </c>
      <c r="K80" s="167">
        <v>0</v>
      </c>
      <c r="L80" s="167">
        <v>0</v>
      </c>
      <c r="M80" s="167">
        <v>0</v>
      </c>
      <c r="N80" s="167">
        <v>0</v>
      </c>
      <c r="O80" s="167">
        <v>0</v>
      </c>
      <c r="P80" s="167">
        <v>0</v>
      </c>
      <c r="Q80" s="167">
        <v>0</v>
      </c>
      <c r="R80" s="167">
        <v>0</v>
      </c>
      <c r="S80" s="167">
        <v>0</v>
      </c>
      <c r="T80" s="167">
        <v>0</v>
      </c>
      <c r="U80" s="168" t="e">
        <v>#DIV/0!</v>
      </c>
      <c r="V80" s="167">
        <v>0</v>
      </c>
      <c r="W80" s="167">
        <v>0</v>
      </c>
      <c r="X80" s="167">
        <v>0</v>
      </c>
      <c r="Y80" s="167">
        <v>0</v>
      </c>
      <c r="Z80" s="167">
        <v>0</v>
      </c>
      <c r="AA80" s="167">
        <v>0</v>
      </c>
    </row>
    <row r="81" spans="1:27" ht="12" customHeight="1" x14ac:dyDescent="0.25">
      <c r="A81" s="155"/>
      <c r="B81" s="162" t="s">
        <v>472</v>
      </c>
      <c r="C81" s="163">
        <v>0</v>
      </c>
      <c r="D81" s="163">
        <v>0</v>
      </c>
      <c r="E81" s="163">
        <v>0</v>
      </c>
      <c r="F81" s="163">
        <v>0</v>
      </c>
      <c r="G81" s="163">
        <v>0</v>
      </c>
      <c r="H81" s="163">
        <v>0</v>
      </c>
      <c r="I81" s="163">
        <v>0</v>
      </c>
      <c r="J81" s="163">
        <v>0</v>
      </c>
      <c r="K81" s="163">
        <v>0</v>
      </c>
      <c r="L81" s="163">
        <v>0</v>
      </c>
      <c r="M81" s="163">
        <v>0</v>
      </c>
      <c r="N81" s="163">
        <v>0</v>
      </c>
      <c r="O81" s="163">
        <v>0</v>
      </c>
      <c r="P81" s="163">
        <v>0</v>
      </c>
      <c r="Q81" s="163">
        <v>0</v>
      </c>
      <c r="R81" s="163">
        <v>0</v>
      </c>
      <c r="S81" s="163">
        <v>0</v>
      </c>
      <c r="T81" s="164">
        <v>0</v>
      </c>
      <c r="U81" s="165" t="e">
        <v>#DIV/0!</v>
      </c>
      <c r="V81" s="164">
        <v>0</v>
      </c>
      <c r="W81" s="164">
        <v>0</v>
      </c>
      <c r="X81" s="164">
        <v>0</v>
      </c>
      <c r="Y81" s="164">
        <v>0</v>
      </c>
      <c r="Z81" s="164">
        <v>0</v>
      </c>
      <c r="AA81" s="164">
        <v>0</v>
      </c>
    </row>
    <row r="82" spans="1:27" ht="12" customHeight="1" x14ac:dyDescent="0.25">
      <c r="A82" s="155" t="s">
        <v>1177</v>
      </c>
      <c r="B82" s="155" t="s">
        <v>473</v>
      </c>
      <c r="C82" s="167">
        <v>0</v>
      </c>
      <c r="D82" s="167">
        <v>0</v>
      </c>
      <c r="E82" s="167">
        <v>0</v>
      </c>
      <c r="F82" s="167">
        <v>0</v>
      </c>
      <c r="G82" s="16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67">
        <v>0</v>
      </c>
      <c r="N82" s="167">
        <v>0</v>
      </c>
      <c r="O82" s="167">
        <v>0</v>
      </c>
      <c r="P82" s="167">
        <v>0</v>
      </c>
      <c r="Q82" s="167">
        <v>0</v>
      </c>
      <c r="R82" s="167">
        <v>0</v>
      </c>
      <c r="S82" s="167">
        <v>0</v>
      </c>
      <c r="T82" s="167">
        <v>0</v>
      </c>
      <c r="U82" s="168" t="e">
        <v>#DIV/0!</v>
      </c>
      <c r="V82" s="167">
        <v>0</v>
      </c>
      <c r="W82" s="167">
        <v>0</v>
      </c>
      <c r="X82" s="167">
        <v>0</v>
      </c>
      <c r="Y82" s="167">
        <v>0</v>
      </c>
      <c r="Z82" s="167">
        <v>0</v>
      </c>
      <c r="AA82" s="167">
        <v>0</v>
      </c>
    </row>
    <row r="83" spans="1:27" ht="12" customHeight="1" x14ac:dyDescent="0.25">
      <c r="A83" s="155" t="s">
        <v>1178</v>
      </c>
      <c r="B83" s="155" t="s">
        <v>474</v>
      </c>
      <c r="C83" s="167">
        <v>0</v>
      </c>
      <c r="D83" s="167">
        <v>0</v>
      </c>
      <c r="E83" s="167">
        <v>0</v>
      </c>
      <c r="F83" s="167">
        <v>0</v>
      </c>
      <c r="G83" s="167">
        <v>0</v>
      </c>
      <c r="H83" s="167">
        <v>0</v>
      </c>
      <c r="I83" s="167">
        <v>0</v>
      </c>
      <c r="J83" s="167">
        <v>0</v>
      </c>
      <c r="K83" s="167">
        <v>0</v>
      </c>
      <c r="L83" s="167">
        <v>0</v>
      </c>
      <c r="M83" s="167">
        <v>0</v>
      </c>
      <c r="N83" s="167">
        <v>0</v>
      </c>
      <c r="O83" s="167">
        <v>0</v>
      </c>
      <c r="P83" s="167">
        <v>0</v>
      </c>
      <c r="Q83" s="167">
        <v>0</v>
      </c>
      <c r="R83" s="167">
        <v>0</v>
      </c>
      <c r="S83" s="167">
        <v>0</v>
      </c>
      <c r="T83" s="167">
        <v>0</v>
      </c>
      <c r="U83" s="168" t="e">
        <v>#DIV/0!</v>
      </c>
      <c r="V83" s="167">
        <v>0</v>
      </c>
      <c r="W83" s="167">
        <v>0</v>
      </c>
      <c r="X83" s="167">
        <v>0</v>
      </c>
      <c r="Y83" s="167">
        <v>0</v>
      </c>
      <c r="Z83" s="167">
        <v>0</v>
      </c>
      <c r="AA83" s="167">
        <v>0</v>
      </c>
    </row>
    <row r="84" spans="1:27" ht="12" customHeight="1" x14ac:dyDescent="0.25">
      <c r="A84" s="155" t="s">
        <v>1179</v>
      </c>
      <c r="B84" s="155" t="s">
        <v>475</v>
      </c>
      <c r="C84" s="167">
        <v>0</v>
      </c>
      <c r="D84" s="167">
        <v>0</v>
      </c>
      <c r="E84" s="167">
        <v>0</v>
      </c>
      <c r="F84" s="167">
        <v>0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167">
        <v>0</v>
      </c>
      <c r="R84" s="167">
        <v>0</v>
      </c>
      <c r="S84" s="167">
        <v>0</v>
      </c>
      <c r="T84" s="167">
        <v>0</v>
      </c>
      <c r="U84" s="168" t="e">
        <v>#DIV/0!</v>
      </c>
      <c r="V84" s="167">
        <v>0</v>
      </c>
      <c r="W84" s="167">
        <v>0</v>
      </c>
      <c r="X84" s="167">
        <v>0</v>
      </c>
      <c r="Y84" s="167">
        <v>0</v>
      </c>
      <c r="Z84" s="167">
        <v>0</v>
      </c>
      <c r="AA84" s="167">
        <v>0</v>
      </c>
    </row>
    <row r="85" spans="1:27" ht="12" customHeight="1" x14ac:dyDescent="0.25">
      <c r="A85" s="155" t="s">
        <v>1180</v>
      </c>
      <c r="B85" s="155" t="s">
        <v>476</v>
      </c>
      <c r="C85" s="167">
        <v>0</v>
      </c>
      <c r="D85" s="167">
        <v>0</v>
      </c>
      <c r="E85" s="167">
        <v>0</v>
      </c>
      <c r="F85" s="167">
        <v>0</v>
      </c>
      <c r="G85" s="167">
        <v>0</v>
      </c>
      <c r="H85" s="167">
        <v>0</v>
      </c>
      <c r="I85" s="167">
        <v>0</v>
      </c>
      <c r="J85" s="167">
        <v>0</v>
      </c>
      <c r="K85" s="167">
        <v>0</v>
      </c>
      <c r="L85" s="167">
        <v>0</v>
      </c>
      <c r="M85" s="167">
        <v>0</v>
      </c>
      <c r="N85" s="167">
        <v>0</v>
      </c>
      <c r="O85" s="167">
        <v>0</v>
      </c>
      <c r="P85" s="167">
        <v>0</v>
      </c>
      <c r="Q85" s="167">
        <v>0</v>
      </c>
      <c r="R85" s="167">
        <v>0</v>
      </c>
      <c r="S85" s="167">
        <v>0</v>
      </c>
      <c r="T85" s="167">
        <v>0</v>
      </c>
      <c r="U85" s="168" t="e">
        <v>#DIV/0!</v>
      </c>
      <c r="V85" s="167">
        <v>0</v>
      </c>
      <c r="W85" s="167">
        <v>0</v>
      </c>
      <c r="X85" s="167">
        <v>0</v>
      </c>
      <c r="Y85" s="167">
        <v>0</v>
      </c>
      <c r="Z85" s="167">
        <v>0</v>
      </c>
      <c r="AA85" s="167">
        <v>0</v>
      </c>
    </row>
    <row r="86" spans="1:27" ht="12" customHeight="1" x14ac:dyDescent="0.25">
      <c r="A86" s="155" t="s">
        <v>1181</v>
      </c>
      <c r="B86" s="155" t="s">
        <v>477</v>
      </c>
      <c r="C86" s="167">
        <v>0</v>
      </c>
      <c r="D86" s="167">
        <v>0</v>
      </c>
      <c r="E86" s="167">
        <v>0</v>
      </c>
      <c r="F86" s="167">
        <v>0</v>
      </c>
      <c r="G86" s="167">
        <v>0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7">
        <v>0</v>
      </c>
      <c r="O86" s="167">
        <v>0</v>
      </c>
      <c r="P86" s="167">
        <v>0</v>
      </c>
      <c r="Q86" s="167">
        <v>0</v>
      </c>
      <c r="R86" s="167">
        <v>0</v>
      </c>
      <c r="S86" s="167">
        <v>0</v>
      </c>
      <c r="T86" s="167">
        <v>0</v>
      </c>
      <c r="U86" s="168" t="e">
        <v>#DIV/0!</v>
      </c>
      <c r="V86" s="167">
        <v>0</v>
      </c>
      <c r="W86" s="167">
        <v>0</v>
      </c>
      <c r="X86" s="167">
        <v>0</v>
      </c>
      <c r="Y86" s="167">
        <v>0</v>
      </c>
      <c r="Z86" s="167">
        <v>0</v>
      </c>
      <c r="AA86" s="167">
        <v>0</v>
      </c>
    </row>
    <row r="87" spans="1:27" ht="12" customHeight="1" x14ac:dyDescent="0.25">
      <c r="A87" s="155" t="s">
        <v>1182</v>
      </c>
      <c r="B87" s="155" t="s">
        <v>478</v>
      </c>
      <c r="C87" s="167">
        <v>0</v>
      </c>
      <c r="D87" s="167">
        <v>0</v>
      </c>
      <c r="E87" s="167">
        <v>0</v>
      </c>
      <c r="F87" s="167">
        <v>0</v>
      </c>
      <c r="G87" s="167">
        <v>0</v>
      </c>
      <c r="H87" s="167">
        <v>0</v>
      </c>
      <c r="I87" s="167">
        <v>0</v>
      </c>
      <c r="J87" s="167">
        <v>0</v>
      </c>
      <c r="K87" s="167">
        <v>0</v>
      </c>
      <c r="L87" s="167">
        <v>0</v>
      </c>
      <c r="M87" s="167">
        <v>0</v>
      </c>
      <c r="N87" s="167">
        <v>0</v>
      </c>
      <c r="O87" s="167">
        <v>0</v>
      </c>
      <c r="P87" s="167">
        <v>0</v>
      </c>
      <c r="Q87" s="167">
        <v>0</v>
      </c>
      <c r="R87" s="167">
        <v>0</v>
      </c>
      <c r="S87" s="167">
        <v>0</v>
      </c>
      <c r="T87" s="167">
        <v>0</v>
      </c>
      <c r="U87" s="168" t="e">
        <v>#DIV/0!</v>
      </c>
      <c r="V87" s="167">
        <v>0</v>
      </c>
      <c r="W87" s="167">
        <v>0</v>
      </c>
      <c r="X87" s="167">
        <v>0</v>
      </c>
      <c r="Y87" s="167">
        <v>0</v>
      </c>
      <c r="Z87" s="167">
        <v>0</v>
      </c>
      <c r="AA87" s="167">
        <v>0</v>
      </c>
    </row>
    <row r="88" spans="1:27" ht="12" customHeight="1" x14ac:dyDescent="0.25">
      <c r="A88" s="155" t="s">
        <v>1183</v>
      </c>
      <c r="B88" s="155" t="s">
        <v>479</v>
      </c>
      <c r="C88" s="167">
        <v>0</v>
      </c>
      <c r="D88" s="167">
        <v>0</v>
      </c>
      <c r="E88" s="167">
        <v>0</v>
      </c>
      <c r="F88" s="167">
        <v>0</v>
      </c>
      <c r="G88" s="167">
        <v>0</v>
      </c>
      <c r="H88" s="167">
        <v>0</v>
      </c>
      <c r="I88" s="167">
        <v>0</v>
      </c>
      <c r="J88" s="167">
        <v>0</v>
      </c>
      <c r="K88" s="167">
        <v>0</v>
      </c>
      <c r="L88" s="167">
        <v>0</v>
      </c>
      <c r="M88" s="167">
        <v>0</v>
      </c>
      <c r="N88" s="167">
        <v>0</v>
      </c>
      <c r="O88" s="167">
        <v>0</v>
      </c>
      <c r="P88" s="167">
        <v>0</v>
      </c>
      <c r="Q88" s="167">
        <v>0</v>
      </c>
      <c r="R88" s="167">
        <v>0</v>
      </c>
      <c r="S88" s="167">
        <v>0</v>
      </c>
      <c r="T88" s="167">
        <v>0</v>
      </c>
      <c r="U88" s="168" t="e">
        <v>#DIV/0!</v>
      </c>
      <c r="V88" s="167">
        <v>0</v>
      </c>
      <c r="W88" s="167">
        <v>0</v>
      </c>
      <c r="X88" s="167">
        <v>0</v>
      </c>
      <c r="Y88" s="167">
        <v>0</v>
      </c>
      <c r="Z88" s="167">
        <v>0</v>
      </c>
      <c r="AA88" s="167">
        <v>0</v>
      </c>
    </row>
    <row r="89" spans="1:27" ht="12" customHeight="1" x14ac:dyDescent="0.25">
      <c r="A89" s="155" t="s">
        <v>1184</v>
      </c>
      <c r="B89" s="155" t="s">
        <v>480</v>
      </c>
      <c r="C89" s="167">
        <v>0</v>
      </c>
      <c r="D89" s="167">
        <v>0</v>
      </c>
      <c r="E89" s="167">
        <v>0</v>
      </c>
      <c r="F89" s="167">
        <v>0</v>
      </c>
      <c r="G89" s="167">
        <v>0</v>
      </c>
      <c r="H89" s="167">
        <v>0</v>
      </c>
      <c r="I89" s="167">
        <v>0</v>
      </c>
      <c r="J89" s="167">
        <v>0</v>
      </c>
      <c r="K89" s="167">
        <v>0</v>
      </c>
      <c r="L89" s="167">
        <v>0</v>
      </c>
      <c r="M89" s="167">
        <v>0</v>
      </c>
      <c r="N89" s="167">
        <v>0</v>
      </c>
      <c r="O89" s="167">
        <v>0</v>
      </c>
      <c r="P89" s="167">
        <v>0</v>
      </c>
      <c r="Q89" s="167">
        <v>0</v>
      </c>
      <c r="R89" s="167">
        <v>0</v>
      </c>
      <c r="S89" s="167">
        <v>0</v>
      </c>
      <c r="T89" s="167">
        <v>0</v>
      </c>
      <c r="U89" s="168" t="e">
        <v>#DIV/0!</v>
      </c>
      <c r="V89" s="167">
        <v>0</v>
      </c>
      <c r="W89" s="167">
        <v>0</v>
      </c>
      <c r="X89" s="167">
        <v>0</v>
      </c>
      <c r="Y89" s="167">
        <v>0</v>
      </c>
      <c r="Z89" s="167">
        <v>0</v>
      </c>
      <c r="AA89" s="167">
        <v>0</v>
      </c>
    </row>
    <row r="90" spans="1:27" ht="12" customHeight="1" x14ac:dyDescent="0.25">
      <c r="A90" s="155" t="s">
        <v>1185</v>
      </c>
      <c r="B90" s="155" t="s">
        <v>481</v>
      </c>
      <c r="C90" s="167">
        <v>0</v>
      </c>
      <c r="D90" s="167">
        <v>0</v>
      </c>
      <c r="E90" s="167">
        <v>0</v>
      </c>
      <c r="F90" s="167">
        <v>0</v>
      </c>
      <c r="G90" s="167">
        <v>0</v>
      </c>
      <c r="H90" s="167">
        <v>0</v>
      </c>
      <c r="I90" s="167">
        <v>0</v>
      </c>
      <c r="J90" s="167">
        <v>0</v>
      </c>
      <c r="K90" s="167">
        <v>0</v>
      </c>
      <c r="L90" s="167">
        <v>0</v>
      </c>
      <c r="M90" s="167">
        <v>0</v>
      </c>
      <c r="N90" s="167">
        <v>0</v>
      </c>
      <c r="O90" s="167">
        <v>0</v>
      </c>
      <c r="P90" s="167">
        <v>0</v>
      </c>
      <c r="Q90" s="167">
        <v>0</v>
      </c>
      <c r="R90" s="167">
        <v>0</v>
      </c>
      <c r="S90" s="167">
        <v>0</v>
      </c>
      <c r="T90" s="167">
        <v>0</v>
      </c>
      <c r="U90" s="168" t="e">
        <v>#DIV/0!</v>
      </c>
      <c r="V90" s="167">
        <v>0</v>
      </c>
      <c r="W90" s="167">
        <v>0</v>
      </c>
      <c r="X90" s="167">
        <v>0</v>
      </c>
      <c r="Y90" s="167">
        <v>0</v>
      </c>
      <c r="Z90" s="167">
        <v>0</v>
      </c>
      <c r="AA90" s="167">
        <v>0</v>
      </c>
    </row>
    <row r="91" spans="1:27" ht="12" customHeight="1" x14ac:dyDescent="0.25">
      <c r="A91" s="155" t="s">
        <v>1186</v>
      </c>
      <c r="B91" s="155" t="s">
        <v>482</v>
      </c>
      <c r="C91" s="167">
        <v>0</v>
      </c>
      <c r="D91" s="167">
        <v>0</v>
      </c>
      <c r="E91" s="167">
        <v>0</v>
      </c>
      <c r="F91" s="167">
        <v>0</v>
      </c>
      <c r="G91" s="167">
        <v>0</v>
      </c>
      <c r="H91" s="167">
        <v>0</v>
      </c>
      <c r="I91" s="167">
        <v>0</v>
      </c>
      <c r="J91" s="167">
        <v>0</v>
      </c>
      <c r="K91" s="167">
        <v>0</v>
      </c>
      <c r="L91" s="167">
        <v>0</v>
      </c>
      <c r="M91" s="167">
        <v>0</v>
      </c>
      <c r="N91" s="167">
        <v>0</v>
      </c>
      <c r="O91" s="167">
        <v>0</v>
      </c>
      <c r="P91" s="167">
        <v>0</v>
      </c>
      <c r="Q91" s="167">
        <v>0</v>
      </c>
      <c r="R91" s="167">
        <v>0</v>
      </c>
      <c r="S91" s="167">
        <v>0</v>
      </c>
      <c r="T91" s="167">
        <v>0</v>
      </c>
      <c r="U91" s="168" t="e">
        <v>#DIV/0!</v>
      </c>
      <c r="V91" s="167">
        <v>0</v>
      </c>
      <c r="W91" s="167">
        <v>0</v>
      </c>
      <c r="X91" s="167">
        <v>0</v>
      </c>
      <c r="Y91" s="167">
        <v>0</v>
      </c>
      <c r="Z91" s="167">
        <v>0</v>
      </c>
      <c r="AA91" s="167">
        <v>0</v>
      </c>
    </row>
    <row r="92" spans="1:27" ht="12" customHeight="1" x14ac:dyDescent="0.25">
      <c r="A92" s="155" t="s">
        <v>1187</v>
      </c>
      <c r="B92" s="155" t="s">
        <v>483</v>
      </c>
      <c r="C92" s="167">
        <v>0</v>
      </c>
      <c r="D92" s="167">
        <v>0</v>
      </c>
      <c r="E92" s="167">
        <v>0</v>
      </c>
      <c r="F92" s="167">
        <v>0</v>
      </c>
      <c r="G92" s="167">
        <v>0</v>
      </c>
      <c r="H92" s="167">
        <v>0</v>
      </c>
      <c r="I92" s="167">
        <v>0</v>
      </c>
      <c r="J92" s="167">
        <v>0</v>
      </c>
      <c r="K92" s="167">
        <v>0</v>
      </c>
      <c r="L92" s="167">
        <v>0</v>
      </c>
      <c r="M92" s="167">
        <v>0</v>
      </c>
      <c r="N92" s="167">
        <v>0</v>
      </c>
      <c r="O92" s="167">
        <v>0</v>
      </c>
      <c r="P92" s="167">
        <v>0</v>
      </c>
      <c r="Q92" s="167">
        <v>0</v>
      </c>
      <c r="R92" s="167">
        <v>0</v>
      </c>
      <c r="S92" s="167">
        <v>0</v>
      </c>
      <c r="T92" s="167">
        <v>0</v>
      </c>
      <c r="U92" s="168" t="e">
        <v>#DIV/0!</v>
      </c>
      <c r="V92" s="167">
        <v>0</v>
      </c>
      <c r="W92" s="167">
        <v>0</v>
      </c>
      <c r="X92" s="167">
        <v>0</v>
      </c>
      <c r="Y92" s="167">
        <v>0</v>
      </c>
      <c r="Z92" s="167">
        <v>0</v>
      </c>
      <c r="AA92" s="167">
        <v>0</v>
      </c>
    </row>
    <row r="93" spans="1:27" ht="12" customHeight="1" x14ac:dyDescent="0.25">
      <c r="A93" s="155" t="s">
        <v>1188</v>
      </c>
      <c r="B93" s="155" t="s">
        <v>484</v>
      </c>
      <c r="C93" s="167">
        <v>0</v>
      </c>
      <c r="D93" s="167">
        <v>0</v>
      </c>
      <c r="E93" s="167">
        <v>0</v>
      </c>
      <c r="F93" s="167">
        <v>0</v>
      </c>
      <c r="G93" s="167">
        <v>0</v>
      </c>
      <c r="H93" s="167">
        <v>0</v>
      </c>
      <c r="I93" s="167">
        <v>0</v>
      </c>
      <c r="J93" s="167">
        <v>0</v>
      </c>
      <c r="K93" s="167">
        <v>0</v>
      </c>
      <c r="L93" s="167">
        <v>0</v>
      </c>
      <c r="M93" s="167">
        <v>0</v>
      </c>
      <c r="N93" s="167">
        <v>0</v>
      </c>
      <c r="O93" s="167">
        <v>0</v>
      </c>
      <c r="P93" s="167">
        <v>0</v>
      </c>
      <c r="Q93" s="167">
        <v>0</v>
      </c>
      <c r="R93" s="167">
        <v>0</v>
      </c>
      <c r="S93" s="167">
        <v>0</v>
      </c>
      <c r="T93" s="167">
        <v>0</v>
      </c>
      <c r="U93" s="168" t="e">
        <v>#DIV/0!</v>
      </c>
      <c r="V93" s="167">
        <v>0</v>
      </c>
      <c r="W93" s="167">
        <v>0</v>
      </c>
      <c r="X93" s="167">
        <v>0</v>
      </c>
      <c r="Y93" s="167">
        <v>0</v>
      </c>
      <c r="Z93" s="167">
        <v>0</v>
      </c>
      <c r="AA93" s="167">
        <v>0</v>
      </c>
    </row>
    <row r="94" spans="1:27" ht="12" customHeight="1" x14ac:dyDescent="0.25">
      <c r="A94" s="155" t="s">
        <v>1189</v>
      </c>
      <c r="B94" s="155" t="s">
        <v>485</v>
      </c>
      <c r="C94" s="167">
        <v>0</v>
      </c>
      <c r="D94" s="167">
        <v>0</v>
      </c>
      <c r="E94" s="167">
        <v>0</v>
      </c>
      <c r="F94" s="167">
        <v>0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167">
        <v>0</v>
      </c>
      <c r="R94" s="167">
        <v>0</v>
      </c>
      <c r="S94" s="167">
        <v>0</v>
      </c>
      <c r="T94" s="167">
        <v>0</v>
      </c>
      <c r="U94" s="168" t="e">
        <v>#DIV/0!</v>
      </c>
      <c r="V94" s="167">
        <v>0</v>
      </c>
      <c r="W94" s="167">
        <v>0</v>
      </c>
      <c r="X94" s="167">
        <v>0</v>
      </c>
      <c r="Y94" s="167">
        <v>0</v>
      </c>
      <c r="Z94" s="167">
        <v>0</v>
      </c>
      <c r="AA94" s="167">
        <v>0</v>
      </c>
    </row>
    <row r="95" spans="1:27" ht="12" customHeight="1" x14ac:dyDescent="0.25">
      <c r="A95" s="155" t="s">
        <v>1190</v>
      </c>
      <c r="B95" s="155" t="s">
        <v>486</v>
      </c>
      <c r="C95" s="167">
        <v>0</v>
      </c>
      <c r="D95" s="167">
        <v>0</v>
      </c>
      <c r="E95" s="167">
        <v>0</v>
      </c>
      <c r="F95" s="167">
        <v>0</v>
      </c>
      <c r="G95" s="167">
        <v>0</v>
      </c>
      <c r="H95" s="167">
        <v>0</v>
      </c>
      <c r="I95" s="167">
        <v>0</v>
      </c>
      <c r="J95" s="167">
        <v>0</v>
      </c>
      <c r="K95" s="167">
        <v>0</v>
      </c>
      <c r="L95" s="167">
        <v>0</v>
      </c>
      <c r="M95" s="167">
        <v>0</v>
      </c>
      <c r="N95" s="167">
        <v>0</v>
      </c>
      <c r="O95" s="167">
        <v>0</v>
      </c>
      <c r="P95" s="167">
        <v>0</v>
      </c>
      <c r="Q95" s="167">
        <v>0</v>
      </c>
      <c r="R95" s="167">
        <v>0</v>
      </c>
      <c r="S95" s="167">
        <v>0</v>
      </c>
      <c r="T95" s="167">
        <v>0</v>
      </c>
      <c r="U95" s="168" t="e">
        <v>#DIV/0!</v>
      </c>
      <c r="V95" s="167">
        <v>0</v>
      </c>
      <c r="W95" s="167">
        <v>0</v>
      </c>
      <c r="X95" s="167">
        <v>0</v>
      </c>
      <c r="Y95" s="167">
        <v>0</v>
      </c>
      <c r="Z95" s="167">
        <v>0</v>
      </c>
      <c r="AA95" s="167">
        <v>0</v>
      </c>
    </row>
    <row r="96" spans="1:27" ht="12" customHeight="1" x14ac:dyDescent="0.25">
      <c r="A96" s="155" t="s">
        <v>1191</v>
      </c>
      <c r="B96" s="155" t="s">
        <v>487</v>
      </c>
      <c r="C96" s="167">
        <v>0</v>
      </c>
      <c r="D96" s="167">
        <v>0</v>
      </c>
      <c r="E96" s="167">
        <v>0</v>
      </c>
      <c r="F96" s="167">
        <v>0</v>
      </c>
      <c r="G96" s="16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0</v>
      </c>
      <c r="O96" s="167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8" t="e">
        <v>#DIV/0!</v>
      </c>
      <c r="V96" s="167">
        <v>0</v>
      </c>
      <c r="W96" s="167">
        <v>0</v>
      </c>
      <c r="X96" s="167">
        <v>0</v>
      </c>
      <c r="Y96" s="167">
        <v>0</v>
      </c>
      <c r="Z96" s="167">
        <v>0</v>
      </c>
      <c r="AA96" s="167">
        <v>0</v>
      </c>
    </row>
    <row r="97" spans="1:27" ht="12" customHeight="1" x14ac:dyDescent="0.25">
      <c r="A97" s="155" t="s">
        <v>1192</v>
      </c>
      <c r="B97" s="155" t="s">
        <v>488</v>
      </c>
      <c r="C97" s="167">
        <v>0</v>
      </c>
      <c r="D97" s="167">
        <v>0</v>
      </c>
      <c r="E97" s="167">
        <v>0</v>
      </c>
      <c r="F97" s="167">
        <v>0</v>
      </c>
      <c r="G97" s="167">
        <v>0</v>
      </c>
      <c r="H97" s="167">
        <v>0</v>
      </c>
      <c r="I97" s="167">
        <v>0</v>
      </c>
      <c r="J97" s="167">
        <v>0</v>
      </c>
      <c r="K97" s="167">
        <v>0</v>
      </c>
      <c r="L97" s="167">
        <v>0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8" t="e">
        <v>#DIV/0!</v>
      </c>
      <c r="V97" s="167">
        <v>0</v>
      </c>
      <c r="W97" s="167">
        <v>0</v>
      </c>
      <c r="X97" s="167">
        <v>0</v>
      </c>
      <c r="Y97" s="167">
        <v>0</v>
      </c>
      <c r="Z97" s="167">
        <v>0</v>
      </c>
      <c r="AA97" s="167">
        <v>0</v>
      </c>
    </row>
    <row r="98" spans="1:27" ht="12" customHeight="1" x14ac:dyDescent="0.25">
      <c r="A98" s="155" t="s">
        <v>1193</v>
      </c>
      <c r="B98" s="155" t="s">
        <v>489</v>
      </c>
      <c r="C98" s="167">
        <v>0</v>
      </c>
      <c r="D98" s="167">
        <v>0</v>
      </c>
      <c r="E98" s="167">
        <v>0</v>
      </c>
      <c r="F98" s="167">
        <v>0</v>
      </c>
      <c r="G98" s="167">
        <v>0</v>
      </c>
      <c r="H98" s="167">
        <v>0</v>
      </c>
      <c r="I98" s="167">
        <v>0</v>
      </c>
      <c r="J98" s="167">
        <v>0</v>
      </c>
      <c r="K98" s="167">
        <v>0</v>
      </c>
      <c r="L98" s="167">
        <v>0</v>
      </c>
      <c r="M98" s="167">
        <v>0</v>
      </c>
      <c r="N98" s="167">
        <v>0</v>
      </c>
      <c r="O98" s="167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8" t="e">
        <v>#DIV/0!</v>
      </c>
      <c r="V98" s="167">
        <v>0</v>
      </c>
      <c r="W98" s="167">
        <v>0</v>
      </c>
      <c r="X98" s="167">
        <v>0</v>
      </c>
      <c r="Y98" s="167">
        <v>0</v>
      </c>
      <c r="Z98" s="167">
        <v>0</v>
      </c>
      <c r="AA98" s="167">
        <v>0</v>
      </c>
    </row>
    <row r="99" spans="1:27" ht="12" customHeight="1" x14ac:dyDescent="0.25">
      <c r="A99" s="155" t="s">
        <v>1194</v>
      </c>
      <c r="B99" s="155" t="s">
        <v>490</v>
      </c>
      <c r="C99" s="167">
        <v>0</v>
      </c>
      <c r="D99" s="167">
        <v>0</v>
      </c>
      <c r="E99" s="167">
        <v>0</v>
      </c>
      <c r="F99" s="167">
        <v>0</v>
      </c>
      <c r="G99" s="167">
        <v>0</v>
      </c>
      <c r="H99" s="167">
        <v>0</v>
      </c>
      <c r="I99" s="167">
        <v>0</v>
      </c>
      <c r="J99" s="167">
        <v>0</v>
      </c>
      <c r="K99" s="167">
        <v>0</v>
      </c>
      <c r="L99" s="167">
        <v>0</v>
      </c>
      <c r="M99" s="167">
        <v>0</v>
      </c>
      <c r="N99" s="167">
        <v>0</v>
      </c>
      <c r="O99" s="167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8" t="e">
        <v>#DIV/0!</v>
      </c>
      <c r="V99" s="167">
        <v>0</v>
      </c>
      <c r="W99" s="167">
        <v>0</v>
      </c>
      <c r="X99" s="167">
        <v>0</v>
      </c>
      <c r="Y99" s="167">
        <v>0</v>
      </c>
      <c r="Z99" s="167">
        <v>0</v>
      </c>
      <c r="AA99" s="167">
        <v>0</v>
      </c>
    </row>
    <row r="100" spans="1:27" ht="12" customHeight="1" x14ac:dyDescent="0.25">
      <c r="A100" s="155" t="s">
        <v>1195</v>
      </c>
      <c r="B100" s="155" t="s">
        <v>491</v>
      </c>
      <c r="C100" s="167">
        <v>0</v>
      </c>
      <c r="D100" s="167">
        <v>0</v>
      </c>
      <c r="E100" s="167">
        <v>0</v>
      </c>
      <c r="F100" s="167">
        <v>0</v>
      </c>
      <c r="G100" s="167">
        <v>0</v>
      </c>
      <c r="H100" s="167">
        <v>0</v>
      </c>
      <c r="I100" s="167">
        <v>0</v>
      </c>
      <c r="J100" s="167">
        <v>0</v>
      </c>
      <c r="K100" s="167">
        <v>0</v>
      </c>
      <c r="L100" s="167">
        <v>0</v>
      </c>
      <c r="M100" s="167">
        <v>0</v>
      </c>
      <c r="N100" s="167">
        <v>0</v>
      </c>
      <c r="O100" s="167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8" t="e">
        <v>#DIV/0!</v>
      </c>
      <c r="V100" s="167">
        <v>0</v>
      </c>
      <c r="W100" s="167">
        <v>0</v>
      </c>
      <c r="X100" s="167">
        <v>0</v>
      </c>
      <c r="Y100" s="167">
        <v>0</v>
      </c>
      <c r="Z100" s="167">
        <v>0</v>
      </c>
      <c r="AA100" s="167">
        <v>0</v>
      </c>
    </row>
    <row r="101" spans="1:27" ht="12" customHeight="1" x14ac:dyDescent="0.25">
      <c r="A101" s="155" t="s">
        <v>1196</v>
      </c>
      <c r="B101" s="155" t="s">
        <v>492</v>
      </c>
      <c r="C101" s="167">
        <v>0</v>
      </c>
      <c r="D101" s="167">
        <v>0</v>
      </c>
      <c r="E101" s="167">
        <v>0</v>
      </c>
      <c r="F101" s="167">
        <v>0</v>
      </c>
      <c r="G101" s="167">
        <v>0</v>
      </c>
      <c r="H101" s="167">
        <v>0</v>
      </c>
      <c r="I101" s="167">
        <v>0</v>
      </c>
      <c r="J101" s="167">
        <v>0</v>
      </c>
      <c r="K101" s="167">
        <v>0</v>
      </c>
      <c r="L101" s="167">
        <v>0</v>
      </c>
      <c r="M101" s="167">
        <v>0</v>
      </c>
      <c r="N101" s="167">
        <v>0</v>
      </c>
      <c r="O101" s="167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8" t="e">
        <v>#DIV/0!</v>
      </c>
      <c r="V101" s="167">
        <v>0</v>
      </c>
      <c r="W101" s="167">
        <v>0</v>
      </c>
      <c r="X101" s="167">
        <v>0</v>
      </c>
      <c r="Y101" s="167">
        <v>0</v>
      </c>
      <c r="Z101" s="167">
        <v>0</v>
      </c>
      <c r="AA101" s="167">
        <v>0</v>
      </c>
    </row>
    <row r="102" spans="1:27" ht="12" customHeight="1" x14ac:dyDescent="0.25">
      <c r="A102" s="155" t="s">
        <v>1197</v>
      </c>
      <c r="B102" s="155" t="s">
        <v>493</v>
      </c>
      <c r="C102" s="167">
        <v>0</v>
      </c>
      <c r="D102" s="167">
        <v>0</v>
      </c>
      <c r="E102" s="167">
        <v>0</v>
      </c>
      <c r="F102" s="167">
        <v>0</v>
      </c>
      <c r="G102" s="16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167">
        <v>0</v>
      </c>
      <c r="R102" s="167">
        <v>0</v>
      </c>
      <c r="S102" s="167">
        <v>0</v>
      </c>
      <c r="T102" s="167">
        <v>0</v>
      </c>
      <c r="U102" s="168" t="e">
        <v>#DIV/0!</v>
      </c>
      <c r="V102" s="167">
        <v>0</v>
      </c>
      <c r="W102" s="167">
        <v>0</v>
      </c>
      <c r="X102" s="167">
        <v>0</v>
      </c>
      <c r="Y102" s="167">
        <v>0</v>
      </c>
      <c r="Z102" s="167">
        <v>0</v>
      </c>
      <c r="AA102" s="167">
        <v>0</v>
      </c>
    </row>
    <row r="103" spans="1:27" ht="12" customHeight="1" x14ac:dyDescent="0.25">
      <c r="A103" s="155" t="s">
        <v>1198</v>
      </c>
      <c r="B103" s="155" t="s">
        <v>494</v>
      </c>
      <c r="C103" s="167">
        <v>0</v>
      </c>
      <c r="D103" s="167">
        <v>0</v>
      </c>
      <c r="E103" s="167">
        <v>0</v>
      </c>
      <c r="F103" s="167">
        <v>0</v>
      </c>
      <c r="G103" s="167">
        <v>0</v>
      </c>
      <c r="H103" s="167">
        <v>0</v>
      </c>
      <c r="I103" s="167">
        <v>0</v>
      </c>
      <c r="J103" s="167">
        <v>0</v>
      </c>
      <c r="K103" s="167">
        <v>0</v>
      </c>
      <c r="L103" s="167">
        <v>0</v>
      </c>
      <c r="M103" s="167">
        <v>0</v>
      </c>
      <c r="N103" s="167">
        <v>0</v>
      </c>
      <c r="O103" s="167">
        <v>0</v>
      </c>
      <c r="P103" s="167">
        <v>0</v>
      </c>
      <c r="Q103" s="167">
        <v>0</v>
      </c>
      <c r="R103" s="167">
        <v>0</v>
      </c>
      <c r="S103" s="167">
        <v>0</v>
      </c>
      <c r="T103" s="167">
        <v>0</v>
      </c>
      <c r="U103" s="168" t="e">
        <v>#DIV/0!</v>
      </c>
      <c r="V103" s="167">
        <v>0</v>
      </c>
      <c r="W103" s="167">
        <v>0</v>
      </c>
      <c r="X103" s="167">
        <v>0</v>
      </c>
      <c r="Y103" s="167">
        <v>0</v>
      </c>
      <c r="Z103" s="167">
        <v>0</v>
      </c>
      <c r="AA103" s="167">
        <v>0</v>
      </c>
    </row>
    <row r="104" spans="1:27" ht="12" customHeight="1" x14ac:dyDescent="0.25">
      <c r="A104" s="155" t="s">
        <v>1199</v>
      </c>
      <c r="B104" s="155" t="s">
        <v>495</v>
      </c>
      <c r="C104" s="167">
        <v>0</v>
      </c>
      <c r="D104" s="167">
        <v>0</v>
      </c>
      <c r="E104" s="167">
        <v>0</v>
      </c>
      <c r="F104" s="167">
        <v>0</v>
      </c>
      <c r="G104" s="16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67">
        <v>0</v>
      </c>
      <c r="N104" s="167">
        <v>0</v>
      </c>
      <c r="O104" s="167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8" t="e">
        <v>#DIV/0!</v>
      </c>
      <c r="V104" s="167">
        <v>0</v>
      </c>
      <c r="W104" s="167">
        <v>0</v>
      </c>
      <c r="X104" s="167">
        <v>0</v>
      </c>
      <c r="Y104" s="167">
        <v>0</v>
      </c>
      <c r="Z104" s="167">
        <v>0</v>
      </c>
      <c r="AA104" s="167">
        <v>0</v>
      </c>
    </row>
    <row r="105" spans="1:27" ht="12" customHeight="1" x14ac:dyDescent="0.25">
      <c r="A105" s="155" t="s">
        <v>1200</v>
      </c>
      <c r="B105" s="155" t="s">
        <v>496</v>
      </c>
      <c r="C105" s="167">
        <v>0</v>
      </c>
      <c r="D105" s="167">
        <v>0</v>
      </c>
      <c r="E105" s="167">
        <v>0</v>
      </c>
      <c r="F105" s="167">
        <v>0</v>
      </c>
      <c r="G105" s="167">
        <v>0</v>
      </c>
      <c r="H105" s="167">
        <v>0</v>
      </c>
      <c r="I105" s="167">
        <v>0</v>
      </c>
      <c r="J105" s="167">
        <v>0</v>
      </c>
      <c r="K105" s="167">
        <v>0</v>
      </c>
      <c r="L105" s="167">
        <v>0</v>
      </c>
      <c r="M105" s="167">
        <v>0</v>
      </c>
      <c r="N105" s="167">
        <v>0</v>
      </c>
      <c r="O105" s="167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8" t="e">
        <v>#DIV/0!</v>
      </c>
      <c r="V105" s="167">
        <v>0</v>
      </c>
      <c r="W105" s="167">
        <v>0</v>
      </c>
      <c r="X105" s="167">
        <v>0</v>
      </c>
      <c r="Y105" s="167">
        <v>0</v>
      </c>
      <c r="Z105" s="167">
        <v>0</v>
      </c>
      <c r="AA105" s="167">
        <v>0</v>
      </c>
    </row>
    <row r="106" spans="1:27" ht="12" customHeight="1" x14ac:dyDescent="0.25">
      <c r="A106" s="155" t="s">
        <v>1201</v>
      </c>
      <c r="B106" s="155" t="s">
        <v>497</v>
      </c>
      <c r="C106" s="167">
        <v>0</v>
      </c>
      <c r="D106" s="167">
        <v>0</v>
      </c>
      <c r="E106" s="167">
        <v>0</v>
      </c>
      <c r="F106" s="167">
        <v>0</v>
      </c>
      <c r="G106" s="16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167">
        <v>0</v>
      </c>
      <c r="R106" s="167">
        <v>0</v>
      </c>
      <c r="S106" s="167">
        <v>0</v>
      </c>
      <c r="T106" s="167">
        <v>0</v>
      </c>
      <c r="U106" s="168" t="e">
        <v>#DIV/0!</v>
      </c>
      <c r="V106" s="167">
        <v>0</v>
      </c>
      <c r="W106" s="167">
        <v>0</v>
      </c>
      <c r="X106" s="167">
        <v>0</v>
      </c>
      <c r="Y106" s="167">
        <v>0</v>
      </c>
      <c r="Z106" s="167">
        <v>0</v>
      </c>
      <c r="AA106" s="167">
        <v>0</v>
      </c>
    </row>
    <row r="107" spans="1:27" ht="12" customHeight="1" x14ac:dyDescent="0.25">
      <c r="A107" s="155" t="s">
        <v>1202</v>
      </c>
      <c r="B107" s="155" t="s">
        <v>498</v>
      </c>
      <c r="C107" s="167">
        <v>0</v>
      </c>
      <c r="D107" s="167">
        <v>0</v>
      </c>
      <c r="E107" s="167">
        <v>0</v>
      </c>
      <c r="F107" s="167">
        <v>0</v>
      </c>
      <c r="G107" s="167">
        <v>0</v>
      </c>
      <c r="H107" s="167">
        <v>0</v>
      </c>
      <c r="I107" s="167">
        <v>0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0</v>
      </c>
      <c r="P107" s="167">
        <v>0</v>
      </c>
      <c r="Q107" s="167">
        <v>0</v>
      </c>
      <c r="R107" s="167">
        <v>0</v>
      </c>
      <c r="S107" s="167">
        <v>0</v>
      </c>
      <c r="T107" s="167">
        <v>0</v>
      </c>
      <c r="U107" s="168" t="e">
        <v>#DIV/0!</v>
      </c>
      <c r="V107" s="167">
        <v>0</v>
      </c>
      <c r="W107" s="167">
        <v>0</v>
      </c>
      <c r="X107" s="167">
        <v>0</v>
      </c>
      <c r="Y107" s="167">
        <v>0</v>
      </c>
      <c r="Z107" s="167">
        <v>0</v>
      </c>
      <c r="AA107" s="167">
        <v>0</v>
      </c>
    </row>
    <row r="108" spans="1:27" ht="12" customHeight="1" x14ac:dyDescent="0.25">
      <c r="A108" s="155"/>
      <c r="B108" s="162" t="s">
        <v>499</v>
      </c>
      <c r="C108" s="163">
        <v>0</v>
      </c>
      <c r="D108" s="163">
        <v>0</v>
      </c>
      <c r="E108" s="163">
        <v>0</v>
      </c>
      <c r="F108" s="163">
        <v>0</v>
      </c>
      <c r="G108" s="163">
        <v>0</v>
      </c>
      <c r="H108" s="163">
        <v>0</v>
      </c>
      <c r="I108" s="163">
        <v>0</v>
      </c>
      <c r="J108" s="163">
        <v>0</v>
      </c>
      <c r="K108" s="163">
        <v>0</v>
      </c>
      <c r="L108" s="163">
        <v>0</v>
      </c>
      <c r="M108" s="163">
        <v>0</v>
      </c>
      <c r="N108" s="163">
        <v>0</v>
      </c>
      <c r="O108" s="163">
        <v>0</v>
      </c>
      <c r="P108" s="163">
        <v>0</v>
      </c>
      <c r="Q108" s="163">
        <v>0</v>
      </c>
      <c r="R108" s="163">
        <v>0</v>
      </c>
      <c r="S108" s="163">
        <v>0</v>
      </c>
      <c r="T108" s="164">
        <v>0</v>
      </c>
      <c r="U108" s="165" t="e">
        <v>#DIV/0!</v>
      </c>
      <c r="V108" s="164">
        <v>0</v>
      </c>
      <c r="W108" s="164">
        <v>0</v>
      </c>
      <c r="X108" s="164">
        <v>0</v>
      </c>
      <c r="Y108" s="164">
        <v>0</v>
      </c>
      <c r="Z108" s="164">
        <v>0</v>
      </c>
      <c r="AA108" s="164">
        <v>0</v>
      </c>
    </row>
    <row r="109" spans="1:27" ht="12" customHeight="1" x14ac:dyDescent="0.25">
      <c r="A109" s="155" t="s">
        <v>1203</v>
      </c>
      <c r="B109" s="155" t="s">
        <v>500</v>
      </c>
      <c r="C109" s="167">
        <v>0</v>
      </c>
      <c r="D109" s="167">
        <v>0</v>
      </c>
      <c r="E109" s="167">
        <v>0</v>
      </c>
      <c r="F109" s="167">
        <v>0</v>
      </c>
      <c r="G109" s="167">
        <v>0</v>
      </c>
      <c r="H109" s="167">
        <v>0</v>
      </c>
      <c r="I109" s="167">
        <v>0</v>
      </c>
      <c r="J109" s="167">
        <v>0</v>
      </c>
      <c r="K109" s="167">
        <v>0</v>
      </c>
      <c r="L109" s="167">
        <v>0</v>
      </c>
      <c r="M109" s="167">
        <v>0</v>
      </c>
      <c r="N109" s="167">
        <v>0</v>
      </c>
      <c r="O109" s="167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8" t="e">
        <v>#DIV/0!</v>
      </c>
      <c r="V109" s="167">
        <v>0</v>
      </c>
      <c r="W109" s="167">
        <v>0</v>
      </c>
      <c r="X109" s="167">
        <v>0</v>
      </c>
      <c r="Y109" s="167">
        <v>0</v>
      </c>
      <c r="Z109" s="167">
        <v>0</v>
      </c>
      <c r="AA109" s="167">
        <v>0</v>
      </c>
    </row>
    <row r="110" spans="1:27" ht="12" customHeight="1" x14ac:dyDescent="0.25">
      <c r="A110" s="155" t="s">
        <v>1204</v>
      </c>
      <c r="B110" s="155" t="s">
        <v>501</v>
      </c>
      <c r="C110" s="167">
        <v>0</v>
      </c>
      <c r="D110" s="167">
        <v>0</v>
      </c>
      <c r="E110" s="167">
        <v>0</v>
      </c>
      <c r="F110" s="167">
        <v>0</v>
      </c>
      <c r="G110" s="167">
        <v>0</v>
      </c>
      <c r="H110" s="167">
        <v>0</v>
      </c>
      <c r="I110" s="167">
        <v>0</v>
      </c>
      <c r="J110" s="167">
        <v>0</v>
      </c>
      <c r="K110" s="167">
        <v>0</v>
      </c>
      <c r="L110" s="167">
        <v>0</v>
      </c>
      <c r="M110" s="167">
        <v>0</v>
      </c>
      <c r="N110" s="167">
        <v>0</v>
      </c>
      <c r="O110" s="167">
        <v>0</v>
      </c>
      <c r="P110" s="167">
        <v>0</v>
      </c>
      <c r="Q110" s="167">
        <v>0</v>
      </c>
      <c r="R110" s="167">
        <v>0</v>
      </c>
      <c r="S110" s="167">
        <v>0</v>
      </c>
      <c r="T110" s="167">
        <v>0</v>
      </c>
      <c r="U110" s="168" t="e">
        <v>#DIV/0!</v>
      </c>
      <c r="V110" s="167">
        <v>0</v>
      </c>
      <c r="W110" s="167">
        <v>0</v>
      </c>
      <c r="X110" s="167">
        <v>0</v>
      </c>
      <c r="Y110" s="167">
        <v>0</v>
      </c>
      <c r="Z110" s="167">
        <v>0</v>
      </c>
      <c r="AA110" s="167">
        <v>0</v>
      </c>
    </row>
    <row r="111" spans="1:27" ht="12" customHeight="1" x14ac:dyDescent="0.25">
      <c r="A111" s="155" t="s">
        <v>1205</v>
      </c>
      <c r="B111" s="155" t="s">
        <v>502</v>
      </c>
      <c r="C111" s="167">
        <v>0</v>
      </c>
      <c r="D111" s="167">
        <v>0</v>
      </c>
      <c r="E111" s="167">
        <v>0</v>
      </c>
      <c r="F111" s="167">
        <v>0</v>
      </c>
      <c r="G111" s="167">
        <v>0</v>
      </c>
      <c r="H111" s="167">
        <v>0</v>
      </c>
      <c r="I111" s="167">
        <v>0</v>
      </c>
      <c r="J111" s="167">
        <v>0</v>
      </c>
      <c r="K111" s="167">
        <v>0</v>
      </c>
      <c r="L111" s="167">
        <v>0</v>
      </c>
      <c r="M111" s="167">
        <v>0</v>
      </c>
      <c r="N111" s="167">
        <v>0</v>
      </c>
      <c r="O111" s="167">
        <v>0</v>
      </c>
      <c r="P111" s="167">
        <v>0</v>
      </c>
      <c r="Q111" s="167">
        <v>0</v>
      </c>
      <c r="R111" s="167">
        <v>0</v>
      </c>
      <c r="S111" s="167">
        <v>0</v>
      </c>
      <c r="T111" s="167">
        <v>0</v>
      </c>
      <c r="U111" s="168" t="e">
        <v>#DIV/0!</v>
      </c>
      <c r="V111" s="167">
        <v>0</v>
      </c>
      <c r="W111" s="167">
        <v>0</v>
      </c>
      <c r="X111" s="167">
        <v>0</v>
      </c>
      <c r="Y111" s="167">
        <v>0</v>
      </c>
      <c r="Z111" s="167">
        <v>0</v>
      </c>
      <c r="AA111" s="167">
        <v>0</v>
      </c>
    </row>
    <row r="112" spans="1:27" ht="12" customHeight="1" x14ac:dyDescent="0.25">
      <c r="A112" s="155" t="s">
        <v>1206</v>
      </c>
      <c r="B112" s="155" t="s">
        <v>503</v>
      </c>
      <c r="C112" s="167">
        <v>0</v>
      </c>
      <c r="D112" s="167">
        <v>0</v>
      </c>
      <c r="E112" s="167">
        <v>0</v>
      </c>
      <c r="F112" s="167">
        <v>0</v>
      </c>
      <c r="G112" s="167">
        <v>0</v>
      </c>
      <c r="H112" s="167">
        <v>0</v>
      </c>
      <c r="I112" s="167">
        <v>0</v>
      </c>
      <c r="J112" s="167">
        <v>0</v>
      </c>
      <c r="K112" s="167">
        <v>0</v>
      </c>
      <c r="L112" s="167">
        <v>0</v>
      </c>
      <c r="M112" s="167">
        <v>0</v>
      </c>
      <c r="N112" s="167">
        <v>0</v>
      </c>
      <c r="O112" s="167">
        <v>0</v>
      </c>
      <c r="P112" s="167">
        <v>0</v>
      </c>
      <c r="Q112" s="167">
        <v>0</v>
      </c>
      <c r="R112" s="167">
        <v>0</v>
      </c>
      <c r="S112" s="167">
        <v>0</v>
      </c>
      <c r="T112" s="167">
        <v>0</v>
      </c>
      <c r="U112" s="168" t="e">
        <v>#DIV/0!</v>
      </c>
      <c r="V112" s="167">
        <v>0</v>
      </c>
      <c r="W112" s="167">
        <v>0</v>
      </c>
      <c r="X112" s="167">
        <v>0</v>
      </c>
      <c r="Y112" s="167">
        <v>0</v>
      </c>
      <c r="Z112" s="167">
        <v>0</v>
      </c>
      <c r="AA112" s="167">
        <v>0</v>
      </c>
    </row>
    <row r="113" spans="1:27" ht="12" customHeight="1" x14ac:dyDescent="0.25">
      <c r="A113" s="155"/>
      <c r="B113" s="162" t="s">
        <v>504</v>
      </c>
      <c r="C113" s="163">
        <v>0</v>
      </c>
      <c r="D113" s="163">
        <v>0</v>
      </c>
      <c r="E113" s="163">
        <v>0</v>
      </c>
      <c r="F113" s="163">
        <v>0</v>
      </c>
      <c r="G113" s="163">
        <v>0</v>
      </c>
      <c r="H113" s="163">
        <v>0</v>
      </c>
      <c r="I113" s="163">
        <v>0</v>
      </c>
      <c r="J113" s="163">
        <v>0</v>
      </c>
      <c r="K113" s="163">
        <v>0</v>
      </c>
      <c r="L113" s="163">
        <v>0</v>
      </c>
      <c r="M113" s="163">
        <v>0</v>
      </c>
      <c r="N113" s="163">
        <v>0</v>
      </c>
      <c r="O113" s="163">
        <v>0</v>
      </c>
      <c r="P113" s="163">
        <v>0</v>
      </c>
      <c r="Q113" s="163">
        <v>0</v>
      </c>
      <c r="R113" s="163">
        <v>0</v>
      </c>
      <c r="S113" s="163">
        <v>0</v>
      </c>
      <c r="T113" s="164">
        <v>0</v>
      </c>
      <c r="U113" s="165" t="e">
        <v>#DIV/0!</v>
      </c>
      <c r="V113" s="164">
        <v>0</v>
      </c>
      <c r="W113" s="164">
        <v>0</v>
      </c>
      <c r="X113" s="164">
        <v>0</v>
      </c>
      <c r="Y113" s="164">
        <v>0</v>
      </c>
      <c r="Z113" s="164">
        <v>0</v>
      </c>
      <c r="AA113" s="164">
        <v>0</v>
      </c>
    </row>
    <row r="114" spans="1:27" ht="12" customHeight="1" x14ac:dyDescent="0.25">
      <c r="A114" s="155" t="s">
        <v>1207</v>
      </c>
      <c r="B114" s="155" t="s">
        <v>505</v>
      </c>
      <c r="C114" s="167">
        <v>0</v>
      </c>
      <c r="D114" s="167">
        <v>0</v>
      </c>
      <c r="E114" s="167">
        <v>0</v>
      </c>
      <c r="F114" s="167">
        <v>0</v>
      </c>
      <c r="G114" s="167">
        <v>0</v>
      </c>
      <c r="H114" s="167">
        <v>0</v>
      </c>
      <c r="I114" s="167">
        <v>0</v>
      </c>
      <c r="J114" s="167">
        <v>0</v>
      </c>
      <c r="K114" s="167">
        <v>0</v>
      </c>
      <c r="L114" s="167">
        <v>0</v>
      </c>
      <c r="M114" s="167">
        <v>0</v>
      </c>
      <c r="N114" s="167">
        <v>0</v>
      </c>
      <c r="O114" s="167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8" t="e">
        <v>#DIV/0!</v>
      </c>
      <c r="V114" s="167">
        <v>0</v>
      </c>
      <c r="W114" s="167">
        <v>0</v>
      </c>
      <c r="X114" s="167">
        <v>0</v>
      </c>
      <c r="Y114" s="167">
        <v>0</v>
      </c>
      <c r="Z114" s="167">
        <v>0</v>
      </c>
      <c r="AA114" s="167">
        <v>0</v>
      </c>
    </row>
    <row r="115" spans="1:27" ht="12" customHeight="1" x14ac:dyDescent="0.25">
      <c r="A115" s="155" t="s">
        <v>1208</v>
      </c>
      <c r="B115" s="155" t="s">
        <v>506</v>
      </c>
      <c r="C115" s="167">
        <v>0</v>
      </c>
      <c r="D115" s="167">
        <v>0</v>
      </c>
      <c r="E115" s="167">
        <v>0</v>
      </c>
      <c r="F115" s="167">
        <v>0</v>
      </c>
      <c r="G115" s="167">
        <v>0</v>
      </c>
      <c r="H115" s="167">
        <v>0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0</v>
      </c>
      <c r="O115" s="167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8" t="e">
        <v>#DIV/0!</v>
      </c>
      <c r="V115" s="167">
        <v>0</v>
      </c>
      <c r="W115" s="167">
        <v>0</v>
      </c>
      <c r="X115" s="167">
        <v>0</v>
      </c>
      <c r="Y115" s="167">
        <v>0</v>
      </c>
      <c r="Z115" s="167">
        <v>0</v>
      </c>
      <c r="AA115" s="167">
        <v>0</v>
      </c>
    </row>
    <row r="116" spans="1:27" ht="12" customHeight="1" x14ac:dyDescent="0.25">
      <c r="A116" s="155" t="s">
        <v>1209</v>
      </c>
      <c r="B116" s="155" t="s">
        <v>507</v>
      </c>
      <c r="C116" s="167">
        <v>0</v>
      </c>
      <c r="D116" s="167">
        <v>0</v>
      </c>
      <c r="E116" s="167">
        <v>0</v>
      </c>
      <c r="F116" s="167">
        <v>0</v>
      </c>
      <c r="G116" s="167">
        <v>0</v>
      </c>
      <c r="H116" s="167">
        <v>0</v>
      </c>
      <c r="I116" s="167">
        <v>0</v>
      </c>
      <c r="J116" s="167">
        <v>0</v>
      </c>
      <c r="K116" s="167">
        <v>0</v>
      </c>
      <c r="L116" s="167">
        <v>0</v>
      </c>
      <c r="M116" s="167">
        <v>0</v>
      </c>
      <c r="N116" s="167">
        <v>0</v>
      </c>
      <c r="O116" s="167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8" t="e">
        <v>#DIV/0!</v>
      </c>
      <c r="V116" s="167">
        <v>0</v>
      </c>
      <c r="W116" s="167">
        <v>0</v>
      </c>
      <c r="X116" s="167">
        <v>0</v>
      </c>
      <c r="Y116" s="167">
        <v>0</v>
      </c>
      <c r="Z116" s="167">
        <v>0</v>
      </c>
      <c r="AA116" s="167">
        <v>0</v>
      </c>
    </row>
    <row r="117" spans="1:27" ht="12" customHeight="1" x14ac:dyDescent="0.25">
      <c r="A117" s="155" t="s">
        <v>1210</v>
      </c>
      <c r="B117" s="155" t="s">
        <v>508</v>
      </c>
      <c r="C117" s="167">
        <v>0</v>
      </c>
      <c r="D117" s="167">
        <v>0</v>
      </c>
      <c r="E117" s="167">
        <v>0</v>
      </c>
      <c r="F117" s="167">
        <v>0</v>
      </c>
      <c r="G117" s="167">
        <v>0</v>
      </c>
      <c r="H117" s="167">
        <v>0</v>
      </c>
      <c r="I117" s="167">
        <v>0</v>
      </c>
      <c r="J117" s="167">
        <v>0</v>
      </c>
      <c r="K117" s="167">
        <v>0</v>
      </c>
      <c r="L117" s="167">
        <v>0</v>
      </c>
      <c r="M117" s="167">
        <v>0</v>
      </c>
      <c r="N117" s="167">
        <v>0</v>
      </c>
      <c r="O117" s="167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8" t="e">
        <v>#DIV/0!</v>
      </c>
      <c r="V117" s="167">
        <v>0</v>
      </c>
      <c r="W117" s="167">
        <v>0</v>
      </c>
      <c r="X117" s="167">
        <v>0</v>
      </c>
      <c r="Y117" s="167">
        <v>0</v>
      </c>
      <c r="Z117" s="167">
        <v>0</v>
      </c>
      <c r="AA117" s="167">
        <v>0</v>
      </c>
    </row>
    <row r="118" spans="1:27" ht="12" customHeight="1" x14ac:dyDescent="0.25">
      <c r="A118" s="155" t="s">
        <v>1211</v>
      </c>
      <c r="B118" s="155" t="s">
        <v>509</v>
      </c>
      <c r="C118" s="167">
        <v>0</v>
      </c>
      <c r="D118" s="167">
        <v>0</v>
      </c>
      <c r="E118" s="167">
        <v>0</v>
      </c>
      <c r="F118" s="167">
        <v>0</v>
      </c>
      <c r="G118" s="167">
        <v>0</v>
      </c>
      <c r="H118" s="167">
        <v>0</v>
      </c>
      <c r="I118" s="167">
        <v>0</v>
      </c>
      <c r="J118" s="167">
        <v>0</v>
      </c>
      <c r="K118" s="167">
        <v>0</v>
      </c>
      <c r="L118" s="167">
        <v>0</v>
      </c>
      <c r="M118" s="167">
        <v>0</v>
      </c>
      <c r="N118" s="167">
        <v>0</v>
      </c>
      <c r="O118" s="167">
        <v>0</v>
      </c>
      <c r="P118" s="167">
        <v>0</v>
      </c>
      <c r="Q118" s="167">
        <v>0</v>
      </c>
      <c r="R118" s="167">
        <v>0</v>
      </c>
      <c r="S118" s="167">
        <v>0</v>
      </c>
      <c r="T118" s="167">
        <v>0</v>
      </c>
      <c r="U118" s="168" t="e">
        <v>#DIV/0!</v>
      </c>
      <c r="V118" s="167">
        <v>0</v>
      </c>
      <c r="W118" s="167">
        <v>0</v>
      </c>
      <c r="X118" s="167">
        <v>0</v>
      </c>
      <c r="Y118" s="167">
        <v>0</v>
      </c>
      <c r="Z118" s="167">
        <v>0</v>
      </c>
      <c r="AA118" s="167">
        <v>0</v>
      </c>
    </row>
    <row r="119" spans="1:27" ht="12" customHeight="1" x14ac:dyDescent="0.25">
      <c r="A119" s="155" t="s">
        <v>1212</v>
      </c>
      <c r="B119" s="155" t="s">
        <v>510</v>
      </c>
      <c r="C119" s="167">
        <v>0</v>
      </c>
      <c r="D119" s="167">
        <v>0</v>
      </c>
      <c r="E119" s="167">
        <v>0</v>
      </c>
      <c r="F119" s="167">
        <v>0</v>
      </c>
      <c r="G119" s="167">
        <v>0</v>
      </c>
      <c r="H119" s="167">
        <v>0</v>
      </c>
      <c r="I119" s="167">
        <v>0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</v>
      </c>
      <c r="R119" s="167">
        <v>0</v>
      </c>
      <c r="S119" s="167">
        <v>0</v>
      </c>
      <c r="T119" s="167">
        <v>0</v>
      </c>
      <c r="U119" s="168" t="e">
        <v>#DIV/0!</v>
      </c>
      <c r="V119" s="167">
        <v>0</v>
      </c>
      <c r="W119" s="167">
        <v>0</v>
      </c>
      <c r="X119" s="167">
        <v>0</v>
      </c>
      <c r="Y119" s="167">
        <v>0</v>
      </c>
      <c r="Z119" s="167">
        <v>0</v>
      </c>
      <c r="AA119" s="167">
        <v>0</v>
      </c>
    </row>
    <row r="120" spans="1:27" ht="12" customHeight="1" x14ac:dyDescent="0.25">
      <c r="A120" s="155"/>
      <c r="B120" s="162" t="s">
        <v>511</v>
      </c>
      <c r="C120" s="163">
        <v>0</v>
      </c>
      <c r="D120" s="163">
        <v>0</v>
      </c>
      <c r="E120" s="163">
        <v>0</v>
      </c>
      <c r="F120" s="163">
        <v>0</v>
      </c>
      <c r="G120" s="163">
        <v>0</v>
      </c>
      <c r="H120" s="163">
        <v>0</v>
      </c>
      <c r="I120" s="163">
        <v>0</v>
      </c>
      <c r="J120" s="163">
        <v>0</v>
      </c>
      <c r="K120" s="163">
        <v>0</v>
      </c>
      <c r="L120" s="163">
        <v>0</v>
      </c>
      <c r="M120" s="163">
        <v>0</v>
      </c>
      <c r="N120" s="163">
        <v>0</v>
      </c>
      <c r="O120" s="163">
        <v>0</v>
      </c>
      <c r="P120" s="163">
        <v>0</v>
      </c>
      <c r="Q120" s="163">
        <v>0</v>
      </c>
      <c r="R120" s="163">
        <v>0</v>
      </c>
      <c r="S120" s="163">
        <v>0</v>
      </c>
      <c r="T120" s="164">
        <v>0</v>
      </c>
      <c r="U120" s="165" t="e">
        <v>#DIV/0!</v>
      </c>
      <c r="V120" s="164">
        <v>0</v>
      </c>
      <c r="W120" s="164">
        <v>0</v>
      </c>
      <c r="X120" s="164">
        <v>0</v>
      </c>
      <c r="Y120" s="164">
        <v>0</v>
      </c>
      <c r="Z120" s="164">
        <v>0</v>
      </c>
      <c r="AA120" s="164">
        <v>0</v>
      </c>
    </row>
    <row r="121" spans="1:27" ht="12" customHeight="1" x14ac:dyDescent="0.25">
      <c r="A121" s="155" t="s">
        <v>1213</v>
      </c>
      <c r="B121" s="155" t="s">
        <v>512</v>
      </c>
      <c r="C121" s="167">
        <v>0</v>
      </c>
      <c r="D121" s="167">
        <v>0</v>
      </c>
      <c r="E121" s="167">
        <v>0</v>
      </c>
      <c r="F121" s="167">
        <v>0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0</v>
      </c>
      <c r="M121" s="167">
        <v>0</v>
      </c>
      <c r="N121" s="167">
        <v>0</v>
      </c>
      <c r="O121" s="167">
        <v>0</v>
      </c>
      <c r="P121" s="167">
        <v>0</v>
      </c>
      <c r="Q121" s="167">
        <v>0</v>
      </c>
      <c r="R121" s="167">
        <v>0</v>
      </c>
      <c r="S121" s="167">
        <v>0</v>
      </c>
      <c r="T121" s="167">
        <v>0</v>
      </c>
      <c r="U121" s="168" t="e">
        <v>#DIV/0!</v>
      </c>
      <c r="V121" s="167">
        <v>0</v>
      </c>
      <c r="W121" s="167">
        <v>0</v>
      </c>
      <c r="X121" s="167">
        <v>0</v>
      </c>
      <c r="Y121" s="167">
        <v>0</v>
      </c>
      <c r="Z121" s="167">
        <v>0</v>
      </c>
      <c r="AA121" s="167">
        <v>0</v>
      </c>
    </row>
    <row r="122" spans="1:27" ht="12" customHeight="1" x14ac:dyDescent="0.25">
      <c r="A122" s="155" t="s">
        <v>1214</v>
      </c>
      <c r="B122" s="155" t="s">
        <v>513</v>
      </c>
      <c r="C122" s="167">
        <v>0</v>
      </c>
      <c r="D122" s="167">
        <v>0</v>
      </c>
      <c r="E122" s="167">
        <v>0</v>
      </c>
      <c r="F122" s="167">
        <v>0</v>
      </c>
      <c r="G122" s="167">
        <v>0</v>
      </c>
      <c r="H122" s="167">
        <v>0</v>
      </c>
      <c r="I122" s="167">
        <v>0</v>
      </c>
      <c r="J122" s="167">
        <v>0</v>
      </c>
      <c r="K122" s="167">
        <v>0</v>
      </c>
      <c r="L122" s="167">
        <v>0</v>
      </c>
      <c r="M122" s="167">
        <v>0</v>
      </c>
      <c r="N122" s="167">
        <v>0</v>
      </c>
      <c r="O122" s="167">
        <v>0</v>
      </c>
      <c r="P122" s="167">
        <v>0</v>
      </c>
      <c r="Q122" s="167">
        <v>0</v>
      </c>
      <c r="R122" s="167">
        <v>0</v>
      </c>
      <c r="S122" s="167">
        <v>0</v>
      </c>
      <c r="T122" s="167">
        <v>0</v>
      </c>
      <c r="U122" s="168" t="e">
        <v>#DIV/0!</v>
      </c>
      <c r="V122" s="167">
        <v>0</v>
      </c>
      <c r="W122" s="167">
        <v>0</v>
      </c>
      <c r="X122" s="167">
        <v>0</v>
      </c>
      <c r="Y122" s="167">
        <v>0</v>
      </c>
      <c r="Z122" s="167">
        <v>0</v>
      </c>
      <c r="AA122" s="167">
        <v>0</v>
      </c>
    </row>
    <row r="123" spans="1:27" ht="12" customHeight="1" x14ac:dyDescent="0.25">
      <c r="A123" s="155" t="s">
        <v>1215</v>
      </c>
      <c r="B123" s="162" t="s">
        <v>514</v>
      </c>
      <c r="C123" s="167">
        <v>0</v>
      </c>
      <c r="D123" s="167">
        <v>0</v>
      </c>
      <c r="E123" s="167">
        <v>0</v>
      </c>
      <c r="F123" s="167">
        <v>0</v>
      </c>
      <c r="G123" s="167">
        <v>0</v>
      </c>
      <c r="H123" s="167">
        <v>0</v>
      </c>
      <c r="I123" s="167">
        <v>0</v>
      </c>
      <c r="J123" s="167">
        <v>0</v>
      </c>
      <c r="K123" s="167">
        <v>0</v>
      </c>
      <c r="L123" s="167">
        <v>0</v>
      </c>
      <c r="M123" s="167">
        <v>0</v>
      </c>
      <c r="N123" s="167">
        <v>0</v>
      </c>
      <c r="O123" s="167">
        <v>0</v>
      </c>
      <c r="P123" s="167">
        <v>0</v>
      </c>
      <c r="Q123" s="167">
        <v>0</v>
      </c>
      <c r="R123" s="167">
        <v>0</v>
      </c>
      <c r="S123" s="167">
        <v>0</v>
      </c>
      <c r="T123" s="164">
        <v>0</v>
      </c>
      <c r="U123" s="165" t="e">
        <v>#DIV/0!</v>
      </c>
      <c r="V123" s="164">
        <v>0</v>
      </c>
      <c r="W123" s="164">
        <v>0</v>
      </c>
      <c r="X123" s="164">
        <v>0</v>
      </c>
      <c r="Y123" s="164">
        <v>0</v>
      </c>
      <c r="Z123" s="164">
        <v>0</v>
      </c>
      <c r="AA123" s="164">
        <v>0</v>
      </c>
    </row>
    <row r="124" spans="1:27" ht="12" customHeight="1" x14ac:dyDescent="0.25">
      <c r="A124" s="155"/>
      <c r="B124" s="162" t="s">
        <v>515</v>
      </c>
      <c r="C124" s="163">
        <v>0</v>
      </c>
      <c r="D124" s="163">
        <v>0</v>
      </c>
      <c r="E124" s="163">
        <v>0</v>
      </c>
      <c r="F124" s="163">
        <v>0</v>
      </c>
      <c r="G124" s="163">
        <v>0</v>
      </c>
      <c r="H124" s="163">
        <v>0</v>
      </c>
      <c r="I124" s="163">
        <v>0</v>
      </c>
      <c r="J124" s="163">
        <v>0</v>
      </c>
      <c r="K124" s="163">
        <v>0</v>
      </c>
      <c r="L124" s="163">
        <v>0</v>
      </c>
      <c r="M124" s="163">
        <v>0</v>
      </c>
      <c r="N124" s="163">
        <v>0</v>
      </c>
      <c r="O124" s="163">
        <v>0</v>
      </c>
      <c r="P124" s="163">
        <v>0</v>
      </c>
      <c r="Q124" s="163">
        <v>0</v>
      </c>
      <c r="R124" s="163">
        <v>0</v>
      </c>
      <c r="S124" s="163">
        <v>0</v>
      </c>
      <c r="T124" s="164">
        <v>0</v>
      </c>
      <c r="U124" s="165" t="e">
        <v>#DIV/0!</v>
      </c>
      <c r="V124" s="164">
        <v>0</v>
      </c>
      <c r="W124" s="164">
        <v>0</v>
      </c>
      <c r="X124" s="164">
        <v>0</v>
      </c>
      <c r="Y124" s="164">
        <v>0</v>
      </c>
      <c r="Z124" s="164">
        <v>0</v>
      </c>
      <c r="AA124" s="164">
        <v>0</v>
      </c>
    </row>
    <row r="125" spans="1:27" ht="12" customHeight="1" x14ac:dyDescent="0.25">
      <c r="A125" s="155" t="s">
        <v>1216</v>
      </c>
      <c r="B125" s="155" t="s">
        <v>516</v>
      </c>
      <c r="C125" s="167">
        <v>0</v>
      </c>
      <c r="D125" s="167">
        <v>0</v>
      </c>
      <c r="E125" s="167">
        <v>0</v>
      </c>
      <c r="F125" s="167">
        <v>0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0</v>
      </c>
      <c r="O125" s="167">
        <v>0</v>
      </c>
      <c r="P125" s="167">
        <v>0</v>
      </c>
      <c r="Q125" s="167">
        <v>0</v>
      </c>
      <c r="R125" s="167">
        <v>0</v>
      </c>
      <c r="S125" s="167">
        <v>0</v>
      </c>
      <c r="T125" s="167">
        <v>0</v>
      </c>
      <c r="U125" s="168" t="e">
        <v>#DIV/0!</v>
      </c>
      <c r="V125" s="167">
        <v>0</v>
      </c>
      <c r="W125" s="167">
        <v>0</v>
      </c>
      <c r="X125" s="167">
        <v>0</v>
      </c>
      <c r="Y125" s="167">
        <v>0</v>
      </c>
      <c r="Z125" s="167">
        <v>0</v>
      </c>
      <c r="AA125" s="167">
        <v>0</v>
      </c>
    </row>
    <row r="126" spans="1:27" ht="12" customHeight="1" x14ac:dyDescent="0.25">
      <c r="A126" s="155" t="s">
        <v>1217</v>
      </c>
      <c r="B126" s="155" t="s">
        <v>517</v>
      </c>
      <c r="C126" s="167">
        <v>0</v>
      </c>
      <c r="D126" s="167">
        <v>0</v>
      </c>
      <c r="E126" s="167">
        <v>0</v>
      </c>
      <c r="F126" s="167">
        <v>0</v>
      </c>
      <c r="G126" s="167">
        <v>0</v>
      </c>
      <c r="H126" s="167">
        <v>0</v>
      </c>
      <c r="I126" s="167">
        <v>0</v>
      </c>
      <c r="J126" s="167">
        <v>0</v>
      </c>
      <c r="K126" s="167">
        <v>0</v>
      </c>
      <c r="L126" s="167">
        <v>0</v>
      </c>
      <c r="M126" s="167">
        <v>0</v>
      </c>
      <c r="N126" s="167">
        <v>0</v>
      </c>
      <c r="O126" s="167">
        <v>0</v>
      </c>
      <c r="P126" s="167">
        <v>0</v>
      </c>
      <c r="Q126" s="167">
        <v>0</v>
      </c>
      <c r="R126" s="167">
        <v>0</v>
      </c>
      <c r="S126" s="167">
        <v>0</v>
      </c>
      <c r="T126" s="167">
        <v>0</v>
      </c>
      <c r="U126" s="168" t="e">
        <v>#DIV/0!</v>
      </c>
      <c r="V126" s="167">
        <v>0</v>
      </c>
      <c r="W126" s="167">
        <v>0</v>
      </c>
      <c r="X126" s="167">
        <v>0</v>
      </c>
      <c r="Y126" s="167">
        <v>0</v>
      </c>
      <c r="Z126" s="167">
        <v>0</v>
      </c>
      <c r="AA126" s="167">
        <v>0</v>
      </c>
    </row>
    <row r="127" spans="1:27" ht="12" customHeight="1" x14ac:dyDescent="0.25">
      <c r="A127" s="155"/>
      <c r="B127" s="162" t="s">
        <v>518</v>
      </c>
      <c r="C127" s="163">
        <v>0</v>
      </c>
      <c r="D127" s="163">
        <v>0</v>
      </c>
      <c r="E127" s="163">
        <v>0</v>
      </c>
      <c r="F127" s="163">
        <v>0</v>
      </c>
      <c r="G127" s="163">
        <v>0</v>
      </c>
      <c r="H127" s="163">
        <v>0</v>
      </c>
      <c r="I127" s="163">
        <v>0</v>
      </c>
      <c r="J127" s="163">
        <v>0</v>
      </c>
      <c r="K127" s="163">
        <v>0</v>
      </c>
      <c r="L127" s="163">
        <v>0</v>
      </c>
      <c r="M127" s="163">
        <v>0</v>
      </c>
      <c r="N127" s="163">
        <v>0</v>
      </c>
      <c r="O127" s="163">
        <v>0</v>
      </c>
      <c r="P127" s="163">
        <v>0</v>
      </c>
      <c r="Q127" s="163">
        <v>0</v>
      </c>
      <c r="R127" s="163">
        <v>0</v>
      </c>
      <c r="S127" s="163">
        <v>0</v>
      </c>
      <c r="T127" s="164">
        <v>0</v>
      </c>
      <c r="U127" s="165" t="e">
        <v>#DIV/0!</v>
      </c>
      <c r="V127" s="164">
        <v>0</v>
      </c>
      <c r="W127" s="164">
        <v>0</v>
      </c>
      <c r="X127" s="164">
        <v>0</v>
      </c>
      <c r="Y127" s="164">
        <v>0</v>
      </c>
      <c r="Z127" s="164">
        <v>0</v>
      </c>
      <c r="AA127" s="164">
        <v>0</v>
      </c>
    </row>
    <row r="128" spans="1:27" ht="12" customHeight="1" x14ac:dyDescent="0.25">
      <c r="A128" s="155" t="s">
        <v>1218</v>
      </c>
      <c r="B128" s="155" t="s">
        <v>519</v>
      </c>
      <c r="C128" s="167">
        <v>0</v>
      </c>
      <c r="D128" s="167">
        <v>0</v>
      </c>
      <c r="E128" s="167">
        <v>0</v>
      </c>
      <c r="F128" s="167">
        <v>0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7">
        <v>0</v>
      </c>
      <c r="P128" s="167">
        <v>0</v>
      </c>
      <c r="Q128" s="167">
        <v>0</v>
      </c>
      <c r="R128" s="167">
        <v>0</v>
      </c>
      <c r="S128" s="167">
        <v>0</v>
      </c>
      <c r="T128" s="167">
        <v>0</v>
      </c>
      <c r="U128" s="168" t="e">
        <v>#DIV/0!</v>
      </c>
      <c r="V128" s="167">
        <v>0</v>
      </c>
      <c r="W128" s="167">
        <v>0</v>
      </c>
      <c r="X128" s="167">
        <v>0</v>
      </c>
      <c r="Y128" s="167">
        <v>0</v>
      </c>
      <c r="Z128" s="167">
        <v>0</v>
      </c>
      <c r="AA128" s="167">
        <v>0</v>
      </c>
    </row>
    <row r="129" spans="1:27" ht="12" customHeight="1" x14ac:dyDescent="0.25">
      <c r="A129" s="155" t="s">
        <v>1219</v>
      </c>
      <c r="B129" s="155" t="s">
        <v>520</v>
      </c>
      <c r="C129" s="167">
        <v>0</v>
      </c>
      <c r="D129" s="167">
        <v>0</v>
      </c>
      <c r="E129" s="167">
        <v>0</v>
      </c>
      <c r="F129" s="167">
        <v>0</v>
      </c>
      <c r="G129" s="167">
        <v>0</v>
      </c>
      <c r="H129" s="167">
        <v>0</v>
      </c>
      <c r="I129" s="167">
        <v>0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0</v>
      </c>
      <c r="S129" s="167">
        <v>0</v>
      </c>
      <c r="T129" s="167">
        <v>0</v>
      </c>
      <c r="U129" s="168" t="e">
        <v>#DIV/0!</v>
      </c>
      <c r="V129" s="167">
        <v>0</v>
      </c>
      <c r="W129" s="167">
        <v>0</v>
      </c>
      <c r="X129" s="167">
        <v>0</v>
      </c>
      <c r="Y129" s="167">
        <v>0</v>
      </c>
      <c r="Z129" s="167">
        <v>0</v>
      </c>
      <c r="AA129" s="167">
        <v>0</v>
      </c>
    </row>
    <row r="130" spans="1:27" ht="12" customHeight="1" x14ac:dyDescent="0.25">
      <c r="A130" s="155"/>
      <c r="B130" s="162" t="s">
        <v>521</v>
      </c>
      <c r="C130" s="163">
        <v>0</v>
      </c>
      <c r="D130" s="163">
        <v>0</v>
      </c>
      <c r="E130" s="163">
        <v>0</v>
      </c>
      <c r="F130" s="163">
        <v>0</v>
      </c>
      <c r="G130" s="163">
        <v>0</v>
      </c>
      <c r="H130" s="163">
        <v>0</v>
      </c>
      <c r="I130" s="163">
        <v>0</v>
      </c>
      <c r="J130" s="163">
        <v>0</v>
      </c>
      <c r="K130" s="163">
        <v>0</v>
      </c>
      <c r="L130" s="163">
        <v>0</v>
      </c>
      <c r="M130" s="163">
        <v>0</v>
      </c>
      <c r="N130" s="163">
        <v>0</v>
      </c>
      <c r="O130" s="163">
        <v>0</v>
      </c>
      <c r="P130" s="163">
        <v>0</v>
      </c>
      <c r="Q130" s="163">
        <v>0</v>
      </c>
      <c r="R130" s="163">
        <v>0</v>
      </c>
      <c r="S130" s="163">
        <v>0</v>
      </c>
      <c r="T130" s="164">
        <v>0</v>
      </c>
      <c r="U130" s="165" t="e">
        <v>#DIV/0!</v>
      </c>
      <c r="V130" s="164">
        <v>0</v>
      </c>
      <c r="W130" s="164">
        <v>0</v>
      </c>
      <c r="X130" s="164">
        <v>0</v>
      </c>
      <c r="Y130" s="164">
        <v>0</v>
      </c>
      <c r="Z130" s="164">
        <v>0</v>
      </c>
      <c r="AA130" s="164">
        <v>0</v>
      </c>
    </row>
    <row r="131" spans="1:27" ht="12" customHeight="1" x14ac:dyDescent="0.25">
      <c r="A131" s="155" t="s">
        <v>1220</v>
      </c>
      <c r="B131" s="166" t="s">
        <v>522</v>
      </c>
      <c r="C131" s="167">
        <v>0</v>
      </c>
      <c r="D131" s="167">
        <v>0</v>
      </c>
      <c r="E131" s="167">
        <v>0</v>
      </c>
      <c r="F131" s="167">
        <v>0</v>
      </c>
      <c r="G131" s="167">
        <v>0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8" t="e">
        <v>#DIV/0!</v>
      </c>
      <c r="V131" s="167">
        <v>0</v>
      </c>
      <c r="W131" s="167">
        <v>0</v>
      </c>
      <c r="X131" s="167">
        <v>0</v>
      </c>
      <c r="Y131" s="167">
        <v>0</v>
      </c>
      <c r="Z131" s="167">
        <v>0</v>
      </c>
      <c r="AA131" s="167">
        <v>0</v>
      </c>
    </row>
    <row r="132" spans="1:27" ht="12" customHeight="1" x14ac:dyDescent="0.25">
      <c r="A132" s="155" t="s">
        <v>1221</v>
      </c>
      <c r="B132" s="166" t="s">
        <v>523</v>
      </c>
      <c r="C132" s="167">
        <v>0</v>
      </c>
      <c r="D132" s="167">
        <v>0</v>
      </c>
      <c r="E132" s="167">
        <v>0</v>
      </c>
      <c r="F132" s="167">
        <v>0</v>
      </c>
      <c r="G132" s="167">
        <v>0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7">
        <v>0</v>
      </c>
      <c r="O132" s="167">
        <v>0</v>
      </c>
      <c r="P132" s="167">
        <v>0</v>
      </c>
      <c r="Q132" s="167">
        <v>0</v>
      </c>
      <c r="R132" s="167">
        <v>0</v>
      </c>
      <c r="S132" s="167">
        <v>0</v>
      </c>
      <c r="T132" s="167">
        <v>0</v>
      </c>
      <c r="U132" s="168" t="e">
        <v>#DIV/0!</v>
      </c>
      <c r="V132" s="167">
        <v>0</v>
      </c>
      <c r="W132" s="167">
        <v>0</v>
      </c>
      <c r="X132" s="167">
        <v>0</v>
      </c>
      <c r="Y132" s="167">
        <v>0</v>
      </c>
      <c r="Z132" s="167">
        <v>0</v>
      </c>
      <c r="AA132" s="167">
        <v>0</v>
      </c>
    </row>
    <row r="133" spans="1:27" ht="12" customHeight="1" x14ac:dyDescent="0.25">
      <c r="A133" s="155" t="s">
        <v>1222</v>
      </c>
      <c r="B133" s="166" t="s">
        <v>524</v>
      </c>
      <c r="C133" s="167">
        <v>0</v>
      </c>
      <c r="D133" s="167">
        <v>0</v>
      </c>
      <c r="E133" s="167">
        <v>0</v>
      </c>
      <c r="F133" s="167">
        <v>0</v>
      </c>
      <c r="G133" s="167">
        <v>0</v>
      </c>
      <c r="H133" s="167">
        <v>0</v>
      </c>
      <c r="I133" s="167">
        <v>0</v>
      </c>
      <c r="J133" s="167">
        <v>0</v>
      </c>
      <c r="K133" s="167">
        <v>0</v>
      </c>
      <c r="L133" s="167">
        <v>0</v>
      </c>
      <c r="M133" s="167">
        <v>0</v>
      </c>
      <c r="N133" s="167">
        <v>0</v>
      </c>
      <c r="O133" s="167">
        <v>0</v>
      </c>
      <c r="P133" s="167">
        <v>0</v>
      </c>
      <c r="Q133" s="167">
        <v>0</v>
      </c>
      <c r="R133" s="167">
        <v>0</v>
      </c>
      <c r="S133" s="167">
        <v>0</v>
      </c>
      <c r="T133" s="167">
        <v>0</v>
      </c>
      <c r="U133" s="168" t="e">
        <v>#DIV/0!</v>
      </c>
      <c r="V133" s="167">
        <v>0</v>
      </c>
      <c r="W133" s="167">
        <v>0</v>
      </c>
      <c r="X133" s="167">
        <v>0</v>
      </c>
      <c r="Y133" s="167">
        <v>0</v>
      </c>
      <c r="Z133" s="167">
        <v>0</v>
      </c>
      <c r="AA133" s="167">
        <v>0</v>
      </c>
    </row>
    <row r="134" spans="1:27" ht="12" customHeight="1" x14ac:dyDescent="0.25">
      <c r="A134" s="155"/>
      <c r="B134" s="162" t="s">
        <v>525</v>
      </c>
      <c r="C134" s="163">
        <v>0</v>
      </c>
      <c r="D134" s="163">
        <v>0</v>
      </c>
      <c r="E134" s="163">
        <v>0</v>
      </c>
      <c r="F134" s="163">
        <v>0</v>
      </c>
      <c r="G134" s="163">
        <v>0</v>
      </c>
      <c r="H134" s="163">
        <v>0</v>
      </c>
      <c r="I134" s="163">
        <v>0</v>
      </c>
      <c r="J134" s="163">
        <v>0</v>
      </c>
      <c r="K134" s="163">
        <v>0</v>
      </c>
      <c r="L134" s="163">
        <v>0</v>
      </c>
      <c r="M134" s="163">
        <v>0</v>
      </c>
      <c r="N134" s="163">
        <v>0</v>
      </c>
      <c r="O134" s="163">
        <v>0</v>
      </c>
      <c r="P134" s="163">
        <v>0</v>
      </c>
      <c r="Q134" s="163">
        <v>0</v>
      </c>
      <c r="R134" s="163">
        <v>0</v>
      </c>
      <c r="S134" s="163">
        <v>0</v>
      </c>
      <c r="T134" s="164">
        <v>0</v>
      </c>
      <c r="U134" s="165" t="e">
        <v>#DIV/0!</v>
      </c>
      <c r="V134" s="164">
        <v>0</v>
      </c>
      <c r="W134" s="164">
        <v>0</v>
      </c>
      <c r="X134" s="164">
        <v>0</v>
      </c>
      <c r="Y134" s="164">
        <v>0</v>
      </c>
      <c r="Z134" s="164">
        <v>0</v>
      </c>
      <c r="AA134" s="164">
        <v>0</v>
      </c>
    </row>
    <row r="135" spans="1:27" ht="12" customHeight="1" x14ac:dyDescent="0.25">
      <c r="A135" s="155" t="s">
        <v>1223</v>
      </c>
      <c r="B135" s="155" t="s">
        <v>526</v>
      </c>
      <c r="C135" s="167">
        <v>0</v>
      </c>
      <c r="D135" s="167">
        <v>0</v>
      </c>
      <c r="E135" s="167">
        <v>0</v>
      </c>
      <c r="F135" s="167">
        <v>0</v>
      </c>
      <c r="G135" s="167">
        <v>0</v>
      </c>
      <c r="H135" s="167">
        <v>0</v>
      </c>
      <c r="I135" s="167">
        <v>0</v>
      </c>
      <c r="J135" s="167">
        <v>0</v>
      </c>
      <c r="K135" s="167">
        <v>0</v>
      </c>
      <c r="L135" s="167">
        <v>0</v>
      </c>
      <c r="M135" s="167">
        <v>0</v>
      </c>
      <c r="N135" s="167">
        <v>0</v>
      </c>
      <c r="O135" s="167">
        <v>0</v>
      </c>
      <c r="P135" s="167">
        <v>0</v>
      </c>
      <c r="Q135" s="167">
        <v>0</v>
      </c>
      <c r="R135" s="167">
        <v>0</v>
      </c>
      <c r="S135" s="167">
        <v>0</v>
      </c>
      <c r="T135" s="167">
        <v>0</v>
      </c>
      <c r="U135" s="168" t="e">
        <v>#DIV/0!</v>
      </c>
      <c r="V135" s="167">
        <v>0</v>
      </c>
      <c r="W135" s="167">
        <v>0</v>
      </c>
      <c r="X135" s="167">
        <v>0</v>
      </c>
      <c r="Y135" s="167">
        <v>0</v>
      </c>
      <c r="Z135" s="167">
        <v>0</v>
      </c>
      <c r="AA135" s="167">
        <v>0</v>
      </c>
    </row>
    <row r="136" spans="1:27" ht="12" customHeight="1" x14ac:dyDescent="0.25">
      <c r="A136" s="155" t="s">
        <v>1224</v>
      </c>
      <c r="B136" s="155" t="s">
        <v>527</v>
      </c>
      <c r="C136" s="167">
        <v>0</v>
      </c>
      <c r="D136" s="167">
        <v>0</v>
      </c>
      <c r="E136" s="167">
        <v>0</v>
      </c>
      <c r="F136" s="167">
        <v>0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0</v>
      </c>
      <c r="M136" s="167">
        <v>0</v>
      </c>
      <c r="N136" s="167">
        <v>0</v>
      </c>
      <c r="O136" s="167">
        <v>0</v>
      </c>
      <c r="P136" s="167">
        <v>0</v>
      </c>
      <c r="Q136" s="167">
        <v>0</v>
      </c>
      <c r="R136" s="167">
        <v>0</v>
      </c>
      <c r="S136" s="167">
        <v>0</v>
      </c>
      <c r="T136" s="167">
        <v>0</v>
      </c>
      <c r="U136" s="168" t="e">
        <v>#DIV/0!</v>
      </c>
      <c r="V136" s="167">
        <v>0</v>
      </c>
      <c r="W136" s="167">
        <v>0</v>
      </c>
      <c r="X136" s="167">
        <v>0</v>
      </c>
      <c r="Y136" s="167">
        <v>0</v>
      </c>
      <c r="Z136" s="167">
        <v>0</v>
      </c>
      <c r="AA136" s="167">
        <v>0</v>
      </c>
    </row>
    <row r="137" spans="1:27" ht="12" customHeight="1" x14ac:dyDescent="0.25">
      <c r="A137" s="155" t="s">
        <v>1225</v>
      </c>
      <c r="B137" s="155" t="s">
        <v>528</v>
      </c>
      <c r="C137" s="167">
        <v>0</v>
      </c>
      <c r="D137" s="167">
        <v>0</v>
      </c>
      <c r="E137" s="167">
        <v>0</v>
      </c>
      <c r="F137" s="167">
        <v>0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0</v>
      </c>
      <c r="M137" s="167">
        <v>0</v>
      </c>
      <c r="N137" s="167">
        <v>0</v>
      </c>
      <c r="O137" s="167">
        <v>0</v>
      </c>
      <c r="P137" s="167">
        <v>0</v>
      </c>
      <c r="Q137" s="167">
        <v>0</v>
      </c>
      <c r="R137" s="167">
        <v>0</v>
      </c>
      <c r="S137" s="167">
        <v>0</v>
      </c>
      <c r="T137" s="167">
        <v>0</v>
      </c>
      <c r="U137" s="168" t="e">
        <v>#DIV/0!</v>
      </c>
      <c r="V137" s="167">
        <v>0</v>
      </c>
      <c r="W137" s="167">
        <v>0</v>
      </c>
      <c r="X137" s="167">
        <v>0</v>
      </c>
      <c r="Y137" s="167">
        <v>0</v>
      </c>
      <c r="Z137" s="167">
        <v>0</v>
      </c>
      <c r="AA137" s="167">
        <v>0</v>
      </c>
    </row>
    <row r="138" spans="1:27" ht="12" customHeight="1" x14ac:dyDescent="0.25">
      <c r="A138" s="155" t="s">
        <v>1226</v>
      </c>
      <c r="B138" s="155" t="s">
        <v>529</v>
      </c>
      <c r="C138" s="167">
        <v>0</v>
      </c>
      <c r="D138" s="167">
        <v>0</v>
      </c>
      <c r="E138" s="167">
        <v>0</v>
      </c>
      <c r="F138" s="167">
        <v>0</v>
      </c>
      <c r="G138" s="167">
        <v>0</v>
      </c>
      <c r="H138" s="167">
        <v>0</v>
      </c>
      <c r="I138" s="167">
        <v>0</v>
      </c>
      <c r="J138" s="167">
        <v>0</v>
      </c>
      <c r="K138" s="167">
        <v>0</v>
      </c>
      <c r="L138" s="167">
        <v>0</v>
      </c>
      <c r="M138" s="167">
        <v>0</v>
      </c>
      <c r="N138" s="167">
        <v>0</v>
      </c>
      <c r="O138" s="167">
        <v>0</v>
      </c>
      <c r="P138" s="167">
        <v>0</v>
      </c>
      <c r="Q138" s="167">
        <v>0</v>
      </c>
      <c r="R138" s="167">
        <v>0</v>
      </c>
      <c r="S138" s="167">
        <v>0</v>
      </c>
      <c r="T138" s="167">
        <v>0</v>
      </c>
      <c r="U138" s="168" t="e">
        <v>#DIV/0!</v>
      </c>
      <c r="V138" s="167">
        <v>0</v>
      </c>
      <c r="W138" s="167">
        <v>0</v>
      </c>
      <c r="X138" s="167">
        <v>0</v>
      </c>
      <c r="Y138" s="167">
        <v>0</v>
      </c>
      <c r="Z138" s="167">
        <v>0</v>
      </c>
      <c r="AA138" s="167">
        <v>0</v>
      </c>
    </row>
    <row r="139" spans="1:27" ht="12" customHeight="1" x14ac:dyDescent="0.25">
      <c r="A139" s="155" t="s">
        <v>1227</v>
      </c>
      <c r="B139" s="155" t="s">
        <v>530</v>
      </c>
      <c r="C139" s="167">
        <v>0</v>
      </c>
      <c r="D139" s="167">
        <v>0</v>
      </c>
      <c r="E139" s="167">
        <v>0</v>
      </c>
      <c r="F139" s="167">
        <v>0</v>
      </c>
      <c r="G139" s="167">
        <v>0</v>
      </c>
      <c r="H139" s="167">
        <v>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0</v>
      </c>
      <c r="O139" s="167">
        <v>0</v>
      </c>
      <c r="P139" s="167">
        <v>0</v>
      </c>
      <c r="Q139" s="167">
        <v>0</v>
      </c>
      <c r="R139" s="167">
        <v>0</v>
      </c>
      <c r="S139" s="167">
        <v>0</v>
      </c>
      <c r="T139" s="167">
        <v>0</v>
      </c>
      <c r="U139" s="168" t="e">
        <v>#DIV/0!</v>
      </c>
      <c r="V139" s="167">
        <v>0</v>
      </c>
      <c r="W139" s="167">
        <v>0</v>
      </c>
      <c r="X139" s="167">
        <v>0</v>
      </c>
      <c r="Y139" s="167">
        <v>0</v>
      </c>
      <c r="Z139" s="167">
        <v>0</v>
      </c>
      <c r="AA139" s="167">
        <v>0</v>
      </c>
    </row>
    <row r="140" spans="1:27" ht="12" customHeight="1" x14ac:dyDescent="0.25">
      <c r="A140" s="155" t="s">
        <v>1228</v>
      </c>
      <c r="B140" s="155" t="s">
        <v>531</v>
      </c>
      <c r="C140" s="167">
        <v>0</v>
      </c>
      <c r="D140" s="167">
        <v>0</v>
      </c>
      <c r="E140" s="167">
        <v>0</v>
      </c>
      <c r="F140" s="167">
        <v>0</v>
      </c>
      <c r="G140" s="167">
        <v>0</v>
      </c>
      <c r="H140" s="167">
        <v>0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67">
        <v>0</v>
      </c>
      <c r="U140" s="168" t="e">
        <v>#DIV/0!</v>
      </c>
      <c r="V140" s="167">
        <v>0</v>
      </c>
      <c r="W140" s="167">
        <v>0</v>
      </c>
      <c r="X140" s="167">
        <v>0</v>
      </c>
      <c r="Y140" s="167">
        <v>0</v>
      </c>
      <c r="Z140" s="167">
        <v>0</v>
      </c>
      <c r="AA140" s="167">
        <v>0</v>
      </c>
    </row>
    <row r="141" spans="1:27" ht="12" customHeight="1" x14ac:dyDescent="0.25">
      <c r="A141" s="155" t="s">
        <v>1229</v>
      </c>
      <c r="B141" s="155" t="s">
        <v>532</v>
      </c>
      <c r="C141" s="167">
        <v>0</v>
      </c>
      <c r="D141" s="167">
        <v>0</v>
      </c>
      <c r="E141" s="167">
        <v>0</v>
      </c>
      <c r="F141" s="167">
        <v>0</v>
      </c>
      <c r="G141" s="167">
        <v>0</v>
      </c>
      <c r="H141" s="167">
        <v>0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67">
        <v>0</v>
      </c>
      <c r="U141" s="168" t="e">
        <v>#DIV/0!</v>
      </c>
      <c r="V141" s="167">
        <v>0</v>
      </c>
      <c r="W141" s="167">
        <v>0</v>
      </c>
      <c r="X141" s="167">
        <v>0</v>
      </c>
      <c r="Y141" s="167">
        <v>0</v>
      </c>
      <c r="Z141" s="167">
        <v>0</v>
      </c>
      <c r="AA141" s="167">
        <v>0</v>
      </c>
    </row>
    <row r="142" spans="1:27" ht="12" customHeight="1" x14ac:dyDescent="0.25">
      <c r="A142" s="155" t="s">
        <v>1230</v>
      </c>
      <c r="B142" s="162" t="s">
        <v>533</v>
      </c>
      <c r="C142" s="167">
        <v>0</v>
      </c>
      <c r="D142" s="167">
        <v>0</v>
      </c>
      <c r="E142" s="167">
        <v>0</v>
      </c>
      <c r="F142" s="167">
        <v>0</v>
      </c>
      <c r="G142" s="167">
        <v>0</v>
      </c>
      <c r="H142" s="167">
        <v>0</v>
      </c>
      <c r="I142" s="167">
        <v>0</v>
      </c>
      <c r="J142" s="167">
        <v>0</v>
      </c>
      <c r="K142" s="167">
        <v>0</v>
      </c>
      <c r="L142" s="167">
        <v>0</v>
      </c>
      <c r="M142" s="167">
        <v>0</v>
      </c>
      <c r="N142" s="167">
        <v>0</v>
      </c>
      <c r="O142" s="167">
        <v>0</v>
      </c>
      <c r="P142" s="167">
        <v>0</v>
      </c>
      <c r="Q142" s="167">
        <v>0</v>
      </c>
      <c r="R142" s="167">
        <v>0</v>
      </c>
      <c r="S142" s="167">
        <v>0</v>
      </c>
      <c r="T142" s="164">
        <v>0</v>
      </c>
      <c r="U142" s="165" t="e">
        <v>#DIV/0!</v>
      </c>
      <c r="V142" s="164">
        <v>0</v>
      </c>
      <c r="W142" s="164">
        <v>0</v>
      </c>
      <c r="X142" s="164">
        <v>0</v>
      </c>
      <c r="Y142" s="164">
        <v>0</v>
      </c>
      <c r="Z142" s="164">
        <v>0</v>
      </c>
      <c r="AA142" s="164">
        <v>0</v>
      </c>
    </row>
    <row r="143" spans="1:27" ht="12" customHeight="1" x14ac:dyDescent="0.25">
      <c r="A143" s="155" t="s">
        <v>1231</v>
      </c>
      <c r="B143" s="162" t="s">
        <v>534</v>
      </c>
      <c r="C143" s="167">
        <v>0</v>
      </c>
      <c r="D143" s="167">
        <v>0</v>
      </c>
      <c r="E143" s="167">
        <v>0</v>
      </c>
      <c r="F143" s="167">
        <v>0</v>
      </c>
      <c r="G143" s="167">
        <v>0</v>
      </c>
      <c r="H143" s="167">
        <v>0</v>
      </c>
      <c r="I143" s="167">
        <v>0</v>
      </c>
      <c r="J143" s="167">
        <v>0</v>
      </c>
      <c r="K143" s="167">
        <v>0</v>
      </c>
      <c r="L143" s="167">
        <v>0</v>
      </c>
      <c r="M143" s="167">
        <v>0</v>
      </c>
      <c r="N143" s="167">
        <v>0</v>
      </c>
      <c r="O143" s="167">
        <v>0</v>
      </c>
      <c r="P143" s="167">
        <v>0</v>
      </c>
      <c r="Q143" s="167">
        <v>0</v>
      </c>
      <c r="R143" s="167">
        <v>0</v>
      </c>
      <c r="S143" s="167">
        <v>0</v>
      </c>
      <c r="T143" s="164">
        <v>0</v>
      </c>
      <c r="U143" s="165" t="e">
        <v>#DIV/0!</v>
      </c>
      <c r="V143" s="164">
        <v>0</v>
      </c>
      <c r="W143" s="164">
        <v>0</v>
      </c>
      <c r="X143" s="164">
        <v>0</v>
      </c>
      <c r="Y143" s="164">
        <v>0</v>
      </c>
      <c r="Z143" s="164">
        <v>0</v>
      </c>
      <c r="AA143" s="164">
        <v>0</v>
      </c>
    </row>
    <row r="144" spans="1:27" ht="12" customHeight="1" x14ac:dyDescent="0.25">
      <c r="A144" s="155"/>
      <c r="B144" s="162" t="s">
        <v>535</v>
      </c>
      <c r="C144" s="163">
        <v>0</v>
      </c>
      <c r="D144" s="163">
        <v>0</v>
      </c>
      <c r="E144" s="163">
        <v>0</v>
      </c>
      <c r="F144" s="163">
        <v>0</v>
      </c>
      <c r="G144" s="163">
        <v>0</v>
      </c>
      <c r="H144" s="163">
        <v>0</v>
      </c>
      <c r="I144" s="163">
        <v>0</v>
      </c>
      <c r="J144" s="163">
        <v>0</v>
      </c>
      <c r="K144" s="163">
        <v>0</v>
      </c>
      <c r="L144" s="163">
        <v>0</v>
      </c>
      <c r="M144" s="163">
        <v>0</v>
      </c>
      <c r="N144" s="163">
        <v>0</v>
      </c>
      <c r="O144" s="163">
        <v>0</v>
      </c>
      <c r="P144" s="163">
        <v>0</v>
      </c>
      <c r="Q144" s="163">
        <v>0</v>
      </c>
      <c r="R144" s="163">
        <v>0</v>
      </c>
      <c r="S144" s="163">
        <v>0</v>
      </c>
      <c r="T144" s="164">
        <v>0</v>
      </c>
      <c r="U144" s="165" t="e">
        <v>#DIV/0!</v>
      </c>
      <c r="V144" s="164">
        <v>0</v>
      </c>
      <c r="W144" s="164">
        <v>0</v>
      </c>
      <c r="X144" s="164">
        <v>0</v>
      </c>
      <c r="Y144" s="164">
        <v>0</v>
      </c>
      <c r="Z144" s="164">
        <v>0</v>
      </c>
      <c r="AA144" s="164">
        <v>0</v>
      </c>
    </row>
    <row r="145" spans="1:27" ht="12" customHeight="1" x14ac:dyDescent="0.25">
      <c r="A145" s="155" t="s">
        <v>1232</v>
      </c>
      <c r="B145" s="155" t="s">
        <v>536</v>
      </c>
      <c r="C145" s="167">
        <v>0</v>
      </c>
      <c r="D145" s="167">
        <v>0</v>
      </c>
      <c r="E145" s="167">
        <v>0</v>
      </c>
      <c r="F145" s="167">
        <v>0</v>
      </c>
      <c r="G145" s="167">
        <v>0</v>
      </c>
      <c r="H145" s="167">
        <v>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0</v>
      </c>
      <c r="T145" s="167">
        <v>0</v>
      </c>
      <c r="U145" s="168" t="e">
        <v>#DIV/0!</v>
      </c>
      <c r="V145" s="167">
        <v>0</v>
      </c>
      <c r="W145" s="167">
        <v>0</v>
      </c>
      <c r="X145" s="167">
        <v>0</v>
      </c>
      <c r="Y145" s="167">
        <v>0</v>
      </c>
      <c r="Z145" s="167">
        <v>0</v>
      </c>
      <c r="AA145" s="167">
        <v>0</v>
      </c>
    </row>
    <row r="146" spans="1:27" ht="12" customHeight="1" x14ac:dyDescent="0.25">
      <c r="A146" s="155" t="s">
        <v>1233</v>
      </c>
      <c r="B146" s="155" t="s">
        <v>537</v>
      </c>
      <c r="C146" s="167">
        <v>0</v>
      </c>
      <c r="D146" s="167">
        <v>0</v>
      </c>
      <c r="E146" s="167">
        <v>0</v>
      </c>
      <c r="F146" s="167">
        <v>0</v>
      </c>
      <c r="G146" s="167">
        <v>0</v>
      </c>
      <c r="H146" s="167">
        <v>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0</v>
      </c>
      <c r="O146" s="167">
        <v>0</v>
      </c>
      <c r="P146" s="167">
        <v>0</v>
      </c>
      <c r="Q146" s="167">
        <v>0</v>
      </c>
      <c r="R146" s="167">
        <v>0</v>
      </c>
      <c r="S146" s="167">
        <v>0</v>
      </c>
      <c r="T146" s="167">
        <v>0</v>
      </c>
      <c r="U146" s="168" t="e">
        <v>#DIV/0!</v>
      </c>
      <c r="V146" s="167">
        <v>0</v>
      </c>
      <c r="W146" s="167">
        <v>0</v>
      </c>
      <c r="X146" s="167">
        <v>0</v>
      </c>
      <c r="Y146" s="167">
        <v>0</v>
      </c>
      <c r="Z146" s="167">
        <v>0</v>
      </c>
      <c r="AA146" s="167">
        <v>0</v>
      </c>
    </row>
    <row r="147" spans="1:27" ht="12" customHeight="1" x14ac:dyDescent="0.25">
      <c r="A147" s="155" t="s">
        <v>1234</v>
      </c>
      <c r="B147" s="155" t="s">
        <v>538</v>
      </c>
      <c r="C147" s="167">
        <v>0</v>
      </c>
      <c r="D147" s="167">
        <v>0</v>
      </c>
      <c r="E147" s="167">
        <v>0</v>
      </c>
      <c r="F147" s="167">
        <v>0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0</v>
      </c>
      <c r="T147" s="167">
        <v>0</v>
      </c>
      <c r="U147" s="168" t="e">
        <v>#DIV/0!</v>
      </c>
      <c r="V147" s="167">
        <v>0</v>
      </c>
      <c r="W147" s="167">
        <v>0</v>
      </c>
      <c r="X147" s="167">
        <v>0</v>
      </c>
      <c r="Y147" s="167">
        <v>0</v>
      </c>
      <c r="Z147" s="167">
        <v>0</v>
      </c>
      <c r="AA147" s="167">
        <v>0</v>
      </c>
    </row>
    <row r="148" spans="1:27" ht="12" customHeight="1" x14ac:dyDescent="0.25">
      <c r="A148" s="155" t="s">
        <v>1235</v>
      </c>
      <c r="B148" s="155" t="s">
        <v>539</v>
      </c>
      <c r="C148" s="167">
        <v>0</v>
      </c>
      <c r="D148" s="167">
        <v>0</v>
      </c>
      <c r="E148" s="167">
        <v>0</v>
      </c>
      <c r="F148" s="167">
        <v>0</v>
      </c>
      <c r="G148" s="167">
        <v>0</v>
      </c>
      <c r="H148" s="167">
        <v>0</v>
      </c>
      <c r="I148" s="167">
        <v>0</v>
      </c>
      <c r="J148" s="167">
        <v>0</v>
      </c>
      <c r="K148" s="167">
        <v>0</v>
      </c>
      <c r="L148" s="167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0</v>
      </c>
      <c r="U148" s="168" t="e">
        <v>#DIV/0!</v>
      </c>
      <c r="V148" s="167">
        <v>0</v>
      </c>
      <c r="W148" s="167">
        <v>0</v>
      </c>
      <c r="X148" s="167">
        <v>0</v>
      </c>
      <c r="Y148" s="167">
        <v>0</v>
      </c>
      <c r="Z148" s="167">
        <v>0</v>
      </c>
      <c r="AA148" s="167">
        <v>0</v>
      </c>
    </row>
    <row r="149" spans="1:27" ht="12" customHeight="1" x14ac:dyDescent="0.25">
      <c r="A149" s="155" t="s">
        <v>1236</v>
      </c>
      <c r="B149" s="155" t="s">
        <v>540</v>
      </c>
      <c r="C149" s="167">
        <v>0</v>
      </c>
      <c r="D149" s="167">
        <v>0</v>
      </c>
      <c r="E149" s="167">
        <v>0</v>
      </c>
      <c r="F149" s="167">
        <v>0</v>
      </c>
      <c r="G149" s="167">
        <v>0</v>
      </c>
      <c r="H149" s="167">
        <v>0</v>
      </c>
      <c r="I149" s="167">
        <v>0</v>
      </c>
      <c r="J149" s="167">
        <v>0</v>
      </c>
      <c r="K149" s="167">
        <v>0</v>
      </c>
      <c r="L149" s="167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0</v>
      </c>
      <c r="U149" s="168" t="e">
        <v>#DIV/0!</v>
      </c>
      <c r="V149" s="167">
        <v>0</v>
      </c>
      <c r="W149" s="167">
        <v>0</v>
      </c>
      <c r="X149" s="167">
        <v>0</v>
      </c>
      <c r="Y149" s="167">
        <v>0</v>
      </c>
      <c r="Z149" s="167">
        <v>0</v>
      </c>
      <c r="AA149" s="167">
        <v>0</v>
      </c>
    </row>
    <row r="150" spans="1:27" ht="12" customHeight="1" x14ac:dyDescent="0.25">
      <c r="A150" s="155" t="s">
        <v>1237</v>
      </c>
      <c r="B150" s="155" t="s">
        <v>541</v>
      </c>
      <c r="C150" s="167">
        <v>0</v>
      </c>
      <c r="D150" s="167">
        <v>0</v>
      </c>
      <c r="E150" s="167">
        <v>0</v>
      </c>
      <c r="F150" s="167">
        <v>0</v>
      </c>
      <c r="G150" s="167">
        <v>0</v>
      </c>
      <c r="H150" s="167">
        <v>0</v>
      </c>
      <c r="I150" s="167">
        <v>0</v>
      </c>
      <c r="J150" s="167">
        <v>0</v>
      </c>
      <c r="K150" s="167">
        <v>0</v>
      </c>
      <c r="L150" s="167">
        <v>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67">
        <v>0</v>
      </c>
      <c r="U150" s="168" t="e">
        <v>#DIV/0!</v>
      </c>
      <c r="V150" s="167">
        <v>0</v>
      </c>
      <c r="W150" s="167">
        <v>0</v>
      </c>
      <c r="X150" s="167">
        <v>0</v>
      </c>
      <c r="Y150" s="167">
        <v>0</v>
      </c>
      <c r="Z150" s="167">
        <v>0</v>
      </c>
      <c r="AA150" s="167">
        <v>0</v>
      </c>
    </row>
    <row r="151" spans="1:27" ht="12" customHeight="1" x14ac:dyDescent="0.25">
      <c r="A151" s="155" t="s">
        <v>1238</v>
      </c>
      <c r="B151" s="162" t="s">
        <v>542</v>
      </c>
      <c r="C151" s="167">
        <v>0</v>
      </c>
      <c r="D151" s="167">
        <v>0</v>
      </c>
      <c r="E151" s="167">
        <v>0</v>
      </c>
      <c r="F151" s="167">
        <v>0</v>
      </c>
      <c r="G151" s="167">
        <v>0</v>
      </c>
      <c r="H151" s="167">
        <v>0</v>
      </c>
      <c r="I151" s="167">
        <v>0</v>
      </c>
      <c r="J151" s="167">
        <v>0</v>
      </c>
      <c r="K151" s="167">
        <v>0</v>
      </c>
      <c r="L151" s="167">
        <v>0</v>
      </c>
      <c r="M151" s="167">
        <v>0</v>
      </c>
      <c r="N151" s="167">
        <v>0</v>
      </c>
      <c r="O151" s="167">
        <v>0</v>
      </c>
      <c r="P151" s="167">
        <v>0</v>
      </c>
      <c r="Q151" s="167">
        <v>0</v>
      </c>
      <c r="R151" s="167">
        <v>0</v>
      </c>
      <c r="S151" s="167">
        <v>0</v>
      </c>
      <c r="T151" s="164">
        <v>0</v>
      </c>
      <c r="U151" s="165" t="e">
        <v>#DIV/0!</v>
      </c>
      <c r="V151" s="164">
        <v>0</v>
      </c>
      <c r="W151" s="164">
        <v>0</v>
      </c>
      <c r="X151" s="164">
        <v>0</v>
      </c>
      <c r="Y151" s="164">
        <v>0</v>
      </c>
      <c r="Z151" s="164">
        <v>0</v>
      </c>
      <c r="AA151" s="164">
        <v>0</v>
      </c>
    </row>
    <row r="152" spans="1:27" ht="12" customHeight="1" x14ac:dyDescent="0.25">
      <c r="A152" s="155" t="s">
        <v>1239</v>
      </c>
      <c r="B152" s="162" t="s">
        <v>543</v>
      </c>
      <c r="C152" s="167">
        <v>0</v>
      </c>
      <c r="D152" s="167">
        <v>0</v>
      </c>
      <c r="E152" s="167">
        <v>0</v>
      </c>
      <c r="F152" s="167">
        <v>0</v>
      </c>
      <c r="G152" s="167">
        <v>0</v>
      </c>
      <c r="H152" s="167">
        <v>0</v>
      </c>
      <c r="I152" s="167">
        <v>0</v>
      </c>
      <c r="J152" s="167">
        <v>0</v>
      </c>
      <c r="K152" s="167">
        <v>0</v>
      </c>
      <c r="L152" s="167">
        <v>0</v>
      </c>
      <c r="M152" s="167">
        <v>0</v>
      </c>
      <c r="N152" s="167">
        <v>0</v>
      </c>
      <c r="O152" s="167">
        <v>0</v>
      </c>
      <c r="P152" s="167">
        <v>0</v>
      </c>
      <c r="Q152" s="167">
        <v>0</v>
      </c>
      <c r="R152" s="167">
        <v>0</v>
      </c>
      <c r="S152" s="167">
        <v>0</v>
      </c>
      <c r="T152" s="164">
        <v>0</v>
      </c>
      <c r="U152" s="165" t="e">
        <v>#DIV/0!</v>
      </c>
      <c r="V152" s="164">
        <v>0</v>
      </c>
      <c r="W152" s="164">
        <v>0</v>
      </c>
      <c r="X152" s="164">
        <v>0</v>
      </c>
      <c r="Y152" s="164">
        <v>0</v>
      </c>
      <c r="Z152" s="164">
        <v>0</v>
      </c>
      <c r="AA152" s="164">
        <v>0</v>
      </c>
    </row>
    <row r="153" spans="1:27" ht="12" customHeight="1" x14ac:dyDescent="0.25">
      <c r="A153" s="155"/>
      <c r="B153" s="162" t="s">
        <v>544</v>
      </c>
      <c r="C153" s="163">
        <v>0</v>
      </c>
      <c r="D153" s="163">
        <v>0</v>
      </c>
      <c r="E153" s="163">
        <v>0</v>
      </c>
      <c r="F153" s="163">
        <v>0</v>
      </c>
      <c r="G153" s="163">
        <v>0</v>
      </c>
      <c r="H153" s="163">
        <v>0</v>
      </c>
      <c r="I153" s="163">
        <v>0</v>
      </c>
      <c r="J153" s="163">
        <v>0</v>
      </c>
      <c r="K153" s="163">
        <v>0</v>
      </c>
      <c r="L153" s="163">
        <v>0</v>
      </c>
      <c r="M153" s="163">
        <v>0</v>
      </c>
      <c r="N153" s="163">
        <v>0</v>
      </c>
      <c r="O153" s="163">
        <v>0</v>
      </c>
      <c r="P153" s="163">
        <v>0</v>
      </c>
      <c r="Q153" s="163">
        <v>0</v>
      </c>
      <c r="R153" s="163">
        <v>0</v>
      </c>
      <c r="S153" s="163">
        <v>0</v>
      </c>
      <c r="T153" s="164">
        <v>0</v>
      </c>
      <c r="U153" s="165" t="e">
        <v>#DIV/0!</v>
      </c>
      <c r="V153" s="164">
        <v>0</v>
      </c>
      <c r="W153" s="164">
        <v>0</v>
      </c>
      <c r="X153" s="164">
        <v>0</v>
      </c>
      <c r="Y153" s="164">
        <v>0</v>
      </c>
      <c r="Z153" s="164">
        <v>0</v>
      </c>
      <c r="AA153" s="164">
        <v>0</v>
      </c>
    </row>
    <row r="154" spans="1:27" ht="12" customHeight="1" x14ac:dyDescent="0.25">
      <c r="A154" s="155" t="s">
        <v>1240</v>
      </c>
      <c r="B154" s="155" t="s">
        <v>545</v>
      </c>
      <c r="C154" s="167">
        <v>0</v>
      </c>
      <c r="D154" s="167">
        <v>0</v>
      </c>
      <c r="E154" s="167">
        <v>0</v>
      </c>
      <c r="F154" s="167">
        <v>0</v>
      </c>
      <c r="G154" s="167">
        <v>0</v>
      </c>
      <c r="H154" s="167">
        <v>0</v>
      </c>
      <c r="I154" s="167">
        <v>0</v>
      </c>
      <c r="J154" s="167">
        <v>0</v>
      </c>
      <c r="K154" s="167">
        <v>0</v>
      </c>
      <c r="L154" s="167">
        <v>0</v>
      </c>
      <c r="M154" s="167">
        <v>0</v>
      </c>
      <c r="N154" s="167">
        <v>0</v>
      </c>
      <c r="O154" s="167">
        <v>0</v>
      </c>
      <c r="P154" s="167">
        <v>0</v>
      </c>
      <c r="Q154" s="167">
        <v>0</v>
      </c>
      <c r="R154" s="167">
        <v>0</v>
      </c>
      <c r="S154" s="167">
        <v>0</v>
      </c>
      <c r="T154" s="167">
        <v>0</v>
      </c>
      <c r="U154" s="168" t="e">
        <v>#DIV/0!</v>
      </c>
      <c r="V154" s="167">
        <v>0</v>
      </c>
      <c r="W154" s="167">
        <v>0</v>
      </c>
      <c r="X154" s="167">
        <v>0</v>
      </c>
      <c r="Y154" s="167">
        <v>0</v>
      </c>
      <c r="Z154" s="167">
        <v>0</v>
      </c>
      <c r="AA154" s="167">
        <v>0</v>
      </c>
    </row>
    <row r="155" spans="1:27" ht="12" customHeight="1" x14ac:dyDescent="0.25">
      <c r="A155" s="155" t="s">
        <v>1241</v>
      </c>
      <c r="B155" s="155" t="s">
        <v>546</v>
      </c>
      <c r="C155" s="167">
        <v>0</v>
      </c>
      <c r="D155" s="167">
        <v>0</v>
      </c>
      <c r="E155" s="167">
        <v>0</v>
      </c>
      <c r="F155" s="167">
        <v>0</v>
      </c>
      <c r="G155" s="167">
        <v>0</v>
      </c>
      <c r="H155" s="167">
        <v>0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0</v>
      </c>
      <c r="T155" s="167">
        <v>0</v>
      </c>
      <c r="U155" s="168" t="e">
        <v>#DIV/0!</v>
      </c>
      <c r="V155" s="167">
        <v>0</v>
      </c>
      <c r="W155" s="167">
        <v>0</v>
      </c>
      <c r="X155" s="167">
        <v>0</v>
      </c>
      <c r="Y155" s="167">
        <v>0</v>
      </c>
      <c r="Z155" s="167">
        <v>0</v>
      </c>
      <c r="AA155" s="167">
        <v>0</v>
      </c>
    </row>
    <row r="156" spans="1:27" ht="12" customHeight="1" x14ac:dyDescent="0.25">
      <c r="A156" s="155" t="s">
        <v>1242</v>
      </c>
      <c r="B156" s="155" t="s">
        <v>547</v>
      </c>
      <c r="C156" s="167">
        <v>0</v>
      </c>
      <c r="D156" s="167">
        <v>0</v>
      </c>
      <c r="E156" s="167">
        <v>0</v>
      </c>
      <c r="F156" s="167">
        <v>0</v>
      </c>
      <c r="G156" s="167">
        <v>0</v>
      </c>
      <c r="H156" s="167">
        <v>0</v>
      </c>
      <c r="I156" s="167">
        <v>0</v>
      </c>
      <c r="J156" s="167">
        <v>0</v>
      </c>
      <c r="K156" s="167">
        <v>0</v>
      </c>
      <c r="L156" s="167">
        <v>0</v>
      </c>
      <c r="M156" s="167">
        <v>0</v>
      </c>
      <c r="N156" s="167">
        <v>0</v>
      </c>
      <c r="O156" s="167">
        <v>0</v>
      </c>
      <c r="P156" s="167">
        <v>0</v>
      </c>
      <c r="Q156" s="167">
        <v>0</v>
      </c>
      <c r="R156" s="167">
        <v>0</v>
      </c>
      <c r="S156" s="167">
        <v>0</v>
      </c>
      <c r="T156" s="167">
        <v>0</v>
      </c>
      <c r="U156" s="168" t="e">
        <v>#DIV/0!</v>
      </c>
      <c r="V156" s="167">
        <v>0</v>
      </c>
      <c r="W156" s="167">
        <v>0</v>
      </c>
      <c r="X156" s="167">
        <v>0</v>
      </c>
      <c r="Y156" s="167">
        <v>0</v>
      </c>
      <c r="Z156" s="167">
        <v>0</v>
      </c>
      <c r="AA156" s="167">
        <v>0</v>
      </c>
    </row>
    <row r="157" spans="1:27" ht="12" customHeight="1" x14ac:dyDescent="0.25">
      <c r="A157" s="155" t="s">
        <v>1243</v>
      </c>
      <c r="B157" s="155" t="s">
        <v>548</v>
      </c>
      <c r="C157" s="167">
        <v>0</v>
      </c>
      <c r="D157" s="167">
        <v>0</v>
      </c>
      <c r="E157" s="167">
        <v>0</v>
      </c>
      <c r="F157" s="167">
        <v>0</v>
      </c>
      <c r="G157" s="167">
        <v>0</v>
      </c>
      <c r="H157" s="167">
        <v>0</v>
      </c>
      <c r="I157" s="167">
        <v>0</v>
      </c>
      <c r="J157" s="167">
        <v>0</v>
      </c>
      <c r="K157" s="167">
        <v>0</v>
      </c>
      <c r="L157" s="167">
        <v>0</v>
      </c>
      <c r="M157" s="167">
        <v>0</v>
      </c>
      <c r="N157" s="167">
        <v>0</v>
      </c>
      <c r="O157" s="167">
        <v>0</v>
      </c>
      <c r="P157" s="167">
        <v>0</v>
      </c>
      <c r="Q157" s="167">
        <v>0</v>
      </c>
      <c r="R157" s="167">
        <v>0</v>
      </c>
      <c r="S157" s="167">
        <v>0</v>
      </c>
      <c r="T157" s="167">
        <v>0</v>
      </c>
      <c r="U157" s="168" t="e">
        <v>#DIV/0!</v>
      </c>
      <c r="V157" s="167">
        <v>0</v>
      </c>
      <c r="W157" s="167">
        <v>0</v>
      </c>
      <c r="X157" s="167">
        <v>0</v>
      </c>
      <c r="Y157" s="167">
        <v>0</v>
      </c>
      <c r="Z157" s="167">
        <v>0</v>
      </c>
      <c r="AA157" s="167">
        <v>0</v>
      </c>
    </row>
    <row r="158" spans="1:27" ht="12" customHeight="1" x14ac:dyDescent="0.25">
      <c r="A158" s="155" t="s">
        <v>1244</v>
      </c>
      <c r="B158" s="155" t="s">
        <v>549</v>
      </c>
      <c r="C158" s="167">
        <v>0</v>
      </c>
      <c r="D158" s="167">
        <v>0</v>
      </c>
      <c r="E158" s="167">
        <v>0</v>
      </c>
      <c r="F158" s="167">
        <v>0</v>
      </c>
      <c r="G158" s="167">
        <v>0</v>
      </c>
      <c r="H158" s="167">
        <v>0</v>
      </c>
      <c r="I158" s="167">
        <v>0</v>
      </c>
      <c r="J158" s="167">
        <v>0</v>
      </c>
      <c r="K158" s="167">
        <v>0</v>
      </c>
      <c r="L158" s="167">
        <v>0</v>
      </c>
      <c r="M158" s="167">
        <v>0</v>
      </c>
      <c r="N158" s="167">
        <v>0</v>
      </c>
      <c r="O158" s="167">
        <v>0</v>
      </c>
      <c r="P158" s="167">
        <v>0</v>
      </c>
      <c r="Q158" s="167">
        <v>0</v>
      </c>
      <c r="R158" s="167">
        <v>0</v>
      </c>
      <c r="S158" s="167">
        <v>0</v>
      </c>
      <c r="T158" s="167">
        <v>0</v>
      </c>
      <c r="U158" s="168" t="e">
        <v>#DIV/0!</v>
      </c>
      <c r="V158" s="167">
        <v>0</v>
      </c>
      <c r="W158" s="167">
        <v>0</v>
      </c>
      <c r="X158" s="167">
        <v>0</v>
      </c>
      <c r="Y158" s="167">
        <v>0</v>
      </c>
      <c r="Z158" s="167">
        <v>0</v>
      </c>
      <c r="AA158" s="167">
        <v>0</v>
      </c>
    </row>
    <row r="159" spans="1:27" ht="12" customHeight="1" x14ac:dyDescent="0.25">
      <c r="A159" s="155" t="s">
        <v>1245</v>
      </c>
      <c r="B159" s="155" t="s">
        <v>550</v>
      </c>
      <c r="C159" s="167">
        <v>0</v>
      </c>
      <c r="D159" s="167">
        <v>0</v>
      </c>
      <c r="E159" s="167">
        <v>0</v>
      </c>
      <c r="F159" s="167">
        <v>0</v>
      </c>
      <c r="G159" s="167">
        <v>0</v>
      </c>
      <c r="H159" s="167">
        <v>0</v>
      </c>
      <c r="I159" s="167">
        <v>0</v>
      </c>
      <c r="J159" s="167">
        <v>0</v>
      </c>
      <c r="K159" s="167">
        <v>0</v>
      </c>
      <c r="L159" s="167">
        <v>0</v>
      </c>
      <c r="M159" s="167">
        <v>0</v>
      </c>
      <c r="N159" s="167">
        <v>0</v>
      </c>
      <c r="O159" s="167">
        <v>0</v>
      </c>
      <c r="P159" s="167">
        <v>0</v>
      </c>
      <c r="Q159" s="167">
        <v>0</v>
      </c>
      <c r="R159" s="167">
        <v>0</v>
      </c>
      <c r="S159" s="167">
        <v>0</v>
      </c>
      <c r="T159" s="167">
        <v>0</v>
      </c>
      <c r="U159" s="168" t="e">
        <v>#DIV/0!</v>
      </c>
      <c r="V159" s="167">
        <v>0</v>
      </c>
      <c r="W159" s="167">
        <v>0</v>
      </c>
      <c r="X159" s="167">
        <v>0</v>
      </c>
      <c r="Y159" s="167">
        <v>0</v>
      </c>
      <c r="Z159" s="167">
        <v>0</v>
      </c>
      <c r="AA159" s="167">
        <v>0</v>
      </c>
    </row>
    <row r="160" spans="1:27" ht="12" customHeight="1" x14ac:dyDescent="0.25">
      <c r="A160" s="155" t="s">
        <v>1246</v>
      </c>
      <c r="B160" s="155" t="s">
        <v>551</v>
      </c>
      <c r="C160" s="167">
        <v>0</v>
      </c>
      <c r="D160" s="167">
        <v>0</v>
      </c>
      <c r="E160" s="167">
        <v>0</v>
      </c>
      <c r="F160" s="167">
        <v>0</v>
      </c>
      <c r="G160" s="167">
        <v>0</v>
      </c>
      <c r="H160" s="167">
        <v>0</v>
      </c>
      <c r="I160" s="167">
        <v>0</v>
      </c>
      <c r="J160" s="167">
        <v>0</v>
      </c>
      <c r="K160" s="167">
        <v>0</v>
      </c>
      <c r="L160" s="167">
        <v>0</v>
      </c>
      <c r="M160" s="167">
        <v>0</v>
      </c>
      <c r="N160" s="167">
        <v>0</v>
      </c>
      <c r="O160" s="167">
        <v>0</v>
      </c>
      <c r="P160" s="167">
        <v>0</v>
      </c>
      <c r="Q160" s="167">
        <v>0</v>
      </c>
      <c r="R160" s="167">
        <v>0</v>
      </c>
      <c r="S160" s="167">
        <v>0</v>
      </c>
      <c r="T160" s="167">
        <v>0</v>
      </c>
      <c r="U160" s="168" t="e">
        <v>#DIV/0!</v>
      </c>
      <c r="V160" s="167">
        <v>0</v>
      </c>
      <c r="W160" s="167">
        <v>0</v>
      </c>
      <c r="X160" s="167">
        <v>0</v>
      </c>
      <c r="Y160" s="167">
        <v>0</v>
      </c>
      <c r="Z160" s="167">
        <v>0</v>
      </c>
      <c r="AA160" s="167">
        <v>0</v>
      </c>
    </row>
    <row r="161" spans="1:27" ht="12" customHeight="1" x14ac:dyDescent="0.25">
      <c r="A161" s="155" t="s">
        <v>1247</v>
      </c>
      <c r="B161" s="155" t="s">
        <v>552</v>
      </c>
      <c r="C161" s="167">
        <v>0</v>
      </c>
      <c r="D161" s="167">
        <v>0</v>
      </c>
      <c r="E161" s="167">
        <v>0</v>
      </c>
      <c r="F161" s="167">
        <v>0</v>
      </c>
      <c r="G161" s="167">
        <v>0</v>
      </c>
      <c r="H161" s="167">
        <v>0</v>
      </c>
      <c r="I161" s="167">
        <v>0</v>
      </c>
      <c r="J161" s="167">
        <v>0</v>
      </c>
      <c r="K161" s="167">
        <v>0</v>
      </c>
      <c r="L161" s="167">
        <v>0</v>
      </c>
      <c r="M161" s="167">
        <v>0</v>
      </c>
      <c r="N161" s="167">
        <v>0</v>
      </c>
      <c r="O161" s="167">
        <v>0</v>
      </c>
      <c r="P161" s="167">
        <v>0</v>
      </c>
      <c r="Q161" s="167">
        <v>0</v>
      </c>
      <c r="R161" s="167">
        <v>0</v>
      </c>
      <c r="S161" s="167">
        <v>0</v>
      </c>
      <c r="T161" s="167">
        <v>0</v>
      </c>
      <c r="U161" s="168" t="e">
        <v>#DIV/0!</v>
      </c>
      <c r="V161" s="167">
        <v>0</v>
      </c>
      <c r="W161" s="167">
        <v>0</v>
      </c>
      <c r="X161" s="167">
        <v>0</v>
      </c>
      <c r="Y161" s="167">
        <v>0</v>
      </c>
      <c r="Z161" s="167">
        <v>0</v>
      </c>
      <c r="AA161" s="167">
        <v>0</v>
      </c>
    </row>
    <row r="162" spans="1:27" ht="12" customHeight="1" x14ac:dyDescent="0.25">
      <c r="A162" s="155" t="s">
        <v>1248</v>
      </c>
      <c r="B162" s="155" t="s">
        <v>553</v>
      </c>
      <c r="C162" s="167">
        <v>0</v>
      </c>
      <c r="D162" s="167">
        <v>0</v>
      </c>
      <c r="E162" s="167">
        <v>0</v>
      </c>
      <c r="F162" s="167">
        <v>0</v>
      </c>
      <c r="G162" s="167">
        <v>0</v>
      </c>
      <c r="H162" s="167">
        <v>0</v>
      </c>
      <c r="I162" s="167">
        <v>0</v>
      </c>
      <c r="J162" s="167">
        <v>0</v>
      </c>
      <c r="K162" s="167">
        <v>0</v>
      </c>
      <c r="L162" s="167">
        <v>0</v>
      </c>
      <c r="M162" s="167">
        <v>0</v>
      </c>
      <c r="N162" s="167">
        <v>0</v>
      </c>
      <c r="O162" s="167">
        <v>0</v>
      </c>
      <c r="P162" s="167">
        <v>0</v>
      </c>
      <c r="Q162" s="167">
        <v>0</v>
      </c>
      <c r="R162" s="167">
        <v>0</v>
      </c>
      <c r="S162" s="167">
        <v>0</v>
      </c>
      <c r="T162" s="167">
        <v>0</v>
      </c>
      <c r="U162" s="168" t="e">
        <v>#DIV/0!</v>
      </c>
      <c r="V162" s="167">
        <v>0</v>
      </c>
      <c r="W162" s="167">
        <v>0</v>
      </c>
      <c r="X162" s="167">
        <v>0</v>
      </c>
      <c r="Y162" s="167">
        <v>0</v>
      </c>
      <c r="Z162" s="167">
        <v>0</v>
      </c>
      <c r="AA162" s="167">
        <v>0</v>
      </c>
    </row>
    <row r="163" spans="1:27" ht="12" customHeight="1" x14ac:dyDescent="0.25">
      <c r="A163" s="155" t="s">
        <v>1249</v>
      </c>
      <c r="B163" s="155" t="s">
        <v>554</v>
      </c>
      <c r="C163" s="167">
        <v>0</v>
      </c>
      <c r="D163" s="167">
        <v>0</v>
      </c>
      <c r="E163" s="167">
        <v>0</v>
      </c>
      <c r="F163" s="167">
        <v>0</v>
      </c>
      <c r="G163" s="167">
        <v>0</v>
      </c>
      <c r="H163" s="167">
        <v>0</v>
      </c>
      <c r="I163" s="167">
        <v>0</v>
      </c>
      <c r="J163" s="167">
        <v>0</v>
      </c>
      <c r="K163" s="167">
        <v>0</v>
      </c>
      <c r="L163" s="167">
        <v>0</v>
      </c>
      <c r="M163" s="167">
        <v>0</v>
      </c>
      <c r="N163" s="167">
        <v>0</v>
      </c>
      <c r="O163" s="167">
        <v>0</v>
      </c>
      <c r="P163" s="167">
        <v>0</v>
      </c>
      <c r="Q163" s="167">
        <v>0</v>
      </c>
      <c r="R163" s="167">
        <v>0</v>
      </c>
      <c r="S163" s="167">
        <v>0</v>
      </c>
      <c r="T163" s="167">
        <v>0</v>
      </c>
      <c r="U163" s="168" t="e">
        <v>#DIV/0!</v>
      </c>
      <c r="V163" s="167">
        <v>0</v>
      </c>
      <c r="W163" s="167">
        <v>0</v>
      </c>
      <c r="X163" s="167">
        <v>0</v>
      </c>
      <c r="Y163" s="167">
        <v>0</v>
      </c>
      <c r="Z163" s="167">
        <v>0</v>
      </c>
      <c r="AA163" s="167">
        <v>0</v>
      </c>
    </row>
    <row r="164" spans="1:27" ht="12" customHeight="1" x14ac:dyDescent="0.25">
      <c r="A164" s="155" t="s">
        <v>1250</v>
      </c>
      <c r="B164" s="155" t="s">
        <v>555</v>
      </c>
      <c r="C164" s="167">
        <v>0</v>
      </c>
      <c r="D164" s="167">
        <v>0</v>
      </c>
      <c r="E164" s="167">
        <v>0</v>
      </c>
      <c r="F164" s="167">
        <v>0</v>
      </c>
      <c r="G164" s="167">
        <v>0</v>
      </c>
      <c r="H164" s="167">
        <v>0</v>
      </c>
      <c r="I164" s="167">
        <v>0</v>
      </c>
      <c r="J164" s="167">
        <v>0</v>
      </c>
      <c r="K164" s="167">
        <v>0</v>
      </c>
      <c r="L164" s="167">
        <v>0</v>
      </c>
      <c r="M164" s="167">
        <v>0</v>
      </c>
      <c r="N164" s="167">
        <v>0</v>
      </c>
      <c r="O164" s="167">
        <v>0</v>
      </c>
      <c r="P164" s="167">
        <v>0</v>
      </c>
      <c r="Q164" s="167">
        <v>0</v>
      </c>
      <c r="R164" s="167">
        <v>0</v>
      </c>
      <c r="S164" s="167">
        <v>0</v>
      </c>
      <c r="T164" s="167">
        <v>0</v>
      </c>
      <c r="U164" s="168" t="e">
        <v>#DIV/0!</v>
      </c>
      <c r="V164" s="167">
        <v>0</v>
      </c>
      <c r="W164" s="167">
        <v>0</v>
      </c>
      <c r="X164" s="167">
        <v>0</v>
      </c>
      <c r="Y164" s="167">
        <v>0</v>
      </c>
      <c r="Z164" s="167">
        <v>0</v>
      </c>
      <c r="AA164" s="167">
        <v>0</v>
      </c>
    </row>
    <row r="165" spans="1:27" ht="12" customHeight="1" x14ac:dyDescent="0.25">
      <c r="A165" s="155" t="s">
        <v>1251</v>
      </c>
      <c r="B165" s="155" t="s">
        <v>556</v>
      </c>
      <c r="C165" s="167">
        <v>0</v>
      </c>
      <c r="D165" s="167">
        <v>0</v>
      </c>
      <c r="E165" s="167">
        <v>0</v>
      </c>
      <c r="F165" s="167">
        <v>0</v>
      </c>
      <c r="G165" s="167">
        <v>0</v>
      </c>
      <c r="H165" s="167">
        <v>0</v>
      </c>
      <c r="I165" s="167">
        <v>0</v>
      </c>
      <c r="J165" s="167">
        <v>0</v>
      </c>
      <c r="K165" s="167">
        <v>0</v>
      </c>
      <c r="L165" s="167">
        <v>0</v>
      </c>
      <c r="M165" s="167">
        <v>0</v>
      </c>
      <c r="N165" s="167">
        <v>0</v>
      </c>
      <c r="O165" s="167">
        <v>0</v>
      </c>
      <c r="P165" s="167">
        <v>0</v>
      </c>
      <c r="Q165" s="167">
        <v>0</v>
      </c>
      <c r="R165" s="167">
        <v>0</v>
      </c>
      <c r="S165" s="167">
        <v>0</v>
      </c>
      <c r="T165" s="167">
        <v>0</v>
      </c>
      <c r="U165" s="168" t="e">
        <v>#DIV/0!</v>
      </c>
      <c r="V165" s="167">
        <v>0</v>
      </c>
      <c r="W165" s="167">
        <v>0</v>
      </c>
      <c r="X165" s="167">
        <v>0</v>
      </c>
      <c r="Y165" s="167">
        <v>0</v>
      </c>
      <c r="Z165" s="167">
        <v>0</v>
      </c>
      <c r="AA165" s="167">
        <v>0</v>
      </c>
    </row>
    <row r="166" spans="1:27" ht="12" customHeight="1" x14ac:dyDescent="0.25">
      <c r="A166" s="155"/>
      <c r="B166" s="162" t="s">
        <v>557</v>
      </c>
      <c r="C166" s="163">
        <v>0</v>
      </c>
      <c r="D166" s="163">
        <v>0</v>
      </c>
      <c r="E166" s="163">
        <v>0</v>
      </c>
      <c r="F166" s="163">
        <v>0</v>
      </c>
      <c r="G166" s="163">
        <v>0</v>
      </c>
      <c r="H166" s="163">
        <v>0</v>
      </c>
      <c r="I166" s="163">
        <v>0</v>
      </c>
      <c r="J166" s="163">
        <v>0</v>
      </c>
      <c r="K166" s="163">
        <v>0</v>
      </c>
      <c r="L166" s="163">
        <v>0</v>
      </c>
      <c r="M166" s="163">
        <v>0</v>
      </c>
      <c r="N166" s="163">
        <v>0</v>
      </c>
      <c r="O166" s="163">
        <v>0</v>
      </c>
      <c r="P166" s="163">
        <v>0</v>
      </c>
      <c r="Q166" s="163">
        <v>0</v>
      </c>
      <c r="R166" s="163">
        <v>0</v>
      </c>
      <c r="S166" s="163">
        <v>0</v>
      </c>
      <c r="T166" s="164">
        <v>0</v>
      </c>
      <c r="U166" s="165" t="e">
        <v>#DIV/0!</v>
      </c>
      <c r="V166" s="164">
        <v>0</v>
      </c>
      <c r="W166" s="164">
        <v>0</v>
      </c>
      <c r="X166" s="164">
        <v>0</v>
      </c>
      <c r="Y166" s="164">
        <v>0</v>
      </c>
      <c r="Z166" s="164">
        <v>0</v>
      </c>
      <c r="AA166" s="164">
        <v>0</v>
      </c>
    </row>
    <row r="167" spans="1:27" ht="12" customHeight="1" x14ac:dyDescent="0.25">
      <c r="A167" s="155" t="s">
        <v>1252</v>
      </c>
      <c r="B167" s="155" t="s">
        <v>558</v>
      </c>
      <c r="C167" s="167">
        <v>0</v>
      </c>
      <c r="D167" s="167">
        <v>0</v>
      </c>
      <c r="E167" s="167">
        <v>0</v>
      </c>
      <c r="F167" s="167">
        <v>0</v>
      </c>
      <c r="G167" s="167">
        <v>0</v>
      </c>
      <c r="H167" s="167">
        <v>0</v>
      </c>
      <c r="I167" s="167">
        <v>0</v>
      </c>
      <c r="J167" s="167">
        <v>0</v>
      </c>
      <c r="K167" s="167">
        <v>0</v>
      </c>
      <c r="L167" s="167">
        <v>0</v>
      </c>
      <c r="M167" s="167">
        <v>0</v>
      </c>
      <c r="N167" s="167">
        <v>0</v>
      </c>
      <c r="O167" s="167">
        <v>0</v>
      </c>
      <c r="P167" s="167">
        <v>0</v>
      </c>
      <c r="Q167" s="167">
        <v>0</v>
      </c>
      <c r="R167" s="167">
        <v>0</v>
      </c>
      <c r="S167" s="167">
        <v>0</v>
      </c>
      <c r="T167" s="167">
        <v>0</v>
      </c>
      <c r="U167" s="168" t="e">
        <v>#DIV/0!</v>
      </c>
      <c r="V167" s="167">
        <v>0</v>
      </c>
      <c r="W167" s="167">
        <v>0</v>
      </c>
      <c r="X167" s="167">
        <v>0</v>
      </c>
      <c r="Y167" s="167">
        <v>0</v>
      </c>
      <c r="Z167" s="167">
        <v>0</v>
      </c>
      <c r="AA167" s="167">
        <v>0</v>
      </c>
    </row>
    <row r="168" spans="1:27" ht="12" customHeight="1" x14ac:dyDescent="0.25">
      <c r="A168" s="155" t="s">
        <v>1253</v>
      </c>
      <c r="B168" s="155" t="s">
        <v>559</v>
      </c>
      <c r="C168" s="167">
        <v>0</v>
      </c>
      <c r="D168" s="167">
        <v>0</v>
      </c>
      <c r="E168" s="167">
        <v>0</v>
      </c>
      <c r="F168" s="167">
        <v>0</v>
      </c>
      <c r="G168" s="167">
        <v>0</v>
      </c>
      <c r="H168" s="167">
        <v>0</v>
      </c>
      <c r="I168" s="167">
        <v>0</v>
      </c>
      <c r="J168" s="167">
        <v>0</v>
      </c>
      <c r="K168" s="167">
        <v>0</v>
      </c>
      <c r="L168" s="167">
        <v>0</v>
      </c>
      <c r="M168" s="167">
        <v>0</v>
      </c>
      <c r="N168" s="167">
        <v>0</v>
      </c>
      <c r="O168" s="167">
        <v>0</v>
      </c>
      <c r="P168" s="167">
        <v>0</v>
      </c>
      <c r="Q168" s="167">
        <v>0</v>
      </c>
      <c r="R168" s="167">
        <v>0</v>
      </c>
      <c r="S168" s="167">
        <v>0</v>
      </c>
      <c r="T168" s="167">
        <v>0</v>
      </c>
      <c r="U168" s="168" t="e">
        <v>#DIV/0!</v>
      </c>
      <c r="V168" s="167">
        <v>0</v>
      </c>
      <c r="W168" s="167">
        <v>0</v>
      </c>
      <c r="X168" s="167">
        <v>0</v>
      </c>
      <c r="Y168" s="167">
        <v>0</v>
      </c>
      <c r="Z168" s="167">
        <v>0</v>
      </c>
      <c r="AA168" s="167">
        <v>0</v>
      </c>
    </row>
    <row r="169" spans="1:27" ht="12" customHeight="1" x14ac:dyDescent="0.25">
      <c r="A169" s="155" t="s">
        <v>1254</v>
      </c>
      <c r="B169" s="155" t="s">
        <v>560</v>
      </c>
      <c r="C169" s="167">
        <v>0</v>
      </c>
      <c r="D169" s="167">
        <v>0</v>
      </c>
      <c r="E169" s="167">
        <v>0</v>
      </c>
      <c r="F169" s="167">
        <v>0</v>
      </c>
      <c r="G169" s="167">
        <v>0</v>
      </c>
      <c r="H169" s="167">
        <v>0</v>
      </c>
      <c r="I169" s="167">
        <v>0</v>
      </c>
      <c r="J169" s="167">
        <v>0</v>
      </c>
      <c r="K169" s="167">
        <v>0</v>
      </c>
      <c r="L169" s="167">
        <v>0</v>
      </c>
      <c r="M169" s="167">
        <v>0</v>
      </c>
      <c r="N169" s="167">
        <v>0</v>
      </c>
      <c r="O169" s="167">
        <v>0</v>
      </c>
      <c r="P169" s="167">
        <v>0</v>
      </c>
      <c r="Q169" s="167">
        <v>0</v>
      </c>
      <c r="R169" s="167">
        <v>0</v>
      </c>
      <c r="S169" s="167">
        <v>0</v>
      </c>
      <c r="T169" s="167">
        <v>0</v>
      </c>
      <c r="U169" s="168" t="e">
        <v>#DIV/0!</v>
      </c>
      <c r="V169" s="167">
        <v>0</v>
      </c>
      <c r="W169" s="167">
        <v>0</v>
      </c>
      <c r="X169" s="167">
        <v>0</v>
      </c>
      <c r="Y169" s="167">
        <v>0</v>
      </c>
      <c r="Z169" s="167">
        <v>0</v>
      </c>
      <c r="AA169" s="167">
        <v>0</v>
      </c>
    </row>
    <row r="170" spans="1:27" ht="12" customHeight="1" x14ac:dyDescent="0.25">
      <c r="A170" s="155"/>
      <c r="B170" s="156" t="s">
        <v>561</v>
      </c>
      <c r="C170" s="157">
        <v>0</v>
      </c>
      <c r="D170" s="157">
        <v>0</v>
      </c>
      <c r="E170" s="157">
        <v>0</v>
      </c>
      <c r="F170" s="157">
        <v>0</v>
      </c>
      <c r="G170" s="157">
        <v>0</v>
      </c>
      <c r="H170" s="157">
        <v>0</v>
      </c>
      <c r="I170" s="157">
        <v>0</v>
      </c>
      <c r="J170" s="157">
        <v>0</v>
      </c>
      <c r="K170" s="157">
        <v>0</v>
      </c>
      <c r="L170" s="157">
        <v>0</v>
      </c>
      <c r="M170" s="157">
        <v>0</v>
      </c>
      <c r="N170" s="157">
        <v>0</v>
      </c>
      <c r="O170" s="157">
        <v>0</v>
      </c>
      <c r="P170" s="157">
        <v>0</v>
      </c>
      <c r="Q170" s="157">
        <v>0</v>
      </c>
      <c r="R170" s="157">
        <v>0</v>
      </c>
      <c r="S170" s="157">
        <v>0</v>
      </c>
      <c r="T170" s="158">
        <v>0</v>
      </c>
      <c r="U170" s="159" t="e">
        <v>#DIV/0!</v>
      </c>
      <c r="V170" s="158">
        <v>0</v>
      </c>
      <c r="W170" s="158">
        <v>0</v>
      </c>
      <c r="X170" s="158">
        <v>0</v>
      </c>
      <c r="Y170" s="158">
        <v>0</v>
      </c>
      <c r="Z170" s="158">
        <v>0</v>
      </c>
      <c r="AA170" s="158">
        <v>0</v>
      </c>
    </row>
    <row r="171" spans="1:27" ht="12" customHeight="1" x14ac:dyDescent="0.25">
      <c r="A171" s="155"/>
      <c r="B171" s="162" t="s">
        <v>562</v>
      </c>
      <c r="C171" s="163">
        <v>0</v>
      </c>
      <c r="D171" s="163">
        <v>0</v>
      </c>
      <c r="E171" s="163">
        <v>0</v>
      </c>
      <c r="F171" s="163">
        <v>0</v>
      </c>
      <c r="G171" s="163">
        <v>0</v>
      </c>
      <c r="H171" s="163">
        <v>0</v>
      </c>
      <c r="I171" s="163">
        <v>0</v>
      </c>
      <c r="J171" s="163">
        <v>0</v>
      </c>
      <c r="K171" s="163">
        <v>0</v>
      </c>
      <c r="L171" s="163">
        <v>0</v>
      </c>
      <c r="M171" s="163">
        <v>0</v>
      </c>
      <c r="N171" s="163">
        <v>0</v>
      </c>
      <c r="O171" s="163">
        <v>0</v>
      </c>
      <c r="P171" s="163">
        <v>0</v>
      </c>
      <c r="Q171" s="163">
        <v>0</v>
      </c>
      <c r="R171" s="163">
        <v>0</v>
      </c>
      <c r="S171" s="163">
        <v>0</v>
      </c>
      <c r="T171" s="164">
        <v>0</v>
      </c>
      <c r="U171" s="165" t="e">
        <v>#DIV/0!</v>
      </c>
      <c r="V171" s="164">
        <v>0</v>
      </c>
      <c r="W171" s="164">
        <v>0</v>
      </c>
      <c r="X171" s="164">
        <v>0</v>
      </c>
      <c r="Y171" s="164">
        <v>0</v>
      </c>
      <c r="Z171" s="164">
        <v>0</v>
      </c>
      <c r="AA171" s="164">
        <v>0</v>
      </c>
    </row>
    <row r="172" spans="1:27" ht="12" customHeight="1" x14ac:dyDescent="0.25">
      <c r="A172" s="155"/>
      <c r="B172" s="155" t="s">
        <v>563</v>
      </c>
      <c r="C172" s="169">
        <v>0</v>
      </c>
      <c r="D172" s="169">
        <v>0</v>
      </c>
      <c r="E172" s="169">
        <v>0</v>
      </c>
      <c r="F172" s="169">
        <v>0</v>
      </c>
      <c r="G172" s="169">
        <v>0</v>
      </c>
      <c r="H172" s="169">
        <v>0</v>
      </c>
      <c r="I172" s="169">
        <v>0</v>
      </c>
      <c r="J172" s="169">
        <v>0</v>
      </c>
      <c r="K172" s="169">
        <v>0</v>
      </c>
      <c r="L172" s="169">
        <v>0</v>
      </c>
      <c r="M172" s="169">
        <v>0</v>
      </c>
      <c r="N172" s="169">
        <v>0</v>
      </c>
      <c r="O172" s="169">
        <v>0</v>
      </c>
      <c r="P172" s="169">
        <v>0</v>
      </c>
      <c r="Q172" s="169">
        <v>0</v>
      </c>
      <c r="R172" s="169">
        <v>0</v>
      </c>
      <c r="S172" s="169">
        <v>0</v>
      </c>
      <c r="T172" s="167">
        <v>0</v>
      </c>
      <c r="U172" s="168" t="e">
        <v>#DIV/0!</v>
      </c>
      <c r="V172" s="167">
        <v>0</v>
      </c>
      <c r="W172" s="167">
        <v>0</v>
      </c>
      <c r="X172" s="167">
        <v>0</v>
      </c>
      <c r="Y172" s="167">
        <v>0</v>
      </c>
      <c r="Z172" s="167">
        <v>0</v>
      </c>
      <c r="AA172" s="167">
        <v>0</v>
      </c>
    </row>
    <row r="173" spans="1:27" ht="12" customHeight="1" x14ac:dyDescent="0.25">
      <c r="A173" s="155" t="s">
        <v>1255</v>
      </c>
      <c r="B173" s="166" t="s">
        <v>564</v>
      </c>
      <c r="C173" s="167">
        <v>0</v>
      </c>
      <c r="D173" s="167">
        <v>0</v>
      </c>
      <c r="E173" s="167">
        <v>0</v>
      </c>
      <c r="F173" s="167">
        <v>0</v>
      </c>
      <c r="G173" s="167">
        <v>0</v>
      </c>
      <c r="H173" s="167">
        <v>0</v>
      </c>
      <c r="I173" s="167">
        <v>0</v>
      </c>
      <c r="J173" s="167">
        <v>0</v>
      </c>
      <c r="K173" s="167">
        <v>0</v>
      </c>
      <c r="L173" s="167">
        <v>0</v>
      </c>
      <c r="M173" s="167">
        <v>0</v>
      </c>
      <c r="N173" s="167">
        <v>0</v>
      </c>
      <c r="O173" s="167">
        <v>0</v>
      </c>
      <c r="P173" s="167">
        <v>0</v>
      </c>
      <c r="Q173" s="167">
        <v>0</v>
      </c>
      <c r="R173" s="167">
        <v>0</v>
      </c>
      <c r="S173" s="167">
        <v>0</v>
      </c>
      <c r="T173" s="167">
        <v>0</v>
      </c>
      <c r="U173" s="168" t="e">
        <v>#DIV/0!</v>
      </c>
      <c r="V173" s="167">
        <v>0</v>
      </c>
      <c r="W173" s="167">
        <v>0</v>
      </c>
      <c r="X173" s="167">
        <v>0</v>
      </c>
      <c r="Y173" s="167">
        <v>0</v>
      </c>
      <c r="Z173" s="167">
        <v>0</v>
      </c>
      <c r="AA173" s="167">
        <v>0</v>
      </c>
    </row>
    <row r="174" spans="1:27" ht="12" customHeight="1" x14ac:dyDescent="0.25">
      <c r="A174" s="155" t="s">
        <v>1256</v>
      </c>
      <c r="B174" s="166" t="s">
        <v>565</v>
      </c>
      <c r="C174" s="167">
        <v>0</v>
      </c>
      <c r="D174" s="167">
        <v>0</v>
      </c>
      <c r="E174" s="167">
        <v>0</v>
      </c>
      <c r="F174" s="167">
        <v>0</v>
      </c>
      <c r="G174" s="167">
        <v>0</v>
      </c>
      <c r="H174" s="167">
        <v>0</v>
      </c>
      <c r="I174" s="167">
        <v>0</v>
      </c>
      <c r="J174" s="167">
        <v>0</v>
      </c>
      <c r="K174" s="167">
        <v>0</v>
      </c>
      <c r="L174" s="167">
        <v>0</v>
      </c>
      <c r="M174" s="167">
        <v>0</v>
      </c>
      <c r="N174" s="167">
        <v>0</v>
      </c>
      <c r="O174" s="167">
        <v>0</v>
      </c>
      <c r="P174" s="167">
        <v>0</v>
      </c>
      <c r="Q174" s="167">
        <v>0</v>
      </c>
      <c r="R174" s="167">
        <v>0</v>
      </c>
      <c r="S174" s="167">
        <v>0</v>
      </c>
      <c r="T174" s="167">
        <v>0</v>
      </c>
      <c r="U174" s="168" t="e">
        <v>#DIV/0!</v>
      </c>
      <c r="V174" s="167">
        <v>0</v>
      </c>
      <c r="W174" s="167">
        <v>0</v>
      </c>
      <c r="X174" s="167">
        <v>0</v>
      </c>
      <c r="Y174" s="167">
        <v>0</v>
      </c>
      <c r="Z174" s="167">
        <v>0</v>
      </c>
      <c r="AA174" s="167">
        <v>0</v>
      </c>
    </row>
    <row r="175" spans="1:27" ht="12" customHeight="1" x14ac:dyDescent="0.25">
      <c r="A175" s="155"/>
      <c r="B175" s="155" t="s">
        <v>1257</v>
      </c>
      <c r="C175" s="167">
        <v>0</v>
      </c>
      <c r="D175" s="167">
        <v>0</v>
      </c>
      <c r="E175" s="167">
        <v>0</v>
      </c>
      <c r="F175" s="167">
        <v>0</v>
      </c>
      <c r="G175" s="167">
        <v>0</v>
      </c>
      <c r="H175" s="167">
        <v>0</v>
      </c>
      <c r="I175" s="167">
        <v>0</v>
      </c>
      <c r="J175" s="167">
        <v>0</v>
      </c>
      <c r="K175" s="167">
        <v>0</v>
      </c>
      <c r="L175" s="167">
        <v>0</v>
      </c>
      <c r="M175" s="167">
        <v>0</v>
      </c>
      <c r="N175" s="167">
        <v>0</v>
      </c>
      <c r="O175" s="167">
        <v>0</v>
      </c>
      <c r="P175" s="167">
        <v>0</v>
      </c>
      <c r="Q175" s="167">
        <v>0</v>
      </c>
      <c r="R175" s="167">
        <v>0</v>
      </c>
      <c r="S175" s="167">
        <v>0</v>
      </c>
      <c r="T175" s="167">
        <v>0</v>
      </c>
      <c r="U175" s="168" t="e">
        <v>#DIV/0!</v>
      </c>
      <c r="V175" s="167">
        <v>0</v>
      </c>
      <c r="W175" s="167">
        <v>0</v>
      </c>
      <c r="X175" s="167">
        <v>0</v>
      </c>
      <c r="Y175" s="167">
        <v>0</v>
      </c>
      <c r="Z175" s="167">
        <v>0</v>
      </c>
      <c r="AA175" s="167">
        <v>0</v>
      </c>
    </row>
    <row r="176" spans="1:27" ht="12" customHeight="1" x14ac:dyDescent="0.25">
      <c r="A176" s="155" t="s">
        <v>1258</v>
      </c>
      <c r="B176" s="166" t="s">
        <v>1259</v>
      </c>
      <c r="C176" s="167">
        <v>0</v>
      </c>
      <c r="D176" s="167">
        <v>0</v>
      </c>
      <c r="E176" s="167">
        <v>0</v>
      </c>
      <c r="F176" s="167">
        <v>0</v>
      </c>
      <c r="G176" s="167">
        <v>0</v>
      </c>
      <c r="H176" s="167">
        <v>0</v>
      </c>
      <c r="I176" s="167">
        <v>0</v>
      </c>
      <c r="J176" s="167">
        <v>0</v>
      </c>
      <c r="K176" s="167">
        <v>0</v>
      </c>
      <c r="L176" s="167">
        <v>0</v>
      </c>
      <c r="M176" s="167">
        <v>0</v>
      </c>
      <c r="N176" s="167">
        <v>0</v>
      </c>
      <c r="O176" s="167">
        <v>0</v>
      </c>
      <c r="P176" s="167">
        <v>0</v>
      </c>
      <c r="Q176" s="167">
        <v>0</v>
      </c>
      <c r="R176" s="167">
        <v>0</v>
      </c>
      <c r="S176" s="167">
        <v>0</v>
      </c>
      <c r="T176" s="167">
        <v>0</v>
      </c>
      <c r="U176" s="168" t="e">
        <v>#DIV/0!</v>
      </c>
      <c r="V176" s="167">
        <v>0</v>
      </c>
      <c r="W176" s="167">
        <v>0</v>
      </c>
      <c r="X176" s="167">
        <v>0</v>
      </c>
      <c r="Y176" s="167">
        <v>0</v>
      </c>
      <c r="Z176" s="167">
        <v>0</v>
      </c>
      <c r="AA176" s="167">
        <v>0</v>
      </c>
    </row>
    <row r="177" spans="1:27" ht="12" customHeight="1" x14ac:dyDescent="0.25">
      <c r="A177" s="155" t="s">
        <v>1260</v>
      </c>
      <c r="B177" s="166" t="s">
        <v>1261</v>
      </c>
      <c r="C177" s="167">
        <v>0</v>
      </c>
      <c r="D177" s="167">
        <v>0</v>
      </c>
      <c r="E177" s="167">
        <v>0</v>
      </c>
      <c r="F177" s="167">
        <v>0</v>
      </c>
      <c r="G177" s="167">
        <v>0</v>
      </c>
      <c r="H177" s="167">
        <v>0</v>
      </c>
      <c r="I177" s="167">
        <v>0</v>
      </c>
      <c r="J177" s="167">
        <v>0</v>
      </c>
      <c r="K177" s="167">
        <v>0</v>
      </c>
      <c r="L177" s="167">
        <v>0</v>
      </c>
      <c r="M177" s="167">
        <v>0</v>
      </c>
      <c r="N177" s="167">
        <v>0</v>
      </c>
      <c r="O177" s="167">
        <v>0</v>
      </c>
      <c r="P177" s="167">
        <v>0</v>
      </c>
      <c r="Q177" s="167">
        <v>0</v>
      </c>
      <c r="R177" s="167">
        <v>0</v>
      </c>
      <c r="S177" s="167">
        <v>0</v>
      </c>
      <c r="T177" s="167">
        <v>0</v>
      </c>
      <c r="U177" s="168" t="e">
        <v>#DIV/0!</v>
      </c>
      <c r="V177" s="167">
        <v>0</v>
      </c>
      <c r="W177" s="167">
        <v>0</v>
      </c>
      <c r="X177" s="167">
        <v>0</v>
      </c>
      <c r="Y177" s="167">
        <v>0</v>
      </c>
      <c r="Z177" s="167">
        <v>0</v>
      </c>
      <c r="AA177" s="167">
        <v>0</v>
      </c>
    </row>
    <row r="178" spans="1:27" ht="12" customHeight="1" x14ac:dyDescent="0.25">
      <c r="A178" s="155" t="s">
        <v>1262</v>
      </c>
      <c r="B178" s="155" t="s">
        <v>566</v>
      </c>
      <c r="C178" s="167">
        <v>0</v>
      </c>
      <c r="D178" s="167">
        <v>0</v>
      </c>
      <c r="E178" s="167">
        <v>0</v>
      </c>
      <c r="F178" s="167">
        <v>0</v>
      </c>
      <c r="G178" s="167">
        <v>0</v>
      </c>
      <c r="H178" s="167">
        <v>0</v>
      </c>
      <c r="I178" s="167">
        <v>0</v>
      </c>
      <c r="J178" s="167">
        <v>0</v>
      </c>
      <c r="K178" s="167">
        <v>0</v>
      </c>
      <c r="L178" s="167">
        <v>0</v>
      </c>
      <c r="M178" s="167">
        <v>0</v>
      </c>
      <c r="N178" s="167">
        <v>0</v>
      </c>
      <c r="O178" s="167">
        <v>0</v>
      </c>
      <c r="P178" s="167">
        <v>0</v>
      </c>
      <c r="Q178" s="167">
        <v>0</v>
      </c>
      <c r="R178" s="167">
        <v>0</v>
      </c>
      <c r="S178" s="167">
        <v>0</v>
      </c>
      <c r="T178" s="167">
        <v>0</v>
      </c>
      <c r="U178" s="168" t="e">
        <v>#DIV/0!</v>
      </c>
      <c r="V178" s="167">
        <v>0</v>
      </c>
      <c r="W178" s="167">
        <v>0</v>
      </c>
      <c r="X178" s="167">
        <v>0</v>
      </c>
      <c r="Y178" s="167">
        <v>0</v>
      </c>
      <c r="Z178" s="167">
        <v>0</v>
      </c>
      <c r="AA178" s="167">
        <v>0</v>
      </c>
    </row>
    <row r="179" spans="1:27" ht="12" customHeight="1" x14ac:dyDescent="0.25">
      <c r="A179" s="155" t="s">
        <v>1263</v>
      </c>
      <c r="B179" s="155" t="s">
        <v>567</v>
      </c>
      <c r="C179" s="167">
        <v>0</v>
      </c>
      <c r="D179" s="167">
        <v>0</v>
      </c>
      <c r="E179" s="167">
        <v>0</v>
      </c>
      <c r="F179" s="167">
        <v>0</v>
      </c>
      <c r="G179" s="167">
        <v>0</v>
      </c>
      <c r="H179" s="167">
        <v>0</v>
      </c>
      <c r="I179" s="167">
        <v>0</v>
      </c>
      <c r="J179" s="167">
        <v>0</v>
      </c>
      <c r="K179" s="167">
        <v>0</v>
      </c>
      <c r="L179" s="167">
        <v>0</v>
      </c>
      <c r="M179" s="167">
        <v>0</v>
      </c>
      <c r="N179" s="167">
        <v>0</v>
      </c>
      <c r="O179" s="167">
        <v>0</v>
      </c>
      <c r="P179" s="167">
        <v>0</v>
      </c>
      <c r="Q179" s="167">
        <v>0</v>
      </c>
      <c r="R179" s="167">
        <v>0</v>
      </c>
      <c r="S179" s="167">
        <v>0</v>
      </c>
      <c r="T179" s="167">
        <v>0</v>
      </c>
      <c r="U179" s="168" t="e">
        <v>#DIV/0!</v>
      </c>
      <c r="V179" s="167">
        <v>0</v>
      </c>
      <c r="W179" s="167">
        <v>0</v>
      </c>
      <c r="X179" s="167">
        <v>0</v>
      </c>
      <c r="Y179" s="167">
        <v>0</v>
      </c>
      <c r="Z179" s="167">
        <v>0</v>
      </c>
      <c r="AA179" s="167">
        <v>0</v>
      </c>
    </row>
    <row r="180" spans="1:27" ht="12" customHeight="1" x14ac:dyDescent="0.25">
      <c r="A180" s="155"/>
      <c r="B180" s="162" t="s">
        <v>568</v>
      </c>
      <c r="C180" s="163">
        <v>0</v>
      </c>
      <c r="D180" s="163">
        <v>0</v>
      </c>
      <c r="E180" s="163">
        <v>0</v>
      </c>
      <c r="F180" s="163">
        <v>0</v>
      </c>
      <c r="G180" s="163">
        <v>0</v>
      </c>
      <c r="H180" s="163">
        <v>0</v>
      </c>
      <c r="I180" s="163">
        <v>0</v>
      </c>
      <c r="J180" s="163">
        <v>0</v>
      </c>
      <c r="K180" s="163">
        <v>0</v>
      </c>
      <c r="L180" s="163">
        <v>0</v>
      </c>
      <c r="M180" s="163">
        <v>0</v>
      </c>
      <c r="N180" s="163">
        <v>0</v>
      </c>
      <c r="O180" s="163">
        <v>0</v>
      </c>
      <c r="P180" s="163">
        <v>0</v>
      </c>
      <c r="Q180" s="163">
        <v>0</v>
      </c>
      <c r="R180" s="163">
        <v>0</v>
      </c>
      <c r="S180" s="163">
        <v>0</v>
      </c>
      <c r="T180" s="164">
        <v>0</v>
      </c>
      <c r="U180" s="165" t="e">
        <v>#DIV/0!</v>
      </c>
      <c r="V180" s="164">
        <v>0</v>
      </c>
      <c r="W180" s="164">
        <v>0</v>
      </c>
      <c r="X180" s="164">
        <v>0</v>
      </c>
      <c r="Y180" s="164">
        <v>0</v>
      </c>
      <c r="Z180" s="164">
        <v>0</v>
      </c>
      <c r="AA180" s="164">
        <v>0</v>
      </c>
    </row>
    <row r="181" spans="1:27" ht="12" customHeight="1" x14ac:dyDescent="0.25">
      <c r="A181" s="155" t="s">
        <v>1264</v>
      </c>
      <c r="B181" s="155" t="s">
        <v>569</v>
      </c>
      <c r="C181" s="167">
        <v>0</v>
      </c>
      <c r="D181" s="167">
        <v>0</v>
      </c>
      <c r="E181" s="167">
        <v>0</v>
      </c>
      <c r="F181" s="167">
        <v>0</v>
      </c>
      <c r="G181" s="167">
        <v>0</v>
      </c>
      <c r="H181" s="167">
        <v>0</v>
      </c>
      <c r="I181" s="167">
        <v>0</v>
      </c>
      <c r="J181" s="167">
        <v>0</v>
      </c>
      <c r="K181" s="167">
        <v>0</v>
      </c>
      <c r="L181" s="167">
        <v>0</v>
      </c>
      <c r="M181" s="167">
        <v>0</v>
      </c>
      <c r="N181" s="167">
        <v>0</v>
      </c>
      <c r="O181" s="167">
        <v>0</v>
      </c>
      <c r="P181" s="167">
        <v>0</v>
      </c>
      <c r="Q181" s="167">
        <v>0</v>
      </c>
      <c r="R181" s="167">
        <v>0</v>
      </c>
      <c r="S181" s="167">
        <v>0</v>
      </c>
      <c r="T181" s="167">
        <v>0</v>
      </c>
      <c r="U181" s="168" t="e">
        <v>#DIV/0!</v>
      </c>
      <c r="V181" s="167">
        <v>0</v>
      </c>
      <c r="W181" s="167">
        <v>0</v>
      </c>
      <c r="X181" s="167">
        <v>0</v>
      </c>
      <c r="Y181" s="167">
        <v>0</v>
      </c>
      <c r="Z181" s="167">
        <v>0</v>
      </c>
      <c r="AA181" s="167">
        <v>0</v>
      </c>
    </row>
    <row r="182" spans="1:27" ht="12" customHeight="1" x14ac:dyDescent="0.25">
      <c r="A182" s="155" t="s">
        <v>1265</v>
      </c>
      <c r="B182" s="155" t="s">
        <v>570</v>
      </c>
      <c r="C182" s="167">
        <v>0</v>
      </c>
      <c r="D182" s="167">
        <v>0</v>
      </c>
      <c r="E182" s="167">
        <v>0</v>
      </c>
      <c r="F182" s="167">
        <v>0</v>
      </c>
      <c r="G182" s="167">
        <v>0</v>
      </c>
      <c r="H182" s="167">
        <v>0</v>
      </c>
      <c r="I182" s="167">
        <v>0</v>
      </c>
      <c r="J182" s="167">
        <v>0</v>
      </c>
      <c r="K182" s="167">
        <v>0</v>
      </c>
      <c r="L182" s="167">
        <v>0</v>
      </c>
      <c r="M182" s="167">
        <v>0</v>
      </c>
      <c r="N182" s="167">
        <v>0</v>
      </c>
      <c r="O182" s="167">
        <v>0</v>
      </c>
      <c r="P182" s="167">
        <v>0</v>
      </c>
      <c r="Q182" s="167">
        <v>0</v>
      </c>
      <c r="R182" s="167">
        <v>0</v>
      </c>
      <c r="S182" s="167">
        <v>0</v>
      </c>
      <c r="T182" s="167">
        <v>0</v>
      </c>
      <c r="U182" s="168" t="e">
        <v>#DIV/0!</v>
      </c>
      <c r="V182" s="167">
        <v>0</v>
      </c>
      <c r="W182" s="167">
        <v>0</v>
      </c>
      <c r="X182" s="167">
        <v>0</v>
      </c>
      <c r="Y182" s="167">
        <v>0</v>
      </c>
      <c r="Z182" s="167">
        <v>0</v>
      </c>
      <c r="AA182" s="167">
        <v>0</v>
      </c>
    </row>
    <row r="183" spans="1:27" ht="12" customHeight="1" x14ac:dyDescent="0.25">
      <c r="A183" s="155" t="s">
        <v>1266</v>
      </c>
      <c r="B183" s="155" t="s">
        <v>571</v>
      </c>
      <c r="C183" s="167">
        <v>0</v>
      </c>
      <c r="D183" s="167">
        <v>0</v>
      </c>
      <c r="E183" s="167">
        <v>0</v>
      </c>
      <c r="F183" s="167">
        <v>0</v>
      </c>
      <c r="G183" s="167">
        <v>0</v>
      </c>
      <c r="H183" s="167">
        <v>0</v>
      </c>
      <c r="I183" s="167">
        <v>0</v>
      </c>
      <c r="J183" s="167">
        <v>0</v>
      </c>
      <c r="K183" s="167">
        <v>0</v>
      </c>
      <c r="L183" s="167">
        <v>0</v>
      </c>
      <c r="M183" s="167">
        <v>0</v>
      </c>
      <c r="N183" s="167">
        <v>0</v>
      </c>
      <c r="O183" s="167">
        <v>0</v>
      </c>
      <c r="P183" s="167">
        <v>0</v>
      </c>
      <c r="Q183" s="167">
        <v>0</v>
      </c>
      <c r="R183" s="167">
        <v>0</v>
      </c>
      <c r="S183" s="167">
        <v>0</v>
      </c>
      <c r="T183" s="167">
        <v>0</v>
      </c>
      <c r="U183" s="168" t="e">
        <v>#DIV/0!</v>
      </c>
      <c r="V183" s="167">
        <v>0</v>
      </c>
      <c r="W183" s="167">
        <v>0</v>
      </c>
      <c r="X183" s="167">
        <v>0</v>
      </c>
      <c r="Y183" s="167">
        <v>0</v>
      </c>
      <c r="Z183" s="167">
        <v>0</v>
      </c>
      <c r="AA183" s="167">
        <v>0</v>
      </c>
    </row>
    <row r="184" spans="1:27" ht="12" customHeight="1" x14ac:dyDescent="0.25">
      <c r="A184" s="155"/>
      <c r="B184" s="162" t="s">
        <v>572</v>
      </c>
      <c r="C184" s="163">
        <v>0</v>
      </c>
      <c r="D184" s="163">
        <v>0</v>
      </c>
      <c r="E184" s="163">
        <v>0</v>
      </c>
      <c r="F184" s="163">
        <v>0</v>
      </c>
      <c r="G184" s="163">
        <v>0</v>
      </c>
      <c r="H184" s="163">
        <v>0</v>
      </c>
      <c r="I184" s="163">
        <v>0</v>
      </c>
      <c r="J184" s="163">
        <v>0</v>
      </c>
      <c r="K184" s="163">
        <v>0</v>
      </c>
      <c r="L184" s="163">
        <v>0</v>
      </c>
      <c r="M184" s="163">
        <v>0</v>
      </c>
      <c r="N184" s="163">
        <v>0</v>
      </c>
      <c r="O184" s="163">
        <v>0</v>
      </c>
      <c r="P184" s="163">
        <v>0</v>
      </c>
      <c r="Q184" s="163">
        <v>0</v>
      </c>
      <c r="R184" s="163">
        <v>0</v>
      </c>
      <c r="S184" s="163">
        <v>0</v>
      </c>
      <c r="T184" s="164">
        <v>0</v>
      </c>
      <c r="U184" s="165" t="e">
        <v>#DIV/0!</v>
      </c>
      <c r="V184" s="164">
        <v>0</v>
      </c>
      <c r="W184" s="164">
        <v>0</v>
      </c>
      <c r="X184" s="164">
        <v>0</v>
      </c>
      <c r="Y184" s="164">
        <v>0</v>
      </c>
      <c r="Z184" s="164">
        <v>0</v>
      </c>
      <c r="AA184" s="164">
        <v>0</v>
      </c>
    </row>
    <row r="185" spans="1:27" ht="12" customHeight="1" x14ac:dyDescent="0.25">
      <c r="A185" s="155" t="s">
        <v>1267</v>
      </c>
      <c r="B185" s="155" t="s">
        <v>573</v>
      </c>
      <c r="C185" s="167">
        <v>0</v>
      </c>
      <c r="D185" s="167">
        <v>0</v>
      </c>
      <c r="E185" s="167">
        <v>0</v>
      </c>
      <c r="F185" s="167">
        <v>0</v>
      </c>
      <c r="G185" s="167">
        <v>0</v>
      </c>
      <c r="H185" s="167">
        <v>0</v>
      </c>
      <c r="I185" s="167">
        <v>0</v>
      </c>
      <c r="J185" s="167">
        <v>0</v>
      </c>
      <c r="K185" s="167">
        <v>0</v>
      </c>
      <c r="L185" s="167">
        <v>0</v>
      </c>
      <c r="M185" s="167">
        <v>0</v>
      </c>
      <c r="N185" s="167">
        <v>0</v>
      </c>
      <c r="O185" s="167">
        <v>0</v>
      </c>
      <c r="P185" s="167">
        <v>0</v>
      </c>
      <c r="Q185" s="167">
        <v>0</v>
      </c>
      <c r="R185" s="167">
        <v>0</v>
      </c>
      <c r="S185" s="167">
        <v>0</v>
      </c>
      <c r="T185" s="167">
        <v>0</v>
      </c>
      <c r="U185" s="168" t="e">
        <v>#DIV/0!</v>
      </c>
      <c r="V185" s="167">
        <v>0</v>
      </c>
      <c r="W185" s="167">
        <v>0</v>
      </c>
      <c r="X185" s="167">
        <v>0</v>
      </c>
      <c r="Y185" s="167">
        <v>0</v>
      </c>
      <c r="Z185" s="167">
        <v>0</v>
      </c>
      <c r="AA185" s="167">
        <v>0</v>
      </c>
    </row>
    <row r="186" spans="1:27" ht="12" customHeight="1" x14ac:dyDescent="0.25">
      <c r="A186" s="155" t="s">
        <v>1268</v>
      </c>
      <c r="B186" s="155" t="s">
        <v>574</v>
      </c>
      <c r="C186" s="167">
        <v>0</v>
      </c>
      <c r="D186" s="167">
        <v>0</v>
      </c>
      <c r="E186" s="167">
        <v>0</v>
      </c>
      <c r="F186" s="167">
        <v>0</v>
      </c>
      <c r="G186" s="167">
        <v>0</v>
      </c>
      <c r="H186" s="167">
        <v>0</v>
      </c>
      <c r="I186" s="167">
        <v>0</v>
      </c>
      <c r="J186" s="167">
        <v>0</v>
      </c>
      <c r="K186" s="167">
        <v>0</v>
      </c>
      <c r="L186" s="167">
        <v>0</v>
      </c>
      <c r="M186" s="167">
        <v>0</v>
      </c>
      <c r="N186" s="167">
        <v>0</v>
      </c>
      <c r="O186" s="167">
        <v>0</v>
      </c>
      <c r="P186" s="167">
        <v>0</v>
      </c>
      <c r="Q186" s="167">
        <v>0</v>
      </c>
      <c r="R186" s="167">
        <v>0</v>
      </c>
      <c r="S186" s="167">
        <v>0</v>
      </c>
      <c r="T186" s="167">
        <v>0</v>
      </c>
      <c r="U186" s="168" t="e">
        <v>#DIV/0!</v>
      </c>
      <c r="V186" s="167">
        <v>0</v>
      </c>
      <c r="W186" s="167">
        <v>0</v>
      </c>
      <c r="X186" s="167">
        <v>0</v>
      </c>
      <c r="Y186" s="167">
        <v>0</v>
      </c>
      <c r="Z186" s="167">
        <v>0</v>
      </c>
      <c r="AA186" s="167">
        <v>0</v>
      </c>
    </row>
    <row r="187" spans="1:27" ht="12" customHeight="1" x14ac:dyDescent="0.25">
      <c r="A187" s="155" t="s">
        <v>1269</v>
      </c>
      <c r="B187" s="155" t="s">
        <v>575</v>
      </c>
      <c r="C187" s="167">
        <v>0</v>
      </c>
      <c r="D187" s="167">
        <v>0</v>
      </c>
      <c r="E187" s="167">
        <v>0</v>
      </c>
      <c r="F187" s="167">
        <v>0</v>
      </c>
      <c r="G187" s="167">
        <v>0</v>
      </c>
      <c r="H187" s="167">
        <v>0</v>
      </c>
      <c r="I187" s="167">
        <v>0</v>
      </c>
      <c r="J187" s="167">
        <v>0</v>
      </c>
      <c r="K187" s="167">
        <v>0</v>
      </c>
      <c r="L187" s="167">
        <v>0</v>
      </c>
      <c r="M187" s="167">
        <v>0</v>
      </c>
      <c r="N187" s="167">
        <v>0</v>
      </c>
      <c r="O187" s="167">
        <v>0</v>
      </c>
      <c r="P187" s="167">
        <v>0</v>
      </c>
      <c r="Q187" s="167">
        <v>0</v>
      </c>
      <c r="R187" s="167">
        <v>0</v>
      </c>
      <c r="S187" s="167">
        <v>0</v>
      </c>
      <c r="T187" s="167">
        <v>0</v>
      </c>
      <c r="U187" s="168" t="e">
        <v>#DIV/0!</v>
      </c>
      <c r="V187" s="167">
        <v>0</v>
      </c>
      <c r="W187" s="167">
        <v>0</v>
      </c>
      <c r="X187" s="167">
        <v>0</v>
      </c>
      <c r="Y187" s="167">
        <v>0</v>
      </c>
      <c r="Z187" s="167">
        <v>0</v>
      </c>
      <c r="AA187" s="167">
        <v>0</v>
      </c>
    </row>
    <row r="188" spans="1:27" ht="12" customHeight="1" x14ac:dyDescent="0.25">
      <c r="A188" s="155" t="s">
        <v>1270</v>
      </c>
      <c r="B188" s="155" t="s">
        <v>576</v>
      </c>
      <c r="C188" s="167">
        <v>0</v>
      </c>
      <c r="D188" s="167">
        <v>0</v>
      </c>
      <c r="E188" s="167">
        <v>0</v>
      </c>
      <c r="F188" s="167">
        <v>0</v>
      </c>
      <c r="G188" s="167">
        <v>0</v>
      </c>
      <c r="H188" s="167">
        <v>0</v>
      </c>
      <c r="I188" s="167">
        <v>0</v>
      </c>
      <c r="J188" s="167">
        <v>0</v>
      </c>
      <c r="K188" s="167">
        <v>0</v>
      </c>
      <c r="L188" s="167">
        <v>0</v>
      </c>
      <c r="M188" s="167">
        <v>0</v>
      </c>
      <c r="N188" s="167">
        <v>0</v>
      </c>
      <c r="O188" s="167">
        <v>0</v>
      </c>
      <c r="P188" s="167">
        <v>0</v>
      </c>
      <c r="Q188" s="167">
        <v>0</v>
      </c>
      <c r="R188" s="167">
        <v>0</v>
      </c>
      <c r="S188" s="167">
        <v>0</v>
      </c>
      <c r="T188" s="167">
        <v>0</v>
      </c>
      <c r="U188" s="168" t="e">
        <v>#DIV/0!</v>
      </c>
      <c r="V188" s="167">
        <v>0</v>
      </c>
      <c r="W188" s="167">
        <v>0</v>
      </c>
      <c r="X188" s="167">
        <v>0</v>
      </c>
      <c r="Y188" s="167">
        <v>0</v>
      </c>
      <c r="Z188" s="167">
        <v>0</v>
      </c>
      <c r="AA188" s="167">
        <v>0</v>
      </c>
    </row>
    <row r="189" spans="1:27" ht="12" customHeight="1" x14ac:dyDescent="0.25">
      <c r="A189" s="155" t="s">
        <v>1271</v>
      </c>
      <c r="B189" s="155" t="s">
        <v>577</v>
      </c>
      <c r="C189" s="167">
        <v>0</v>
      </c>
      <c r="D189" s="167">
        <v>0</v>
      </c>
      <c r="E189" s="167">
        <v>0</v>
      </c>
      <c r="F189" s="167">
        <v>0</v>
      </c>
      <c r="G189" s="167">
        <v>0</v>
      </c>
      <c r="H189" s="167">
        <v>0</v>
      </c>
      <c r="I189" s="167">
        <v>0</v>
      </c>
      <c r="J189" s="167">
        <v>0</v>
      </c>
      <c r="K189" s="167">
        <v>0</v>
      </c>
      <c r="L189" s="167">
        <v>0</v>
      </c>
      <c r="M189" s="167">
        <v>0</v>
      </c>
      <c r="N189" s="167">
        <v>0</v>
      </c>
      <c r="O189" s="167">
        <v>0</v>
      </c>
      <c r="P189" s="167">
        <v>0</v>
      </c>
      <c r="Q189" s="167">
        <v>0</v>
      </c>
      <c r="R189" s="167">
        <v>0</v>
      </c>
      <c r="S189" s="167">
        <v>0</v>
      </c>
      <c r="T189" s="167">
        <v>0</v>
      </c>
      <c r="U189" s="168" t="e">
        <v>#DIV/0!</v>
      </c>
      <c r="V189" s="167">
        <v>0</v>
      </c>
      <c r="W189" s="167">
        <v>0</v>
      </c>
      <c r="X189" s="167">
        <v>0</v>
      </c>
      <c r="Y189" s="167">
        <v>0</v>
      </c>
      <c r="Z189" s="167">
        <v>0</v>
      </c>
      <c r="AA189" s="167">
        <v>0</v>
      </c>
    </row>
    <row r="190" spans="1:27" ht="12" customHeight="1" x14ac:dyDescent="0.25">
      <c r="A190" s="155" t="s">
        <v>1272</v>
      </c>
      <c r="B190" s="155" t="s">
        <v>578</v>
      </c>
      <c r="C190" s="167">
        <v>0</v>
      </c>
      <c r="D190" s="167">
        <v>0</v>
      </c>
      <c r="E190" s="167">
        <v>0</v>
      </c>
      <c r="F190" s="167">
        <v>0</v>
      </c>
      <c r="G190" s="167">
        <v>0</v>
      </c>
      <c r="H190" s="167">
        <v>0</v>
      </c>
      <c r="I190" s="167">
        <v>0</v>
      </c>
      <c r="J190" s="167">
        <v>0</v>
      </c>
      <c r="K190" s="167">
        <v>0</v>
      </c>
      <c r="L190" s="167">
        <v>0</v>
      </c>
      <c r="M190" s="167">
        <v>0</v>
      </c>
      <c r="N190" s="167">
        <v>0</v>
      </c>
      <c r="O190" s="167">
        <v>0</v>
      </c>
      <c r="P190" s="167">
        <v>0</v>
      </c>
      <c r="Q190" s="167">
        <v>0</v>
      </c>
      <c r="R190" s="167">
        <v>0</v>
      </c>
      <c r="S190" s="167">
        <v>0</v>
      </c>
      <c r="T190" s="167">
        <v>0</v>
      </c>
      <c r="U190" s="168" t="e">
        <v>#DIV/0!</v>
      </c>
      <c r="V190" s="167">
        <v>0</v>
      </c>
      <c r="W190" s="167">
        <v>0</v>
      </c>
      <c r="X190" s="167">
        <v>0</v>
      </c>
      <c r="Y190" s="167">
        <v>0</v>
      </c>
      <c r="Z190" s="167">
        <v>0</v>
      </c>
      <c r="AA190" s="167">
        <v>0</v>
      </c>
    </row>
    <row r="191" spans="1:27" ht="12" customHeight="1" x14ac:dyDescent="0.25">
      <c r="A191" s="155" t="s">
        <v>1273</v>
      </c>
      <c r="B191" s="155" t="s">
        <v>579</v>
      </c>
      <c r="C191" s="167">
        <v>0</v>
      </c>
      <c r="D191" s="167">
        <v>0</v>
      </c>
      <c r="E191" s="167">
        <v>0</v>
      </c>
      <c r="F191" s="167">
        <v>0</v>
      </c>
      <c r="G191" s="167">
        <v>0</v>
      </c>
      <c r="H191" s="167">
        <v>0</v>
      </c>
      <c r="I191" s="167">
        <v>0</v>
      </c>
      <c r="J191" s="167">
        <v>0</v>
      </c>
      <c r="K191" s="167">
        <v>0</v>
      </c>
      <c r="L191" s="167">
        <v>0</v>
      </c>
      <c r="M191" s="167">
        <v>0</v>
      </c>
      <c r="N191" s="167">
        <v>0</v>
      </c>
      <c r="O191" s="167">
        <v>0</v>
      </c>
      <c r="P191" s="167">
        <v>0</v>
      </c>
      <c r="Q191" s="167">
        <v>0</v>
      </c>
      <c r="R191" s="167">
        <v>0</v>
      </c>
      <c r="S191" s="167">
        <v>0</v>
      </c>
      <c r="T191" s="167">
        <v>0</v>
      </c>
      <c r="U191" s="168" t="e">
        <v>#DIV/0!</v>
      </c>
      <c r="V191" s="167">
        <v>0</v>
      </c>
      <c r="W191" s="167">
        <v>0</v>
      </c>
      <c r="X191" s="167">
        <v>0</v>
      </c>
      <c r="Y191" s="167">
        <v>0</v>
      </c>
      <c r="Z191" s="167">
        <v>0</v>
      </c>
      <c r="AA191" s="167">
        <v>0</v>
      </c>
    </row>
    <row r="192" spans="1:27" ht="12" customHeight="1" x14ac:dyDescent="0.25">
      <c r="A192" s="155" t="s">
        <v>1274</v>
      </c>
      <c r="B192" s="155" t="s">
        <v>580</v>
      </c>
      <c r="C192" s="167">
        <v>0</v>
      </c>
      <c r="D192" s="167">
        <v>0</v>
      </c>
      <c r="E192" s="167">
        <v>0</v>
      </c>
      <c r="F192" s="167">
        <v>0</v>
      </c>
      <c r="G192" s="167">
        <v>0</v>
      </c>
      <c r="H192" s="167">
        <v>0</v>
      </c>
      <c r="I192" s="167">
        <v>0</v>
      </c>
      <c r="J192" s="167">
        <v>0</v>
      </c>
      <c r="K192" s="167">
        <v>0</v>
      </c>
      <c r="L192" s="167">
        <v>0</v>
      </c>
      <c r="M192" s="167">
        <v>0</v>
      </c>
      <c r="N192" s="167">
        <v>0</v>
      </c>
      <c r="O192" s="167">
        <v>0</v>
      </c>
      <c r="P192" s="167">
        <v>0</v>
      </c>
      <c r="Q192" s="167">
        <v>0</v>
      </c>
      <c r="R192" s="167">
        <v>0</v>
      </c>
      <c r="S192" s="167">
        <v>0</v>
      </c>
      <c r="T192" s="167">
        <v>0</v>
      </c>
      <c r="U192" s="168" t="e">
        <v>#DIV/0!</v>
      </c>
      <c r="V192" s="167">
        <v>0</v>
      </c>
      <c r="W192" s="167">
        <v>0</v>
      </c>
      <c r="X192" s="167">
        <v>0</v>
      </c>
      <c r="Y192" s="167">
        <v>0</v>
      </c>
      <c r="Z192" s="167">
        <v>0</v>
      </c>
      <c r="AA192" s="167">
        <v>0</v>
      </c>
    </row>
    <row r="193" spans="1:27" ht="12" customHeight="1" x14ac:dyDescent="0.25">
      <c r="A193" s="155" t="s">
        <v>1275</v>
      </c>
      <c r="B193" s="155" t="s">
        <v>581</v>
      </c>
      <c r="C193" s="167">
        <v>0</v>
      </c>
      <c r="D193" s="167">
        <v>0</v>
      </c>
      <c r="E193" s="167">
        <v>0</v>
      </c>
      <c r="F193" s="167">
        <v>0</v>
      </c>
      <c r="G193" s="167">
        <v>0</v>
      </c>
      <c r="H193" s="167">
        <v>0</v>
      </c>
      <c r="I193" s="167">
        <v>0</v>
      </c>
      <c r="J193" s="167">
        <v>0</v>
      </c>
      <c r="K193" s="167">
        <v>0</v>
      </c>
      <c r="L193" s="167">
        <v>0</v>
      </c>
      <c r="M193" s="167">
        <v>0</v>
      </c>
      <c r="N193" s="167">
        <v>0</v>
      </c>
      <c r="O193" s="167">
        <v>0</v>
      </c>
      <c r="P193" s="167">
        <v>0</v>
      </c>
      <c r="Q193" s="167">
        <v>0</v>
      </c>
      <c r="R193" s="167">
        <v>0</v>
      </c>
      <c r="S193" s="167">
        <v>0</v>
      </c>
      <c r="T193" s="167">
        <v>0</v>
      </c>
      <c r="U193" s="168" t="e">
        <v>#DIV/0!</v>
      </c>
      <c r="V193" s="167">
        <v>0</v>
      </c>
      <c r="W193" s="167">
        <v>0</v>
      </c>
      <c r="X193" s="167">
        <v>0</v>
      </c>
      <c r="Y193" s="167">
        <v>0</v>
      </c>
      <c r="Z193" s="167">
        <v>0</v>
      </c>
      <c r="AA193" s="167">
        <v>0</v>
      </c>
    </row>
    <row r="194" spans="1:27" ht="12" customHeight="1" x14ac:dyDescent="0.25">
      <c r="A194" s="155" t="s">
        <v>1276</v>
      </c>
      <c r="B194" s="155" t="s">
        <v>582</v>
      </c>
      <c r="C194" s="167">
        <v>0</v>
      </c>
      <c r="D194" s="167">
        <v>0</v>
      </c>
      <c r="E194" s="167">
        <v>0</v>
      </c>
      <c r="F194" s="167">
        <v>0</v>
      </c>
      <c r="G194" s="167">
        <v>0</v>
      </c>
      <c r="H194" s="167">
        <v>0</v>
      </c>
      <c r="I194" s="167">
        <v>0</v>
      </c>
      <c r="J194" s="167">
        <v>0</v>
      </c>
      <c r="K194" s="167">
        <v>0</v>
      </c>
      <c r="L194" s="167">
        <v>0</v>
      </c>
      <c r="M194" s="167">
        <v>0</v>
      </c>
      <c r="N194" s="167">
        <v>0</v>
      </c>
      <c r="O194" s="167">
        <v>0</v>
      </c>
      <c r="P194" s="167">
        <v>0</v>
      </c>
      <c r="Q194" s="167">
        <v>0</v>
      </c>
      <c r="R194" s="167">
        <v>0</v>
      </c>
      <c r="S194" s="167">
        <v>0</v>
      </c>
      <c r="T194" s="167">
        <v>0</v>
      </c>
      <c r="U194" s="168" t="e">
        <v>#DIV/0!</v>
      </c>
      <c r="V194" s="167">
        <v>0</v>
      </c>
      <c r="W194" s="167">
        <v>0</v>
      </c>
      <c r="X194" s="167">
        <v>0</v>
      </c>
      <c r="Y194" s="167">
        <v>0</v>
      </c>
      <c r="Z194" s="167">
        <v>0</v>
      </c>
      <c r="AA194" s="167">
        <v>0</v>
      </c>
    </row>
    <row r="195" spans="1:27" ht="12" customHeight="1" x14ac:dyDescent="0.25">
      <c r="A195" s="155" t="s">
        <v>1277</v>
      </c>
      <c r="B195" s="155" t="s">
        <v>583</v>
      </c>
      <c r="C195" s="167">
        <v>0</v>
      </c>
      <c r="D195" s="167">
        <v>0</v>
      </c>
      <c r="E195" s="167">
        <v>0</v>
      </c>
      <c r="F195" s="167">
        <v>0</v>
      </c>
      <c r="G195" s="167">
        <v>0</v>
      </c>
      <c r="H195" s="167">
        <v>0</v>
      </c>
      <c r="I195" s="167">
        <v>0</v>
      </c>
      <c r="J195" s="167">
        <v>0</v>
      </c>
      <c r="K195" s="167">
        <v>0</v>
      </c>
      <c r="L195" s="167">
        <v>0</v>
      </c>
      <c r="M195" s="167">
        <v>0</v>
      </c>
      <c r="N195" s="167">
        <v>0</v>
      </c>
      <c r="O195" s="167">
        <v>0</v>
      </c>
      <c r="P195" s="167">
        <v>0</v>
      </c>
      <c r="Q195" s="167">
        <v>0</v>
      </c>
      <c r="R195" s="167">
        <v>0</v>
      </c>
      <c r="S195" s="167">
        <v>0</v>
      </c>
      <c r="T195" s="167">
        <v>0</v>
      </c>
      <c r="U195" s="168" t="e">
        <v>#DIV/0!</v>
      </c>
      <c r="V195" s="167">
        <v>0</v>
      </c>
      <c r="W195" s="167">
        <v>0</v>
      </c>
      <c r="X195" s="167">
        <v>0</v>
      </c>
      <c r="Y195" s="167">
        <v>0</v>
      </c>
      <c r="Z195" s="167">
        <v>0</v>
      </c>
      <c r="AA195" s="167">
        <v>0</v>
      </c>
    </row>
    <row r="196" spans="1:27" ht="12" customHeight="1" x14ac:dyDescent="0.25">
      <c r="A196" s="155" t="s">
        <v>1278</v>
      </c>
      <c r="B196" s="155" t="s">
        <v>584</v>
      </c>
      <c r="C196" s="167">
        <v>0</v>
      </c>
      <c r="D196" s="167">
        <v>0</v>
      </c>
      <c r="E196" s="167">
        <v>0</v>
      </c>
      <c r="F196" s="167">
        <v>0</v>
      </c>
      <c r="G196" s="167">
        <v>0</v>
      </c>
      <c r="H196" s="167">
        <v>0</v>
      </c>
      <c r="I196" s="167">
        <v>0</v>
      </c>
      <c r="J196" s="167">
        <v>0</v>
      </c>
      <c r="K196" s="167">
        <v>0</v>
      </c>
      <c r="L196" s="167">
        <v>0</v>
      </c>
      <c r="M196" s="167">
        <v>0</v>
      </c>
      <c r="N196" s="167">
        <v>0</v>
      </c>
      <c r="O196" s="167">
        <v>0</v>
      </c>
      <c r="P196" s="167">
        <v>0</v>
      </c>
      <c r="Q196" s="167">
        <v>0</v>
      </c>
      <c r="R196" s="167">
        <v>0</v>
      </c>
      <c r="S196" s="167">
        <v>0</v>
      </c>
      <c r="T196" s="167">
        <v>0</v>
      </c>
      <c r="U196" s="168" t="e">
        <v>#DIV/0!</v>
      </c>
      <c r="V196" s="167">
        <v>0</v>
      </c>
      <c r="W196" s="167">
        <v>0</v>
      </c>
      <c r="X196" s="167">
        <v>0</v>
      </c>
      <c r="Y196" s="167">
        <v>0</v>
      </c>
      <c r="Z196" s="167">
        <v>0</v>
      </c>
      <c r="AA196" s="167">
        <v>0</v>
      </c>
    </row>
    <row r="197" spans="1:27" ht="12" customHeight="1" x14ac:dyDescent="0.25">
      <c r="A197" s="155" t="s">
        <v>1279</v>
      </c>
      <c r="B197" s="155" t="s">
        <v>585</v>
      </c>
      <c r="C197" s="167">
        <v>0</v>
      </c>
      <c r="D197" s="167">
        <v>0</v>
      </c>
      <c r="E197" s="167">
        <v>0</v>
      </c>
      <c r="F197" s="167">
        <v>0</v>
      </c>
      <c r="G197" s="167">
        <v>0</v>
      </c>
      <c r="H197" s="167">
        <v>0</v>
      </c>
      <c r="I197" s="167">
        <v>0</v>
      </c>
      <c r="J197" s="167">
        <v>0</v>
      </c>
      <c r="K197" s="167">
        <v>0</v>
      </c>
      <c r="L197" s="167">
        <v>0</v>
      </c>
      <c r="M197" s="167">
        <v>0</v>
      </c>
      <c r="N197" s="167">
        <v>0</v>
      </c>
      <c r="O197" s="167">
        <v>0</v>
      </c>
      <c r="P197" s="167">
        <v>0</v>
      </c>
      <c r="Q197" s="167">
        <v>0</v>
      </c>
      <c r="R197" s="167">
        <v>0</v>
      </c>
      <c r="S197" s="167">
        <v>0</v>
      </c>
      <c r="T197" s="167">
        <v>0</v>
      </c>
      <c r="U197" s="168" t="e">
        <v>#DIV/0!</v>
      </c>
      <c r="V197" s="167">
        <v>0</v>
      </c>
      <c r="W197" s="167">
        <v>0</v>
      </c>
      <c r="X197" s="167">
        <v>0</v>
      </c>
      <c r="Y197" s="167">
        <v>0</v>
      </c>
      <c r="Z197" s="167">
        <v>0</v>
      </c>
      <c r="AA197" s="167">
        <v>0</v>
      </c>
    </row>
    <row r="198" spans="1:27" ht="12" customHeight="1" x14ac:dyDescent="0.25">
      <c r="A198" s="155" t="s">
        <v>1280</v>
      </c>
      <c r="B198" s="155" t="s">
        <v>586</v>
      </c>
      <c r="C198" s="167">
        <v>0</v>
      </c>
      <c r="D198" s="167">
        <v>0</v>
      </c>
      <c r="E198" s="167">
        <v>0</v>
      </c>
      <c r="F198" s="167">
        <v>0</v>
      </c>
      <c r="G198" s="167">
        <v>0</v>
      </c>
      <c r="H198" s="167">
        <v>0</v>
      </c>
      <c r="I198" s="167">
        <v>0</v>
      </c>
      <c r="J198" s="167">
        <v>0</v>
      </c>
      <c r="K198" s="167">
        <v>0</v>
      </c>
      <c r="L198" s="167">
        <v>0</v>
      </c>
      <c r="M198" s="167">
        <v>0</v>
      </c>
      <c r="N198" s="167">
        <v>0</v>
      </c>
      <c r="O198" s="167">
        <v>0</v>
      </c>
      <c r="P198" s="167">
        <v>0</v>
      </c>
      <c r="Q198" s="167">
        <v>0</v>
      </c>
      <c r="R198" s="167">
        <v>0</v>
      </c>
      <c r="S198" s="167">
        <v>0</v>
      </c>
      <c r="T198" s="167">
        <v>0</v>
      </c>
      <c r="U198" s="168" t="e">
        <v>#DIV/0!</v>
      </c>
      <c r="V198" s="167">
        <v>0</v>
      </c>
      <c r="W198" s="167">
        <v>0</v>
      </c>
      <c r="X198" s="167">
        <v>0</v>
      </c>
      <c r="Y198" s="167">
        <v>0</v>
      </c>
      <c r="Z198" s="167">
        <v>0</v>
      </c>
      <c r="AA198" s="167">
        <v>0</v>
      </c>
    </row>
    <row r="199" spans="1:27" ht="12" customHeight="1" x14ac:dyDescent="0.25">
      <c r="A199" s="155" t="s">
        <v>1281</v>
      </c>
      <c r="B199" s="155" t="s">
        <v>587</v>
      </c>
      <c r="C199" s="167">
        <v>0</v>
      </c>
      <c r="D199" s="167">
        <v>0</v>
      </c>
      <c r="E199" s="167">
        <v>0</v>
      </c>
      <c r="F199" s="167">
        <v>0</v>
      </c>
      <c r="G199" s="167">
        <v>0</v>
      </c>
      <c r="H199" s="167">
        <v>0</v>
      </c>
      <c r="I199" s="167">
        <v>0</v>
      </c>
      <c r="J199" s="167">
        <v>0</v>
      </c>
      <c r="K199" s="167">
        <v>0</v>
      </c>
      <c r="L199" s="167">
        <v>0</v>
      </c>
      <c r="M199" s="167">
        <v>0</v>
      </c>
      <c r="N199" s="167">
        <v>0</v>
      </c>
      <c r="O199" s="167">
        <v>0</v>
      </c>
      <c r="P199" s="167">
        <v>0</v>
      </c>
      <c r="Q199" s="167">
        <v>0</v>
      </c>
      <c r="R199" s="167">
        <v>0</v>
      </c>
      <c r="S199" s="167">
        <v>0</v>
      </c>
      <c r="T199" s="167">
        <v>0</v>
      </c>
      <c r="U199" s="168" t="e">
        <v>#DIV/0!</v>
      </c>
      <c r="V199" s="167">
        <v>0</v>
      </c>
      <c r="W199" s="167">
        <v>0</v>
      </c>
      <c r="X199" s="167">
        <v>0</v>
      </c>
      <c r="Y199" s="167">
        <v>0</v>
      </c>
      <c r="Z199" s="167">
        <v>0</v>
      </c>
      <c r="AA199" s="167">
        <v>0</v>
      </c>
    </row>
    <row r="200" spans="1:27" ht="12" customHeight="1" x14ac:dyDescent="0.25">
      <c r="A200" s="155" t="s">
        <v>1282</v>
      </c>
      <c r="B200" s="155" t="s">
        <v>588</v>
      </c>
      <c r="C200" s="167">
        <v>0</v>
      </c>
      <c r="D200" s="167">
        <v>0</v>
      </c>
      <c r="E200" s="167">
        <v>0</v>
      </c>
      <c r="F200" s="167">
        <v>0</v>
      </c>
      <c r="G200" s="167">
        <v>0</v>
      </c>
      <c r="H200" s="167">
        <v>0</v>
      </c>
      <c r="I200" s="167">
        <v>0</v>
      </c>
      <c r="J200" s="167">
        <v>0</v>
      </c>
      <c r="K200" s="167">
        <v>0</v>
      </c>
      <c r="L200" s="167">
        <v>0</v>
      </c>
      <c r="M200" s="167">
        <v>0</v>
      </c>
      <c r="N200" s="167">
        <v>0</v>
      </c>
      <c r="O200" s="167">
        <v>0</v>
      </c>
      <c r="P200" s="167">
        <v>0</v>
      </c>
      <c r="Q200" s="167">
        <v>0</v>
      </c>
      <c r="R200" s="167">
        <v>0</v>
      </c>
      <c r="S200" s="167">
        <v>0</v>
      </c>
      <c r="T200" s="167">
        <v>0</v>
      </c>
      <c r="U200" s="168" t="e">
        <v>#DIV/0!</v>
      </c>
      <c r="V200" s="167">
        <v>0</v>
      </c>
      <c r="W200" s="167">
        <v>0</v>
      </c>
      <c r="X200" s="167">
        <v>0</v>
      </c>
      <c r="Y200" s="167">
        <v>0</v>
      </c>
      <c r="Z200" s="167">
        <v>0</v>
      </c>
      <c r="AA200" s="167">
        <v>0</v>
      </c>
    </row>
    <row r="201" spans="1:27" ht="12" customHeight="1" x14ac:dyDescent="0.25">
      <c r="A201" s="155" t="s">
        <v>1283</v>
      </c>
      <c r="B201" s="155" t="s">
        <v>589</v>
      </c>
      <c r="C201" s="167">
        <v>0</v>
      </c>
      <c r="D201" s="167">
        <v>0</v>
      </c>
      <c r="E201" s="167">
        <v>0</v>
      </c>
      <c r="F201" s="167">
        <v>0</v>
      </c>
      <c r="G201" s="167">
        <v>0</v>
      </c>
      <c r="H201" s="167">
        <v>0</v>
      </c>
      <c r="I201" s="167">
        <v>0</v>
      </c>
      <c r="J201" s="167">
        <v>0</v>
      </c>
      <c r="K201" s="167">
        <v>0</v>
      </c>
      <c r="L201" s="167">
        <v>0</v>
      </c>
      <c r="M201" s="167">
        <v>0</v>
      </c>
      <c r="N201" s="167">
        <v>0</v>
      </c>
      <c r="O201" s="167">
        <v>0</v>
      </c>
      <c r="P201" s="167">
        <v>0</v>
      </c>
      <c r="Q201" s="167">
        <v>0</v>
      </c>
      <c r="R201" s="167">
        <v>0</v>
      </c>
      <c r="S201" s="167">
        <v>0</v>
      </c>
      <c r="T201" s="167">
        <v>0</v>
      </c>
      <c r="U201" s="168" t="e">
        <v>#DIV/0!</v>
      </c>
      <c r="V201" s="167">
        <v>0</v>
      </c>
      <c r="W201" s="167">
        <v>0</v>
      </c>
      <c r="X201" s="167">
        <v>0</v>
      </c>
      <c r="Y201" s="167">
        <v>0</v>
      </c>
      <c r="Z201" s="167">
        <v>0</v>
      </c>
      <c r="AA201" s="167">
        <v>0</v>
      </c>
    </row>
    <row r="202" spans="1:27" ht="12" customHeight="1" x14ac:dyDescent="0.25">
      <c r="A202" s="155" t="s">
        <v>1284</v>
      </c>
      <c r="B202" s="155" t="s">
        <v>590</v>
      </c>
      <c r="C202" s="167">
        <v>0</v>
      </c>
      <c r="D202" s="167">
        <v>0</v>
      </c>
      <c r="E202" s="167">
        <v>0</v>
      </c>
      <c r="F202" s="167">
        <v>0</v>
      </c>
      <c r="G202" s="167">
        <v>0</v>
      </c>
      <c r="H202" s="167">
        <v>0</v>
      </c>
      <c r="I202" s="167">
        <v>0</v>
      </c>
      <c r="J202" s="167">
        <v>0</v>
      </c>
      <c r="K202" s="167">
        <v>0</v>
      </c>
      <c r="L202" s="167">
        <v>0</v>
      </c>
      <c r="M202" s="167">
        <v>0</v>
      </c>
      <c r="N202" s="167">
        <v>0</v>
      </c>
      <c r="O202" s="167">
        <v>0</v>
      </c>
      <c r="P202" s="167">
        <v>0</v>
      </c>
      <c r="Q202" s="167">
        <v>0</v>
      </c>
      <c r="R202" s="167">
        <v>0</v>
      </c>
      <c r="S202" s="167">
        <v>0</v>
      </c>
      <c r="T202" s="167">
        <v>0</v>
      </c>
      <c r="U202" s="168" t="e">
        <v>#DIV/0!</v>
      </c>
      <c r="V202" s="167">
        <v>0</v>
      </c>
      <c r="W202" s="167">
        <v>0</v>
      </c>
      <c r="X202" s="167">
        <v>0</v>
      </c>
      <c r="Y202" s="167">
        <v>0</v>
      </c>
      <c r="Z202" s="167">
        <v>0</v>
      </c>
      <c r="AA202" s="167">
        <v>0</v>
      </c>
    </row>
    <row r="203" spans="1:27" ht="12" customHeight="1" x14ac:dyDescent="0.25">
      <c r="A203" s="155" t="s">
        <v>1285</v>
      </c>
      <c r="B203" s="155" t="s">
        <v>591</v>
      </c>
      <c r="C203" s="167">
        <v>0</v>
      </c>
      <c r="D203" s="167">
        <v>0</v>
      </c>
      <c r="E203" s="167">
        <v>0</v>
      </c>
      <c r="F203" s="167">
        <v>0</v>
      </c>
      <c r="G203" s="167">
        <v>0</v>
      </c>
      <c r="H203" s="167">
        <v>0</v>
      </c>
      <c r="I203" s="167">
        <v>0</v>
      </c>
      <c r="J203" s="167">
        <v>0</v>
      </c>
      <c r="K203" s="167">
        <v>0</v>
      </c>
      <c r="L203" s="167">
        <v>0</v>
      </c>
      <c r="M203" s="167">
        <v>0</v>
      </c>
      <c r="N203" s="167">
        <v>0</v>
      </c>
      <c r="O203" s="167">
        <v>0</v>
      </c>
      <c r="P203" s="167">
        <v>0</v>
      </c>
      <c r="Q203" s="167">
        <v>0</v>
      </c>
      <c r="R203" s="167">
        <v>0</v>
      </c>
      <c r="S203" s="167">
        <v>0</v>
      </c>
      <c r="T203" s="167">
        <v>0</v>
      </c>
      <c r="U203" s="168" t="e">
        <v>#DIV/0!</v>
      </c>
      <c r="V203" s="167">
        <v>0</v>
      </c>
      <c r="W203" s="167">
        <v>0</v>
      </c>
      <c r="X203" s="167">
        <v>0</v>
      </c>
      <c r="Y203" s="167">
        <v>0</v>
      </c>
      <c r="Z203" s="167">
        <v>0</v>
      </c>
      <c r="AA203" s="167">
        <v>0</v>
      </c>
    </row>
    <row r="204" spans="1:27" ht="12" customHeight="1" x14ac:dyDescent="0.25">
      <c r="A204" s="155" t="s">
        <v>1286</v>
      </c>
      <c r="B204" s="155" t="s">
        <v>592</v>
      </c>
      <c r="C204" s="167">
        <v>0</v>
      </c>
      <c r="D204" s="167">
        <v>0</v>
      </c>
      <c r="E204" s="167">
        <v>0</v>
      </c>
      <c r="F204" s="167">
        <v>0</v>
      </c>
      <c r="G204" s="167">
        <v>0</v>
      </c>
      <c r="H204" s="167">
        <v>0</v>
      </c>
      <c r="I204" s="167">
        <v>0</v>
      </c>
      <c r="J204" s="167">
        <v>0</v>
      </c>
      <c r="K204" s="167">
        <v>0</v>
      </c>
      <c r="L204" s="167">
        <v>0</v>
      </c>
      <c r="M204" s="167">
        <v>0</v>
      </c>
      <c r="N204" s="167">
        <v>0</v>
      </c>
      <c r="O204" s="167">
        <v>0</v>
      </c>
      <c r="P204" s="167">
        <v>0</v>
      </c>
      <c r="Q204" s="167">
        <v>0</v>
      </c>
      <c r="R204" s="167">
        <v>0</v>
      </c>
      <c r="S204" s="167">
        <v>0</v>
      </c>
      <c r="T204" s="167">
        <v>0</v>
      </c>
      <c r="U204" s="168" t="e">
        <v>#DIV/0!</v>
      </c>
      <c r="V204" s="167">
        <v>0</v>
      </c>
      <c r="W204" s="167">
        <v>0</v>
      </c>
      <c r="X204" s="167">
        <v>0</v>
      </c>
      <c r="Y204" s="167">
        <v>0</v>
      </c>
      <c r="Z204" s="167">
        <v>0</v>
      </c>
      <c r="AA204" s="167">
        <v>0</v>
      </c>
    </row>
    <row r="205" spans="1:27" ht="12" customHeight="1" x14ac:dyDescent="0.25">
      <c r="A205" s="155" t="s">
        <v>1287</v>
      </c>
      <c r="B205" s="155" t="s">
        <v>593</v>
      </c>
      <c r="C205" s="167">
        <v>0</v>
      </c>
      <c r="D205" s="167">
        <v>0</v>
      </c>
      <c r="E205" s="167">
        <v>0</v>
      </c>
      <c r="F205" s="167">
        <v>0</v>
      </c>
      <c r="G205" s="167">
        <v>0</v>
      </c>
      <c r="H205" s="167">
        <v>0</v>
      </c>
      <c r="I205" s="167">
        <v>0</v>
      </c>
      <c r="J205" s="167">
        <v>0</v>
      </c>
      <c r="K205" s="167">
        <v>0</v>
      </c>
      <c r="L205" s="167">
        <v>0</v>
      </c>
      <c r="M205" s="167">
        <v>0</v>
      </c>
      <c r="N205" s="167">
        <v>0</v>
      </c>
      <c r="O205" s="167">
        <v>0</v>
      </c>
      <c r="P205" s="167">
        <v>0</v>
      </c>
      <c r="Q205" s="167">
        <v>0</v>
      </c>
      <c r="R205" s="167">
        <v>0</v>
      </c>
      <c r="S205" s="167">
        <v>0</v>
      </c>
      <c r="T205" s="167">
        <v>0</v>
      </c>
      <c r="U205" s="168" t="e">
        <v>#DIV/0!</v>
      </c>
      <c r="V205" s="167">
        <v>0</v>
      </c>
      <c r="W205" s="167">
        <v>0</v>
      </c>
      <c r="X205" s="167">
        <v>0</v>
      </c>
      <c r="Y205" s="167">
        <v>0</v>
      </c>
      <c r="Z205" s="167">
        <v>0</v>
      </c>
      <c r="AA205" s="167">
        <v>0</v>
      </c>
    </row>
    <row r="206" spans="1:27" ht="12" customHeight="1" x14ac:dyDescent="0.25">
      <c r="A206" s="155" t="s">
        <v>1288</v>
      </c>
      <c r="B206" s="155" t="s">
        <v>594</v>
      </c>
      <c r="C206" s="167">
        <v>0</v>
      </c>
      <c r="D206" s="167">
        <v>0</v>
      </c>
      <c r="E206" s="167">
        <v>0</v>
      </c>
      <c r="F206" s="167">
        <v>0</v>
      </c>
      <c r="G206" s="167">
        <v>0</v>
      </c>
      <c r="H206" s="167">
        <v>0</v>
      </c>
      <c r="I206" s="167">
        <v>0</v>
      </c>
      <c r="J206" s="167">
        <v>0</v>
      </c>
      <c r="K206" s="167">
        <v>0</v>
      </c>
      <c r="L206" s="167">
        <v>0</v>
      </c>
      <c r="M206" s="167">
        <v>0</v>
      </c>
      <c r="N206" s="167">
        <v>0</v>
      </c>
      <c r="O206" s="167">
        <v>0</v>
      </c>
      <c r="P206" s="167">
        <v>0</v>
      </c>
      <c r="Q206" s="167">
        <v>0</v>
      </c>
      <c r="R206" s="167">
        <v>0</v>
      </c>
      <c r="S206" s="167">
        <v>0</v>
      </c>
      <c r="T206" s="167">
        <v>0</v>
      </c>
      <c r="U206" s="168" t="e">
        <v>#DIV/0!</v>
      </c>
      <c r="V206" s="167">
        <v>0</v>
      </c>
      <c r="W206" s="167">
        <v>0</v>
      </c>
      <c r="X206" s="167">
        <v>0</v>
      </c>
      <c r="Y206" s="167">
        <v>0</v>
      </c>
      <c r="Z206" s="167">
        <v>0</v>
      </c>
      <c r="AA206" s="167">
        <v>0</v>
      </c>
    </row>
    <row r="207" spans="1:27" ht="12" customHeight="1" x14ac:dyDescent="0.25">
      <c r="A207" s="155" t="s">
        <v>1289</v>
      </c>
      <c r="B207" s="155" t="s">
        <v>595</v>
      </c>
      <c r="C207" s="167">
        <v>0</v>
      </c>
      <c r="D207" s="167">
        <v>0</v>
      </c>
      <c r="E207" s="167">
        <v>0</v>
      </c>
      <c r="F207" s="167">
        <v>0</v>
      </c>
      <c r="G207" s="167">
        <v>0</v>
      </c>
      <c r="H207" s="167">
        <v>0</v>
      </c>
      <c r="I207" s="167">
        <v>0</v>
      </c>
      <c r="J207" s="167">
        <v>0</v>
      </c>
      <c r="K207" s="167">
        <v>0</v>
      </c>
      <c r="L207" s="167">
        <v>0</v>
      </c>
      <c r="M207" s="167">
        <v>0</v>
      </c>
      <c r="N207" s="167">
        <v>0</v>
      </c>
      <c r="O207" s="167">
        <v>0</v>
      </c>
      <c r="P207" s="167">
        <v>0</v>
      </c>
      <c r="Q207" s="167">
        <v>0</v>
      </c>
      <c r="R207" s="167">
        <v>0</v>
      </c>
      <c r="S207" s="167">
        <v>0</v>
      </c>
      <c r="T207" s="167">
        <v>0</v>
      </c>
      <c r="U207" s="168" t="e">
        <v>#DIV/0!</v>
      </c>
      <c r="V207" s="167">
        <v>0</v>
      </c>
      <c r="W207" s="167">
        <v>0</v>
      </c>
      <c r="X207" s="167">
        <v>0</v>
      </c>
      <c r="Y207" s="167">
        <v>0</v>
      </c>
      <c r="Z207" s="167">
        <v>0</v>
      </c>
      <c r="AA207" s="167">
        <v>0</v>
      </c>
    </row>
    <row r="208" spans="1:27" ht="12" customHeight="1" x14ac:dyDescent="0.25">
      <c r="A208" s="155" t="s">
        <v>1290</v>
      </c>
      <c r="B208" s="155" t="s">
        <v>596</v>
      </c>
      <c r="C208" s="167">
        <v>0</v>
      </c>
      <c r="D208" s="167">
        <v>0</v>
      </c>
      <c r="E208" s="167">
        <v>0</v>
      </c>
      <c r="F208" s="167">
        <v>0</v>
      </c>
      <c r="G208" s="167">
        <v>0</v>
      </c>
      <c r="H208" s="167">
        <v>0</v>
      </c>
      <c r="I208" s="167">
        <v>0</v>
      </c>
      <c r="J208" s="167">
        <v>0</v>
      </c>
      <c r="K208" s="167">
        <v>0</v>
      </c>
      <c r="L208" s="167">
        <v>0</v>
      </c>
      <c r="M208" s="167">
        <v>0</v>
      </c>
      <c r="N208" s="167">
        <v>0</v>
      </c>
      <c r="O208" s="167">
        <v>0</v>
      </c>
      <c r="P208" s="167">
        <v>0</v>
      </c>
      <c r="Q208" s="167">
        <v>0</v>
      </c>
      <c r="R208" s="167">
        <v>0</v>
      </c>
      <c r="S208" s="167">
        <v>0</v>
      </c>
      <c r="T208" s="167">
        <v>0</v>
      </c>
      <c r="U208" s="168" t="e">
        <v>#DIV/0!</v>
      </c>
      <c r="V208" s="167">
        <v>0</v>
      </c>
      <c r="W208" s="167">
        <v>0</v>
      </c>
      <c r="X208" s="167">
        <v>0</v>
      </c>
      <c r="Y208" s="167">
        <v>0</v>
      </c>
      <c r="Z208" s="167">
        <v>0</v>
      </c>
      <c r="AA208" s="167">
        <v>0</v>
      </c>
    </row>
    <row r="209" spans="1:27" ht="12" customHeight="1" x14ac:dyDescent="0.25">
      <c r="A209" s="155" t="s">
        <v>1291</v>
      </c>
      <c r="B209" s="155" t="s">
        <v>597</v>
      </c>
      <c r="C209" s="167">
        <v>0</v>
      </c>
      <c r="D209" s="167">
        <v>0</v>
      </c>
      <c r="E209" s="167">
        <v>0</v>
      </c>
      <c r="F209" s="167">
        <v>0</v>
      </c>
      <c r="G209" s="167">
        <v>0</v>
      </c>
      <c r="H209" s="167">
        <v>0</v>
      </c>
      <c r="I209" s="167">
        <v>0</v>
      </c>
      <c r="J209" s="167">
        <v>0</v>
      </c>
      <c r="K209" s="167">
        <v>0</v>
      </c>
      <c r="L209" s="167">
        <v>0</v>
      </c>
      <c r="M209" s="167">
        <v>0</v>
      </c>
      <c r="N209" s="167">
        <v>0</v>
      </c>
      <c r="O209" s="167">
        <v>0</v>
      </c>
      <c r="P209" s="167">
        <v>0</v>
      </c>
      <c r="Q209" s="167">
        <v>0</v>
      </c>
      <c r="R209" s="167">
        <v>0</v>
      </c>
      <c r="S209" s="167">
        <v>0</v>
      </c>
      <c r="T209" s="167">
        <v>0</v>
      </c>
      <c r="U209" s="168" t="e">
        <v>#DIV/0!</v>
      </c>
      <c r="V209" s="167">
        <v>0</v>
      </c>
      <c r="W209" s="167">
        <v>0</v>
      </c>
      <c r="X209" s="167">
        <v>0</v>
      </c>
      <c r="Y209" s="167">
        <v>0</v>
      </c>
      <c r="Z209" s="167">
        <v>0</v>
      </c>
      <c r="AA209" s="167">
        <v>0</v>
      </c>
    </row>
    <row r="210" spans="1:27" ht="12" customHeight="1" x14ac:dyDescent="0.25">
      <c r="A210" s="155" t="s">
        <v>1292</v>
      </c>
      <c r="B210" s="155" t="s">
        <v>598</v>
      </c>
      <c r="C210" s="167">
        <v>0</v>
      </c>
      <c r="D210" s="167">
        <v>0</v>
      </c>
      <c r="E210" s="167">
        <v>0</v>
      </c>
      <c r="F210" s="167">
        <v>0</v>
      </c>
      <c r="G210" s="167">
        <v>0</v>
      </c>
      <c r="H210" s="167">
        <v>0</v>
      </c>
      <c r="I210" s="167">
        <v>0</v>
      </c>
      <c r="J210" s="167">
        <v>0</v>
      </c>
      <c r="K210" s="167">
        <v>0</v>
      </c>
      <c r="L210" s="167">
        <v>0</v>
      </c>
      <c r="M210" s="167">
        <v>0</v>
      </c>
      <c r="N210" s="167">
        <v>0</v>
      </c>
      <c r="O210" s="167">
        <v>0</v>
      </c>
      <c r="P210" s="167">
        <v>0</v>
      </c>
      <c r="Q210" s="167">
        <v>0</v>
      </c>
      <c r="R210" s="167">
        <v>0</v>
      </c>
      <c r="S210" s="167">
        <v>0</v>
      </c>
      <c r="T210" s="167">
        <v>0</v>
      </c>
      <c r="U210" s="168" t="e">
        <v>#DIV/0!</v>
      </c>
      <c r="V210" s="167">
        <v>0</v>
      </c>
      <c r="W210" s="167">
        <v>0</v>
      </c>
      <c r="X210" s="167">
        <v>0</v>
      </c>
      <c r="Y210" s="167">
        <v>0</v>
      </c>
      <c r="Z210" s="167">
        <v>0</v>
      </c>
      <c r="AA210" s="167">
        <v>0</v>
      </c>
    </row>
    <row r="211" spans="1:27" ht="12" customHeight="1" x14ac:dyDescent="0.25">
      <c r="A211" s="155" t="s">
        <v>1293</v>
      </c>
      <c r="B211" s="155" t="s">
        <v>599</v>
      </c>
      <c r="C211" s="167">
        <v>0</v>
      </c>
      <c r="D211" s="167">
        <v>0</v>
      </c>
      <c r="E211" s="167">
        <v>0</v>
      </c>
      <c r="F211" s="167">
        <v>0</v>
      </c>
      <c r="G211" s="167">
        <v>0</v>
      </c>
      <c r="H211" s="167">
        <v>0</v>
      </c>
      <c r="I211" s="167">
        <v>0</v>
      </c>
      <c r="J211" s="167">
        <v>0</v>
      </c>
      <c r="K211" s="167">
        <v>0</v>
      </c>
      <c r="L211" s="167">
        <v>0</v>
      </c>
      <c r="M211" s="167">
        <v>0</v>
      </c>
      <c r="N211" s="167">
        <v>0</v>
      </c>
      <c r="O211" s="167">
        <v>0</v>
      </c>
      <c r="P211" s="167">
        <v>0</v>
      </c>
      <c r="Q211" s="167">
        <v>0</v>
      </c>
      <c r="R211" s="167">
        <v>0</v>
      </c>
      <c r="S211" s="167">
        <v>0</v>
      </c>
      <c r="T211" s="167">
        <v>0</v>
      </c>
      <c r="U211" s="168" t="e">
        <v>#DIV/0!</v>
      </c>
      <c r="V211" s="167">
        <v>0</v>
      </c>
      <c r="W211" s="167">
        <v>0</v>
      </c>
      <c r="X211" s="167">
        <v>0</v>
      </c>
      <c r="Y211" s="167">
        <v>0</v>
      </c>
      <c r="Z211" s="167">
        <v>0</v>
      </c>
      <c r="AA211" s="167">
        <v>0</v>
      </c>
    </row>
    <row r="212" spans="1:27" ht="12" customHeight="1" x14ac:dyDescent="0.25">
      <c r="A212" s="155" t="s">
        <v>1294</v>
      </c>
      <c r="B212" s="155" t="s">
        <v>600</v>
      </c>
      <c r="C212" s="167">
        <v>0</v>
      </c>
      <c r="D212" s="167">
        <v>0</v>
      </c>
      <c r="E212" s="167">
        <v>0</v>
      </c>
      <c r="F212" s="167">
        <v>0</v>
      </c>
      <c r="G212" s="167">
        <v>0</v>
      </c>
      <c r="H212" s="167">
        <v>0</v>
      </c>
      <c r="I212" s="167">
        <v>0</v>
      </c>
      <c r="J212" s="167">
        <v>0</v>
      </c>
      <c r="K212" s="167">
        <v>0</v>
      </c>
      <c r="L212" s="167">
        <v>0</v>
      </c>
      <c r="M212" s="167">
        <v>0</v>
      </c>
      <c r="N212" s="167">
        <v>0</v>
      </c>
      <c r="O212" s="167">
        <v>0</v>
      </c>
      <c r="P212" s="167">
        <v>0</v>
      </c>
      <c r="Q212" s="167">
        <v>0</v>
      </c>
      <c r="R212" s="167">
        <v>0</v>
      </c>
      <c r="S212" s="167">
        <v>0</v>
      </c>
      <c r="T212" s="167">
        <v>0</v>
      </c>
      <c r="U212" s="168" t="e">
        <v>#DIV/0!</v>
      </c>
      <c r="V212" s="167">
        <v>0</v>
      </c>
      <c r="W212" s="167">
        <v>0</v>
      </c>
      <c r="X212" s="167">
        <v>0</v>
      </c>
      <c r="Y212" s="167">
        <v>0</v>
      </c>
      <c r="Z212" s="167">
        <v>0</v>
      </c>
      <c r="AA212" s="167">
        <v>0</v>
      </c>
    </row>
    <row r="213" spans="1:27" ht="12" customHeight="1" x14ac:dyDescent="0.25">
      <c r="A213" s="155" t="s">
        <v>1295</v>
      </c>
      <c r="B213" s="155" t="s">
        <v>601</v>
      </c>
      <c r="C213" s="167">
        <v>0</v>
      </c>
      <c r="D213" s="167">
        <v>0</v>
      </c>
      <c r="E213" s="167">
        <v>0</v>
      </c>
      <c r="F213" s="167">
        <v>0</v>
      </c>
      <c r="G213" s="167">
        <v>0</v>
      </c>
      <c r="H213" s="167">
        <v>0</v>
      </c>
      <c r="I213" s="167">
        <v>0</v>
      </c>
      <c r="J213" s="167">
        <v>0</v>
      </c>
      <c r="K213" s="167">
        <v>0</v>
      </c>
      <c r="L213" s="167">
        <v>0</v>
      </c>
      <c r="M213" s="167">
        <v>0</v>
      </c>
      <c r="N213" s="167">
        <v>0</v>
      </c>
      <c r="O213" s="167">
        <v>0</v>
      </c>
      <c r="P213" s="167">
        <v>0</v>
      </c>
      <c r="Q213" s="167">
        <v>0</v>
      </c>
      <c r="R213" s="167">
        <v>0</v>
      </c>
      <c r="S213" s="167">
        <v>0</v>
      </c>
      <c r="T213" s="167">
        <v>0</v>
      </c>
      <c r="U213" s="168" t="e">
        <v>#DIV/0!</v>
      </c>
      <c r="V213" s="167">
        <v>0</v>
      </c>
      <c r="W213" s="167">
        <v>0</v>
      </c>
      <c r="X213" s="167">
        <v>0</v>
      </c>
      <c r="Y213" s="167">
        <v>0</v>
      </c>
      <c r="Z213" s="167">
        <v>0</v>
      </c>
      <c r="AA213" s="167">
        <v>0</v>
      </c>
    </row>
    <row r="214" spans="1:27" ht="12" customHeight="1" x14ac:dyDescent="0.25">
      <c r="A214" s="155" t="s">
        <v>1296</v>
      </c>
      <c r="B214" s="155" t="s">
        <v>602</v>
      </c>
      <c r="C214" s="167">
        <v>0</v>
      </c>
      <c r="D214" s="167">
        <v>0</v>
      </c>
      <c r="E214" s="167">
        <v>0</v>
      </c>
      <c r="F214" s="167">
        <v>0</v>
      </c>
      <c r="G214" s="167">
        <v>0</v>
      </c>
      <c r="H214" s="167">
        <v>0</v>
      </c>
      <c r="I214" s="167">
        <v>0</v>
      </c>
      <c r="J214" s="167">
        <v>0</v>
      </c>
      <c r="K214" s="167">
        <v>0</v>
      </c>
      <c r="L214" s="167">
        <v>0</v>
      </c>
      <c r="M214" s="167">
        <v>0</v>
      </c>
      <c r="N214" s="167">
        <v>0</v>
      </c>
      <c r="O214" s="167">
        <v>0</v>
      </c>
      <c r="P214" s="167">
        <v>0</v>
      </c>
      <c r="Q214" s="167">
        <v>0</v>
      </c>
      <c r="R214" s="167">
        <v>0</v>
      </c>
      <c r="S214" s="167">
        <v>0</v>
      </c>
      <c r="T214" s="167">
        <v>0</v>
      </c>
      <c r="U214" s="168" t="e">
        <v>#DIV/0!</v>
      </c>
      <c r="V214" s="167">
        <v>0</v>
      </c>
      <c r="W214" s="167">
        <v>0</v>
      </c>
      <c r="X214" s="167">
        <v>0</v>
      </c>
      <c r="Y214" s="167">
        <v>0</v>
      </c>
      <c r="Z214" s="167">
        <v>0</v>
      </c>
      <c r="AA214" s="167">
        <v>0</v>
      </c>
    </row>
    <row r="215" spans="1:27" ht="12" customHeight="1" x14ac:dyDescent="0.25">
      <c r="A215" s="155" t="s">
        <v>1297</v>
      </c>
      <c r="B215" s="155" t="s">
        <v>603</v>
      </c>
      <c r="C215" s="167">
        <v>0</v>
      </c>
      <c r="D215" s="167">
        <v>0</v>
      </c>
      <c r="E215" s="167">
        <v>0</v>
      </c>
      <c r="F215" s="167">
        <v>0</v>
      </c>
      <c r="G215" s="167">
        <v>0</v>
      </c>
      <c r="H215" s="167">
        <v>0</v>
      </c>
      <c r="I215" s="167">
        <v>0</v>
      </c>
      <c r="J215" s="167">
        <v>0</v>
      </c>
      <c r="K215" s="167">
        <v>0</v>
      </c>
      <c r="L215" s="167">
        <v>0</v>
      </c>
      <c r="M215" s="167">
        <v>0</v>
      </c>
      <c r="N215" s="167">
        <v>0</v>
      </c>
      <c r="O215" s="167">
        <v>0</v>
      </c>
      <c r="P215" s="167">
        <v>0</v>
      </c>
      <c r="Q215" s="167">
        <v>0</v>
      </c>
      <c r="R215" s="167">
        <v>0</v>
      </c>
      <c r="S215" s="167">
        <v>0</v>
      </c>
      <c r="T215" s="167">
        <v>0</v>
      </c>
      <c r="U215" s="168" t="e">
        <v>#DIV/0!</v>
      </c>
      <c r="V215" s="167">
        <v>0</v>
      </c>
      <c r="W215" s="167">
        <v>0</v>
      </c>
      <c r="X215" s="167">
        <v>0</v>
      </c>
      <c r="Y215" s="167">
        <v>0</v>
      </c>
      <c r="Z215" s="167">
        <v>0</v>
      </c>
      <c r="AA215" s="167">
        <v>0</v>
      </c>
    </row>
    <row r="216" spans="1:27" ht="12" customHeight="1" x14ac:dyDescent="0.25">
      <c r="A216" s="155"/>
      <c r="B216" s="162" t="s">
        <v>604</v>
      </c>
      <c r="C216" s="163">
        <v>0</v>
      </c>
      <c r="D216" s="163">
        <v>0</v>
      </c>
      <c r="E216" s="163">
        <v>0</v>
      </c>
      <c r="F216" s="163">
        <v>0</v>
      </c>
      <c r="G216" s="163">
        <v>0</v>
      </c>
      <c r="H216" s="163">
        <v>0</v>
      </c>
      <c r="I216" s="163">
        <v>0</v>
      </c>
      <c r="J216" s="163">
        <v>0</v>
      </c>
      <c r="K216" s="163">
        <v>0</v>
      </c>
      <c r="L216" s="163">
        <v>0</v>
      </c>
      <c r="M216" s="163">
        <v>0</v>
      </c>
      <c r="N216" s="163">
        <v>0</v>
      </c>
      <c r="O216" s="163">
        <v>0</v>
      </c>
      <c r="P216" s="163">
        <v>0</v>
      </c>
      <c r="Q216" s="163">
        <v>0</v>
      </c>
      <c r="R216" s="163">
        <v>0</v>
      </c>
      <c r="S216" s="163">
        <v>0</v>
      </c>
      <c r="T216" s="164">
        <v>0</v>
      </c>
      <c r="U216" s="165" t="e">
        <v>#DIV/0!</v>
      </c>
      <c r="V216" s="164">
        <v>0</v>
      </c>
      <c r="W216" s="164">
        <v>0</v>
      </c>
      <c r="X216" s="164">
        <v>0</v>
      </c>
      <c r="Y216" s="164">
        <v>0</v>
      </c>
      <c r="Z216" s="164">
        <v>0</v>
      </c>
      <c r="AA216" s="164">
        <v>0</v>
      </c>
    </row>
    <row r="217" spans="1:27" ht="12" customHeight="1" x14ac:dyDescent="0.25">
      <c r="A217" s="155" t="s">
        <v>1298</v>
      </c>
      <c r="B217" s="155" t="s">
        <v>605</v>
      </c>
      <c r="C217" s="167">
        <v>0</v>
      </c>
      <c r="D217" s="167">
        <v>0</v>
      </c>
      <c r="E217" s="167">
        <v>0</v>
      </c>
      <c r="F217" s="167">
        <v>0</v>
      </c>
      <c r="G217" s="167">
        <v>0</v>
      </c>
      <c r="H217" s="167">
        <v>0</v>
      </c>
      <c r="I217" s="167">
        <v>0</v>
      </c>
      <c r="J217" s="167">
        <v>0</v>
      </c>
      <c r="K217" s="167">
        <v>0</v>
      </c>
      <c r="L217" s="167">
        <v>0</v>
      </c>
      <c r="M217" s="167">
        <v>0</v>
      </c>
      <c r="N217" s="167">
        <v>0</v>
      </c>
      <c r="O217" s="167">
        <v>0</v>
      </c>
      <c r="P217" s="167">
        <v>0</v>
      </c>
      <c r="Q217" s="167">
        <v>0</v>
      </c>
      <c r="R217" s="167">
        <v>0</v>
      </c>
      <c r="S217" s="167">
        <v>0</v>
      </c>
      <c r="T217" s="167">
        <v>0</v>
      </c>
      <c r="U217" s="168" t="e">
        <v>#DIV/0!</v>
      </c>
      <c r="V217" s="167">
        <v>0</v>
      </c>
      <c r="W217" s="167">
        <v>0</v>
      </c>
      <c r="X217" s="167">
        <v>0</v>
      </c>
      <c r="Y217" s="167">
        <v>0</v>
      </c>
      <c r="Z217" s="167">
        <v>0</v>
      </c>
      <c r="AA217" s="167">
        <v>0</v>
      </c>
    </row>
    <row r="218" spans="1:27" ht="12" customHeight="1" x14ac:dyDescent="0.25">
      <c r="A218" s="155" t="s">
        <v>1299</v>
      </c>
      <c r="B218" s="155" t="s">
        <v>606</v>
      </c>
      <c r="C218" s="167">
        <v>0</v>
      </c>
      <c r="D218" s="167">
        <v>0</v>
      </c>
      <c r="E218" s="167">
        <v>0</v>
      </c>
      <c r="F218" s="167">
        <v>0</v>
      </c>
      <c r="G218" s="167">
        <v>0</v>
      </c>
      <c r="H218" s="167">
        <v>0</v>
      </c>
      <c r="I218" s="167">
        <v>0</v>
      </c>
      <c r="J218" s="167">
        <v>0</v>
      </c>
      <c r="K218" s="167">
        <v>0</v>
      </c>
      <c r="L218" s="167">
        <v>0</v>
      </c>
      <c r="M218" s="167">
        <v>0</v>
      </c>
      <c r="N218" s="167">
        <v>0</v>
      </c>
      <c r="O218" s="167">
        <v>0</v>
      </c>
      <c r="P218" s="167">
        <v>0</v>
      </c>
      <c r="Q218" s="167">
        <v>0</v>
      </c>
      <c r="R218" s="167">
        <v>0</v>
      </c>
      <c r="S218" s="167">
        <v>0</v>
      </c>
      <c r="T218" s="167">
        <v>0</v>
      </c>
      <c r="U218" s="168" t="e">
        <v>#DIV/0!</v>
      </c>
      <c r="V218" s="167">
        <v>0</v>
      </c>
      <c r="W218" s="167">
        <v>0</v>
      </c>
      <c r="X218" s="167">
        <v>0</v>
      </c>
      <c r="Y218" s="167">
        <v>0</v>
      </c>
      <c r="Z218" s="167">
        <v>0</v>
      </c>
      <c r="AA218" s="167">
        <v>0</v>
      </c>
    </row>
    <row r="219" spans="1:27" ht="12" customHeight="1" x14ac:dyDescent="0.25">
      <c r="A219" s="155" t="s">
        <v>1300</v>
      </c>
      <c r="B219" s="155" t="s">
        <v>607</v>
      </c>
      <c r="C219" s="167">
        <v>0</v>
      </c>
      <c r="D219" s="167">
        <v>0</v>
      </c>
      <c r="E219" s="167">
        <v>0</v>
      </c>
      <c r="F219" s="167">
        <v>0</v>
      </c>
      <c r="G219" s="167">
        <v>0</v>
      </c>
      <c r="H219" s="167">
        <v>0</v>
      </c>
      <c r="I219" s="167">
        <v>0</v>
      </c>
      <c r="J219" s="167">
        <v>0</v>
      </c>
      <c r="K219" s="167">
        <v>0</v>
      </c>
      <c r="L219" s="167">
        <v>0</v>
      </c>
      <c r="M219" s="167">
        <v>0</v>
      </c>
      <c r="N219" s="167">
        <v>0</v>
      </c>
      <c r="O219" s="167">
        <v>0</v>
      </c>
      <c r="P219" s="167">
        <v>0</v>
      </c>
      <c r="Q219" s="167">
        <v>0</v>
      </c>
      <c r="R219" s="167">
        <v>0</v>
      </c>
      <c r="S219" s="167">
        <v>0</v>
      </c>
      <c r="T219" s="167">
        <v>0</v>
      </c>
      <c r="U219" s="168" t="e">
        <v>#DIV/0!</v>
      </c>
      <c r="V219" s="167">
        <v>0</v>
      </c>
      <c r="W219" s="167">
        <v>0</v>
      </c>
      <c r="X219" s="167">
        <v>0</v>
      </c>
      <c r="Y219" s="167">
        <v>0</v>
      </c>
      <c r="Z219" s="167">
        <v>0</v>
      </c>
      <c r="AA219" s="167">
        <v>0</v>
      </c>
    </row>
    <row r="220" spans="1:27" ht="12" customHeight="1" x14ac:dyDescent="0.25">
      <c r="A220" s="155"/>
      <c r="B220" s="162" t="s">
        <v>608</v>
      </c>
      <c r="C220" s="163">
        <v>0</v>
      </c>
      <c r="D220" s="163">
        <v>0</v>
      </c>
      <c r="E220" s="163">
        <v>0</v>
      </c>
      <c r="F220" s="163">
        <v>0</v>
      </c>
      <c r="G220" s="163">
        <v>0</v>
      </c>
      <c r="H220" s="163">
        <v>0</v>
      </c>
      <c r="I220" s="163">
        <v>0</v>
      </c>
      <c r="J220" s="163">
        <v>0</v>
      </c>
      <c r="K220" s="163">
        <v>0</v>
      </c>
      <c r="L220" s="163">
        <v>0</v>
      </c>
      <c r="M220" s="163">
        <v>0</v>
      </c>
      <c r="N220" s="163">
        <v>0</v>
      </c>
      <c r="O220" s="163">
        <v>0</v>
      </c>
      <c r="P220" s="163">
        <v>0</v>
      </c>
      <c r="Q220" s="163">
        <v>0</v>
      </c>
      <c r="R220" s="163">
        <v>0</v>
      </c>
      <c r="S220" s="163">
        <v>0</v>
      </c>
      <c r="T220" s="164">
        <v>0</v>
      </c>
      <c r="U220" s="165" t="e">
        <v>#DIV/0!</v>
      </c>
      <c r="V220" s="164">
        <v>0</v>
      </c>
      <c r="W220" s="164">
        <v>0</v>
      </c>
      <c r="X220" s="164">
        <v>0</v>
      </c>
      <c r="Y220" s="164">
        <v>0</v>
      </c>
      <c r="Z220" s="164">
        <v>0</v>
      </c>
      <c r="AA220" s="164">
        <v>0</v>
      </c>
    </row>
    <row r="221" spans="1:27" ht="12" customHeight="1" x14ac:dyDescent="0.25">
      <c r="A221" s="155" t="s">
        <v>1301</v>
      </c>
      <c r="B221" s="155" t="s">
        <v>609</v>
      </c>
      <c r="C221" s="167">
        <v>0</v>
      </c>
      <c r="D221" s="167">
        <v>0</v>
      </c>
      <c r="E221" s="167">
        <v>0</v>
      </c>
      <c r="F221" s="167">
        <v>0</v>
      </c>
      <c r="G221" s="167">
        <v>0</v>
      </c>
      <c r="H221" s="167">
        <v>0</v>
      </c>
      <c r="I221" s="167">
        <v>0</v>
      </c>
      <c r="J221" s="167">
        <v>0</v>
      </c>
      <c r="K221" s="167">
        <v>0</v>
      </c>
      <c r="L221" s="167">
        <v>0</v>
      </c>
      <c r="M221" s="167">
        <v>0</v>
      </c>
      <c r="N221" s="167">
        <v>0</v>
      </c>
      <c r="O221" s="167">
        <v>0</v>
      </c>
      <c r="P221" s="167">
        <v>0</v>
      </c>
      <c r="Q221" s="167">
        <v>0</v>
      </c>
      <c r="R221" s="167">
        <v>0</v>
      </c>
      <c r="S221" s="167">
        <v>0</v>
      </c>
      <c r="T221" s="167">
        <v>0</v>
      </c>
      <c r="U221" s="168" t="e">
        <v>#DIV/0!</v>
      </c>
      <c r="V221" s="167">
        <v>0</v>
      </c>
      <c r="W221" s="167">
        <v>0</v>
      </c>
      <c r="X221" s="167">
        <v>0</v>
      </c>
      <c r="Y221" s="167">
        <v>0</v>
      </c>
      <c r="Z221" s="167">
        <v>0</v>
      </c>
      <c r="AA221" s="167">
        <v>0</v>
      </c>
    </row>
    <row r="222" spans="1:27" ht="12" customHeight="1" x14ac:dyDescent="0.25">
      <c r="A222" s="155" t="s">
        <v>1302</v>
      </c>
      <c r="B222" s="155" t="s">
        <v>610</v>
      </c>
      <c r="C222" s="167">
        <v>0</v>
      </c>
      <c r="D222" s="167">
        <v>0</v>
      </c>
      <c r="E222" s="167">
        <v>0</v>
      </c>
      <c r="F222" s="167">
        <v>0</v>
      </c>
      <c r="G222" s="167">
        <v>0</v>
      </c>
      <c r="H222" s="167">
        <v>0</v>
      </c>
      <c r="I222" s="167">
        <v>0</v>
      </c>
      <c r="J222" s="167">
        <v>0</v>
      </c>
      <c r="K222" s="167">
        <v>0</v>
      </c>
      <c r="L222" s="167">
        <v>0</v>
      </c>
      <c r="M222" s="167">
        <v>0</v>
      </c>
      <c r="N222" s="167">
        <v>0</v>
      </c>
      <c r="O222" s="167">
        <v>0</v>
      </c>
      <c r="P222" s="167">
        <v>0</v>
      </c>
      <c r="Q222" s="167">
        <v>0</v>
      </c>
      <c r="R222" s="167">
        <v>0</v>
      </c>
      <c r="S222" s="167">
        <v>0</v>
      </c>
      <c r="T222" s="167">
        <v>0</v>
      </c>
      <c r="U222" s="168" t="e">
        <v>#DIV/0!</v>
      </c>
      <c r="V222" s="167">
        <v>0</v>
      </c>
      <c r="W222" s="167">
        <v>0</v>
      </c>
      <c r="X222" s="167">
        <v>0</v>
      </c>
      <c r="Y222" s="167">
        <v>0</v>
      </c>
      <c r="Z222" s="167">
        <v>0</v>
      </c>
      <c r="AA222" s="167">
        <v>0</v>
      </c>
    </row>
    <row r="223" spans="1:27" ht="12" customHeight="1" x14ac:dyDescent="0.25">
      <c r="A223" s="155" t="s">
        <v>1303</v>
      </c>
      <c r="B223" s="155" t="s">
        <v>611</v>
      </c>
      <c r="C223" s="167">
        <v>0</v>
      </c>
      <c r="D223" s="167">
        <v>0</v>
      </c>
      <c r="E223" s="167">
        <v>0</v>
      </c>
      <c r="F223" s="167">
        <v>0</v>
      </c>
      <c r="G223" s="167">
        <v>0</v>
      </c>
      <c r="H223" s="167">
        <v>0</v>
      </c>
      <c r="I223" s="167">
        <v>0</v>
      </c>
      <c r="J223" s="167">
        <v>0</v>
      </c>
      <c r="K223" s="167">
        <v>0</v>
      </c>
      <c r="L223" s="167">
        <v>0</v>
      </c>
      <c r="M223" s="167">
        <v>0</v>
      </c>
      <c r="N223" s="167">
        <v>0</v>
      </c>
      <c r="O223" s="167">
        <v>0</v>
      </c>
      <c r="P223" s="167">
        <v>0</v>
      </c>
      <c r="Q223" s="167">
        <v>0</v>
      </c>
      <c r="R223" s="167">
        <v>0</v>
      </c>
      <c r="S223" s="167">
        <v>0</v>
      </c>
      <c r="T223" s="167">
        <v>0</v>
      </c>
      <c r="U223" s="168" t="e">
        <v>#DIV/0!</v>
      </c>
      <c r="V223" s="167">
        <v>0</v>
      </c>
      <c r="W223" s="167">
        <v>0</v>
      </c>
      <c r="X223" s="167">
        <v>0</v>
      </c>
      <c r="Y223" s="167">
        <v>0</v>
      </c>
      <c r="Z223" s="167">
        <v>0</v>
      </c>
      <c r="AA223" s="167">
        <v>0</v>
      </c>
    </row>
    <row r="224" spans="1:27" ht="12" customHeight="1" x14ac:dyDescent="0.25">
      <c r="A224" s="155"/>
      <c r="B224" s="162" t="s">
        <v>612</v>
      </c>
      <c r="C224" s="163">
        <v>0</v>
      </c>
      <c r="D224" s="163">
        <v>0</v>
      </c>
      <c r="E224" s="163">
        <v>0</v>
      </c>
      <c r="F224" s="163">
        <v>0</v>
      </c>
      <c r="G224" s="163">
        <v>0</v>
      </c>
      <c r="H224" s="163">
        <v>0</v>
      </c>
      <c r="I224" s="163">
        <v>0</v>
      </c>
      <c r="J224" s="163">
        <v>0</v>
      </c>
      <c r="K224" s="163">
        <v>0</v>
      </c>
      <c r="L224" s="163">
        <v>0</v>
      </c>
      <c r="M224" s="163">
        <v>0</v>
      </c>
      <c r="N224" s="163">
        <v>0</v>
      </c>
      <c r="O224" s="163">
        <v>0</v>
      </c>
      <c r="P224" s="163">
        <v>0</v>
      </c>
      <c r="Q224" s="163">
        <v>0</v>
      </c>
      <c r="R224" s="163">
        <v>0</v>
      </c>
      <c r="S224" s="163">
        <v>0</v>
      </c>
      <c r="T224" s="164">
        <v>0</v>
      </c>
      <c r="U224" s="165" t="e">
        <v>#DIV/0!</v>
      </c>
      <c r="V224" s="164">
        <v>0</v>
      </c>
      <c r="W224" s="164">
        <v>0</v>
      </c>
      <c r="X224" s="164">
        <v>0</v>
      </c>
      <c r="Y224" s="164">
        <v>0</v>
      </c>
      <c r="Z224" s="164">
        <v>0</v>
      </c>
      <c r="AA224" s="164">
        <v>0</v>
      </c>
    </row>
    <row r="225" spans="1:27" ht="12" customHeight="1" x14ac:dyDescent="0.25">
      <c r="A225" s="155" t="s">
        <v>1304</v>
      </c>
      <c r="B225" s="155" t="s">
        <v>613</v>
      </c>
      <c r="C225" s="167">
        <v>0</v>
      </c>
      <c r="D225" s="167">
        <v>0</v>
      </c>
      <c r="E225" s="167">
        <v>0</v>
      </c>
      <c r="F225" s="167">
        <v>0</v>
      </c>
      <c r="G225" s="167">
        <v>0</v>
      </c>
      <c r="H225" s="167">
        <v>0</v>
      </c>
      <c r="I225" s="167">
        <v>0</v>
      </c>
      <c r="J225" s="167">
        <v>0</v>
      </c>
      <c r="K225" s="167">
        <v>0</v>
      </c>
      <c r="L225" s="167">
        <v>0</v>
      </c>
      <c r="M225" s="167">
        <v>0</v>
      </c>
      <c r="N225" s="167">
        <v>0</v>
      </c>
      <c r="O225" s="167">
        <v>0</v>
      </c>
      <c r="P225" s="167">
        <v>0</v>
      </c>
      <c r="Q225" s="167">
        <v>0</v>
      </c>
      <c r="R225" s="167">
        <v>0</v>
      </c>
      <c r="S225" s="167">
        <v>0</v>
      </c>
      <c r="T225" s="167">
        <v>0</v>
      </c>
      <c r="U225" s="168" t="e">
        <v>#DIV/0!</v>
      </c>
      <c r="V225" s="167">
        <v>0</v>
      </c>
      <c r="W225" s="167">
        <v>0</v>
      </c>
      <c r="X225" s="167">
        <v>0</v>
      </c>
      <c r="Y225" s="167">
        <v>0</v>
      </c>
      <c r="Z225" s="167">
        <v>0</v>
      </c>
      <c r="AA225" s="167">
        <v>0</v>
      </c>
    </row>
    <row r="226" spans="1:27" ht="12" customHeight="1" x14ac:dyDescent="0.25">
      <c r="A226" s="155" t="s">
        <v>1305</v>
      </c>
      <c r="B226" s="155" t="s">
        <v>614</v>
      </c>
      <c r="C226" s="167">
        <v>0</v>
      </c>
      <c r="D226" s="167">
        <v>0</v>
      </c>
      <c r="E226" s="167">
        <v>0</v>
      </c>
      <c r="F226" s="167">
        <v>0</v>
      </c>
      <c r="G226" s="167">
        <v>0</v>
      </c>
      <c r="H226" s="167">
        <v>0</v>
      </c>
      <c r="I226" s="167">
        <v>0</v>
      </c>
      <c r="J226" s="167">
        <v>0</v>
      </c>
      <c r="K226" s="167">
        <v>0</v>
      </c>
      <c r="L226" s="167">
        <v>0</v>
      </c>
      <c r="M226" s="167">
        <v>0</v>
      </c>
      <c r="N226" s="167">
        <v>0</v>
      </c>
      <c r="O226" s="167">
        <v>0</v>
      </c>
      <c r="P226" s="167">
        <v>0</v>
      </c>
      <c r="Q226" s="167">
        <v>0</v>
      </c>
      <c r="R226" s="167">
        <v>0</v>
      </c>
      <c r="S226" s="167">
        <v>0</v>
      </c>
      <c r="T226" s="167">
        <v>0</v>
      </c>
      <c r="U226" s="168" t="e">
        <v>#DIV/0!</v>
      </c>
      <c r="V226" s="167">
        <v>0</v>
      </c>
      <c r="W226" s="167">
        <v>0</v>
      </c>
      <c r="X226" s="167">
        <v>0</v>
      </c>
      <c r="Y226" s="167">
        <v>0</v>
      </c>
      <c r="Z226" s="167">
        <v>0</v>
      </c>
      <c r="AA226" s="167">
        <v>0</v>
      </c>
    </row>
    <row r="227" spans="1:27" ht="12" customHeight="1" x14ac:dyDescent="0.25">
      <c r="A227" s="155" t="s">
        <v>1306</v>
      </c>
      <c r="B227" s="155" t="s">
        <v>615</v>
      </c>
      <c r="C227" s="167">
        <v>0</v>
      </c>
      <c r="D227" s="167">
        <v>0</v>
      </c>
      <c r="E227" s="167">
        <v>0</v>
      </c>
      <c r="F227" s="167">
        <v>0</v>
      </c>
      <c r="G227" s="167">
        <v>0</v>
      </c>
      <c r="H227" s="167">
        <v>0</v>
      </c>
      <c r="I227" s="167">
        <v>0</v>
      </c>
      <c r="J227" s="167">
        <v>0</v>
      </c>
      <c r="K227" s="167">
        <v>0</v>
      </c>
      <c r="L227" s="167">
        <v>0</v>
      </c>
      <c r="M227" s="167">
        <v>0</v>
      </c>
      <c r="N227" s="167">
        <v>0</v>
      </c>
      <c r="O227" s="167">
        <v>0</v>
      </c>
      <c r="P227" s="167">
        <v>0</v>
      </c>
      <c r="Q227" s="167">
        <v>0</v>
      </c>
      <c r="R227" s="167">
        <v>0</v>
      </c>
      <c r="S227" s="167">
        <v>0</v>
      </c>
      <c r="T227" s="167">
        <v>0</v>
      </c>
      <c r="U227" s="168" t="e">
        <v>#DIV/0!</v>
      </c>
      <c r="V227" s="167">
        <v>0</v>
      </c>
      <c r="W227" s="167">
        <v>0</v>
      </c>
      <c r="X227" s="167">
        <v>0</v>
      </c>
      <c r="Y227" s="167">
        <v>0</v>
      </c>
      <c r="Z227" s="167">
        <v>0</v>
      </c>
      <c r="AA227" s="167">
        <v>0</v>
      </c>
    </row>
    <row r="228" spans="1:27" ht="12" customHeight="1" x14ac:dyDescent="0.25">
      <c r="A228" s="155" t="s">
        <v>1307</v>
      </c>
      <c r="B228" s="155" t="s">
        <v>616</v>
      </c>
      <c r="C228" s="167">
        <v>0</v>
      </c>
      <c r="D228" s="167">
        <v>0</v>
      </c>
      <c r="E228" s="167">
        <v>0</v>
      </c>
      <c r="F228" s="167">
        <v>0</v>
      </c>
      <c r="G228" s="167">
        <v>0</v>
      </c>
      <c r="H228" s="167">
        <v>0</v>
      </c>
      <c r="I228" s="167">
        <v>0</v>
      </c>
      <c r="J228" s="167">
        <v>0</v>
      </c>
      <c r="K228" s="167">
        <v>0</v>
      </c>
      <c r="L228" s="167">
        <v>0</v>
      </c>
      <c r="M228" s="167">
        <v>0</v>
      </c>
      <c r="N228" s="167">
        <v>0</v>
      </c>
      <c r="O228" s="167">
        <v>0</v>
      </c>
      <c r="P228" s="167">
        <v>0</v>
      </c>
      <c r="Q228" s="167">
        <v>0</v>
      </c>
      <c r="R228" s="167">
        <v>0</v>
      </c>
      <c r="S228" s="167">
        <v>0</v>
      </c>
      <c r="T228" s="167">
        <v>0</v>
      </c>
      <c r="U228" s="168" t="e">
        <v>#DIV/0!</v>
      </c>
      <c r="V228" s="167">
        <v>0</v>
      </c>
      <c r="W228" s="167">
        <v>0</v>
      </c>
      <c r="X228" s="167">
        <v>0</v>
      </c>
      <c r="Y228" s="167">
        <v>0</v>
      </c>
      <c r="Z228" s="167">
        <v>0</v>
      </c>
      <c r="AA228" s="167">
        <v>0</v>
      </c>
    </row>
    <row r="229" spans="1:27" ht="12" customHeight="1" x14ac:dyDescent="0.25">
      <c r="A229" s="155" t="s">
        <v>1308</v>
      </c>
      <c r="B229" s="155" t="s">
        <v>617</v>
      </c>
      <c r="C229" s="167">
        <v>0</v>
      </c>
      <c r="D229" s="167">
        <v>0</v>
      </c>
      <c r="E229" s="167">
        <v>0</v>
      </c>
      <c r="F229" s="167">
        <v>0</v>
      </c>
      <c r="G229" s="167">
        <v>0</v>
      </c>
      <c r="H229" s="167">
        <v>0</v>
      </c>
      <c r="I229" s="167">
        <v>0</v>
      </c>
      <c r="J229" s="167">
        <v>0</v>
      </c>
      <c r="K229" s="167">
        <v>0</v>
      </c>
      <c r="L229" s="167">
        <v>0</v>
      </c>
      <c r="M229" s="167">
        <v>0</v>
      </c>
      <c r="N229" s="167">
        <v>0</v>
      </c>
      <c r="O229" s="167">
        <v>0</v>
      </c>
      <c r="P229" s="167">
        <v>0</v>
      </c>
      <c r="Q229" s="167">
        <v>0</v>
      </c>
      <c r="R229" s="167">
        <v>0</v>
      </c>
      <c r="S229" s="167">
        <v>0</v>
      </c>
      <c r="T229" s="167">
        <v>0</v>
      </c>
      <c r="U229" s="168" t="e">
        <v>#DIV/0!</v>
      </c>
      <c r="V229" s="167">
        <v>0</v>
      </c>
      <c r="W229" s="167">
        <v>0</v>
      </c>
      <c r="X229" s="167">
        <v>0</v>
      </c>
      <c r="Y229" s="167">
        <v>0</v>
      </c>
      <c r="Z229" s="167">
        <v>0</v>
      </c>
      <c r="AA229" s="167">
        <v>0</v>
      </c>
    </row>
    <row r="230" spans="1:27" ht="12" customHeight="1" x14ac:dyDescent="0.25">
      <c r="A230" s="155" t="s">
        <v>1309</v>
      </c>
      <c r="B230" s="155" t="s">
        <v>618</v>
      </c>
      <c r="C230" s="167">
        <v>0</v>
      </c>
      <c r="D230" s="167">
        <v>0</v>
      </c>
      <c r="E230" s="167">
        <v>0</v>
      </c>
      <c r="F230" s="167">
        <v>0</v>
      </c>
      <c r="G230" s="167">
        <v>0</v>
      </c>
      <c r="H230" s="167">
        <v>0</v>
      </c>
      <c r="I230" s="167">
        <v>0</v>
      </c>
      <c r="J230" s="167">
        <v>0</v>
      </c>
      <c r="K230" s="167">
        <v>0</v>
      </c>
      <c r="L230" s="167">
        <v>0</v>
      </c>
      <c r="M230" s="167">
        <v>0</v>
      </c>
      <c r="N230" s="167">
        <v>0</v>
      </c>
      <c r="O230" s="167">
        <v>0</v>
      </c>
      <c r="P230" s="167">
        <v>0</v>
      </c>
      <c r="Q230" s="167">
        <v>0</v>
      </c>
      <c r="R230" s="167">
        <v>0</v>
      </c>
      <c r="S230" s="167">
        <v>0</v>
      </c>
      <c r="T230" s="167">
        <v>0</v>
      </c>
      <c r="U230" s="168" t="e">
        <v>#DIV/0!</v>
      </c>
      <c r="V230" s="167">
        <v>0</v>
      </c>
      <c r="W230" s="167">
        <v>0</v>
      </c>
      <c r="X230" s="167">
        <v>0</v>
      </c>
      <c r="Y230" s="167">
        <v>0</v>
      </c>
      <c r="Z230" s="167">
        <v>0</v>
      </c>
      <c r="AA230" s="167">
        <v>0</v>
      </c>
    </row>
    <row r="231" spans="1:27" ht="12" customHeight="1" x14ac:dyDescent="0.25">
      <c r="A231" s="155" t="s">
        <v>1310</v>
      </c>
      <c r="B231" s="155" t="s">
        <v>619</v>
      </c>
      <c r="C231" s="167">
        <v>0</v>
      </c>
      <c r="D231" s="167">
        <v>0</v>
      </c>
      <c r="E231" s="167">
        <v>0</v>
      </c>
      <c r="F231" s="167">
        <v>0</v>
      </c>
      <c r="G231" s="167">
        <v>0</v>
      </c>
      <c r="H231" s="167">
        <v>0</v>
      </c>
      <c r="I231" s="167">
        <v>0</v>
      </c>
      <c r="J231" s="167">
        <v>0</v>
      </c>
      <c r="K231" s="167">
        <v>0</v>
      </c>
      <c r="L231" s="167">
        <v>0</v>
      </c>
      <c r="M231" s="167">
        <v>0</v>
      </c>
      <c r="N231" s="167">
        <v>0</v>
      </c>
      <c r="O231" s="167">
        <v>0</v>
      </c>
      <c r="P231" s="167">
        <v>0</v>
      </c>
      <c r="Q231" s="167">
        <v>0</v>
      </c>
      <c r="R231" s="167">
        <v>0</v>
      </c>
      <c r="S231" s="167">
        <v>0</v>
      </c>
      <c r="T231" s="167">
        <v>0</v>
      </c>
      <c r="U231" s="168" t="e">
        <v>#DIV/0!</v>
      </c>
      <c r="V231" s="167">
        <v>0</v>
      </c>
      <c r="W231" s="167">
        <v>0</v>
      </c>
      <c r="X231" s="167">
        <v>0</v>
      </c>
      <c r="Y231" s="167">
        <v>0</v>
      </c>
      <c r="Z231" s="167">
        <v>0</v>
      </c>
      <c r="AA231" s="167">
        <v>0</v>
      </c>
    </row>
    <row r="232" spans="1:27" ht="12" customHeight="1" x14ac:dyDescent="0.25">
      <c r="A232" s="155" t="s">
        <v>1311</v>
      </c>
      <c r="B232" s="162" t="s">
        <v>620</v>
      </c>
      <c r="C232" s="167">
        <v>0</v>
      </c>
      <c r="D232" s="167">
        <v>0</v>
      </c>
      <c r="E232" s="167">
        <v>0</v>
      </c>
      <c r="F232" s="167">
        <v>0</v>
      </c>
      <c r="G232" s="167">
        <v>0</v>
      </c>
      <c r="H232" s="167">
        <v>0</v>
      </c>
      <c r="I232" s="167">
        <v>0</v>
      </c>
      <c r="J232" s="167">
        <v>0</v>
      </c>
      <c r="K232" s="167">
        <v>0</v>
      </c>
      <c r="L232" s="167">
        <v>0</v>
      </c>
      <c r="M232" s="167">
        <v>0</v>
      </c>
      <c r="N232" s="167">
        <v>0</v>
      </c>
      <c r="O232" s="167">
        <v>0</v>
      </c>
      <c r="P232" s="167">
        <v>0</v>
      </c>
      <c r="Q232" s="167">
        <v>0</v>
      </c>
      <c r="R232" s="167">
        <v>0</v>
      </c>
      <c r="S232" s="167">
        <v>0</v>
      </c>
      <c r="T232" s="164">
        <v>0</v>
      </c>
      <c r="U232" s="165" t="e">
        <v>#DIV/0!</v>
      </c>
      <c r="V232" s="164">
        <v>0</v>
      </c>
      <c r="W232" s="164">
        <v>0</v>
      </c>
      <c r="X232" s="164">
        <v>0</v>
      </c>
      <c r="Y232" s="164">
        <v>0</v>
      </c>
      <c r="Z232" s="164">
        <v>0</v>
      </c>
      <c r="AA232" s="164">
        <v>0</v>
      </c>
    </row>
    <row r="233" spans="1:27" ht="12" customHeight="1" x14ac:dyDescent="0.25">
      <c r="A233" s="155" t="s">
        <v>1312</v>
      </c>
      <c r="B233" s="162" t="s">
        <v>621</v>
      </c>
      <c r="C233" s="167">
        <v>0</v>
      </c>
      <c r="D233" s="167">
        <v>0</v>
      </c>
      <c r="E233" s="167">
        <v>0</v>
      </c>
      <c r="F233" s="167">
        <v>0</v>
      </c>
      <c r="G233" s="167">
        <v>0</v>
      </c>
      <c r="H233" s="167">
        <v>0</v>
      </c>
      <c r="I233" s="167">
        <v>0</v>
      </c>
      <c r="J233" s="167">
        <v>0</v>
      </c>
      <c r="K233" s="167">
        <v>0</v>
      </c>
      <c r="L233" s="167">
        <v>0</v>
      </c>
      <c r="M233" s="167">
        <v>0</v>
      </c>
      <c r="N233" s="167">
        <v>0</v>
      </c>
      <c r="O233" s="167">
        <v>0</v>
      </c>
      <c r="P233" s="167">
        <v>0</v>
      </c>
      <c r="Q233" s="167">
        <v>0</v>
      </c>
      <c r="R233" s="167">
        <v>0</v>
      </c>
      <c r="S233" s="167">
        <v>0</v>
      </c>
      <c r="T233" s="164">
        <v>0</v>
      </c>
      <c r="U233" s="165" t="e">
        <v>#DIV/0!</v>
      </c>
      <c r="V233" s="164">
        <v>0</v>
      </c>
      <c r="W233" s="164">
        <v>0</v>
      </c>
      <c r="X233" s="164">
        <v>0</v>
      </c>
      <c r="Y233" s="164">
        <v>0</v>
      </c>
      <c r="Z233" s="164">
        <v>0</v>
      </c>
      <c r="AA233" s="164">
        <v>0</v>
      </c>
    </row>
    <row r="234" spans="1:27" ht="12" customHeight="1" x14ac:dyDescent="0.25">
      <c r="A234" s="155" t="s">
        <v>1313</v>
      </c>
      <c r="B234" s="162" t="s">
        <v>622</v>
      </c>
      <c r="C234" s="167">
        <v>0</v>
      </c>
      <c r="D234" s="167">
        <v>0</v>
      </c>
      <c r="E234" s="167">
        <v>0</v>
      </c>
      <c r="F234" s="167">
        <v>0</v>
      </c>
      <c r="G234" s="167">
        <v>0</v>
      </c>
      <c r="H234" s="167">
        <v>0</v>
      </c>
      <c r="I234" s="167">
        <v>0</v>
      </c>
      <c r="J234" s="167">
        <v>0</v>
      </c>
      <c r="K234" s="167">
        <v>0</v>
      </c>
      <c r="L234" s="167">
        <v>0</v>
      </c>
      <c r="M234" s="167">
        <v>0</v>
      </c>
      <c r="N234" s="167">
        <v>0</v>
      </c>
      <c r="O234" s="167">
        <v>0</v>
      </c>
      <c r="P234" s="167">
        <v>0</v>
      </c>
      <c r="Q234" s="167">
        <v>0</v>
      </c>
      <c r="R234" s="167">
        <v>0</v>
      </c>
      <c r="S234" s="167">
        <v>0</v>
      </c>
      <c r="T234" s="164">
        <v>0</v>
      </c>
      <c r="U234" s="165" t="e">
        <v>#DIV/0!</v>
      </c>
      <c r="V234" s="164">
        <v>0</v>
      </c>
      <c r="W234" s="164">
        <v>0</v>
      </c>
      <c r="X234" s="164">
        <v>0</v>
      </c>
      <c r="Y234" s="164">
        <v>0</v>
      </c>
      <c r="Z234" s="164">
        <v>0</v>
      </c>
      <c r="AA234" s="164">
        <v>0</v>
      </c>
    </row>
    <row r="235" spans="1:27" ht="12" customHeight="1" x14ac:dyDescent="0.25">
      <c r="A235" s="155" t="s">
        <v>1314</v>
      </c>
      <c r="B235" s="162" t="s">
        <v>623</v>
      </c>
      <c r="C235" s="167">
        <v>0</v>
      </c>
      <c r="D235" s="167">
        <v>0</v>
      </c>
      <c r="E235" s="167">
        <v>0</v>
      </c>
      <c r="F235" s="167">
        <v>0</v>
      </c>
      <c r="G235" s="167">
        <v>0</v>
      </c>
      <c r="H235" s="167">
        <v>0</v>
      </c>
      <c r="I235" s="167">
        <v>0</v>
      </c>
      <c r="J235" s="167">
        <v>0</v>
      </c>
      <c r="K235" s="167">
        <v>0</v>
      </c>
      <c r="L235" s="167">
        <v>0</v>
      </c>
      <c r="M235" s="167">
        <v>0</v>
      </c>
      <c r="N235" s="167">
        <v>0</v>
      </c>
      <c r="O235" s="167">
        <v>0</v>
      </c>
      <c r="P235" s="167">
        <v>0</v>
      </c>
      <c r="Q235" s="167">
        <v>0</v>
      </c>
      <c r="R235" s="167">
        <v>0</v>
      </c>
      <c r="S235" s="167">
        <v>0</v>
      </c>
      <c r="T235" s="164">
        <v>0</v>
      </c>
      <c r="U235" s="165" t="e">
        <v>#DIV/0!</v>
      </c>
      <c r="V235" s="164">
        <v>0</v>
      </c>
      <c r="W235" s="164">
        <v>0</v>
      </c>
      <c r="X235" s="164">
        <v>0</v>
      </c>
      <c r="Y235" s="164">
        <v>0</v>
      </c>
      <c r="Z235" s="164">
        <v>0</v>
      </c>
      <c r="AA235" s="164">
        <v>0</v>
      </c>
    </row>
    <row r="236" spans="1:27" ht="12" customHeight="1" x14ac:dyDescent="0.25">
      <c r="A236" s="155"/>
      <c r="B236" s="162" t="s">
        <v>624</v>
      </c>
      <c r="C236" s="163">
        <v>0</v>
      </c>
      <c r="D236" s="163">
        <v>0</v>
      </c>
      <c r="E236" s="163">
        <v>0</v>
      </c>
      <c r="F236" s="163">
        <v>0</v>
      </c>
      <c r="G236" s="163">
        <v>0</v>
      </c>
      <c r="H236" s="163">
        <v>0</v>
      </c>
      <c r="I236" s="163">
        <v>0</v>
      </c>
      <c r="J236" s="163">
        <v>0</v>
      </c>
      <c r="K236" s="163">
        <v>0</v>
      </c>
      <c r="L236" s="163">
        <v>0</v>
      </c>
      <c r="M236" s="163">
        <v>0</v>
      </c>
      <c r="N236" s="163">
        <v>0</v>
      </c>
      <c r="O236" s="163">
        <v>0</v>
      </c>
      <c r="P236" s="163">
        <v>0</v>
      </c>
      <c r="Q236" s="163">
        <v>0</v>
      </c>
      <c r="R236" s="163">
        <v>0</v>
      </c>
      <c r="S236" s="163">
        <v>0</v>
      </c>
      <c r="T236" s="164">
        <v>0</v>
      </c>
      <c r="U236" s="165" t="e">
        <v>#DIV/0!</v>
      </c>
      <c r="V236" s="164">
        <v>0</v>
      </c>
      <c r="W236" s="164">
        <v>0</v>
      </c>
      <c r="X236" s="164">
        <v>0</v>
      </c>
      <c r="Y236" s="164">
        <v>0</v>
      </c>
      <c r="Z236" s="164">
        <v>0</v>
      </c>
      <c r="AA236" s="164">
        <v>0</v>
      </c>
    </row>
    <row r="237" spans="1:27" ht="12" customHeight="1" x14ac:dyDescent="0.25">
      <c r="A237" s="155"/>
      <c r="B237" s="155" t="s">
        <v>625</v>
      </c>
      <c r="C237" s="169">
        <v>0</v>
      </c>
      <c r="D237" s="169">
        <v>0</v>
      </c>
      <c r="E237" s="169">
        <v>0</v>
      </c>
      <c r="F237" s="169">
        <v>0</v>
      </c>
      <c r="G237" s="169">
        <v>0</v>
      </c>
      <c r="H237" s="169">
        <v>0</v>
      </c>
      <c r="I237" s="169">
        <v>0</v>
      </c>
      <c r="J237" s="169">
        <v>0</v>
      </c>
      <c r="K237" s="169">
        <v>0</v>
      </c>
      <c r="L237" s="169">
        <v>0</v>
      </c>
      <c r="M237" s="169">
        <v>0</v>
      </c>
      <c r="N237" s="169">
        <v>0</v>
      </c>
      <c r="O237" s="169">
        <v>0</v>
      </c>
      <c r="P237" s="169">
        <v>0</v>
      </c>
      <c r="Q237" s="169">
        <v>0</v>
      </c>
      <c r="R237" s="169">
        <v>0</v>
      </c>
      <c r="S237" s="169">
        <v>0</v>
      </c>
      <c r="T237" s="167">
        <v>0</v>
      </c>
      <c r="U237" s="168" t="e">
        <v>#DIV/0!</v>
      </c>
      <c r="V237" s="167">
        <v>0</v>
      </c>
      <c r="W237" s="167">
        <v>0</v>
      </c>
      <c r="X237" s="167">
        <v>0</v>
      </c>
      <c r="Y237" s="167">
        <v>0</v>
      </c>
      <c r="Z237" s="167">
        <v>0</v>
      </c>
      <c r="AA237" s="167">
        <v>0</v>
      </c>
    </row>
    <row r="238" spans="1:27" ht="12" customHeight="1" x14ac:dyDescent="0.25">
      <c r="A238" s="155"/>
      <c r="B238" s="166" t="s">
        <v>626</v>
      </c>
      <c r="C238" s="169">
        <v>0</v>
      </c>
      <c r="D238" s="169">
        <v>0</v>
      </c>
      <c r="E238" s="169">
        <v>0</v>
      </c>
      <c r="F238" s="169">
        <v>0</v>
      </c>
      <c r="G238" s="169">
        <v>0</v>
      </c>
      <c r="H238" s="169">
        <v>0</v>
      </c>
      <c r="I238" s="169">
        <v>0</v>
      </c>
      <c r="J238" s="169">
        <v>0</v>
      </c>
      <c r="K238" s="169">
        <v>0</v>
      </c>
      <c r="L238" s="169">
        <v>0</v>
      </c>
      <c r="M238" s="169">
        <v>0</v>
      </c>
      <c r="N238" s="169">
        <v>0</v>
      </c>
      <c r="O238" s="169">
        <v>0</v>
      </c>
      <c r="P238" s="169">
        <v>0</v>
      </c>
      <c r="Q238" s="169">
        <v>0</v>
      </c>
      <c r="R238" s="169">
        <v>0</v>
      </c>
      <c r="S238" s="169">
        <v>0</v>
      </c>
      <c r="T238" s="167">
        <v>0</v>
      </c>
      <c r="U238" s="168" t="e">
        <v>#DIV/0!</v>
      </c>
      <c r="V238" s="167">
        <v>0</v>
      </c>
      <c r="W238" s="167">
        <v>0</v>
      </c>
      <c r="X238" s="167">
        <v>0</v>
      </c>
      <c r="Y238" s="167">
        <v>0</v>
      </c>
      <c r="Z238" s="167">
        <v>0</v>
      </c>
      <c r="AA238" s="167">
        <v>0</v>
      </c>
    </row>
    <row r="239" spans="1:27" ht="12" customHeight="1" x14ac:dyDescent="0.25">
      <c r="A239" s="155" t="s">
        <v>1315</v>
      </c>
      <c r="B239" s="170" t="s">
        <v>627</v>
      </c>
      <c r="C239" s="167">
        <v>0</v>
      </c>
      <c r="D239" s="167">
        <v>0</v>
      </c>
      <c r="E239" s="167">
        <v>0</v>
      </c>
      <c r="F239" s="167">
        <v>0</v>
      </c>
      <c r="G239" s="167">
        <v>0</v>
      </c>
      <c r="H239" s="167">
        <v>0</v>
      </c>
      <c r="I239" s="167">
        <v>0</v>
      </c>
      <c r="J239" s="167">
        <v>0</v>
      </c>
      <c r="K239" s="167">
        <v>0</v>
      </c>
      <c r="L239" s="167">
        <v>0</v>
      </c>
      <c r="M239" s="167">
        <v>0</v>
      </c>
      <c r="N239" s="167">
        <v>0</v>
      </c>
      <c r="O239" s="167">
        <v>0</v>
      </c>
      <c r="P239" s="167">
        <v>0</v>
      </c>
      <c r="Q239" s="167">
        <v>0</v>
      </c>
      <c r="R239" s="167">
        <v>0</v>
      </c>
      <c r="S239" s="167">
        <v>0</v>
      </c>
      <c r="T239" s="167">
        <v>0</v>
      </c>
      <c r="U239" s="168" t="e">
        <v>#DIV/0!</v>
      </c>
      <c r="V239" s="167">
        <v>0</v>
      </c>
      <c r="W239" s="167">
        <v>0</v>
      </c>
      <c r="X239" s="167">
        <v>0</v>
      </c>
      <c r="Y239" s="167">
        <v>0</v>
      </c>
      <c r="Z239" s="167">
        <v>0</v>
      </c>
      <c r="AA239" s="167">
        <v>0</v>
      </c>
    </row>
    <row r="240" spans="1:27" ht="12" customHeight="1" x14ac:dyDescent="0.25">
      <c r="A240" s="155" t="s">
        <v>1316</v>
      </c>
      <c r="B240" s="170" t="s">
        <v>628</v>
      </c>
      <c r="C240" s="167">
        <v>0</v>
      </c>
      <c r="D240" s="167">
        <v>0</v>
      </c>
      <c r="E240" s="167">
        <v>0</v>
      </c>
      <c r="F240" s="167">
        <v>0</v>
      </c>
      <c r="G240" s="167">
        <v>0</v>
      </c>
      <c r="H240" s="167">
        <v>0</v>
      </c>
      <c r="I240" s="167">
        <v>0</v>
      </c>
      <c r="J240" s="167">
        <v>0</v>
      </c>
      <c r="K240" s="167">
        <v>0</v>
      </c>
      <c r="L240" s="167">
        <v>0</v>
      </c>
      <c r="M240" s="167">
        <v>0</v>
      </c>
      <c r="N240" s="167">
        <v>0</v>
      </c>
      <c r="O240" s="167">
        <v>0</v>
      </c>
      <c r="P240" s="167">
        <v>0</v>
      </c>
      <c r="Q240" s="167">
        <v>0</v>
      </c>
      <c r="R240" s="167">
        <v>0</v>
      </c>
      <c r="S240" s="167">
        <v>0</v>
      </c>
      <c r="T240" s="167">
        <v>0</v>
      </c>
      <c r="U240" s="168" t="e">
        <v>#DIV/0!</v>
      </c>
      <c r="V240" s="167">
        <v>0</v>
      </c>
      <c r="W240" s="167">
        <v>0</v>
      </c>
      <c r="X240" s="167">
        <v>0</v>
      </c>
      <c r="Y240" s="167">
        <v>0</v>
      </c>
      <c r="Z240" s="167">
        <v>0</v>
      </c>
      <c r="AA240" s="167">
        <v>0</v>
      </c>
    </row>
    <row r="241" spans="1:27" ht="12" customHeight="1" x14ac:dyDescent="0.25">
      <c r="A241" s="155"/>
      <c r="B241" s="166" t="s">
        <v>1317</v>
      </c>
      <c r="C241" s="167">
        <v>0</v>
      </c>
      <c r="D241" s="167">
        <v>0</v>
      </c>
      <c r="E241" s="167">
        <v>0</v>
      </c>
      <c r="F241" s="167">
        <v>0</v>
      </c>
      <c r="G241" s="167">
        <v>0</v>
      </c>
      <c r="H241" s="167">
        <v>0</v>
      </c>
      <c r="I241" s="167">
        <v>0</v>
      </c>
      <c r="J241" s="167">
        <v>0</v>
      </c>
      <c r="K241" s="167">
        <v>0</v>
      </c>
      <c r="L241" s="167">
        <v>0</v>
      </c>
      <c r="M241" s="167">
        <v>0</v>
      </c>
      <c r="N241" s="167">
        <v>0</v>
      </c>
      <c r="O241" s="167">
        <v>0</v>
      </c>
      <c r="P241" s="167">
        <v>0</v>
      </c>
      <c r="Q241" s="167">
        <v>0</v>
      </c>
      <c r="R241" s="167">
        <v>0</v>
      </c>
      <c r="S241" s="167">
        <v>0</v>
      </c>
      <c r="T241" s="167">
        <v>0</v>
      </c>
      <c r="U241" s="168" t="e">
        <v>#DIV/0!</v>
      </c>
      <c r="V241" s="167">
        <v>0</v>
      </c>
      <c r="W241" s="167">
        <v>0</v>
      </c>
      <c r="X241" s="167">
        <v>0</v>
      </c>
      <c r="Y241" s="167">
        <v>0</v>
      </c>
      <c r="Z241" s="167">
        <v>0</v>
      </c>
      <c r="AA241" s="167">
        <v>0</v>
      </c>
    </row>
    <row r="242" spans="1:27" ht="12" customHeight="1" x14ac:dyDescent="0.25">
      <c r="A242" s="155" t="s">
        <v>1318</v>
      </c>
      <c r="B242" s="170" t="s">
        <v>1319</v>
      </c>
      <c r="C242" s="167">
        <v>0</v>
      </c>
      <c r="D242" s="167">
        <v>0</v>
      </c>
      <c r="E242" s="167">
        <v>0</v>
      </c>
      <c r="F242" s="167">
        <v>0</v>
      </c>
      <c r="G242" s="167">
        <v>0</v>
      </c>
      <c r="H242" s="167">
        <v>0</v>
      </c>
      <c r="I242" s="167">
        <v>0</v>
      </c>
      <c r="J242" s="167">
        <v>0</v>
      </c>
      <c r="K242" s="167">
        <v>0</v>
      </c>
      <c r="L242" s="167">
        <v>0</v>
      </c>
      <c r="M242" s="167">
        <v>0</v>
      </c>
      <c r="N242" s="167">
        <v>0</v>
      </c>
      <c r="O242" s="167">
        <v>0</v>
      </c>
      <c r="P242" s="167">
        <v>0</v>
      </c>
      <c r="Q242" s="167">
        <v>0</v>
      </c>
      <c r="R242" s="167">
        <v>0</v>
      </c>
      <c r="S242" s="167">
        <v>0</v>
      </c>
      <c r="T242" s="167">
        <v>0</v>
      </c>
      <c r="U242" s="168" t="e">
        <v>#DIV/0!</v>
      </c>
      <c r="V242" s="167">
        <v>0</v>
      </c>
      <c r="W242" s="167">
        <v>0</v>
      </c>
      <c r="X242" s="167">
        <v>0</v>
      </c>
      <c r="Y242" s="167">
        <v>0</v>
      </c>
      <c r="Z242" s="167">
        <v>0</v>
      </c>
      <c r="AA242" s="167">
        <v>0</v>
      </c>
    </row>
    <row r="243" spans="1:27" ht="12" customHeight="1" x14ac:dyDescent="0.25">
      <c r="A243" s="155" t="s">
        <v>1320</v>
      </c>
      <c r="B243" s="170" t="s">
        <v>1321</v>
      </c>
      <c r="C243" s="167">
        <v>0</v>
      </c>
      <c r="D243" s="167">
        <v>0</v>
      </c>
      <c r="E243" s="167">
        <v>0</v>
      </c>
      <c r="F243" s="167">
        <v>0</v>
      </c>
      <c r="G243" s="167">
        <v>0</v>
      </c>
      <c r="H243" s="167">
        <v>0</v>
      </c>
      <c r="I243" s="167">
        <v>0</v>
      </c>
      <c r="J243" s="167">
        <v>0</v>
      </c>
      <c r="K243" s="167">
        <v>0</v>
      </c>
      <c r="L243" s="167">
        <v>0</v>
      </c>
      <c r="M243" s="167">
        <v>0</v>
      </c>
      <c r="N243" s="167">
        <v>0</v>
      </c>
      <c r="O243" s="167">
        <v>0</v>
      </c>
      <c r="P243" s="167">
        <v>0</v>
      </c>
      <c r="Q243" s="167">
        <v>0</v>
      </c>
      <c r="R243" s="167">
        <v>0</v>
      </c>
      <c r="S243" s="167">
        <v>0</v>
      </c>
      <c r="T243" s="167">
        <v>0</v>
      </c>
      <c r="U243" s="168" t="e">
        <v>#DIV/0!</v>
      </c>
      <c r="V243" s="167">
        <v>0</v>
      </c>
      <c r="W243" s="167">
        <v>0</v>
      </c>
      <c r="X243" s="167">
        <v>0</v>
      </c>
      <c r="Y243" s="167">
        <v>0</v>
      </c>
      <c r="Z243" s="167">
        <v>0</v>
      </c>
      <c r="AA243" s="167">
        <v>0</v>
      </c>
    </row>
    <row r="244" spans="1:27" ht="12" customHeight="1" x14ac:dyDescent="0.25">
      <c r="A244" s="155" t="s">
        <v>1322</v>
      </c>
      <c r="B244" s="166" t="s">
        <v>629</v>
      </c>
      <c r="C244" s="167">
        <v>0</v>
      </c>
      <c r="D244" s="167">
        <v>0</v>
      </c>
      <c r="E244" s="167">
        <v>0</v>
      </c>
      <c r="F244" s="167">
        <v>0</v>
      </c>
      <c r="G244" s="167">
        <v>0</v>
      </c>
      <c r="H244" s="167">
        <v>0</v>
      </c>
      <c r="I244" s="167">
        <v>0</v>
      </c>
      <c r="J244" s="167">
        <v>0</v>
      </c>
      <c r="K244" s="167">
        <v>0</v>
      </c>
      <c r="L244" s="167">
        <v>0</v>
      </c>
      <c r="M244" s="167">
        <v>0</v>
      </c>
      <c r="N244" s="167">
        <v>0</v>
      </c>
      <c r="O244" s="167">
        <v>0</v>
      </c>
      <c r="P244" s="167">
        <v>0</v>
      </c>
      <c r="Q244" s="167">
        <v>0</v>
      </c>
      <c r="R244" s="167">
        <v>0</v>
      </c>
      <c r="S244" s="167">
        <v>0</v>
      </c>
      <c r="T244" s="167">
        <v>0</v>
      </c>
      <c r="U244" s="168" t="e">
        <v>#DIV/0!</v>
      </c>
      <c r="V244" s="167">
        <v>0</v>
      </c>
      <c r="W244" s="167">
        <v>0</v>
      </c>
      <c r="X244" s="167">
        <v>0</v>
      </c>
      <c r="Y244" s="167">
        <v>0</v>
      </c>
      <c r="Z244" s="167">
        <v>0</v>
      </c>
      <c r="AA244" s="167">
        <v>0</v>
      </c>
    </row>
    <row r="245" spans="1:27" ht="12" customHeight="1" x14ac:dyDescent="0.25">
      <c r="A245" s="155" t="s">
        <v>1323</v>
      </c>
      <c r="B245" s="166" t="s">
        <v>630</v>
      </c>
      <c r="C245" s="167">
        <v>0</v>
      </c>
      <c r="D245" s="167">
        <v>0</v>
      </c>
      <c r="E245" s="167">
        <v>0</v>
      </c>
      <c r="F245" s="167">
        <v>0</v>
      </c>
      <c r="G245" s="167">
        <v>0</v>
      </c>
      <c r="H245" s="167">
        <v>0</v>
      </c>
      <c r="I245" s="167">
        <v>0</v>
      </c>
      <c r="J245" s="167">
        <v>0</v>
      </c>
      <c r="K245" s="167">
        <v>0</v>
      </c>
      <c r="L245" s="167">
        <v>0</v>
      </c>
      <c r="M245" s="167">
        <v>0</v>
      </c>
      <c r="N245" s="167">
        <v>0</v>
      </c>
      <c r="O245" s="167">
        <v>0</v>
      </c>
      <c r="P245" s="167">
        <v>0</v>
      </c>
      <c r="Q245" s="167">
        <v>0</v>
      </c>
      <c r="R245" s="167">
        <v>0</v>
      </c>
      <c r="S245" s="167">
        <v>0</v>
      </c>
      <c r="T245" s="167">
        <v>0</v>
      </c>
      <c r="U245" s="168" t="e">
        <v>#DIV/0!</v>
      </c>
      <c r="V245" s="167">
        <v>0</v>
      </c>
      <c r="W245" s="167">
        <v>0</v>
      </c>
      <c r="X245" s="167">
        <v>0</v>
      </c>
      <c r="Y245" s="167">
        <v>0</v>
      </c>
      <c r="Z245" s="167">
        <v>0</v>
      </c>
      <c r="AA245" s="167">
        <v>0</v>
      </c>
    </row>
    <row r="246" spans="1:27" ht="12" customHeight="1" x14ac:dyDescent="0.25">
      <c r="A246" s="155" t="s">
        <v>1324</v>
      </c>
      <c r="B246" s="155" t="s">
        <v>631</v>
      </c>
      <c r="C246" s="167">
        <v>0</v>
      </c>
      <c r="D246" s="167">
        <v>0</v>
      </c>
      <c r="E246" s="167">
        <v>0</v>
      </c>
      <c r="F246" s="167">
        <v>0</v>
      </c>
      <c r="G246" s="167">
        <v>0</v>
      </c>
      <c r="H246" s="167">
        <v>0</v>
      </c>
      <c r="I246" s="167">
        <v>0</v>
      </c>
      <c r="J246" s="167">
        <v>0</v>
      </c>
      <c r="K246" s="167">
        <v>0</v>
      </c>
      <c r="L246" s="167">
        <v>0</v>
      </c>
      <c r="M246" s="167">
        <v>0</v>
      </c>
      <c r="N246" s="167">
        <v>0</v>
      </c>
      <c r="O246" s="167">
        <v>0</v>
      </c>
      <c r="P246" s="167">
        <v>0</v>
      </c>
      <c r="Q246" s="167">
        <v>0</v>
      </c>
      <c r="R246" s="167">
        <v>0</v>
      </c>
      <c r="S246" s="167">
        <v>0</v>
      </c>
      <c r="T246" s="167">
        <v>0</v>
      </c>
      <c r="U246" s="168" t="e">
        <v>#DIV/0!</v>
      </c>
      <c r="V246" s="167">
        <v>0</v>
      </c>
      <c r="W246" s="167">
        <v>0</v>
      </c>
      <c r="X246" s="167">
        <v>0</v>
      </c>
      <c r="Y246" s="167">
        <v>0</v>
      </c>
      <c r="Z246" s="167">
        <v>0</v>
      </c>
      <c r="AA246" s="167">
        <v>0</v>
      </c>
    </row>
    <row r="247" spans="1:27" ht="12" customHeight="1" x14ac:dyDescent="0.25">
      <c r="A247" s="155" t="s">
        <v>1325</v>
      </c>
      <c r="B247" s="155" t="s">
        <v>632</v>
      </c>
      <c r="C247" s="167">
        <v>0</v>
      </c>
      <c r="D247" s="167">
        <v>0</v>
      </c>
      <c r="E247" s="167">
        <v>0</v>
      </c>
      <c r="F247" s="167">
        <v>0</v>
      </c>
      <c r="G247" s="167">
        <v>0</v>
      </c>
      <c r="H247" s="167">
        <v>0</v>
      </c>
      <c r="I247" s="167">
        <v>0</v>
      </c>
      <c r="J247" s="167">
        <v>0</v>
      </c>
      <c r="K247" s="167">
        <v>0</v>
      </c>
      <c r="L247" s="167">
        <v>0</v>
      </c>
      <c r="M247" s="167">
        <v>0</v>
      </c>
      <c r="N247" s="167">
        <v>0</v>
      </c>
      <c r="O247" s="167">
        <v>0</v>
      </c>
      <c r="P247" s="167">
        <v>0</v>
      </c>
      <c r="Q247" s="167">
        <v>0</v>
      </c>
      <c r="R247" s="167">
        <v>0</v>
      </c>
      <c r="S247" s="167">
        <v>0</v>
      </c>
      <c r="T247" s="167">
        <v>0</v>
      </c>
      <c r="U247" s="168" t="e">
        <v>#DIV/0!</v>
      </c>
      <c r="V247" s="167">
        <v>0</v>
      </c>
      <c r="W247" s="167">
        <v>0</v>
      </c>
      <c r="X247" s="167">
        <v>0</v>
      </c>
      <c r="Y247" s="167">
        <v>0</v>
      </c>
      <c r="Z247" s="167">
        <v>0</v>
      </c>
      <c r="AA247" s="167">
        <v>0</v>
      </c>
    </row>
    <row r="248" spans="1:27" ht="12" customHeight="1" x14ac:dyDescent="0.25">
      <c r="A248" s="155" t="s">
        <v>1326</v>
      </c>
      <c r="B248" s="155" t="s">
        <v>633</v>
      </c>
      <c r="C248" s="167">
        <v>0</v>
      </c>
      <c r="D248" s="167">
        <v>0</v>
      </c>
      <c r="E248" s="167">
        <v>0</v>
      </c>
      <c r="F248" s="167">
        <v>0</v>
      </c>
      <c r="G248" s="167">
        <v>0</v>
      </c>
      <c r="H248" s="167">
        <v>0</v>
      </c>
      <c r="I248" s="167">
        <v>0</v>
      </c>
      <c r="J248" s="167">
        <v>0</v>
      </c>
      <c r="K248" s="167">
        <v>0</v>
      </c>
      <c r="L248" s="167">
        <v>0</v>
      </c>
      <c r="M248" s="167">
        <v>0</v>
      </c>
      <c r="N248" s="167">
        <v>0</v>
      </c>
      <c r="O248" s="167">
        <v>0</v>
      </c>
      <c r="P248" s="167">
        <v>0</v>
      </c>
      <c r="Q248" s="167">
        <v>0</v>
      </c>
      <c r="R248" s="167">
        <v>0</v>
      </c>
      <c r="S248" s="167">
        <v>0</v>
      </c>
      <c r="T248" s="167">
        <v>0</v>
      </c>
      <c r="U248" s="168" t="e">
        <v>#DIV/0!</v>
      </c>
      <c r="V248" s="167">
        <v>0</v>
      </c>
      <c r="W248" s="167">
        <v>0</v>
      </c>
      <c r="X248" s="167">
        <v>0</v>
      </c>
      <c r="Y248" s="167">
        <v>0</v>
      </c>
      <c r="Z248" s="167">
        <v>0</v>
      </c>
      <c r="AA248" s="167">
        <v>0</v>
      </c>
    </row>
    <row r="249" spans="1:27" ht="12" customHeight="1" x14ac:dyDescent="0.25">
      <c r="A249" s="155" t="s">
        <v>1327</v>
      </c>
      <c r="B249" s="155" t="s">
        <v>634</v>
      </c>
      <c r="C249" s="167">
        <v>0</v>
      </c>
      <c r="D249" s="167">
        <v>0</v>
      </c>
      <c r="E249" s="167">
        <v>0</v>
      </c>
      <c r="F249" s="167">
        <v>0</v>
      </c>
      <c r="G249" s="167">
        <v>0</v>
      </c>
      <c r="H249" s="167">
        <v>0</v>
      </c>
      <c r="I249" s="167">
        <v>0</v>
      </c>
      <c r="J249" s="167">
        <v>0</v>
      </c>
      <c r="K249" s="167">
        <v>0</v>
      </c>
      <c r="L249" s="167">
        <v>0</v>
      </c>
      <c r="M249" s="167">
        <v>0</v>
      </c>
      <c r="N249" s="167">
        <v>0</v>
      </c>
      <c r="O249" s="167">
        <v>0</v>
      </c>
      <c r="P249" s="167">
        <v>0</v>
      </c>
      <c r="Q249" s="167">
        <v>0</v>
      </c>
      <c r="R249" s="167">
        <v>0</v>
      </c>
      <c r="S249" s="167">
        <v>0</v>
      </c>
      <c r="T249" s="167">
        <v>0</v>
      </c>
      <c r="U249" s="168" t="e">
        <v>#DIV/0!</v>
      </c>
      <c r="V249" s="167">
        <v>0</v>
      </c>
      <c r="W249" s="167">
        <v>0</v>
      </c>
      <c r="X249" s="167">
        <v>0</v>
      </c>
      <c r="Y249" s="167">
        <v>0</v>
      </c>
      <c r="Z249" s="167">
        <v>0</v>
      </c>
      <c r="AA249" s="167">
        <v>0</v>
      </c>
    </row>
    <row r="250" spans="1:27" ht="12" customHeight="1" x14ac:dyDescent="0.25">
      <c r="A250" s="155" t="s">
        <v>1328</v>
      </c>
      <c r="B250" s="155" t="s">
        <v>635</v>
      </c>
      <c r="C250" s="167">
        <v>0</v>
      </c>
      <c r="D250" s="167">
        <v>0</v>
      </c>
      <c r="E250" s="167">
        <v>0</v>
      </c>
      <c r="F250" s="167">
        <v>0</v>
      </c>
      <c r="G250" s="167">
        <v>0</v>
      </c>
      <c r="H250" s="167">
        <v>0</v>
      </c>
      <c r="I250" s="167">
        <v>0</v>
      </c>
      <c r="J250" s="167">
        <v>0</v>
      </c>
      <c r="K250" s="167">
        <v>0</v>
      </c>
      <c r="L250" s="167">
        <v>0</v>
      </c>
      <c r="M250" s="167">
        <v>0</v>
      </c>
      <c r="N250" s="167">
        <v>0</v>
      </c>
      <c r="O250" s="167">
        <v>0</v>
      </c>
      <c r="P250" s="167">
        <v>0</v>
      </c>
      <c r="Q250" s="167">
        <v>0</v>
      </c>
      <c r="R250" s="167">
        <v>0</v>
      </c>
      <c r="S250" s="167">
        <v>0</v>
      </c>
      <c r="T250" s="167">
        <v>0</v>
      </c>
      <c r="U250" s="168" t="e">
        <v>#DIV/0!</v>
      </c>
      <c r="V250" s="167">
        <v>0</v>
      </c>
      <c r="W250" s="167">
        <v>0</v>
      </c>
      <c r="X250" s="167">
        <v>0</v>
      </c>
      <c r="Y250" s="167">
        <v>0</v>
      </c>
      <c r="Z250" s="167">
        <v>0</v>
      </c>
      <c r="AA250" s="167">
        <v>0</v>
      </c>
    </row>
    <row r="251" spans="1:27" ht="12" customHeight="1" x14ac:dyDescent="0.25">
      <c r="A251" s="155"/>
      <c r="B251" s="162" t="s">
        <v>636</v>
      </c>
      <c r="C251" s="163">
        <v>0</v>
      </c>
      <c r="D251" s="163">
        <v>0</v>
      </c>
      <c r="E251" s="163">
        <v>0</v>
      </c>
      <c r="F251" s="163">
        <v>0</v>
      </c>
      <c r="G251" s="163">
        <v>0</v>
      </c>
      <c r="H251" s="163">
        <v>0</v>
      </c>
      <c r="I251" s="163">
        <v>0</v>
      </c>
      <c r="J251" s="163">
        <v>0</v>
      </c>
      <c r="K251" s="163">
        <v>0</v>
      </c>
      <c r="L251" s="163">
        <v>0</v>
      </c>
      <c r="M251" s="163">
        <v>0</v>
      </c>
      <c r="N251" s="163">
        <v>0</v>
      </c>
      <c r="O251" s="163">
        <v>0</v>
      </c>
      <c r="P251" s="163">
        <v>0</v>
      </c>
      <c r="Q251" s="163">
        <v>0</v>
      </c>
      <c r="R251" s="163">
        <v>0</v>
      </c>
      <c r="S251" s="163">
        <v>0</v>
      </c>
      <c r="T251" s="164">
        <v>0</v>
      </c>
      <c r="U251" s="165" t="e">
        <v>#DIV/0!</v>
      </c>
      <c r="V251" s="164">
        <v>0</v>
      </c>
      <c r="W251" s="164">
        <v>0</v>
      </c>
      <c r="X251" s="164">
        <v>0</v>
      </c>
      <c r="Y251" s="164">
        <v>0</v>
      </c>
      <c r="Z251" s="164">
        <v>0</v>
      </c>
      <c r="AA251" s="164">
        <v>0</v>
      </c>
    </row>
    <row r="252" spans="1:27" ht="12" customHeight="1" x14ac:dyDescent="0.25">
      <c r="A252" s="155" t="s">
        <v>1329</v>
      </c>
      <c r="B252" s="155" t="s">
        <v>637</v>
      </c>
      <c r="C252" s="167">
        <v>0</v>
      </c>
      <c r="D252" s="167">
        <v>0</v>
      </c>
      <c r="E252" s="167">
        <v>0</v>
      </c>
      <c r="F252" s="167">
        <v>0</v>
      </c>
      <c r="G252" s="167">
        <v>0</v>
      </c>
      <c r="H252" s="167">
        <v>0</v>
      </c>
      <c r="I252" s="167">
        <v>0</v>
      </c>
      <c r="J252" s="167">
        <v>0</v>
      </c>
      <c r="K252" s="167">
        <v>0</v>
      </c>
      <c r="L252" s="167">
        <v>0</v>
      </c>
      <c r="M252" s="167">
        <v>0</v>
      </c>
      <c r="N252" s="167">
        <v>0</v>
      </c>
      <c r="O252" s="167">
        <v>0</v>
      </c>
      <c r="P252" s="167">
        <v>0</v>
      </c>
      <c r="Q252" s="167">
        <v>0</v>
      </c>
      <c r="R252" s="167">
        <v>0</v>
      </c>
      <c r="S252" s="167">
        <v>0</v>
      </c>
      <c r="T252" s="167">
        <v>0</v>
      </c>
      <c r="U252" s="168" t="e">
        <v>#DIV/0!</v>
      </c>
      <c r="V252" s="167">
        <v>0</v>
      </c>
      <c r="W252" s="167">
        <v>0</v>
      </c>
      <c r="X252" s="167">
        <v>0</v>
      </c>
      <c r="Y252" s="167">
        <v>0</v>
      </c>
      <c r="Z252" s="167">
        <v>0</v>
      </c>
      <c r="AA252" s="167">
        <v>0</v>
      </c>
    </row>
    <row r="253" spans="1:27" ht="12" customHeight="1" x14ac:dyDescent="0.25">
      <c r="A253" s="155" t="s">
        <v>1330</v>
      </c>
      <c r="B253" s="155" t="s">
        <v>638</v>
      </c>
      <c r="C253" s="167">
        <v>0</v>
      </c>
      <c r="D253" s="167">
        <v>0</v>
      </c>
      <c r="E253" s="167">
        <v>0</v>
      </c>
      <c r="F253" s="167">
        <v>0</v>
      </c>
      <c r="G253" s="167">
        <v>0</v>
      </c>
      <c r="H253" s="167">
        <v>0</v>
      </c>
      <c r="I253" s="167">
        <v>0</v>
      </c>
      <c r="J253" s="167">
        <v>0</v>
      </c>
      <c r="K253" s="167">
        <v>0</v>
      </c>
      <c r="L253" s="167">
        <v>0</v>
      </c>
      <c r="M253" s="167">
        <v>0</v>
      </c>
      <c r="N253" s="167">
        <v>0</v>
      </c>
      <c r="O253" s="167">
        <v>0</v>
      </c>
      <c r="P253" s="167">
        <v>0</v>
      </c>
      <c r="Q253" s="167">
        <v>0</v>
      </c>
      <c r="R253" s="167">
        <v>0</v>
      </c>
      <c r="S253" s="167">
        <v>0</v>
      </c>
      <c r="T253" s="167">
        <v>0</v>
      </c>
      <c r="U253" s="168" t="e">
        <v>#DIV/0!</v>
      </c>
      <c r="V253" s="167">
        <v>0</v>
      </c>
      <c r="W253" s="167">
        <v>0</v>
      </c>
      <c r="X253" s="167">
        <v>0</v>
      </c>
      <c r="Y253" s="167">
        <v>0</v>
      </c>
      <c r="Z253" s="167">
        <v>0</v>
      </c>
      <c r="AA253" s="167">
        <v>0</v>
      </c>
    </row>
    <row r="254" spans="1:27" ht="12" customHeight="1" x14ac:dyDescent="0.25">
      <c r="A254" s="155" t="s">
        <v>1331</v>
      </c>
      <c r="B254" s="155" t="s">
        <v>639</v>
      </c>
      <c r="C254" s="167">
        <v>0</v>
      </c>
      <c r="D254" s="167">
        <v>0</v>
      </c>
      <c r="E254" s="167">
        <v>0</v>
      </c>
      <c r="F254" s="167">
        <v>0</v>
      </c>
      <c r="G254" s="167">
        <v>0</v>
      </c>
      <c r="H254" s="167">
        <v>0</v>
      </c>
      <c r="I254" s="167">
        <v>0</v>
      </c>
      <c r="J254" s="167">
        <v>0</v>
      </c>
      <c r="K254" s="167">
        <v>0</v>
      </c>
      <c r="L254" s="167">
        <v>0</v>
      </c>
      <c r="M254" s="167">
        <v>0</v>
      </c>
      <c r="N254" s="167">
        <v>0</v>
      </c>
      <c r="O254" s="167">
        <v>0</v>
      </c>
      <c r="P254" s="167">
        <v>0</v>
      </c>
      <c r="Q254" s="167">
        <v>0</v>
      </c>
      <c r="R254" s="167">
        <v>0</v>
      </c>
      <c r="S254" s="167">
        <v>0</v>
      </c>
      <c r="T254" s="167">
        <v>0</v>
      </c>
      <c r="U254" s="168" t="e">
        <v>#DIV/0!</v>
      </c>
      <c r="V254" s="167">
        <v>0</v>
      </c>
      <c r="W254" s="167">
        <v>0</v>
      </c>
      <c r="X254" s="167">
        <v>0</v>
      </c>
      <c r="Y254" s="167">
        <v>0</v>
      </c>
      <c r="Z254" s="167">
        <v>0</v>
      </c>
      <c r="AA254" s="167">
        <v>0</v>
      </c>
    </row>
    <row r="255" spans="1:27" ht="12" customHeight="1" x14ac:dyDescent="0.25">
      <c r="A255" s="155"/>
      <c r="B255" s="162" t="s">
        <v>640</v>
      </c>
      <c r="C255" s="163">
        <v>0</v>
      </c>
      <c r="D255" s="163">
        <v>0</v>
      </c>
      <c r="E255" s="163">
        <v>0</v>
      </c>
      <c r="F255" s="163">
        <v>0</v>
      </c>
      <c r="G255" s="163">
        <v>0</v>
      </c>
      <c r="H255" s="163">
        <v>0</v>
      </c>
      <c r="I255" s="163">
        <v>0</v>
      </c>
      <c r="J255" s="163">
        <v>0</v>
      </c>
      <c r="K255" s="163">
        <v>0</v>
      </c>
      <c r="L255" s="163">
        <v>0</v>
      </c>
      <c r="M255" s="163">
        <v>0</v>
      </c>
      <c r="N255" s="163">
        <v>0</v>
      </c>
      <c r="O255" s="163">
        <v>0</v>
      </c>
      <c r="P255" s="163">
        <v>0</v>
      </c>
      <c r="Q255" s="163">
        <v>0</v>
      </c>
      <c r="R255" s="163">
        <v>0</v>
      </c>
      <c r="S255" s="163">
        <v>0</v>
      </c>
      <c r="T255" s="164">
        <v>0</v>
      </c>
      <c r="U255" s="165" t="e">
        <v>#DIV/0!</v>
      </c>
      <c r="V255" s="164">
        <v>0</v>
      </c>
      <c r="W255" s="164">
        <v>0</v>
      </c>
      <c r="X255" s="164">
        <v>0</v>
      </c>
      <c r="Y255" s="164">
        <v>0</v>
      </c>
      <c r="Z255" s="164">
        <v>0</v>
      </c>
      <c r="AA255" s="164">
        <v>0</v>
      </c>
    </row>
    <row r="256" spans="1:27" ht="12" customHeight="1" x14ac:dyDescent="0.25">
      <c r="A256" s="155" t="s">
        <v>1332</v>
      </c>
      <c r="B256" s="155" t="s">
        <v>641</v>
      </c>
      <c r="C256" s="167">
        <v>0</v>
      </c>
      <c r="D256" s="167">
        <v>0</v>
      </c>
      <c r="E256" s="167">
        <v>0</v>
      </c>
      <c r="F256" s="167">
        <v>0</v>
      </c>
      <c r="G256" s="167">
        <v>0</v>
      </c>
      <c r="H256" s="167">
        <v>0</v>
      </c>
      <c r="I256" s="167">
        <v>0</v>
      </c>
      <c r="J256" s="167">
        <v>0</v>
      </c>
      <c r="K256" s="167">
        <v>0</v>
      </c>
      <c r="L256" s="167">
        <v>0</v>
      </c>
      <c r="M256" s="167">
        <v>0</v>
      </c>
      <c r="N256" s="167">
        <v>0</v>
      </c>
      <c r="O256" s="167">
        <v>0</v>
      </c>
      <c r="P256" s="167">
        <v>0</v>
      </c>
      <c r="Q256" s="167">
        <v>0</v>
      </c>
      <c r="R256" s="167">
        <v>0</v>
      </c>
      <c r="S256" s="167">
        <v>0</v>
      </c>
      <c r="T256" s="167">
        <v>0</v>
      </c>
      <c r="U256" s="168" t="e">
        <v>#DIV/0!</v>
      </c>
      <c r="V256" s="167">
        <v>0</v>
      </c>
      <c r="W256" s="167">
        <v>0</v>
      </c>
      <c r="X256" s="167">
        <v>0</v>
      </c>
      <c r="Y256" s="167">
        <v>0</v>
      </c>
      <c r="Z256" s="167">
        <v>0</v>
      </c>
      <c r="AA256" s="167">
        <v>0</v>
      </c>
    </row>
    <row r="257" spans="1:27" ht="12" customHeight="1" x14ac:dyDescent="0.25">
      <c r="A257" s="155" t="s">
        <v>1333</v>
      </c>
      <c r="B257" s="155" t="s">
        <v>642</v>
      </c>
      <c r="C257" s="167">
        <v>0</v>
      </c>
      <c r="D257" s="167">
        <v>0</v>
      </c>
      <c r="E257" s="167">
        <v>0</v>
      </c>
      <c r="F257" s="167">
        <v>0</v>
      </c>
      <c r="G257" s="167">
        <v>0</v>
      </c>
      <c r="H257" s="167">
        <v>0</v>
      </c>
      <c r="I257" s="167">
        <v>0</v>
      </c>
      <c r="J257" s="167">
        <v>0</v>
      </c>
      <c r="K257" s="167">
        <v>0</v>
      </c>
      <c r="L257" s="167">
        <v>0</v>
      </c>
      <c r="M257" s="167">
        <v>0</v>
      </c>
      <c r="N257" s="167">
        <v>0</v>
      </c>
      <c r="O257" s="167">
        <v>0</v>
      </c>
      <c r="P257" s="167">
        <v>0</v>
      </c>
      <c r="Q257" s="167">
        <v>0</v>
      </c>
      <c r="R257" s="167">
        <v>0</v>
      </c>
      <c r="S257" s="167">
        <v>0</v>
      </c>
      <c r="T257" s="167">
        <v>0</v>
      </c>
      <c r="U257" s="168" t="e">
        <v>#DIV/0!</v>
      </c>
      <c r="V257" s="167">
        <v>0</v>
      </c>
      <c r="W257" s="167">
        <v>0</v>
      </c>
      <c r="X257" s="167">
        <v>0</v>
      </c>
      <c r="Y257" s="167">
        <v>0</v>
      </c>
      <c r="Z257" s="167">
        <v>0</v>
      </c>
      <c r="AA257" s="167">
        <v>0</v>
      </c>
    </row>
    <row r="258" spans="1:27" ht="12" customHeight="1" x14ac:dyDescent="0.25">
      <c r="A258" s="155" t="s">
        <v>1334</v>
      </c>
      <c r="B258" s="155" t="s">
        <v>643</v>
      </c>
      <c r="C258" s="167">
        <v>0</v>
      </c>
      <c r="D258" s="167">
        <v>0</v>
      </c>
      <c r="E258" s="167">
        <v>0</v>
      </c>
      <c r="F258" s="167">
        <v>0</v>
      </c>
      <c r="G258" s="167">
        <v>0</v>
      </c>
      <c r="H258" s="167">
        <v>0</v>
      </c>
      <c r="I258" s="167">
        <v>0</v>
      </c>
      <c r="J258" s="167">
        <v>0</v>
      </c>
      <c r="K258" s="167">
        <v>0</v>
      </c>
      <c r="L258" s="167">
        <v>0</v>
      </c>
      <c r="M258" s="167">
        <v>0</v>
      </c>
      <c r="N258" s="167">
        <v>0</v>
      </c>
      <c r="O258" s="167">
        <v>0</v>
      </c>
      <c r="P258" s="167">
        <v>0</v>
      </c>
      <c r="Q258" s="167">
        <v>0</v>
      </c>
      <c r="R258" s="167">
        <v>0</v>
      </c>
      <c r="S258" s="167">
        <v>0</v>
      </c>
      <c r="T258" s="167">
        <v>0</v>
      </c>
      <c r="U258" s="168" t="e">
        <v>#DIV/0!</v>
      </c>
      <c r="V258" s="167">
        <v>0</v>
      </c>
      <c r="W258" s="167">
        <v>0</v>
      </c>
      <c r="X258" s="167">
        <v>0</v>
      </c>
      <c r="Y258" s="167">
        <v>0</v>
      </c>
      <c r="Z258" s="167">
        <v>0</v>
      </c>
      <c r="AA258" s="167">
        <v>0</v>
      </c>
    </row>
    <row r="259" spans="1:27" ht="12" customHeight="1" x14ac:dyDescent="0.25">
      <c r="A259" s="155" t="s">
        <v>1335</v>
      </c>
      <c r="B259" s="155" t="s">
        <v>644</v>
      </c>
      <c r="C259" s="167">
        <v>0</v>
      </c>
      <c r="D259" s="167">
        <v>0</v>
      </c>
      <c r="E259" s="167">
        <v>0</v>
      </c>
      <c r="F259" s="167">
        <v>0</v>
      </c>
      <c r="G259" s="167">
        <v>0</v>
      </c>
      <c r="H259" s="167">
        <v>0</v>
      </c>
      <c r="I259" s="167">
        <v>0</v>
      </c>
      <c r="J259" s="167">
        <v>0</v>
      </c>
      <c r="K259" s="167">
        <v>0</v>
      </c>
      <c r="L259" s="167">
        <v>0</v>
      </c>
      <c r="M259" s="167">
        <v>0</v>
      </c>
      <c r="N259" s="167">
        <v>0</v>
      </c>
      <c r="O259" s="167">
        <v>0</v>
      </c>
      <c r="P259" s="167">
        <v>0</v>
      </c>
      <c r="Q259" s="167">
        <v>0</v>
      </c>
      <c r="R259" s="167">
        <v>0</v>
      </c>
      <c r="S259" s="167">
        <v>0</v>
      </c>
      <c r="T259" s="167">
        <v>0</v>
      </c>
      <c r="U259" s="168" t="e">
        <v>#DIV/0!</v>
      </c>
      <c r="V259" s="167">
        <v>0</v>
      </c>
      <c r="W259" s="167">
        <v>0</v>
      </c>
      <c r="X259" s="167">
        <v>0</v>
      </c>
      <c r="Y259" s="167">
        <v>0</v>
      </c>
      <c r="Z259" s="167">
        <v>0</v>
      </c>
      <c r="AA259" s="167">
        <v>0</v>
      </c>
    </row>
    <row r="260" spans="1:27" ht="12" customHeight="1" x14ac:dyDescent="0.25">
      <c r="A260" s="155" t="s">
        <v>1336</v>
      </c>
      <c r="B260" s="155" t="s">
        <v>645</v>
      </c>
      <c r="C260" s="167">
        <v>0</v>
      </c>
      <c r="D260" s="167">
        <v>0</v>
      </c>
      <c r="E260" s="167">
        <v>0</v>
      </c>
      <c r="F260" s="167">
        <v>0</v>
      </c>
      <c r="G260" s="167">
        <v>0</v>
      </c>
      <c r="H260" s="167">
        <v>0</v>
      </c>
      <c r="I260" s="167">
        <v>0</v>
      </c>
      <c r="J260" s="167">
        <v>0</v>
      </c>
      <c r="K260" s="167">
        <v>0</v>
      </c>
      <c r="L260" s="167">
        <v>0</v>
      </c>
      <c r="M260" s="167">
        <v>0</v>
      </c>
      <c r="N260" s="167">
        <v>0</v>
      </c>
      <c r="O260" s="167">
        <v>0</v>
      </c>
      <c r="P260" s="167">
        <v>0</v>
      </c>
      <c r="Q260" s="167">
        <v>0</v>
      </c>
      <c r="R260" s="167">
        <v>0</v>
      </c>
      <c r="S260" s="167">
        <v>0</v>
      </c>
      <c r="T260" s="167">
        <v>0</v>
      </c>
      <c r="U260" s="168" t="e">
        <v>#DIV/0!</v>
      </c>
      <c r="V260" s="167">
        <v>0</v>
      </c>
      <c r="W260" s="167">
        <v>0</v>
      </c>
      <c r="X260" s="167">
        <v>0</v>
      </c>
      <c r="Y260" s="167">
        <v>0</v>
      </c>
      <c r="Z260" s="167">
        <v>0</v>
      </c>
      <c r="AA260" s="167">
        <v>0</v>
      </c>
    </row>
    <row r="261" spans="1:27" ht="12" customHeight="1" x14ac:dyDescent="0.25">
      <c r="A261" s="155" t="s">
        <v>1337</v>
      </c>
      <c r="B261" s="155" t="s">
        <v>646</v>
      </c>
      <c r="C261" s="167">
        <v>0</v>
      </c>
      <c r="D261" s="167">
        <v>0</v>
      </c>
      <c r="E261" s="167">
        <v>0</v>
      </c>
      <c r="F261" s="167">
        <v>0</v>
      </c>
      <c r="G261" s="167">
        <v>0</v>
      </c>
      <c r="H261" s="167">
        <v>0</v>
      </c>
      <c r="I261" s="167">
        <v>0</v>
      </c>
      <c r="J261" s="167">
        <v>0</v>
      </c>
      <c r="K261" s="167">
        <v>0</v>
      </c>
      <c r="L261" s="167">
        <v>0</v>
      </c>
      <c r="M261" s="167">
        <v>0</v>
      </c>
      <c r="N261" s="167">
        <v>0</v>
      </c>
      <c r="O261" s="167">
        <v>0</v>
      </c>
      <c r="P261" s="167">
        <v>0</v>
      </c>
      <c r="Q261" s="167">
        <v>0</v>
      </c>
      <c r="R261" s="167">
        <v>0</v>
      </c>
      <c r="S261" s="167">
        <v>0</v>
      </c>
      <c r="T261" s="167">
        <v>0</v>
      </c>
      <c r="U261" s="168" t="e">
        <v>#DIV/0!</v>
      </c>
      <c r="V261" s="167">
        <v>0</v>
      </c>
      <c r="W261" s="167">
        <v>0</v>
      </c>
      <c r="X261" s="167">
        <v>0</v>
      </c>
      <c r="Y261" s="167">
        <v>0</v>
      </c>
      <c r="Z261" s="167">
        <v>0</v>
      </c>
      <c r="AA261" s="167">
        <v>0</v>
      </c>
    </row>
    <row r="262" spans="1:27" ht="12" customHeight="1" x14ac:dyDescent="0.25">
      <c r="A262" s="155"/>
      <c r="B262" s="156" t="s">
        <v>647</v>
      </c>
      <c r="C262" s="157">
        <v>0</v>
      </c>
      <c r="D262" s="157">
        <v>0</v>
      </c>
      <c r="E262" s="157">
        <v>0</v>
      </c>
      <c r="F262" s="157">
        <v>0</v>
      </c>
      <c r="G262" s="157">
        <v>0</v>
      </c>
      <c r="H262" s="157">
        <v>0</v>
      </c>
      <c r="I262" s="157">
        <v>0</v>
      </c>
      <c r="J262" s="157">
        <v>0</v>
      </c>
      <c r="K262" s="157">
        <v>0</v>
      </c>
      <c r="L262" s="157">
        <v>0</v>
      </c>
      <c r="M262" s="157">
        <v>0</v>
      </c>
      <c r="N262" s="157">
        <v>0</v>
      </c>
      <c r="O262" s="157">
        <v>0</v>
      </c>
      <c r="P262" s="157">
        <v>0</v>
      </c>
      <c r="Q262" s="157">
        <v>0</v>
      </c>
      <c r="R262" s="157">
        <v>0</v>
      </c>
      <c r="S262" s="157">
        <v>0</v>
      </c>
      <c r="T262" s="158">
        <v>0</v>
      </c>
      <c r="U262" s="159" t="e">
        <v>#DIV/0!</v>
      </c>
      <c r="V262" s="158">
        <v>0</v>
      </c>
      <c r="W262" s="158">
        <v>0</v>
      </c>
      <c r="X262" s="158">
        <v>0</v>
      </c>
      <c r="Y262" s="158">
        <v>0</v>
      </c>
      <c r="Z262" s="158">
        <v>0</v>
      </c>
      <c r="AA262" s="158">
        <v>0</v>
      </c>
    </row>
    <row r="263" spans="1:27" ht="12" customHeight="1" x14ac:dyDescent="0.25">
      <c r="A263" s="155"/>
      <c r="B263" s="162" t="s">
        <v>648</v>
      </c>
      <c r="C263" s="163">
        <v>0</v>
      </c>
      <c r="D263" s="163">
        <v>0</v>
      </c>
      <c r="E263" s="163">
        <v>0</v>
      </c>
      <c r="F263" s="163">
        <v>0</v>
      </c>
      <c r="G263" s="163">
        <v>0</v>
      </c>
      <c r="H263" s="163">
        <v>0</v>
      </c>
      <c r="I263" s="163">
        <v>0</v>
      </c>
      <c r="J263" s="163">
        <v>0</v>
      </c>
      <c r="K263" s="163">
        <v>0</v>
      </c>
      <c r="L263" s="163">
        <v>0</v>
      </c>
      <c r="M263" s="163">
        <v>0</v>
      </c>
      <c r="N263" s="163">
        <v>0</v>
      </c>
      <c r="O263" s="163">
        <v>0</v>
      </c>
      <c r="P263" s="163">
        <v>0</v>
      </c>
      <c r="Q263" s="163">
        <v>0</v>
      </c>
      <c r="R263" s="163">
        <v>0</v>
      </c>
      <c r="S263" s="163">
        <v>0</v>
      </c>
      <c r="T263" s="164">
        <v>0</v>
      </c>
      <c r="U263" s="165" t="e">
        <v>#DIV/0!</v>
      </c>
      <c r="V263" s="164">
        <v>0</v>
      </c>
      <c r="W263" s="164">
        <v>0</v>
      </c>
      <c r="X263" s="164">
        <v>0</v>
      </c>
      <c r="Y263" s="164">
        <v>0</v>
      </c>
      <c r="Z263" s="164">
        <v>0</v>
      </c>
      <c r="AA263" s="164">
        <v>0</v>
      </c>
    </row>
    <row r="264" spans="1:27" ht="12" customHeight="1" x14ac:dyDescent="0.25">
      <c r="A264" s="155" t="s">
        <v>1338</v>
      </c>
      <c r="B264" s="155" t="s">
        <v>649</v>
      </c>
      <c r="C264" s="167">
        <v>0</v>
      </c>
      <c r="D264" s="167">
        <v>0</v>
      </c>
      <c r="E264" s="167">
        <v>0</v>
      </c>
      <c r="F264" s="167">
        <v>0</v>
      </c>
      <c r="G264" s="167">
        <v>0</v>
      </c>
      <c r="H264" s="167">
        <v>0</v>
      </c>
      <c r="I264" s="167">
        <v>0</v>
      </c>
      <c r="J264" s="167">
        <v>0</v>
      </c>
      <c r="K264" s="167">
        <v>0</v>
      </c>
      <c r="L264" s="167">
        <v>0</v>
      </c>
      <c r="M264" s="167">
        <v>0</v>
      </c>
      <c r="N264" s="167">
        <v>0</v>
      </c>
      <c r="O264" s="167">
        <v>0</v>
      </c>
      <c r="P264" s="167">
        <v>0</v>
      </c>
      <c r="Q264" s="167">
        <v>0</v>
      </c>
      <c r="R264" s="167">
        <v>0</v>
      </c>
      <c r="S264" s="167">
        <v>0</v>
      </c>
      <c r="T264" s="167">
        <v>0</v>
      </c>
      <c r="U264" s="168" t="e">
        <v>#DIV/0!</v>
      </c>
      <c r="V264" s="167">
        <v>0</v>
      </c>
      <c r="W264" s="167">
        <v>0</v>
      </c>
      <c r="X264" s="167">
        <v>0</v>
      </c>
      <c r="Y264" s="167">
        <v>0</v>
      </c>
      <c r="Z264" s="167">
        <v>0</v>
      </c>
      <c r="AA264" s="167">
        <v>0</v>
      </c>
    </row>
    <row r="265" spans="1:27" ht="12" customHeight="1" x14ac:dyDescent="0.25">
      <c r="A265" s="155" t="s">
        <v>1339</v>
      </c>
      <c r="B265" s="155" t="s">
        <v>650</v>
      </c>
      <c r="C265" s="167">
        <v>0</v>
      </c>
      <c r="D265" s="167">
        <v>0</v>
      </c>
      <c r="E265" s="167">
        <v>0</v>
      </c>
      <c r="F265" s="167">
        <v>0</v>
      </c>
      <c r="G265" s="167">
        <v>0</v>
      </c>
      <c r="H265" s="167">
        <v>0</v>
      </c>
      <c r="I265" s="167">
        <v>0</v>
      </c>
      <c r="J265" s="167">
        <v>0</v>
      </c>
      <c r="K265" s="167">
        <v>0</v>
      </c>
      <c r="L265" s="167">
        <v>0</v>
      </c>
      <c r="M265" s="167">
        <v>0</v>
      </c>
      <c r="N265" s="167">
        <v>0</v>
      </c>
      <c r="O265" s="167">
        <v>0</v>
      </c>
      <c r="P265" s="167">
        <v>0</v>
      </c>
      <c r="Q265" s="167">
        <v>0</v>
      </c>
      <c r="R265" s="167">
        <v>0</v>
      </c>
      <c r="S265" s="167">
        <v>0</v>
      </c>
      <c r="T265" s="167">
        <v>0</v>
      </c>
      <c r="U265" s="168" t="e">
        <v>#DIV/0!</v>
      </c>
      <c r="V265" s="167">
        <v>0</v>
      </c>
      <c r="W265" s="167">
        <v>0</v>
      </c>
      <c r="X265" s="167">
        <v>0</v>
      </c>
      <c r="Y265" s="167">
        <v>0</v>
      </c>
      <c r="Z265" s="167">
        <v>0</v>
      </c>
      <c r="AA265" s="167">
        <v>0</v>
      </c>
    </row>
    <row r="266" spans="1:27" ht="12" customHeight="1" x14ac:dyDescent="0.25">
      <c r="A266" s="155" t="s">
        <v>1340</v>
      </c>
      <c r="B266" s="155" t="s">
        <v>651</v>
      </c>
      <c r="C266" s="167">
        <v>0</v>
      </c>
      <c r="D266" s="167">
        <v>0</v>
      </c>
      <c r="E266" s="167">
        <v>0</v>
      </c>
      <c r="F266" s="167">
        <v>0</v>
      </c>
      <c r="G266" s="167">
        <v>0</v>
      </c>
      <c r="H266" s="167">
        <v>0</v>
      </c>
      <c r="I266" s="167">
        <v>0</v>
      </c>
      <c r="J266" s="167">
        <v>0</v>
      </c>
      <c r="K266" s="167">
        <v>0</v>
      </c>
      <c r="L266" s="167">
        <v>0</v>
      </c>
      <c r="M266" s="167">
        <v>0</v>
      </c>
      <c r="N266" s="167">
        <v>0</v>
      </c>
      <c r="O266" s="167">
        <v>0</v>
      </c>
      <c r="P266" s="167">
        <v>0</v>
      </c>
      <c r="Q266" s="167">
        <v>0</v>
      </c>
      <c r="R266" s="167">
        <v>0</v>
      </c>
      <c r="S266" s="167">
        <v>0</v>
      </c>
      <c r="T266" s="167">
        <v>0</v>
      </c>
      <c r="U266" s="168" t="e">
        <v>#DIV/0!</v>
      </c>
      <c r="V266" s="167">
        <v>0</v>
      </c>
      <c r="W266" s="167">
        <v>0</v>
      </c>
      <c r="X266" s="167">
        <v>0</v>
      </c>
      <c r="Y266" s="167">
        <v>0</v>
      </c>
      <c r="Z266" s="167">
        <v>0</v>
      </c>
      <c r="AA266" s="167">
        <v>0</v>
      </c>
    </row>
    <row r="267" spans="1:27" ht="12" customHeight="1" x14ac:dyDescent="0.25">
      <c r="A267" s="155" t="s">
        <v>1341</v>
      </c>
      <c r="B267" s="155" t="s">
        <v>652</v>
      </c>
      <c r="C267" s="167">
        <v>0</v>
      </c>
      <c r="D267" s="167">
        <v>0</v>
      </c>
      <c r="E267" s="167">
        <v>0</v>
      </c>
      <c r="F267" s="167">
        <v>0</v>
      </c>
      <c r="G267" s="167">
        <v>0</v>
      </c>
      <c r="H267" s="167">
        <v>0</v>
      </c>
      <c r="I267" s="167">
        <v>0</v>
      </c>
      <c r="J267" s="167">
        <v>0</v>
      </c>
      <c r="K267" s="167">
        <v>0</v>
      </c>
      <c r="L267" s="167">
        <v>0</v>
      </c>
      <c r="M267" s="167">
        <v>0</v>
      </c>
      <c r="N267" s="167">
        <v>0</v>
      </c>
      <c r="O267" s="167">
        <v>0</v>
      </c>
      <c r="P267" s="167">
        <v>0</v>
      </c>
      <c r="Q267" s="167">
        <v>0</v>
      </c>
      <c r="R267" s="167">
        <v>0</v>
      </c>
      <c r="S267" s="167">
        <v>0</v>
      </c>
      <c r="T267" s="167">
        <v>0</v>
      </c>
      <c r="U267" s="168" t="e">
        <v>#DIV/0!</v>
      </c>
      <c r="V267" s="167">
        <v>0</v>
      </c>
      <c r="W267" s="167">
        <v>0</v>
      </c>
      <c r="X267" s="167">
        <v>0</v>
      </c>
      <c r="Y267" s="167">
        <v>0</v>
      </c>
      <c r="Z267" s="167">
        <v>0</v>
      </c>
      <c r="AA267" s="167">
        <v>0</v>
      </c>
    </row>
    <row r="268" spans="1:27" ht="12" customHeight="1" x14ac:dyDescent="0.25">
      <c r="A268" s="155" t="s">
        <v>1342</v>
      </c>
      <c r="B268" s="155" t="s">
        <v>653</v>
      </c>
      <c r="C268" s="167">
        <v>0</v>
      </c>
      <c r="D268" s="167">
        <v>0</v>
      </c>
      <c r="E268" s="167">
        <v>0</v>
      </c>
      <c r="F268" s="167">
        <v>0</v>
      </c>
      <c r="G268" s="167">
        <v>0</v>
      </c>
      <c r="H268" s="167">
        <v>0</v>
      </c>
      <c r="I268" s="167">
        <v>0</v>
      </c>
      <c r="J268" s="167">
        <v>0</v>
      </c>
      <c r="K268" s="167">
        <v>0</v>
      </c>
      <c r="L268" s="167">
        <v>0</v>
      </c>
      <c r="M268" s="167">
        <v>0</v>
      </c>
      <c r="N268" s="167">
        <v>0</v>
      </c>
      <c r="O268" s="167">
        <v>0</v>
      </c>
      <c r="P268" s="167">
        <v>0</v>
      </c>
      <c r="Q268" s="167">
        <v>0</v>
      </c>
      <c r="R268" s="167">
        <v>0</v>
      </c>
      <c r="S268" s="167">
        <v>0</v>
      </c>
      <c r="T268" s="167">
        <v>0</v>
      </c>
      <c r="U268" s="168" t="e">
        <v>#DIV/0!</v>
      </c>
      <c r="V268" s="167">
        <v>0</v>
      </c>
      <c r="W268" s="167">
        <v>0</v>
      </c>
      <c r="X268" s="167">
        <v>0</v>
      </c>
      <c r="Y268" s="167">
        <v>0</v>
      </c>
      <c r="Z268" s="167">
        <v>0</v>
      </c>
      <c r="AA268" s="167">
        <v>0</v>
      </c>
    </row>
    <row r="269" spans="1:27" ht="12" customHeight="1" x14ac:dyDescent="0.25">
      <c r="A269" s="155" t="s">
        <v>1343</v>
      </c>
      <c r="B269" s="155" t="s">
        <v>654</v>
      </c>
      <c r="C269" s="167">
        <v>0</v>
      </c>
      <c r="D269" s="167">
        <v>0</v>
      </c>
      <c r="E269" s="167">
        <v>0</v>
      </c>
      <c r="F269" s="167">
        <v>0</v>
      </c>
      <c r="G269" s="167">
        <v>0</v>
      </c>
      <c r="H269" s="167">
        <v>0</v>
      </c>
      <c r="I269" s="167">
        <v>0</v>
      </c>
      <c r="J269" s="167">
        <v>0</v>
      </c>
      <c r="K269" s="167">
        <v>0</v>
      </c>
      <c r="L269" s="167">
        <v>0</v>
      </c>
      <c r="M269" s="167">
        <v>0</v>
      </c>
      <c r="N269" s="167">
        <v>0</v>
      </c>
      <c r="O269" s="167">
        <v>0</v>
      </c>
      <c r="P269" s="167">
        <v>0</v>
      </c>
      <c r="Q269" s="167">
        <v>0</v>
      </c>
      <c r="R269" s="167">
        <v>0</v>
      </c>
      <c r="S269" s="167">
        <v>0</v>
      </c>
      <c r="T269" s="167">
        <v>0</v>
      </c>
      <c r="U269" s="168" t="e">
        <v>#DIV/0!</v>
      </c>
      <c r="V269" s="167">
        <v>0</v>
      </c>
      <c r="W269" s="167">
        <v>0</v>
      </c>
      <c r="X269" s="167">
        <v>0</v>
      </c>
      <c r="Y269" s="167">
        <v>0</v>
      </c>
      <c r="Z269" s="167">
        <v>0</v>
      </c>
      <c r="AA269" s="167">
        <v>0</v>
      </c>
    </row>
    <row r="270" spans="1:27" ht="12" customHeight="1" x14ac:dyDescent="0.25">
      <c r="A270" s="155" t="s">
        <v>1344</v>
      </c>
      <c r="B270" s="155" t="s">
        <v>655</v>
      </c>
      <c r="C270" s="167">
        <v>0</v>
      </c>
      <c r="D270" s="167">
        <v>0</v>
      </c>
      <c r="E270" s="167">
        <v>0</v>
      </c>
      <c r="F270" s="167">
        <v>0</v>
      </c>
      <c r="G270" s="167">
        <v>0</v>
      </c>
      <c r="H270" s="167">
        <v>0</v>
      </c>
      <c r="I270" s="167">
        <v>0</v>
      </c>
      <c r="J270" s="167">
        <v>0</v>
      </c>
      <c r="K270" s="167">
        <v>0</v>
      </c>
      <c r="L270" s="167">
        <v>0</v>
      </c>
      <c r="M270" s="167">
        <v>0</v>
      </c>
      <c r="N270" s="167">
        <v>0</v>
      </c>
      <c r="O270" s="167">
        <v>0</v>
      </c>
      <c r="P270" s="167">
        <v>0</v>
      </c>
      <c r="Q270" s="167">
        <v>0</v>
      </c>
      <c r="R270" s="167">
        <v>0</v>
      </c>
      <c r="S270" s="167">
        <v>0</v>
      </c>
      <c r="T270" s="167">
        <v>0</v>
      </c>
      <c r="U270" s="168" t="e">
        <v>#DIV/0!</v>
      </c>
      <c r="V270" s="167">
        <v>0</v>
      </c>
      <c r="W270" s="167">
        <v>0</v>
      </c>
      <c r="X270" s="167">
        <v>0</v>
      </c>
      <c r="Y270" s="167">
        <v>0</v>
      </c>
      <c r="Z270" s="167">
        <v>0</v>
      </c>
      <c r="AA270" s="167">
        <v>0</v>
      </c>
    </row>
    <row r="271" spans="1:27" ht="12" customHeight="1" x14ac:dyDescent="0.25">
      <c r="A271" s="155" t="s">
        <v>1345</v>
      </c>
      <c r="B271" s="155" t="s">
        <v>656</v>
      </c>
      <c r="C271" s="167">
        <v>0</v>
      </c>
      <c r="D271" s="167">
        <v>0</v>
      </c>
      <c r="E271" s="167">
        <v>0</v>
      </c>
      <c r="F271" s="167">
        <v>0</v>
      </c>
      <c r="G271" s="167">
        <v>0</v>
      </c>
      <c r="H271" s="167">
        <v>0</v>
      </c>
      <c r="I271" s="167">
        <v>0</v>
      </c>
      <c r="J271" s="167">
        <v>0</v>
      </c>
      <c r="K271" s="167">
        <v>0</v>
      </c>
      <c r="L271" s="167">
        <v>0</v>
      </c>
      <c r="M271" s="167">
        <v>0</v>
      </c>
      <c r="N271" s="167">
        <v>0</v>
      </c>
      <c r="O271" s="167">
        <v>0</v>
      </c>
      <c r="P271" s="167">
        <v>0</v>
      </c>
      <c r="Q271" s="167">
        <v>0</v>
      </c>
      <c r="R271" s="167">
        <v>0</v>
      </c>
      <c r="S271" s="167">
        <v>0</v>
      </c>
      <c r="T271" s="167">
        <v>0</v>
      </c>
      <c r="U271" s="168" t="e">
        <v>#DIV/0!</v>
      </c>
      <c r="V271" s="167">
        <v>0</v>
      </c>
      <c r="W271" s="167">
        <v>0</v>
      </c>
      <c r="X271" s="167">
        <v>0</v>
      </c>
      <c r="Y271" s="167">
        <v>0</v>
      </c>
      <c r="Z271" s="167">
        <v>0</v>
      </c>
      <c r="AA271" s="167">
        <v>0</v>
      </c>
    </row>
    <row r="272" spans="1:27" ht="12" customHeight="1" x14ac:dyDescent="0.25">
      <c r="A272" s="155" t="s">
        <v>1346</v>
      </c>
      <c r="B272" s="155" t="s">
        <v>657</v>
      </c>
      <c r="C272" s="167">
        <v>0</v>
      </c>
      <c r="D272" s="167">
        <v>0</v>
      </c>
      <c r="E272" s="167">
        <v>0</v>
      </c>
      <c r="F272" s="167">
        <v>0</v>
      </c>
      <c r="G272" s="167">
        <v>0</v>
      </c>
      <c r="H272" s="167">
        <v>0</v>
      </c>
      <c r="I272" s="167">
        <v>0</v>
      </c>
      <c r="J272" s="167">
        <v>0</v>
      </c>
      <c r="K272" s="167">
        <v>0</v>
      </c>
      <c r="L272" s="167">
        <v>0</v>
      </c>
      <c r="M272" s="167">
        <v>0</v>
      </c>
      <c r="N272" s="167">
        <v>0</v>
      </c>
      <c r="O272" s="167">
        <v>0</v>
      </c>
      <c r="P272" s="167">
        <v>0</v>
      </c>
      <c r="Q272" s="167">
        <v>0</v>
      </c>
      <c r="R272" s="167">
        <v>0</v>
      </c>
      <c r="S272" s="167">
        <v>0</v>
      </c>
      <c r="T272" s="167">
        <v>0</v>
      </c>
      <c r="U272" s="168" t="e">
        <v>#DIV/0!</v>
      </c>
      <c r="V272" s="167">
        <v>0</v>
      </c>
      <c r="W272" s="167">
        <v>0</v>
      </c>
      <c r="X272" s="167">
        <v>0</v>
      </c>
      <c r="Y272" s="167">
        <v>0</v>
      </c>
      <c r="Z272" s="167">
        <v>0</v>
      </c>
      <c r="AA272" s="167">
        <v>0</v>
      </c>
    </row>
    <row r="273" spans="1:27" ht="12" customHeight="1" x14ac:dyDescent="0.25">
      <c r="A273" s="155" t="s">
        <v>1347</v>
      </c>
      <c r="B273" s="155" t="s">
        <v>658</v>
      </c>
      <c r="C273" s="167">
        <v>0</v>
      </c>
      <c r="D273" s="167">
        <v>0</v>
      </c>
      <c r="E273" s="167">
        <v>0</v>
      </c>
      <c r="F273" s="167">
        <v>0</v>
      </c>
      <c r="G273" s="167">
        <v>0</v>
      </c>
      <c r="H273" s="167">
        <v>0</v>
      </c>
      <c r="I273" s="167">
        <v>0</v>
      </c>
      <c r="J273" s="167">
        <v>0</v>
      </c>
      <c r="K273" s="167">
        <v>0</v>
      </c>
      <c r="L273" s="167">
        <v>0</v>
      </c>
      <c r="M273" s="167">
        <v>0</v>
      </c>
      <c r="N273" s="167">
        <v>0</v>
      </c>
      <c r="O273" s="167">
        <v>0</v>
      </c>
      <c r="P273" s="167">
        <v>0</v>
      </c>
      <c r="Q273" s="167">
        <v>0</v>
      </c>
      <c r="R273" s="167">
        <v>0</v>
      </c>
      <c r="S273" s="167">
        <v>0</v>
      </c>
      <c r="T273" s="167">
        <v>0</v>
      </c>
      <c r="U273" s="168" t="e">
        <v>#DIV/0!</v>
      </c>
      <c r="V273" s="167">
        <v>0</v>
      </c>
      <c r="W273" s="167">
        <v>0</v>
      </c>
      <c r="X273" s="167">
        <v>0</v>
      </c>
      <c r="Y273" s="167">
        <v>0</v>
      </c>
      <c r="Z273" s="167">
        <v>0</v>
      </c>
      <c r="AA273" s="167">
        <v>0</v>
      </c>
    </row>
    <row r="274" spans="1:27" ht="12" customHeight="1" x14ac:dyDescent="0.25">
      <c r="A274" s="155" t="s">
        <v>1348</v>
      </c>
      <c r="B274" s="155" t="s">
        <v>659</v>
      </c>
      <c r="C274" s="167">
        <v>0</v>
      </c>
      <c r="D274" s="167">
        <v>0</v>
      </c>
      <c r="E274" s="167">
        <v>0</v>
      </c>
      <c r="F274" s="167">
        <v>0</v>
      </c>
      <c r="G274" s="167">
        <v>0</v>
      </c>
      <c r="H274" s="167">
        <v>0</v>
      </c>
      <c r="I274" s="167">
        <v>0</v>
      </c>
      <c r="J274" s="167">
        <v>0</v>
      </c>
      <c r="K274" s="167">
        <v>0</v>
      </c>
      <c r="L274" s="167">
        <v>0</v>
      </c>
      <c r="M274" s="167">
        <v>0</v>
      </c>
      <c r="N274" s="167">
        <v>0</v>
      </c>
      <c r="O274" s="167">
        <v>0</v>
      </c>
      <c r="P274" s="167">
        <v>0</v>
      </c>
      <c r="Q274" s="167">
        <v>0</v>
      </c>
      <c r="R274" s="167">
        <v>0</v>
      </c>
      <c r="S274" s="167">
        <v>0</v>
      </c>
      <c r="T274" s="188">
        <v>0</v>
      </c>
      <c r="U274" s="168" t="e">
        <v>#DIV/0!</v>
      </c>
      <c r="V274" s="167">
        <v>0</v>
      </c>
      <c r="W274" s="167">
        <v>0</v>
      </c>
      <c r="X274" s="167">
        <v>0</v>
      </c>
      <c r="Y274" s="167">
        <v>0</v>
      </c>
      <c r="Z274" s="167">
        <v>0</v>
      </c>
      <c r="AA274" s="167">
        <v>0</v>
      </c>
    </row>
    <row r="275" spans="1:27" ht="12" customHeight="1" x14ac:dyDescent="0.25">
      <c r="A275" s="155" t="s">
        <v>1349</v>
      </c>
      <c r="B275" s="155" t="s">
        <v>660</v>
      </c>
      <c r="C275" s="167">
        <v>0</v>
      </c>
      <c r="D275" s="167">
        <v>0</v>
      </c>
      <c r="E275" s="167">
        <v>0</v>
      </c>
      <c r="F275" s="167">
        <v>0</v>
      </c>
      <c r="G275" s="167">
        <v>0</v>
      </c>
      <c r="H275" s="167">
        <v>0</v>
      </c>
      <c r="I275" s="167">
        <v>0</v>
      </c>
      <c r="J275" s="167">
        <v>0</v>
      </c>
      <c r="K275" s="167">
        <v>0</v>
      </c>
      <c r="L275" s="167">
        <v>0</v>
      </c>
      <c r="M275" s="167">
        <v>0</v>
      </c>
      <c r="N275" s="167">
        <v>0</v>
      </c>
      <c r="O275" s="167">
        <v>0</v>
      </c>
      <c r="P275" s="167">
        <v>0</v>
      </c>
      <c r="Q275" s="167">
        <v>0</v>
      </c>
      <c r="R275" s="167">
        <v>0</v>
      </c>
      <c r="S275" s="167">
        <v>0</v>
      </c>
      <c r="T275" s="167">
        <v>0</v>
      </c>
      <c r="U275" s="168" t="e">
        <v>#DIV/0!</v>
      </c>
      <c r="V275" s="167">
        <v>0</v>
      </c>
      <c r="W275" s="167">
        <v>0</v>
      </c>
      <c r="X275" s="167">
        <v>0</v>
      </c>
      <c r="Y275" s="167">
        <v>0</v>
      </c>
      <c r="Z275" s="167">
        <v>0</v>
      </c>
      <c r="AA275" s="167">
        <v>0</v>
      </c>
    </row>
    <row r="276" spans="1:27" ht="12" customHeight="1" x14ac:dyDescent="0.25">
      <c r="A276" s="155" t="s">
        <v>1350</v>
      </c>
      <c r="B276" s="155" t="s">
        <v>661</v>
      </c>
      <c r="C276" s="167">
        <v>0</v>
      </c>
      <c r="D276" s="167">
        <v>0</v>
      </c>
      <c r="E276" s="167">
        <v>0</v>
      </c>
      <c r="F276" s="167">
        <v>0</v>
      </c>
      <c r="G276" s="167">
        <v>0</v>
      </c>
      <c r="H276" s="167">
        <v>0</v>
      </c>
      <c r="I276" s="167">
        <v>0</v>
      </c>
      <c r="J276" s="167">
        <v>0</v>
      </c>
      <c r="K276" s="167">
        <v>0</v>
      </c>
      <c r="L276" s="167">
        <v>0</v>
      </c>
      <c r="M276" s="167">
        <v>0</v>
      </c>
      <c r="N276" s="167">
        <v>0</v>
      </c>
      <c r="O276" s="167">
        <v>0</v>
      </c>
      <c r="P276" s="167">
        <v>0</v>
      </c>
      <c r="Q276" s="167">
        <v>0</v>
      </c>
      <c r="R276" s="167">
        <v>0</v>
      </c>
      <c r="S276" s="167">
        <v>0</v>
      </c>
      <c r="T276" s="167">
        <v>0</v>
      </c>
      <c r="U276" s="168" t="e">
        <v>#DIV/0!</v>
      </c>
      <c r="V276" s="167">
        <v>0</v>
      </c>
      <c r="W276" s="167">
        <v>0</v>
      </c>
      <c r="X276" s="167">
        <v>0</v>
      </c>
      <c r="Y276" s="167">
        <v>0</v>
      </c>
      <c r="Z276" s="167">
        <v>0</v>
      </c>
      <c r="AA276" s="167">
        <v>0</v>
      </c>
    </row>
    <row r="277" spans="1:27" ht="12" customHeight="1" x14ac:dyDescent="0.25">
      <c r="A277" s="155" t="s">
        <v>1351</v>
      </c>
      <c r="B277" s="155" t="s">
        <v>662</v>
      </c>
      <c r="C277" s="167">
        <v>0</v>
      </c>
      <c r="D277" s="167">
        <v>0</v>
      </c>
      <c r="E277" s="167">
        <v>0</v>
      </c>
      <c r="F277" s="167">
        <v>0</v>
      </c>
      <c r="G277" s="167">
        <v>0</v>
      </c>
      <c r="H277" s="167">
        <v>0</v>
      </c>
      <c r="I277" s="167">
        <v>0</v>
      </c>
      <c r="J277" s="167">
        <v>0</v>
      </c>
      <c r="K277" s="167">
        <v>0</v>
      </c>
      <c r="L277" s="167">
        <v>0</v>
      </c>
      <c r="M277" s="167">
        <v>0</v>
      </c>
      <c r="N277" s="167">
        <v>0</v>
      </c>
      <c r="O277" s="167">
        <v>0</v>
      </c>
      <c r="P277" s="167">
        <v>0</v>
      </c>
      <c r="Q277" s="167">
        <v>0</v>
      </c>
      <c r="R277" s="167">
        <v>0</v>
      </c>
      <c r="S277" s="167">
        <v>0</v>
      </c>
      <c r="T277" s="167">
        <v>0</v>
      </c>
      <c r="U277" s="168" t="e">
        <v>#DIV/0!</v>
      </c>
      <c r="V277" s="167">
        <v>0</v>
      </c>
      <c r="W277" s="167">
        <v>0</v>
      </c>
      <c r="X277" s="167">
        <v>0</v>
      </c>
      <c r="Y277" s="167">
        <v>0</v>
      </c>
      <c r="Z277" s="167">
        <v>0</v>
      </c>
      <c r="AA277" s="167">
        <v>0</v>
      </c>
    </row>
    <row r="278" spans="1:27" ht="12" customHeight="1" x14ac:dyDescent="0.25">
      <c r="A278" s="155" t="s">
        <v>1352</v>
      </c>
      <c r="B278" s="162" t="s">
        <v>663</v>
      </c>
      <c r="C278" s="167">
        <v>0</v>
      </c>
      <c r="D278" s="167">
        <v>0</v>
      </c>
      <c r="E278" s="167">
        <v>0</v>
      </c>
      <c r="F278" s="167">
        <v>0</v>
      </c>
      <c r="G278" s="167">
        <v>0</v>
      </c>
      <c r="H278" s="167">
        <v>0</v>
      </c>
      <c r="I278" s="167">
        <v>0</v>
      </c>
      <c r="J278" s="167">
        <v>0</v>
      </c>
      <c r="K278" s="167">
        <v>0</v>
      </c>
      <c r="L278" s="167">
        <v>0</v>
      </c>
      <c r="M278" s="167">
        <v>0</v>
      </c>
      <c r="N278" s="167">
        <v>0</v>
      </c>
      <c r="O278" s="167">
        <v>0</v>
      </c>
      <c r="P278" s="167">
        <v>0</v>
      </c>
      <c r="Q278" s="167">
        <v>0</v>
      </c>
      <c r="R278" s="167">
        <v>0</v>
      </c>
      <c r="S278" s="167">
        <v>0</v>
      </c>
      <c r="T278" s="164">
        <v>0</v>
      </c>
      <c r="U278" s="165" t="e">
        <v>#DIV/0!</v>
      </c>
      <c r="V278" s="164">
        <v>0</v>
      </c>
      <c r="W278" s="164">
        <v>0</v>
      </c>
      <c r="X278" s="164">
        <v>0</v>
      </c>
      <c r="Y278" s="164">
        <v>0</v>
      </c>
      <c r="Z278" s="164">
        <v>0</v>
      </c>
      <c r="AA278" s="164">
        <v>0</v>
      </c>
    </row>
    <row r="279" spans="1:27" ht="12" customHeight="1" x14ac:dyDescent="0.25">
      <c r="A279" s="155"/>
      <c r="B279" s="156" t="s">
        <v>664</v>
      </c>
      <c r="C279" s="157">
        <v>0</v>
      </c>
      <c r="D279" s="157">
        <v>0</v>
      </c>
      <c r="E279" s="157">
        <v>0</v>
      </c>
      <c r="F279" s="157">
        <v>0</v>
      </c>
      <c r="G279" s="157">
        <v>0</v>
      </c>
      <c r="H279" s="157">
        <v>0</v>
      </c>
      <c r="I279" s="157">
        <v>0</v>
      </c>
      <c r="J279" s="157">
        <v>0</v>
      </c>
      <c r="K279" s="157">
        <v>0</v>
      </c>
      <c r="L279" s="157">
        <v>0</v>
      </c>
      <c r="M279" s="157">
        <v>0</v>
      </c>
      <c r="N279" s="157">
        <v>0</v>
      </c>
      <c r="O279" s="157">
        <v>0</v>
      </c>
      <c r="P279" s="157">
        <v>0</v>
      </c>
      <c r="Q279" s="157">
        <v>0</v>
      </c>
      <c r="R279" s="157">
        <v>0</v>
      </c>
      <c r="S279" s="157">
        <v>0</v>
      </c>
      <c r="T279" s="158">
        <v>0</v>
      </c>
      <c r="U279" s="159" t="e">
        <v>#DIV/0!</v>
      </c>
      <c r="V279" s="158">
        <v>0</v>
      </c>
      <c r="W279" s="158">
        <v>0</v>
      </c>
      <c r="X279" s="158">
        <v>0</v>
      </c>
      <c r="Y279" s="158">
        <v>0</v>
      </c>
      <c r="Z279" s="158">
        <v>0</v>
      </c>
      <c r="AA279" s="158">
        <v>0</v>
      </c>
    </row>
    <row r="280" spans="1:27" ht="12" customHeight="1" x14ac:dyDescent="0.25">
      <c r="A280" s="155"/>
      <c r="B280" s="162" t="s">
        <v>665</v>
      </c>
      <c r="C280" s="163">
        <v>0</v>
      </c>
      <c r="D280" s="163">
        <v>0</v>
      </c>
      <c r="E280" s="163">
        <v>0</v>
      </c>
      <c r="F280" s="163">
        <v>0</v>
      </c>
      <c r="G280" s="163">
        <v>0</v>
      </c>
      <c r="H280" s="163">
        <v>0</v>
      </c>
      <c r="I280" s="163">
        <v>0</v>
      </c>
      <c r="J280" s="163">
        <v>0</v>
      </c>
      <c r="K280" s="163">
        <v>0</v>
      </c>
      <c r="L280" s="163">
        <v>0</v>
      </c>
      <c r="M280" s="163">
        <v>0</v>
      </c>
      <c r="N280" s="163">
        <v>0</v>
      </c>
      <c r="O280" s="163">
        <v>0</v>
      </c>
      <c r="P280" s="163">
        <v>0</v>
      </c>
      <c r="Q280" s="163">
        <v>0</v>
      </c>
      <c r="R280" s="163">
        <v>0</v>
      </c>
      <c r="S280" s="163">
        <v>0</v>
      </c>
      <c r="T280" s="164">
        <v>0</v>
      </c>
      <c r="U280" s="165" t="e">
        <v>#DIV/0!</v>
      </c>
      <c r="V280" s="164">
        <v>0</v>
      </c>
      <c r="W280" s="164">
        <v>0</v>
      </c>
      <c r="X280" s="164">
        <v>0</v>
      </c>
      <c r="Y280" s="164">
        <v>0</v>
      </c>
      <c r="Z280" s="164">
        <v>0</v>
      </c>
      <c r="AA280" s="164">
        <v>0</v>
      </c>
    </row>
    <row r="281" spans="1:27" ht="12" customHeight="1" x14ac:dyDescent="0.25">
      <c r="A281" s="155" t="s">
        <v>1353</v>
      </c>
      <c r="B281" s="155" t="s">
        <v>666</v>
      </c>
      <c r="C281" s="167">
        <v>0</v>
      </c>
      <c r="D281" s="167">
        <v>0</v>
      </c>
      <c r="E281" s="167">
        <v>0</v>
      </c>
      <c r="F281" s="167">
        <v>0</v>
      </c>
      <c r="G281" s="167">
        <v>0</v>
      </c>
      <c r="H281" s="167">
        <v>0</v>
      </c>
      <c r="I281" s="167">
        <v>0</v>
      </c>
      <c r="J281" s="167">
        <v>0</v>
      </c>
      <c r="K281" s="167">
        <v>0</v>
      </c>
      <c r="L281" s="167">
        <v>0</v>
      </c>
      <c r="M281" s="167">
        <v>0</v>
      </c>
      <c r="N281" s="167">
        <v>0</v>
      </c>
      <c r="O281" s="167">
        <v>0</v>
      </c>
      <c r="P281" s="167">
        <v>0</v>
      </c>
      <c r="Q281" s="167">
        <v>0</v>
      </c>
      <c r="R281" s="167">
        <v>0</v>
      </c>
      <c r="S281" s="167">
        <v>0</v>
      </c>
      <c r="T281" s="167">
        <v>0</v>
      </c>
      <c r="U281" s="168" t="e">
        <v>#DIV/0!</v>
      </c>
      <c r="V281" s="167">
        <v>0</v>
      </c>
      <c r="W281" s="167">
        <v>0</v>
      </c>
      <c r="X281" s="167">
        <v>0</v>
      </c>
      <c r="Y281" s="167">
        <v>0</v>
      </c>
      <c r="Z281" s="167">
        <v>0</v>
      </c>
      <c r="AA281" s="167">
        <v>0</v>
      </c>
    </row>
    <row r="282" spans="1:27" ht="12" customHeight="1" x14ac:dyDescent="0.25">
      <c r="A282" s="155" t="s">
        <v>1354</v>
      </c>
      <c r="B282" s="155" t="s">
        <v>667</v>
      </c>
      <c r="C282" s="167">
        <v>0</v>
      </c>
      <c r="D282" s="167">
        <v>0</v>
      </c>
      <c r="E282" s="167">
        <v>0</v>
      </c>
      <c r="F282" s="167">
        <v>0</v>
      </c>
      <c r="G282" s="167">
        <v>0</v>
      </c>
      <c r="H282" s="167">
        <v>0</v>
      </c>
      <c r="I282" s="167">
        <v>0</v>
      </c>
      <c r="J282" s="167">
        <v>0</v>
      </c>
      <c r="K282" s="167">
        <v>0</v>
      </c>
      <c r="L282" s="167">
        <v>0</v>
      </c>
      <c r="M282" s="167">
        <v>0</v>
      </c>
      <c r="N282" s="167">
        <v>0</v>
      </c>
      <c r="O282" s="167">
        <v>0</v>
      </c>
      <c r="P282" s="167">
        <v>0</v>
      </c>
      <c r="Q282" s="167">
        <v>0</v>
      </c>
      <c r="R282" s="167">
        <v>0</v>
      </c>
      <c r="S282" s="167">
        <v>0</v>
      </c>
      <c r="T282" s="167">
        <v>0</v>
      </c>
      <c r="U282" s="168" t="e">
        <v>#DIV/0!</v>
      </c>
      <c r="V282" s="167">
        <v>0</v>
      </c>
      <c r="W282" s="167">
        <v>0</v>
      </c>
      <c r="X282" s="167">
        <v>0</v>
      </c>
      <c r="Y282" s="167">
        <v>0</v>
      </c>
      <c r="Z282" s="167">
        <v>0</v>
      </c>
      <c r="AA282" s="167">
        <v>0</v>
      </c>
    </row>
    <row r="283" spans="1:27" ht="12" customHeight="1" x14ac:dyDescent="0.25">
      <c r="A283" s="155" t="s">
        <v>1355</v>
      </c>
      <c r="B283" s="155" t="s">
        <v>668</v>
      </c>
      <c r="C283" s="167">
        <v>0</v>
      </c>
      <c r="D283" s="167">
        <v>0</v>
      </c>
      <c r="E283" s="167">
        <v>0</v>
      </c>
      <c r="F283" s="167">
        <v>0</v>
      </c>
      <c r="G283" s="167">
        <v>0</v>
      </c>
      <c r="H283" s="167">
        <v>0</v>
      </c>
      <c r="I283" s="167">
        <v>0</v>
      </c>
      <c r="J283" s="167">
        <v>0</v>
      </c>
      <c r="K283" s="167">
        <v>0</v>
      </c>
      <c r="L283" s="167">
        <v>0</v>
      </c>
      <c r="M283" s="167">
        <v>0</v>
      </c>
      <c r="N283" s="167">
        <v>0</v>
      </c>
      <c r="O283" s="167">
        <v>0</v>
      </c>
      <c r="P283" s="167">
        <v>0</v>
      </c>
      <c r="Q283" s="167">
        <v>0</v>
      </c>
      <c r="R283" s="167">
        <v>0</v>
      </c>
      <c r="S283" s="167">
        <v>0</v>
      </c>
      <c r="T283" s="167">
        <v>0</v>
      </c>
      <c r="U283" s="168" t="e">
        <v>#DIV/0!</v>
      </c>
      <c r="V283" s="167">
        <v>0</v>
      </c>
      <c r="W283" s="167">
        <v>0</v>
      </c>
      <c r="X283" s="167">
        <v>0</v>
      </c>
      <c r="Y283" s="167">
        <v>0</v>
      </c>
      <c r="Z283" s="167">
        <v>0</v>
      </c>
      <c r="AA283" s="167">
        <v>0</v>
      </c>
    </row>
    <row r="284" spans="1:27" ht="12" customHeight="1" x14ac:dyDescent="0.25">
      <c r="A284" s="155" t="s">
        <v>1356</v>
      </c>
      <c r="B284" s="155" t="s">
        <v>669</v>
      </c>
      <c r="C284" s="167">
        <v>0</v>
      </c>
      <c r="D284" s="167">
        <v>0</v>
      </c>
      <c r="E284" s="167">
        <v>0</v>
      </c>
      <c r="F284" s="167">
        <v>0</v>
      </c>
      <c r="G284" s="167">
        <v>0</v>
      </c>
      <c r="H284" s="167">
        <v>0</v>
      </c>
      <c r="I284" s="167">
        <v>0</v>
      </c>
      <c r="J284" s="167">
        <v>0</v>
      </c>
      <c r="K284" s="167">
        <v>0</v>
      </c>
      <c r="L284" s="167">
        <v>0</v>
      </c>
      <c r="M284" s="167">
        <v>0</v>
      </c>
      <c r="N284" s="167">
        <v>0</v>
      </c>
      <c r="O284" s="167">
        <v>0</v>
      </c>
      <c r="P284" s="167">
        <v>0</v>
      </c>
      <c r="Q284" s="167">
        <v>0</v>
      </c>
      <c r="R284" s="167">
        <v>0</v>
      </c>
      <c r="S284" s="167">
        <v>0</v>
      </c>
      <c r="T284" s="167">
        <v>0</v>
      </c>
      <c r="U284" s="168" t="e">
        <v>#DIV/0!</v>
      </c>
      <c r="V284" s="167">
        <v>0</v>
      </c>
      <c r="W284" s="167">
        <v>0</v>
      </c>
      <c r="X284" s="167">
        <v>0</v>
      </c>
      <c r="Y284" s="167">
        <v>0</v>
      </c>
      <c r="Z284" s="167">
        <v>0</v>
      </c>
      <c r="AA284" s="167">
        <v>0</v>
      </c>
    </row>
    <row r="285" spans="1:27" ht="12" customHeight="1" x14ac:dyDescent="0.25">
      <c r="A285" s="155" t="s">
        <v>1357</v>
      </c>
      <c r="B285" s="155" t="s">
        <v>670</v>
      </c>
      <c r="C285" s="167">
        <v>0</v>
      </c>
      <c r="D285" s="167">
        <v>0</v>
      </c>
      <c r="E285" s="167">
        <v>0</v>
      </c>
      <c r="F285" s="167">
        <v>0</v>
      </c>
      <c r="G285" s="167">
        <v>0</v>
      </c>
      <c r="H285" s="167">
        <v>0</v>
      </c>
      <c r="I285" s="167">
        <v>0</v>
      </c>
      <c r="J285" s="167">
        <v>0</v>
      </c>
      <c r="K285" s="167">
        <v>0</v>
      </c>
      <c r="L285" s="167">
        <v>0</v>
      </c>
      <c r="M285" s="167">
        <v>0</v>
      </c>
      <c r="N285" s="167">
        <v>0</v>
      </c>
      <c r="O285" s="167">
        <v>0</v>
      </c>
      <c r="P285" s="167">
        <v>0</v>
      </c>
      <c r="Q285" s="167">
        <v>0</v>
      </c>
      <c r="R285" s="167">
        <v>0</v>
      </c>
      <c r="S285" s="167">
        <v>0</v>
      </c>
      <c r="T285" s="167">
        <v>0</v>
      </c>
      <c r="U285" s="168" t="e">
        <v>#DIV/0!</v>
      </c>
      <c r="V285" s="167">
        <v>0</v>
      </c>
      <c r="W285" s="167">
        <v>0</v>
      </c>
      <c r="X285" s="167">
        <v>0</v>
      </c>
      <c r="Y285" s="167">
        <v>0</v>
      </c>
      <c r="Z285" s="167">
        <v>0</v>
      </c>
      <c r="AA285" s="167">
        <v>0</v>
      </c>
    </row>
    <row r="286" spans="1:27" ht="12" customHeight="1" x14ac:dyDescent="0.25">
      <c r="A286" s="155" t="s">
        <v>1358</v>
      </c>
      <c r="B286" s="155" t="s">
        <v>671</v>
      </c>
      <c r="C286" s="167">
        <v>0</v>
      </c>
      <c r="D286" s="167">
        <v>0</v>
      </c>
      <c r="E286" s="167">
        <v>0</v>
      </c>
      <c r="F286" s="167">
        <v>0</v>
      </c>
      <c r="G286" s="167">
        <v>0</v>
      </c>
      <c r="H286" s="167">
        <v>0</v>
      </c>
      <c r="I286" s="167">
        <v>0</v>
      </c>
      <c r="J286" s="167">
        <v>0</v>
      </c>
      <c r="K286" s="167">
        <v>0</v>
      </c>
      <c r="L286" s="167">
        <v>0</v>
      </c>
      <c r="M286" s="167">
        <v>0</v>
      </c>
      <c r="N286" s="167">
        <v>0</v>
      </c>
      <c r="O286" s="167">
        <v>0</v>
      </c>
      <c r="P286" s="167">
        <v>0</v>
      </c>
      <c r="Q286" s="167">
        <v>0</v>
      </c>
      <c r="R286" s="167">
        <v>0</v>
      </c>
      <c r="S286" s="167">
        <v>0</v>
      </c>
      <c r="T286" s="167">
        <v>0</v>
      </c>
      <c r="U286" s="168" t="e">
        <v>#DIV/0!</v>
      </c>
      <c r="V286" s="167">
        <v>0</v>
      </c>
      <c r="W286" s="167">
        <v>0</v>
      </c>
      <c r="X286" s="167">
        <v>0</v>
      </c>
      <c r="Y286" s="167">
        <v>0</v>
      </c>
      <c r="Z286" s="167">
        <v>0</v>
      </c>
      <c r="AA286" s="167">
        <v>0</v>
      </c>
    </row>
    <row r="287" spans="1:27" ht="12" customHeight="1" x14ac:dyDescent="0.25">
      <c r="A287" s="155" t="s">
        <v>1359</v>
      </c>
      <c r="B287" s="155" t="s">
        <v>672</v>
      </c>
      <c r="C287" s="167">
        <v>0</v>
      </c>
      <c r="D287" s="167">
        <v>0</v>
      </c>
      <c r="E287" s="167">
        <v>0</v>
      </c>
      <c r="F287" s="167">
        <v>0</v>
      </c>
      <c r="G287" s="167">
        <v>0</v>
      </c>
      <c r="H287" s="167">
        <v>0</v>
      </c>
      <c r="I287" s="167">
        <v>0</v>
      </c>
      <c r="J287" s="167">
        <v>0</v>
      </c>
      <c r="K287" s="167">
        <v>0</v>
      </c>
      <c r="L287" s="167">
        <v>0</v>
      </c>
      <c r="M287" s="167">
        <v>0</v>
      </c>
      <c r="N287" s="167">
        <v>0</v>
      </c>
      <c r="O287" s="167">
        <v>0</v>
      </c>
      <c r="P287" s="167">
        <v>0</v>
      </c>
      <c r="Q287" s="167">
        <v>0</v>
      </c>
      <c r="R287" s="167">
        <v>0</v>
      </c>
      <c r="S287" s="167">
        <v>0</v>
      </c>
      <c r="T287" s="167">
        <v>0</v>
      </c>
      <c r="U287" s="168" t="e">
        <v>#DIV/0!</v>
      </c>
      <c r="V287" s="167">
        <v>0</v>
      </c>
      <c r="W287" s="167">
        <v>0</v>
      </c>
      <c r="X287" s="167">
        <v>0</v>
      </c>
      <c r="Y287" s="167">
        <v>0</v>
      </c>
      <c r="Z287" s="167">
        <v>0</v>
      </c>
      <c r="AA287" s="167">
        <v>0</v>
      </c>
    </row>
    <row r="288" spans="1:27" ht="12" customHeight="1" x14ac:dyDescent="0.25">
      <c r="A288" s="155" t="s">
        <v>1360</v>
      </c>
      <c r="B288" s="155" t="s">
        <v>673</v>
      </c>
      <c r="C288" s="167">
        <v>0</v>
      </c>
      <c r="D288" s="167">
        <v>0</v>
      </c>
      <c r="E288" s="167">
        <v>0</v>
      </c>
      <c r="F288" s="167">
        <v>0</v>
      </c>
      <c r="G288" s="167">
        <v>0</v>
      </c>
      <c r="H288" s="167">
        <v>0</v>
      </c>
      <c r="I288" s="167">
        <v>0</v>
      </c>
      <c r="J288" s="167">
        <v>0</v>
      </c>
      <c r="K288" s="167">
        <v>0</v>
      </c>
      <c r="L288" s="167">
        <v>0</v>
      </c>
      <c r="M288" s="167">
        <v>0</v>
      </c>
      <c r="N288" s="167">
        <v>0</v>
      </c>
      <c r="O288" s="167">
        <v>0</v>
      </c>
      <c r="P288" s="167">
        <v>0</v>
      </c>
      <c r="Q288" s="167">
        <v>0</v>
      </c>
      <c r="R288" s="167">
        <v>0</v>
      </c>
      <c r="S288" s="167">
        <v>0</v>
      </c>
      <c r="T288" s="167">
        <v>0</v>
      </c>
      <c r="U288" s="168" t="e">
        <v>#DIV/0!</v>
      </c>
      <c r="V288" s="167">
        <v>0</v>
      </c>
      <c r="W288" s="167">
        <v>0</v>
      </c>
      <c r="X288" s="167">
        <v>0</v>
      </c>
      <c r="Y288" s="167">
        <v>0</v>
      </c>
      <c r="Z288" s="167">
        <v>0</v>
      </c>
      <c r="AA288" s="167">
        <v>0</v>
      </c>
    </row>
    <row r="289" spans="1:27" ht="12" customHeight="1" x14ac:dyDescent="0.25">
      <c r="A289" s="155" t="s">
        <v>1361</v>
      </c>
      <c r="B289" s="155" t="s">
        <v>674</v>
      </c>
      <c r="C289" s="167">
        <v>0</v>
      </c>
      <c r="D289" s="167">
        <v>0</v>
      </c>
      <c r="E289" s="167">
        <v>0</v>
      </c>
      <c r="F289" s="167">
        <v>0</v>
      </c>
      <c r="G289" s="167">
        <v>0</v>
      </c>
      <c r="H289" s="167">
        <v>0</v>
      </c>
      <c r="I289" s="167">
        <v>0</v>
      </c>
      <c r="J289" s="167">
        <v>0</v>
      </c>
      <c r="K289" s="167">
        <v>0</v>
      </c>
      <c r="L289" s="167">
        <v>0</v>
      </c>
      <c r="M289" s="167">
        <v>0</v>
      </c>
      <c r="N289" s="167">
        <v>0</v>
      </c>
      <c r="O289" s="167">
        <v>0</v>
      </c>
      <c r="P289" s="167">
        <v>0</v>
      </c>
      <c r="Q289" s="167">
        <v>0</v>
      </c>
      <c r="R289" s="167">
        <v>0</v>
      </c>
      <c r="S289" s="167">
        <v>0</v>
      </c>
      <c r="T289" s="167">
        <v>0</v>
      </c>
      <c r="U289" s="168" t="e">
        <v>#DIV/0!</v>
      </c>
      <c r="V289" s="167">
        <v>0</v>
      </c>
      <c r="W289" s="167">
        <v>0</v>
      </c>
      <c r="X289" s="167">
        <v>0</v>
      </c>
      <c r="Y289" s="167">
        <v>0</v>
      </c>
      <c r="Z289" s="167">
        <v>0</v>
      </c>
      <c r="AA289" s="167">
        <v>0</v>
      </c>
    </row>
    <row r="290" spans="1:27" ht="12" customHeight="1" x14ac:dyDescent="0.25">
      <c r="A290" s="155" t="s">
        <v>1362</v>
      </c>
      <c r="B290" s="155" t="s">
        <v>675</v>
      </c>
      <c r="C290" s="167">
        <v>0</v>
      </c>
      <c r="D290" s="167">
        <v>0</v>
      </c>
      <c r="E290" s="167">
        <v>0</v>
      </c>
      <c r="F290" s="167">
        <v>0</v>
      </c>
      <c r="G290" s="167">
        <v>0</v>
      </c>
      <c r="H290" s="167">
        <v>0</v>
      </c>
      <c r="I290" s="167">
        <v>0</v>
      </c>
      <c r="J290" s="167">
        <v>0</v>
      </c>
      <c r="K290" s="167">
        <v>0</v>
      </c>
      <c r="L290" s="167">
        <v>0</v>
      </c>
      <c r="M290" s="167">
        <v>0</v>
      </c>
      <c r="N290" s="167">
        <v>0</v>
      </c>
      <c r="O290" s="167">
        <v>0</v>
      </c>
      <c r="P290" s="167">
        <v>0</v>
      </c>
      <c r="Q290" s="167">
        <v>0</v>
      </c>
      <c r="R290" s="167">
        <v>0</v>
      </c>
      <c r="S290" s="167">
        <v>0</v>
      </c>
      <c r="T290" s="167">
        <v>0</v>
      </c>
      <c r="U290" s="168" t="e">
        <v>#DIV/0!</v>
      </c>
      <c r="V290" s="167">
        <v>0</v>
      </c>
      <c r="W290" s="167">
        <v>0</v>
      </c>
      <c r="X290" s="167">
        <v>0</v>
      </c>
      <c r="Y290" s="167">
        <v>0</v>
      </c>
      <c r="Z290" s="167">
        <v>0</v>
      </c>
      <c r="AA290" s="167">
        <v>0</v>
      </c>
    </row>
    <row r="291" spans="1:27" ht="12" customHeight="1" x14ac:dyDescent="0.25">
      <c r="A291" s="155" t="s">
        <v>1363</v>
      </c>
      <c r="B291" s="155" t="s">
        <v>676</v>
      </c>
      <c r="C291" s="167">
        <v>0</v>
      </c>
      <c r="D291" s="167">
        <v>0</v>
      </c>
      <c r="E291" s="167">
        <v>0</v>
      </c>
      <c r="F291" s="167">
        <v>0</v>
      </c>
      <c r="G291" s="167">
        <v>0</v>
      </c>
      <c r="H291" s="167">
        <v>0</v>
      </c>
      <c r="I291" s="167">
        <v>0</v>
      </c>
      <c r="J291" s="167">
        <v>0</v>
      </c>
      <c r="K291" s="167">
        <v>0</v>
      </c>
      <c r="L291" s="167">
        <v>0</v>
      </c>
      <c r="M291" s="167">
        <v>0</v>
      </c>
      <c r="N291" s="167">
        <v>0</v>
      </c>
      <c r="O291" s="167">
        <v>0</v>
      </c>
      <c r="P291" s="167">
        <v>0</v>
      </c>
      <c r="Q291" s="167">
        <v>0</v>
      </c>
      <c r="R291" s="167">
        <v>0</v>
      </c>
      <c r="S291" s="167">
        <v>0</v>
      </c>
      <c r="T291" s="167">
        <v>0</v>
      </c>
      <c r="U291" s="168" t="e">
        <v>#DIV/0!</v>
      </c>
      <c r="V291" s="167">
        <v>0</v>
      </c>
      <c r="W291" s="167">
        <v>0</v>
      </c>
      <c r="X291" s="167">
        <v>0</v>
      </c>
      <c r="Y291" s="167">
        <v>0</v>
      </c>
      <c r="Z291" s="167">
        <v>0</v>
      </c>
      <c r="AA291" s="167">
        <v>0</v>
      </c>
    </row>
    <row r="292" spans="1:27" ht="12" customHeight="1" x14ac:dyDescent="0.25">
      <c r="A292" s="155" t="s">
        <v>1364</v>
      </c>
      <c r="B292" s="155" t="s">
        <v>677</v>
      </c>
      <c r="C292" s="167">
        <v>0</v>
      </c>
      <c r="D292" s="167">
        <v>0</v>
      </c>
      <c r="E292" s="167">
        <v>0</v>
      </c>
      <c r="F292" s="167">
        <v>0</v>
      </c>
      <c r="G292" s="167">
        <v>0</v>
      </c>
      <c r="H292" s="167">
        <v>0</v>
      </c>
      <c r="I292" s="167">
        <v>0</v>
      </c>
      <c r="J292" s="167">
        <v>0</v>
      </c>
      <c r="K292" s="167">
        <v>0</v>
      </c>
      <c r="L292" s="167">
        <v>0</v>
      </c>
      <c r="M292" s="167">
        <v>0</v>
      </c>
      <c r="N292" s="167">
        <v>0</v>
      </c>
      <c r="O292" s="167">
        <v>0</v>
      </c>
      <c r="P292" s="167">
        <v>0</v>
      </c>
      <c r="Q292" s="167">
        <v>0</v>
      </c>
      <c r="R292" s="167">
        <v>0</v>
      </c>
      <c r="S292" s="167">
        <v>0</v>
      </c>
      <c r="T292" s="167">
        <v>0</v>
      </c>
      <c r="U292" s="168" t="e">
        <v>#DIV/0!</v>
      </c>
      <c r="V292" s="167">
        <v>0</v>
      </c>
      <c r="W292" s="167">
        <v>0</v>
      </c>
      <c r="X292" s="167">
        <v>0</v>
      </c>
      <c r="Y292" s="167">
        <v>0</v>
      </c>
      <c r="Z292" s="167">
        <v>0</v>
      </c>
      <c r="AA292" s="167">
        <v>0</v>
      </c>
    </row>
    <row r="293" spans="1:27" ht="12" customHeight="1" x14ac:dyDescent="0.25">
      <c r="A293" s="155" t="s">
        <v>1365</v>
      </c>
      <c r="B293" s="155" t="s">
        <v>678</v>
      </c>
      <c r="C293" s="167">
        <v>0</v>
      </c>
      <c r="D293" s="167">
        <v>0</v>
      </c>
      <c r="E293" s="167">
        <v>0</v>
      </c>
      <c r="F293" s="167">
        <v>0</v>
      </c>
      <c r="G293" s="167">
        <v>0</v>
      </c>
      <c r="H293" s="167">
        <v>0</v>
      </c>
      <c r="I293" s="167">
        <v>0</v>
      </c>
      <c r="J293" s="167">
        <v>0</v>
      </c>
      <c r="K293" s="167">
        <v>0</v>
      </c>
      <c r="L293" s="167">
        <v>0</v>
      </c>
      <c r="M293" s="167">
        <v>0</v>
      </c>
      <c r="N293" s="167">
        <v>0</v>
      </c>
      <c r="O293" s="167">
        <v>0</v>
      </c>
      <c r="P293" s="167">
        <v>0</v>
      </c>
      <c r="Q293" s="167">
        <v>0</v>
      </c>
      <c r="R293" s="167">
        <v>0</v>
      </c>
      <c r="S293" s="167">
        <v>0</v>
      </c>
      <c r="T293" s="167">
        <v>0</v>
      </c>
      <c r="U293" s="168" t="e">
        <v>#DIV/0!</v>
      </c>
      <c r="V293" s="167">
        <v>0</v>
      </c>
      <c r="W293" s="167">
        <v>0</v>
      </c>
      <c r="X293" s="167">
        <v>0</v>
      </c>
      <c r="Y293" s="167">
        <v>0</v>
      </c>
      <c r="Z293" s="167">
        <v>0</v>
      </c>
      <c r="AA293" s="167">
        <v>0</v>
      </c>
    </row>
    <row r="294" spans="1:27" ht="12" customHeight="1" x14ac:dyDescent="0.25">
      <c r="A294" s="155" t="s">
        <v>1366</v>
      </c>
      <c r="B294" s="155" t="s">
        <v>679</v>
      </c>
      <c r="C294" s="167">
        <v>0</v>
      </c>
      <c r="D294" s="167">
        <v>0</v>
      </c>
      <c r="E294" s="167">
        <v>0</v>
      </c>
      <c r="F294" s="167">
        <v>0</v>
      </c>
      <c r="G294" s="167">
        <v>0</v>
      </c>
      <c r="H294" s="167">
        <v>0</v>
      </c>
      <c r="I294" s="167">
        <v>0</v>
      </c>
      <c r="J294" s="167">
        <v>0</v>
      </c>
      <c r="K294" s="167">
        <v>0</v>
      </c>
      <c r="L294" s="167">
        <v>0</v>
      </c>
      <c r="M294" s="167">
        <v>0</v>
      </c>
      <c r="N294" s="167">
        <v>0</v>
      </c>
      <c r="O294" s="167">
        <v>0</v>
      </c>
      <c r="P294" s="167">
        <v>0</v>
      </c>
      <c r="Q294" s="167">
        <v>0</v>
      </c>
      <c r="R294" s="167">
        <v>0</v>
      </c>
      <c r="S294" s="167">
        <v>0</v>
      </c>
      <c r="T294" s="167">
        <v>0</v>
      </c>
      <c r="U294" s="168" t="e">
        <v>#DIV/0!</v>
      </c>
      <c r="V294" s="167">
        <v>0</v>
      </c>
      <c r="W294" s="167">
        <v>0</v>
      </c>
      <c r="X294" s="167">
        <v>0</v>
      </c>
      <c r="Y294" s="167">
        <v>0</v>
      </c>
      <c r="Z294" s="167">
        <v>0</v>
      </c>
      <c r="AA294" s="167">
        <v>0</v>
      </c>
    </row>
    <row r="295" spans="1:27" ht="12" customHeight="1" x14ac:dyDescent="0.25">
      <c r="A295" s="155" t="s">
        <v>1367</v>
      </c>
      <c r="B295" s="155" t="s">
        <v>680</v>
      </c>
      <c r="C295" s="167">
        <v>0</v>
      </c>
      <c r="D295" s="167">
        <v>0</v>
      </c>
      <c r="E295" s="167">
        <v>0</v>
      </c>
      <c r="F295" s="167">
        <v>0</v>
      </c>
      <c r="G295" s="167">
        <v>0</v>
      </c>
      <c r="H295" s="167">
        <v>0</v>
      </c>
      <c r="I295" s="167">
        <v>0</v>
      </c>
      <c r="J295" s="167">
        <v>0</v>
      </c>
      <c r="K295" s="167">
        <v>0</v>
      </c>
      <c r="L295" s="167">
        <v>0</v>
      </c>
      <c r="M295" s="167">
        <v>0</v>
      </c>
      <c r="N295" s="167">
        <v>0</v>
      </c>
      <c r="O295" s="167">
        <v>0</v>
      </c>
      <c r="P295" s="167">
        <v>0</v>
      </c>
      <c r="Q295" s="167">
        <v>0</v>
      </c>
      <c r="R295" s="167">
        <v>0</v>
      </c>
      <c r="S295" s="167">
        <v>0</v>
      </c>
      <c r="T295" s="167">
        <v>0</v>
      </c>
      <c r="U295" s="168" t="e">
        <v>#DIV/0!</v>
      </c>
      <c r="V295" s="167">
        <v>0</v>
      </c>
      <c r="W295" s="167">
        <v>0</v>
      </c>
      <c r="X295" s="167">
        <v>0</v>
      </c>
      <c r="Y295" s="167">
        <v>0</v>
      </c>
      <c r="Z295" s="167">
        <v>0</v>
      </c>
      <c r="AA295" s="167">
        <v>0</v>
      </c>
    </row>
    <row r="296" spans="1:27" ht="12" customHeight="1" x14ac:dyDescent="0.25">
      <c r="A296" s="155" t="s">
        <v>1368</v>
      </c>
      <c r="B296" s="155" t="s">
        <v>681</v>
      </c>
      <c r="C296" s="167">
        <v>0</v>
      </c>
      <c r="D296" s="167">
        <v>0</v>
      </c>
      <c r="E296" s="167">
        <v>0</v>
      </c>
      <c r="F296" s="167">
        <v>0</v>
      </c>
      <c r="G296" s="167">
        <v>0</v>
      </c>
      <c r="H296" s="167">
        <v>0</v>
      </c>
      <c r="I296" s="167">
        <v>0</v>
      </c>
      <c r="J296" s="167">
        <v>0</v>
      </c>
      <c r="K296" s="167">
        <v>0</v>
      </c>
      <c r="L296" s="167">
        <v>0</v>
      </c>
      <c r="M296" s="167">
        <v>0</v>
      </c>
      <c r="N296" s="167">
        <v>0</v>
      </c>
      <c r="O296" s="167">
        <v>0</v>
      </c>
      <c r="P296" s="167">
        <v>0</v>
      </c>
      <c r="Q296" s="167">
        <v>0</v>
      </c>
      <c r="R296" s="167">
        <v>0</v>
      </c>
      <c r="S296" s="167">
        <v>0</v>
      </c>
      <c r="T296" s="167">
        <v>0</v>
      </c>
      <c r="U296" s="168" t="e">
        <v>#DIV/0!</v>
      </c>
      <c r="V296" s="167">
        <v>0</v>
      </c>
      <c r="W296" s="167">
        <v>0</v>
      </c>
      <c r="X296" s="167">
        <v>0</v>
      </c>
      <c r="Y296" s="167">
        <v>0</v>
      </c>
      <c r="Z296" s="167">
        <v>0</v>
      </c>
      <c r="AA296" s="167">
        <v>0</v>
      </c>
    </row>
    <row r="297" spans="1:27" ht="12" customHeight="1" x14ac:dyDescent="0.25">
      <c r="A297" s="155" t="s">
        <v>1369</v>
      </c>
      <c r="B297" s="155" t="s">
        <v>682</v>
      </c>
      <c r="C297" s="167">
        <v>0</v>
      </c>
      <c r="D297" s="167">
        <v>0</v>
      </c>
      <c r="E297" s="167">
        <v>0</v>
      </c>
      <c r="F297" s="167">
        <v>0</v>
      </c>
      <c r="G297" s="167">
        <v>0</v>
      </c>
      <c r="H297" s="167">
        <v>0</v>
      </c>
      <c r="I297" s="167">
        <v>0</v>
      </c>
      <c r="J297" s="167">
        <v>0</v>
      </c>
      <c r="K297" s="167">
        <v>0</v>
      </c>
      <c r="L297" s="167">
        <v>0</v>
      </c>
      <c r="M297" s="167">
        <v>0</v>
      </c>
      <c r="N297" s="167">
        <v>0</v>
      </c>
      <c r="O297" s="167">
        <v>0</v>
      </c>
      <c r="P297" s="167">
        <v>0</v>
      </c>
      <c r="Q297" s="167">
        <v>0</v>
      </c>
      <c r="R297" s="167">
        <v>0</v>
      </c>
      <c r="S297" s="167">
        <v>0</v>
      </c>
      <c r="T297" s="167">
        <v>0</v>
      </c>
      <c r="U297" s="168" t="e">
        <v>#DIV/0!</v>
      </c>
      <c r="V297" s="167">
        <v>0</v>
      </c>
      <c r="W297" s="167">
        <v>0</v>
      </c>
      <c r="X297" s="167">
        <v>0</v>
      </c>
      <c r="Y297" s="167">
        <v>0</v>
      </c>
      <c r="Z297" s="167">
        <v>0</v>
      </c>
      <c r="AA297" s="167">
        <v>0</v>
      </c>
    </row>
    <row r="298" spans="1:27" ht="12" customHeight="1" x14ac:dyDescent="0.25">
      <c r="A298" s="155" t="s">
        <v>1370</v>
      </c>
      <c r="B298" s="155" t="s">
        <v>683</v>
      </c>
      <c r="C298" s="167">
        <v>0</v>
      </c>
      <c r="D298" s="167">
        <v>0</v>
      </c>
      <c r="E298" s="167">
        <v>0</v>
      </c>
      <c r="F298" s="167">
        <v>0</v>
      </c>
      <c r="G298" s="167">
        <v>0</v>
      </c>
      <c r="H298" s="167">
        <v>0</v>
      </c>
      <c r="I298" s="167">
        <v>0</v>
      </c>
      <c r="J298" s="167">
        <v>0</v>
      </c>
      <c r="K298" s="167">
        <v>0</v>
      </c>
      <c r="L298" s="167">
        <v>0</v>
      </c>
      <c r="M298" s="167">
        <v>0</v>
      </c>
      <c r="N298" s="167">
        <v>0</v>
      </c>
      <c r="O298" s="167">
        <v>0</v>
      </c>
      <c r="P298" s="167">
        <v>0</v>
      </c>
      <c r="Q298" s="167">
        <v>0</v>
      </c>
      <c r="R298" s="167">
        <v>0</v>
      </c>
      <c r="S298" s="167">
        <v>0</v>
      </c>
      <c r="T298" s="167">
        <v>0</v>
      </c>
      <c r="U298" s="168" t="e">
        <v>#DIV/0!</v>
      </c>
      <c r="V298" s="167">
        <v>0</v>
      </c>
      <c r="W298" s="167">
        <v>0</v>
      </c>
      <c r="X298" s="167">
        <v>0</v>
      </c>
      <c r="Y298" s="167">
        <v>0</v>
      </c>
      <c r="Z298" s="167">
        <v>0</v>
      </c>
      <c r="AA298" s="167">
        <v>0</v>
      </c>
    </row>
    <row r="299" spans="1:27" ht="12" customHeight="1" x14ac:dyDescent="0.25">
      <c r="A299" s="155"/>
      <c r="B299" s="171" t="s">
        <v>684</v>
      </c>
      <c r="C299" s="172">
        <v>0</v>
      </c>
      <c r="D299" s="172">
        <v>0</v>
      </c>
      <c r="E299" s="172">
        <v>0</v>
      </c>
      <c r="F299" s="172">
        <v>0</v>
      </c>
      <c r="G299" s="172">
        <v>0</v>
      </c>
      <c r="H299" s="172">
        <v>0</v>
      </c>
      <c r="I299" s="172">
        <v>0</v>
      </c>
      <c r="J299" s="172">
        <v>0</v>
      </c>
      <c r="K299" s="172">
        <v>0</v>
      </c>
      <c r="L299" s="172">
        <v>0</v>
      </c>
      <c r="M299" s="172">
        <v>0</v>
      </c>
      <c r="N299" s="172">
        <v>0</v>
      </c>
      <c r="O299" s="172">
        <v>0</v>
      </c>
      <c r="P299" s="172">
        <v>0</v>
      </c>
      <c r="Q299" s="172">
        <v>0</v>
      </c>
      <c r="R299" s="172">
        <v>0</v>
      </c>
      <c r="S299" s="172">
        <v>0</v>
      </c>
      <c r="T299" s="173">
        <v>0</v>
      </c>
      <c r="U299" s="174" t="e">
        <v>#DIV/0!</v>
      </c>
      <c r="V299" s="173">
        <v>0</v>
      </c>
      <c r="W299" s="173">
        <v>0</v>
      </c>
      <c r="X299" s="173">
        <v>0</v>
      </c>
      <c r="Y299" s="173">
        <v>0</v>
      </c>
      <c r="Z299" s="173">
        <v>0</v>
      </c>
      <c r="AA299" s="173">
        <v>0</v>
      </c>
    </row>
    <row r="300" spans="1:27" ht="12" customHeight="1" x14ac:dyDescent="0.25">
      <c r="A300" s="155" t="s">
        <v>1371</v>
      </c>
      <c r="B300" s="162" t="s">
        <v>685</v>
      </c>
      <c r="C300" s="167">
        <v>0</v>
      </c>
      <c r="D300" s="167">
        <v>0</v>
      </c>
      <c r="E300" s="167">
        <v>0</v>
      </c>
      <c r="F300" s="167">
        <v>0</v>
      </c>
      <c r="G300" s="167">
        <v>0</v>
      </c>
      <c r="H300" s="167">
        <v>0</v>
      </c>
      <c r="I300" s="167">
        <v>0</v>
      </c>
      <c r="J300" s="167">
        <v>0</v>
      </c>
      <c r="K300" s="167">
        <v>0</v>
      </c>
      <c r="L300" s="167">
        <v>0</v>
      </c>
      <c r="M300" s="167">
        <v>0</v>
      </c>
      <c r="N300" s="167">
        <v>0</v>
      </c>
      <c r="O300" s="167">
        <v>0</v>
      </c>
      <c r="P300" s="167">
        <v>0</v>
      </c>
      <c r="Q300" s="167">
        <v>0</v>
      </c>
      <c r="R300" s="167">
        <v>0</v>
      </c>
      <c r="S300" s="167">
        <v>0</v>
      </c>
      <c r="T300" s="164">
        <v>0</v>
      </c>
      <c r="U300" s="165" t="e">
        <v>#DIV/0!</v>
      </c>
      <c r="V300" s="164">
        <v>0</v>
      </c>
      <c r="W300" s="164">
        <v>0</v>
      </c>
      <c r="X300" s="164">
        <v>0</v>
      </c>
      <c r="Y300" s="164">
        <v>0</v>
      </c>
      <c r="Z300" s="164">
        <v>0</v>
      </c>
      <c r="AA300" s="164">
        <v>0</v>
      </c>
    </row>
    <row r="301" spans="1:27" ht="12" customHeight="1" x14ac:dyDescent="0.25">
      <c r="A301" s="155"/>
      <c r="B301" s="162" t="s">
        <v>686</v>
      </c>
      <c r="C301" s="163">
        <v>0</v>
      </c>
      <c r="D301" s="163">
        <v>0</v>
      </c>
      <c r="E301" s="163">
        <v>0</v>
      </c>
      <c r="F301" s="163">
        <v>0</v>
      </c>
      <c r="G301" s="163">
        <v>0</v>
      </c>
      <c r="H301" s="163">
        <v>0</v>
      </c>
      <c r="I301" s="163">
        <v>0</v>
      </c>
      <c r="J301" s="163">
        <v>0</v>
      </c>
      <c r="K301" s="163">
        <v>0</v>
      </c>
      <c r="L301" s="163">
        <v>0</v>
      </c>
      <c r="M301" s="163">
        <v>0</v>
      </c>
      <c r="N301" s="163">
        <v>0</v>
      </c>
      <c r="O301" s="163">
        <v>0</v>
      </c>
      <c r="P301" s="163">
        <v>0</v>
      </c>
      <c r="Q301" s="163">
        <v>0</v>
      </c>
      <c r="R301" s="163">
        <v>0</v>
      </c>
      <c r="S301" s="163">
        <v>0</v>
      </c>
      <c r="T301" s="164">
        <v>0</v>
      </c>
      <c r="U301" s="165" t="e">
        <v>#DIV/0!</v>
      </c>
      <c r="V301" s="164">
        <v>0</v>
      </c>
      <c r="W301" s="164">
        <v>0</v>
      </c>
      <c r="X301" s="164">
        <v>0</v>
      </c>
      <c r="Y301" s="164">
        <v>0</v>
      </c>
      <c r="Z301" s="164">
        <v>0</v>
      </c>
      <c r="AA301" s="164">
        <v>0</v>
      </c>
    </row>
    <row r="302" spans="1:27" ht="12" customHeight="1" x14ac:dyDescent="0.25">
      <c r="A302" s="155" t="s">
        <v>1372</v>
      </c>
      <c r="B302" s="155" t="s">
        <v>687</v>
      </c>
      <c r="C302" s="167">
        <v>0</v>
      </c>
      <c r="D302" s="167">
        <v>0</v>
      </c>
      <c r="E302" s="167">
        <v>0</v>
      </c>
      <c r="F302" s="167">
        <v>0</v>
      </c>
      <c r="G302" s="167">
        <v>0</v>
      </c>
      <c r="H302" s="167">
        <v>0</v>
      </c>
      <c r="I302" s="167">
        <v>0</v>
      </c>
      <c r="J302" s="167">
        <v>0</v>
      </c>
      <c r="K302" s="167">
        <v>0</v>
      </c>
      <c r="L302" s="167">
        <v>0</v>
      </c>
      <c r="M302" s="167">
        <v>0</v>
      </c>
      <c r="N302" s="167">
        <v>0</v>
      </c>
      <c r="O302" s="167">
        <v>0</v>
      </c>
      <c r="P302" s="167">
        <v>0</v>
      </c>
      <c r="Q302" s="167">
        <v>0</v>
      </c>
      <c r="R302" s="167">
        <v>0</v>
      </c>
      <c r="S302" s="167">
        <v>0</v>
      </c>
      <c r="T302" s="167">
        <v>0</v>
      </c>
      <c r="U302" s="168" t="e">
        <v>#DIV/0!</v>
      </c>
      <c r="V302" s="167">
        <v>0</v>
      </c>
      <c r="W302" s="167">
        <v>0</v>
      </c>
      <c r="X302" s="167">
        <v>0</v>
      </c>
      <c r="Y302" s="167">
        <v>0</v>
      </c>
      <c r="Z302" s="167">
        <v>0</v>
      </c>
      <c r="AA302" s="167">
        <v>0</v>
      </c>
    </row>
    <row r="303" spans="1:27" ht="12" customHeight="1" x14ac:dyDescent="0.25">
      <c r="A303" s="155" t="s">
        <v>1373</v>
      </c>
      <c r="B303" s="155" t="s">
        <v>688</v>
      </c>
      <c r="C303" s="167">
        <v>0</v>
      </c>
      <c r="D303" s="167">
        <v>0</v>
      </c>
      <c r="E303" s="167">
        <v>0</v>
      </c>
      <c r="F303" s="167">
        <v>0</v>
      </c>
      <c r="G303" s="167">
        <v>0</v>
      </c>
      <c r="H303" s="167">
        <v>0</v>
      </c>
      <c r="I303" s="167">
        <v>0</v>
      </c>
      <c r="J303" s="167">
        <v>0</v>
      </c>
      <c r="K303" s="167">
        <v>0</v>
      </c>
      <c r="L303" s="167">
        <v>0</v>
      </c>
      <c r="M303" s="167">
        <v>0</v>
      </c>
      <c r="N303" s="167">
        <v>0</v>
      </c>
      <c r="O303" s="167">
        <v>0</v>
      </c>
      <c r="P303" s="167">
        <v>0</v>
      </c>
      <c r="Q303" s="167">
        <v>0</v>
      </c>
      <c r="R303" s="167">
        <v>0</v>
      </c>
      <c r="S303" s="167">
        <v>0</v>
      </c>
      <c r="T303" s="167">
        <v>0</v>
      </c>
      <c r="U303" s="168" t="e">
        <v>#DIV/0!</v>
      </c>
      <c r="V303" s="167">
        <v>0</v>
      </c>
      <c r="W303" s="167">
        <v>0</v>
      </c>
      <c r="X303" s="167">
        <v>0</v>
      </c>
      <c r="Y303" s="167">
        <v>0</v>
      </c>
      <c r="Z303" s="167">
        <v>0</v>
      </c>
      <c r="AA303" s="167">
        <v>0</v>
      </c>
    </row>
    <row r="304" spans="1:27" ht="12" customHeight="1" x14ac:dyDescent="0.25">
      <c r="A304" s="155" t="s">
        <v>1374</v>
      </c>
      <c r="B304" s="155" t="s">
        <v>689</v>
      </c>
      <c r="C304" s="167">
        <v>0</v>
      </c>
      <c r="D304" s="167">
        <v>0</v>
      </c>
      <c r="E304" s="167">
        <v>0</v>
      </c>
      <c r="F304" s="167">
        <v>0</v>
      </c>
      <c r="G304" s="167">
        <v>0</v>
      </c>
      <c r="H304" s="167">
        <v>0</v>
      </c>
      <c r="I304" s="167">
        <v>0</v>
      </c>
      <c r="J304" s="167">
        <v>0</v>
      </c>
      <c r="K304" s="167">
        <v>0</v>
      </c>
      <c r="L304" s="167">
        <v>0</v>
      </c>
      <c r="M304" s="167">
        <v>0</v>
      </c>
      <c r="N304" s="167">
        <v>0</v>
      </c>
      <c r="O304" s="167">
        <v>0</v>
      </c>
      <c r="P304" s="167">
        <v>0</v>
      </c>
      <c r="Q304" s="167">
        <v>0</v>
      </c>
      <c r="R304" s="167">
        <v>0</v>
      </c>
      <c r="S304" s="167">
        <v>0</v>
      </c>
      <c r="T304" s="167">
        <v>0</v>
      </c>
      <c r="U304" s="168" t="e">
        <v>#DIV/0!</v>
      </c>
      <c r="V304" s="167">
        <v>0</v>
      </c>
      <c r="W304" s="167">
        <v>0</v>
      </c>
      <c r="X304" s="167">
        <v>0</v>
      </c>
      <c r="Y304" s="167">
        <v>0</v>
      </c>
      <c r="Z304" s="167">
        <v>0</v>
      </c>
      <c r="AA304" s="167">
        <v>0</v>
      </c>
    </row>
    <row r="305" spans="1:27" ht="12" customHeight="1" x14ac:dyDescent="0.25">
      <c r="A305" s="155"/>
      <c r="B305" s="162" t="s">
        <v>690</v>
      </c>
      <c r="C305" s="163">
        <v>0</v>
      </c>
      <c r="D305" s="163">
        <v>0</v>
      </c>
      <c r="E305" s="163">
        <v>0</v>
      </c>
      <c r="F305" s="163">
        <v>0</v>
      </c>
      <c r="G305" s="163">
        <v>0</v>
      </c>
      <c r="H305" s="163">
        <v>0</v>
      </c>
      <c r="I305" s="163">
        <v>0</v>
      </c>
      <c r="J305" s="163">
        <v>0</v>
      </c>
      <c r="K305" s="163">
        <v>0</v>
      </c>
      <c r="L305" s="163">
        <v>0</v>
      </c>
      <c r="M305" s="163">
        <v>0</v>
      </c>
      <c r="N305" s="163">
        <v>0</v>
      </c>
      <c r="O305" s="163">
        <v>0</v>
      </c>
      <c r="P305" s="163">
        <v>0</v>
      </c>
      <c r="Q305" s="163">
        <v>0</v>
      </c>
      <c r="R305" s="163">
        <v>0</v>
      </c>
      <c r="S305" s="163">
        <v>0</v>
      </c>
      <c r="T305" s="164">
        <v>0</v>
      </c>
      <c r="U305" s="165" t="e">
        <v>#DIV/0!</v>
      </c>
      <c r="V305" s="164">
        <v>0</v>
      </c>
      <c r="W305" s="164">
        <v>0</v>
      </c>
      <c r="X305" s="164">
        <v>0</v>
      </c>
      <c r="Y305" s="164">
        <v>0</v>
      </c>
      <c r="Z305" s="164">
        <v>0</v>
      </c>
      <c r="AA305" s="164">
        <v>0</v>
      </c>
    </row>
    <row r="306" spans="1:27" ht="12" customHeight="1" x14ac:dyDescent="0.25">
      <c r="A306" s="155" t="s">
        <v>1375</v>
      </c>
      <c r="B306" s="155" t="s">
        <v>691</v>
      </c>
      <c r="C306" s="167">
        <v>0</v>
      </c>
      <c r="D306" s="167">
        <v>0</v>
      </c>
      <c r="E306" s="167">
        <v>0</v>
      </c>
      <c r="F306" s="167">
        <v>0</v>
      </c>
      <c r="G306" s="167">
        <v>0</v>
      </c>
      <c r="H306" s="167">
        <v>0</v>
      </c>
      <c r="I306" s="167">
        <v>0</v>
      </c>
      <c r="J306" s="167">
        <v>0</v>
      </c>
      <c r="K306" s="167">
        <v>0</v>
      </c>
      <c r="L306" s="167">
        <v>0</v>
      </c>
      <c r="M306" s="167">
        <v>0</v>
      </c>
      <c r="N306" s="167">
        <v>0</v>
      </c>
      <c r="O306" s="167">
        <v>0</v>
      </c>
      <c r="P306" s="167">
        <v>0</v>
      </c>
      <c r="Q306" s="167">
        <v>0</v>
      </c>
      <c r="R306" s="167">
        <v>0</v>
      </c>
      <c r="S306" s="167">
        <v>0</v>
      </c>
      <c r="T306" s="167">
        <v>0</v>
      </c>
      <c r="U306" s="168" t="e">
        <v>#DIV/0!</v>
      </c>
      <c r="V306" s="167">
        <v>0</v>
      </c>
      <c r="W306" s="167">
        <v>0</v>
      </c>
      <c r="X306" s="167">
        <v>0</v>
      </c>
      <c r="Y306" s="167">
        <v>0</v>
      </c>
      <c r="Z306" s="167">
        <v>0</v>
      </c>
      <c r="AA306" s="167">
        <v>0</v>
      </c>
    </row>
    <row r="307" spans="1:27" ht="12" customHeight="1" x14ac:dyDescent="0.25">
      <c r="A307" s="155" t="s">
        <v>1376</v>
      </c>
      <c r="B307" s="155" t="s">
        <v>692</v>
      </c>
      <c r="C307" s="167">
        <v>0</v>
      </c>
      <c r="D307" s="167">
        <v>0</v>
      </c>
      <c r="E307" s="167">
        <v>0</v>
      </c>
      <c r="F307" s="167">
        <v>0</v>
      </c>
      <c r="G307" s="167">
        <v>0</v>
      </c>
      <c r="H307" s="167">
        <v>0</v>
      </c>
      <c r="I307" s="167">
        <v>0</v>
      </c>
      <c r="J307" s="167">
        <v>0</v>
      </c>
      <c r="K307" s="167">
        <v>0</v>
      </c>
      <c r="L307" s="167">
        <v>0</v>
      </c>
      <c r="M307" s="167">
        <v>0</v>
      </c>
      <c r="N307" s="167">
        <v>0</v>
      </c>
      <c r="O307" s="167">
        <v>0</v>
      </c>
      <c r="P307" s="167">
        <v>0</v>
      </c>
      <c r="Q307" s="167">
        <v>0</v>
      </c>
      <c r="R307" s="167">
        <v>0</v>
      </c>
      <c r="S307" s="167">
        <v>0</v>
      </c>
      <c r="T307" s="167">
        <v>0</v>
      </c>
      <c r="U307" s="168" t="e">
        <v>#DIV/0!</v>
      </c>
      <c r="V307" s="167">
        <v>0</v>
      </c>
      <c r="W307" s="167">
        <v>0</v>
      </c>
      <c r="X307" s="167">
        <v>0</v>
      </c>
      <c r="Y307" s="167">
        <v>0</v>
      </c>
      <c r="Z307" s="167">
        <v>0</v>
      </c>
      <c r="AA307" s="167">
        <v>0</v>
      </c>
    </row>
    <row r="308" spans="1:27" ht="12" customHeight="1" x14ac:dyDescent="0.25">
      <c r="A308" s="155" t="s">
        <v>1377</v>
      </c>
      <c r="B308" s="155" t="s">
        <v>693</v>
      </c>
      <c r="C308" s="167">
        <v>0</v>
      </c>
      <c r="D308" s="167">
        <v>0</v>
      </c>
      <c r="E308" s="167">
        <v>0</v>
      </c>
      <c r="F308" s="167">
        <v>0</v>
      </c>
      <c r="G308" s="167">
        <v>0</v>
      </c>
      <c r="H308" s="167">
        <v>0</v>
      </c>
      <c r="I308" s="167">
        <v>0</v>
      </c>
      <c r="J308" s="167">
        <v>0</v>
      </c>
      <c r="K308" s="167">
        <v>0</v>
      </c>
      <c r="L308" s="167">
        <v>0</v>
      </c>
      <c r="M308" s="167">
        <v>0</v>
      </c>
      <c r="N308" s="167">
        <v>0</v>
      </c>
      <c r="O308" s="167">
        <v>0</v>
      </c>
      <c r="P308" s="167">
        <v>0</v>
      </c>
      <c r="Q308" s="167">
        <v>0</v>
      </c>
      <c r="R308" s="167">
        <v>0</v>
      </c>
      <c r="S308" s="167">
        <v>0</v>
      </c>
      <c r="T308" s="167">
        <v>0</v>
      </c>
      <c r="U308" s="168" t="e">
        <v>#DIV/0!</v>
      </c>
      <c r="V308" s="167">
        <v>0</v>
      </c>
      <c r="W308" s="167">
        <v>0</v>
      </c>
      <c r="X308" s="167">
        <v>0</v>
      </c>
      <c r="Y308" s="167">
        <v>0</v>
      </c>
      <c r="Z308" s="167">
        <v>0</v>
      </c>
      <c r="AA308" s="167">
        <v>0</v>
      </c>
    </row>
    <row r="309" spans="1:27" ht="12" customHeight="1" x14ac:dyDescent="0.25">
      <c r="A309" s="155" t="s">
        <v>1378</v>
      </c>
      <c r="B309" s="162" t="s">
        <v>694</v>
      </c>
      <c r="C309" s="167">
        <v>0</v>
      </c>
      <c r="D309" s="167">
        <v>0</v>
      </c>
      <c r="E309" s="167">
        <v>0</v>
      </c>
      <c r="F309" s="167">
        <v>0</v>
      </c>
      <c r="G309" s="167">
        <v>0</v>
      </c>
      <c r="H309" s="167">
        <v>0</v>
      </c>
      <c r="I309" s="167">
        <v>0</v>
      </c>
      <c r="J309" s="167">
        <v>0</v>
      </c>
      <c r="K309" s="167">
        <v>0</v>
      </c>
      <c r="L309" s="167">
        <v>0</v>
      </c>
      <c r="M309" s="167">
        <v>0</v>
      </c>
      <c r="N309" s="167">
        <v>0</v>
      </c>
      <c r="O309" s="167">
        <v>0</v>
      </c>
      <c r="P309" s="167">
        <v>0</v>
      </c>
      <c r="Q309" s="167">
        <v>0</v>
      </c>
      <c r="R309" s="167">
        <v>0</v>
      </c>
      <c r="S309" s="167">
        <v>0</v>
      </c>
      <c r="T309" s="164">
        <v>0</v>
      </c>
      <c r="U309" s="165" t="e">
        <v>#DIV/0!</v>
      </c>
      <c r="V309" s="164">
        <v>0</v>
      </c>
      <c r="W309" s="164">
        <v>0</v>
      </c>
      <c r="X309" s="164">
        <v>0</v>
      </c>
      <c r="Y309" s="164">
        <v>0</v>
      </c>
      <c r="Z309" s="164">
        <v>0</v>
      </c>
      <c r="AA309" s="164">
        <v>0</v>
      </c>
    </row>
    <row r="310" spans="1:27" ht="12" customHeight="1" x14ac:dyDescent="0.25">
      <c r="A310" s="155"/>
      <c r="B310" s="175" t="s">
        <v>35</v>
      </c>
      <c r="C310" s="176">
        <v>0</v>
      </c>
      <c r="D310" s="176">
        <v>0</v>
      </c>
      <c r="E310" s="176">
        <v>0</v>
      </c>
      <c r="F310" s="176">
        <v>0</v>
      </c>
      <c r="G310" s="176">
        <v>0</v>
      </c>
      <c r="H310" s="176">
        <v>0</v>
      </c>
      <c r="I310" s="176">
        <v>0</v>
      </c>
      <c r="J310" s="176">
        <v>0</v>
      </c>
      <c r="K310" s="176">
        <v>0</v>
      </c>
      <c r="L310" s="176">
        <v>0</v>
      </c>
      <c r="M310" s="176">
        <v>0</v>
      </c>
      <c r="N310" s="176">
        <v>0</v>
      </c>
      <c r="O310" s="176">
        <v>0</v>
      </c>
      <c r="P310" s="176">
        <v>0</v>
      </c>
      <c r="Q310" s="176">
        <v>0</v>
      </c>
      <c r="R310" s="176">
        <v>0</v>
      </c>
      <c r="S310" s="176">
        <v>0</v>
      </c>
      <c r="T310" s="177">
        <v>0</v>
      </c>
      <c r="U310" s="178" t="e">
        <v>#DIV/0!</v>
      </c>
      <c r="V310" s="177">
        <v>0</v>
      </c>
      <c r="W310" s="177">
        <v>0</v>
      </c>
      <c r="X310" s="177">
        <v>0</v>
      </c>
      <c r="Y310" s="177">
        <v>0</v>
      </c>
      <c r="Z310" s="177">
        <v>0</v>
      </c>
      <c r="AA310" s="177">
        <v>0</v>
      </c>
    </row>
    <row r="311" spans="1:27" ht="12" customHeight="1" x14ac:dyDescent="0.25">
      <c r="A311" s="155"/>
      <c r="B311" s="179" t="s">
        <v>1379</v>
      </c>
      <c r="C311" s="180">
        <v>0</v>
      </c>
      <c r="D311" s="180">
        <v>0</v>
      </c>
      <c r="E311" s="180">
        <v>0</v>
      </c>
      <c r="F311" s="180">
        <v>0</v>
      </c>
      <c r="G311" s="180">
        <v>0</v>
      </c>
      <c r="H311" s="180">
        <v>0</v>
      </c>
      <c r="I311" s="180">
        <v>0</v>
      </c>
      <c r="J311" s="180">
        <v>0</v>
      </c>
      <c r="K311" s="180">
        <v>0</v>
      </c>
      <c r="L311" s="180">
        <v>0</v>
      </c>
      <c r="M311" s="180">
        <v>0</v>
      </c>
      <c r="N311" s="180">
        <v>0</v>
      </c>
      <c r="O311" s="180">
        <v>0</v>
      </c>
      <c r="P311" s="180">
        <v>0</v>
      </c>
      <c r="Q311" s="180">
        <v>0</v>
      </c>
      <c r="R311" s="180">
        <v>0</v>
      </c>
      <c r="S311" s="180">
        <v>0</v>
      </c>
      <c r="T311" s="181">
        <v>0</v>
      </c>
      <c r="U311" s="182" t="e">
        <v>#DIV/0!</v>
      </c>
      <c r="V311" s="181">
        <v>0</v>
      </c>
      <c r="W311" s="181">
        <v>0</v>
      </c>
      <c r="X311" s="181">
        <v>0</v>
      </c>
      <c r="Y311" s="181">
        <v>0</v>
      </c>
      <c r="Z311" s="181">
        <v>0</v>
      </c>
      <c r="AA311" s="181">
        <v>0</v>
      </c>
    </row>
    <row r="312" spans="1:27" ht="12" customHeight="1" x14ac:dyDescent="0.25">
      <c r="A312" s="155"/>
      <c r="B312" s="183" t="s">
        <v>74</v>
      </c>
      <c r="C312" s="184">
        <v>0</v>
      </c>
      <c r="D312" s="184">
        <v>0</v>
      </c>
      <c r="E312" s="184">
        <v>0</v>
      </c>
      <c r="F312" s="184">
        <v>0</v>
      </c>
      <c r="G312" s="184">
        <v>0</v>
      </c>
      <c r="H312" s="184">
        <v>0</v>
      </c>
      <c r="I312" s="184">
        <v>0</v>
      </c>
      <c r="J312" s="184">
        <v>0</v>
      </c>
      <c r="K312" s="184">
        <v>0</v>
      </c>
      <c r="L312" s="184">
        <v>0</v>
      </c>
      <c r="M312" s="184">
        <v>0</v>
      </c>
      <c r="N312" s="184">
        <v>0</v>
      </c>
      <c r="O312" s="184">
        <v>0</v>
      </c>
      <c r="P312" s="184">
        <v>0</v>
      </c>
      <c r="Q312" s="184">
        <v>0</v>
      </c>
      <c r="R312" s="184">
        <v>0</v>
      </c>
      <c r="S312" s="184">
        <v>0</v>
      </c>
      <c r="T312" s="185">
        <v>0</v>
      </c>
      <c r="U312" s="186" t="e">
        <v>#DIV/0!</v>
      </c>
      <c r="V312" s="185">
        <v>0</v>
      </c>
      <c r="W312" s="185">
        <v>0</v>
      </c>
      <c r="X312" s="185">
        <v>0</v>
      </c>
      <c r="Y312" s="185">
        <v>0</v>
      </c>
      <c r="Z312" s="185">
        <v>0</v>
      </c>
      <c r="AA312" s="185">
        <v>0</v>
      </c>
    </row>
    <row r="313" spans="1:27" ht="12" customHeight="1" x14ac:dyDescent="0.25">
      <c r="A313" s="161"/>
      <c r="B313" s="161"/>
      <c r="C313" s="161"/>
      <c r="D313" s="161"/>
      <c r="E313" s="161"/>
      <c r="F313" s="161"/>
      <c r="G313" s="161"/>
      <c r="H313" s="161"/>
      <c r="I313" s="161"/>
      <c r="J313" s="161"/>
      <c r="K313" s="161"/>
      <c r="L313" s="161"/>
      <c r="M313" s="161"/>
      <c r="N313" s="161"/>
      <c r="O313" s="161"/>
      <c r="P313" s="161"/>
      <c r="Q313" s="161"/>
      <c r="R313" s="161"/>
      <c r="S313" s="161"/>
      <c r="T313" s="161"/>
      <c r="U313" s="161"/>
      <c r="V313" s="161"/>
      <c r="W313" s="161"/>
      <c r="X313" s="161"/>
      <c r="Y313" s="161"/>
      <c r="Z313" s="161"/>
      <c r="AA313" s="161"/>
    </row>
    <row r="314" spans="1:27" ht="12" customHeight="1" x14ac:dyDescent="0.25">
      <c r="A314" s="161"/>
      <c r="B314" s="161"/>
      <c r="C314" s="161"/>
      <c r="D314" s="161"/>
      <c r="E314" s="161"/>
      <c r="F314" s="161"/>
      <c r="G314" s="161"/>
      <c r="H314" s="161"/>
      <c r="I314" s="161"/>
      <c r="J314" s="161"/>
      <c r="K314" s="161"/>
      <c r="L314" s="161"/>
      <c r="M314" s="161"/>
      <c r="N314" s="161"/>
      <c r="O314" s="161"/>
      <c r="P314" s="161"/>
      <c r="Q314" s="161"/>
      <c r="R314" s="161"/>
      <c r="S314" s="161"/>
      <c r="T314" s="161"/>
      <c r="U314" s="161"/>
      <c r="V314" s="161"/>
      <c r="W314" s="161"/>
      <c r="X314" s="161"/>
      <c r="Y314" s="161"/>
      <c r="Z314" s="161"/>
      <c r="AA314" s="161"/>
    </row>
    <row r="315" spans="1:27" ht="12" customHeight="1" x14ac:dyDescent="0.25">
      <c r="A315" s="161"/>
      <c r="B315" s="161"/>
      <c r="C315" s="161"/>
      <c r="D315" s="161"/>
      <c r="E315" s="161"/>
      <c r="F315" s="161"/>
      <c r="G315" s="161"/>
      <c r="H315" s="161"/>
      <c r="I315" s="161"/>
      <c r="J315" s="161"/>
      <c r="K315" s="161"/>
      <c r="L315" s="161"/>
      <c r="M315" s="161"/>
      <c r="N315" s="161"/>
      <c r="O315" s="161"/>
      <c r="P315" s="161"/>
      <c r="Q315" s="161"/>
      <c r="R315" s="161"/>
      <c r="S315" s="161"/>
      <c r="T315" s="161"/>
      <c r="U315" s="161"/>
      <c r="V315" s="161"/>
      <c r="W315" s="161"/>
      <c r="X315" s="161"/>
      <c r="Y315" s="161"/>
      <c r="Z315" s="161"/>
      <c r="AA315" s="161"/>
    </row>
    <row r="316" spans="1:27" ht="12" customHeight="1" x14ac:dyDescent="0.25">
      <c r="A316" s="161"/>
      <c r="B316" s="161"/>
      <c r="C316" s="161"/>
      <c r="D316" s="161"/>
      <c r="E316" s="161"/>
      <c r="F316" s="161"/>
      <c r="G316" s="161"/>
      <c r="H316" s="161"/>
      <c r="I316" s="161"/>
      <c r="J316" s="161"/>
      <c r="K316" s="161"/>
      <c r="L316" s="161"/>
      <c r="M316" s="161"/>
      <c r="N316" s="161"/>
      <c r="O316" s="161"/>
      <c r="P316" s="161"/>
      <c r="Q316" s="161"/>
      <c r="R316" s="161"/>
      <c r="S316" s="161"/>
      <c r="T316" s="161"/>
      <c r="U316" s="161"/>
      <c r="V316" s="161"/>
      <c r="W316" s="161"/>
      <c r="X316" s="161"/>
      <c r="Y316" s="161"/>
      <c r="Z316" s="161"/>
      <c r="AA316" s="161"/>
    </row>
    <row r="317" spans="1:27" ht="12" customHeight="1" x14ac:dyDescent="0.25">
      <c r="A317" s="161"/>
      <c r="B317" s="161"/>
      <c r="C317" s="161"/>
      <c r="D317" s="161"/>
      <c r="E317" s="161"/>
      <c r="F317" s="161"/>
      <c r="G317" s="161"/>
      <c r="H317" s="161"/>
      <c r="I317" s="161"/>
      <c r="J317" s="161"/>
      <c r="K317" s="161"/>
      <c r="L317" s="161"/>
      <c r="M317" s="161"/>
      <c r="N317" s="161"/>
      <c r="O317" s="161"/>
      <c r="P317" s="161"/>
      <c r="Q317" s="161"/>
      <c r="R317" s="161"/>
      <c r="S317" s="161"/>
      <c r="T317" s="161"/>
      <c r="U317" s="161"/>
      <c r="V317" s="161"/>
      <c r="W317" s="161"/>
      <c r="X317" s="161"/>
      <c r="Y317" s="161"/>
      <c r="Z317" s="161"/>
      <c r="AA317" s="161"/>
    </row>
    <row r="318" spans="1:27" ht="12" customHeight="1" x14ac:dyDescent="0.25">
      <c r="A318" s="161"/>
      <c r="B318" s="161"/>
      <c r="C318" s="161"/>
      <c r="D318" s="161"/>
      <c r="E318" s="161"/>
      <c r="F318" s="161"/>
      <c r="G318" s="161"/>
      <c r="H318" s="161"/>
      <c r="I318" s="161"/>
      <c r="J318" s="161"/>
      <c r="K318" s="161"/>
      <c r="L318" s="161"/>
      <c r="M318" s="161"/>
      <c r="N318" s="161"/>
      <c r="O318" s="161"/>
      <c r="P318" s="161"/>
      <c r="Q318" s="161"/>
      <c r="R318" s="161"/>
      <c r="S318" s="161"/>
      <c r="T318" s="161"/>
      <c r="U318" s="161"/>
      <c r="V318" s="161"/>
      <c r="W318" s="161"/>
      <c r="X318" s="161"/>
      <c r="Y318" s="161"/>
      <c r="Z318" s="161"/>
      <c r="AA318" s="161"/>
    </row>
    <row r="319" spans="1:27" ht="12" customHeight="1" x14ac:dyDescent="0.25">
      <c r="A319" s="161"/>
      <c r="B319" s="161"/>
      <c r="C319" s="161"/>
      <c r="D319" s="161"/>
      <c r="E319" s="161"/>
      <c r="F319" s="161"/>
      <c r="G319" s="161"/>
      <c r="H319" s="161"/>
      <c r="I319" s="161"/>
      <c r="J319" s="161"/>
      <c r="K319" s="161"/>
      <c r="L319" s="161"/>
      <c r="M319" s="161"/>
      <c r="N319" s="161"/>
      <c r="O319" s="161"/>
      <c r="P319" s="161"/>
      <c r="Q319" s="161"/>
      <c r="R319" s="161"/>
      <c r="S319" s="161"/>
      <c r="T319" s="161"/>
      <c r="U319" s="161"/>
      <c r="V319" s="161"/>
      <c r="W319" s="161"/>
      <c r="X319" s="161"/>
      <c r="Y319" s="161"/>
      <c r="Z319" s="161"/>
      <c r="AA319" s="161"/>
    </row>
    <row r="320" spans="1:27" ht="12" customHeight="1" x14ac:dyDescent="0.25">
      <c r="A320" s="161"/>
      <c r="B320" s="161"/>
      <c r="C320" s="161"/>
      <c r="D320" s="161"/>
      <c r="E320" s="161"/>
      <c r="F320" s="161"/>
      <c r="G320" s="161"/>
      <c r="H320" s="161"/>
      <c r="I320" s="161"/>
      <c r="J320" s="161"/>
      <c r="K320" s="161"/>
      <c r="L320" s="161"/>
      <c r="M320" s="161"/>
      <c r="N320" s="161"/>
      <c r="O320" s="161"/>
      <c r="P320" s="161"/>
      <c r="Q320" s="161"/>
      <c r="R320" s="161"/>
      <c r="S320" s="161"/>
      <c r="T320" s="161"/>
      <c r="U320" s="161"/>
      <c r="V320" s="161"/>
      <c r="W320" s="161"/>
      <c r="X320" s="161"/>
      <c r="Y320" s="161"/>
      <c r="Z320" s="161"/>
      <c r="AA320" s="161"/>
    </row>
    <row r="321" spans="1:27" ht="12" customHeight="1" x14ac:dyDescent="0.25">
      <c r="A321" s="161"/>
      <c r="B321" s="161"/>
      <c r="C321" s="161"/>
      <c r="D321" s="161"/>
      <c r="E321" s="161"/>
      <c r="F321" s="161"/>
      <c r="G321" s="161"/>
      <c r="H321" s="161"/>
      <c r="I321" s="161"/>
      <c r="J321" s="161"/>
      <c r="K321" s="161"/>
      <c r="L321" s="161"/>
      <c r="M321" s="161"/>
      <c r="N321" s="161"/>
      <c r="O321" s="161"/>
      <c r="P321" s="161"/>
      <c r="Q321" s="161"/>
      <c r="R321" s="161"/>
      <c r="S321" s="161"/>
      <c r="T321" s="161"/>
      <c r="U321" s="161"/>
      <c r="V321" s="161"/>
      <c r="W321" s="161"/>
      <c r="X321" s="161"/>
      <c r="Y321" s="161"/>
      <c r="Z321" s="161"/>
      <c r="AA321" s="161"/>
    </row>
    <row r="322" spans="1:27" ht="12" customHeight="1" x14ac:dyDescent="0.25">
      <c r="A322" s="161"/>
      <c r="B322" s="161"/>
      <c r="C322" s="161"/>
      <c r="D322" s="161"/>
      <c r="E322" s="161"/>
      <c r="F322" s="161"/>
      <c r="G322" s="161"/>
      <c r="H322" s="161"/>
      <c r="I322" s="161"/>
      <c r="J322" s="161"/>
      <c r="K322" s="161"/>
      <c r="L322" s="161"/>
      <c r="M322" s="161"/>
      <c r="N322" s="161"/>
      <c r="O322" s="161"/>
      <c r="P322" s="161"/>
      <c r="Q322" s="161"/>
      <c r="R322" s="161"/>
      <c r="S322" s="161"/>
      <c r="T322" s="161"/>
      <c r="U322" s="161"/>
      <c r="V322" s="161"/>
      <c r="W322" s="161"/>
      <c r="X322" s="161"/>
      <c r="Y322" s="161"/>
      <c r="Z322" s="161"/>
      <c r="AA322" s="161"/>
    </row>
    <row r="323" spans="1:27" ht="12" customHeight="1" x14ac:dyDescent="0.25">
      <c r="A323" s="161"/>
      <c r="B323" s="161"/>
      <c r="C323" s="161"/>
      <c r="D323" s="161"/>
      <c r="E323" s="161"/>
      <c r="F323" s="161"/>
      <c r="G323" s="161"/>
      <c r="H323" s="161"/>
      <c r="I323" s="161"/>
      <c r="J323" s="161"/>
      <c r="K323" s="161"/>
      <c r="L323" s="161"/>
      <c r="M323" s="161"/>
      <c r="N323" s="161"/>
      <c r="O323" s="161"/>
      <c r="P323" s="161"/>
      <c r="Q323" s="161"/>
      <c r="R323" s="161"/>
      <c r="S323" s="161"/>
      <c r="T323" s="161"/>
      <c r="U323" s="161"/>
      <c r="V323" s="161"/>
      <c r="W323" s="161"/>
      <c r="X323" s="161"/>
      <c r="Y323" s="161"/>
      <c r="Z323" s="161"/>
      <c r="AA323" s="161"/>
    </row>
    <row r="324" spans="1:27" ht="12" customHeight="1" x14ac:dyDescent="0.25">
      <c r="A324" s="161"/>
      <c r="B324" s="161"/>
      <c r="C324" s="161"/>
      <c r="D324" s="161"/>
      <c r="E324" s="161"/>
      <c r="F324" s="161"/>
      <c r="G324" s="161"/>
      <c r="H324" s="161"/>
      <c r="I324" s="161"/>
      <c r="J324" s="161"/>
      <c r="K324" s="161"/>
      <c r="L324" s="161"/>
      <c r="M324" s="161"/>
      <c r="N324" s="161"/>
      <c r="O324" s="161"/>
      <c r="P324" s="161"/>
      <c r="Q324" s="161"/>
      <c r="R324" s="161"/>
      <c r="S324" s="161"/>
      <c r="T324" s="161"/>
      <c r="U324" s="161"/>
      <c r="V324" s="161"/>
      <c r="W324" s="161"/>
      <c r="X324" s="161"/>
      <c r="Y324" s="161"/>
      <c r="Z324" s="161"/>
      <c r="AA324" s="161"/>
    </row>
    <row r="325" spans="1:27" ht="12" customHeight="1" x14ac:dyDescent="0.25">
      <c r="A325" s="161"/>
      <c r="B325" s="161"/>
      <c r="C325" s="161"/>
      <c r="D325" s="161"/>
      <c r="E325" s="161"/>
      <c r="F325" s="161"/>
      <c r="G325" s="161"/>
      <c r="H325" s="161"/>
      <c r="I325" s="161"/>
      <c r="J325" s="161"/>
      <c r="K325" s="161"/>
      <c r="L325" s="161"/>
      <c r="M325" s="161"/>
      <c r="N325" s="161"/>
      <c r="O325" s="161"/>
      <c r="P325" s="161"/>
      <c r="Q325" s="161"/>
      <c r="R325" s="161"/>
      <c r="S325" s="161"/>
      <c r="T325" s="161"/>
      <c r="U325" s="161"/>
      <c r="V325" s="161"/>
      <c r="W325" s="161"/>
      <c r="X325" s="161"/>
      <c r="Y325" s="161"/>
      <c r="Z325" s="161"/>
      <c r="AA325" s="161"/>
    </row>
    <row r="326" spans="1:27" ht="12" customHeight="1" x14ac:dyDescent="0.25">
      <c r="A326" s="161"/>
      <c r="B326" s="161"/>
      <c r="C326" s="161"/>
      <c r="D326" s="161"/>
      <c r="E326" s="161"/>
      <c r="F326" s="161"/>
      <c r="G326" s="161"/>
      <c r="H326" s="161"/>
      <c r="I326" s="161"/>
      <c r="J326" s="161"/>
      <c r="K326" s="161"/>
      <c r="L326" s="161"/>
      <c r="M326" s="161"/>
      <c r="N326" s="161"/>
      <c r="O326" s="161"/>
      <c r="P326" s="161"/>
      <c r="Q326" s="161"/>
      <c r="R326" s="161"/>
      <c r="S326" s="161"/>
      <c r="T326" s="161"/>
      <c r="U326" s="161"/>
      <c r="V326" s="161"/>
      <c r="W326" s="161"/>
      <c r="X326" s="161"/>
      <c r="Y326" s="161"/>
      <c r="Z326" s="161"/>
      <c r="AA326" s="161"/>
    </row>
    <row r="327" spans="1:27" ht="12" customHeight="1" x14ac:dyDescent="0.25">
      <c r="A327" s="161"/>
      <c r="B327" s="161"/>
      <c r="C327" s="161"/>
      <c r="D327" s="161"/>
      <c r="E327" s="161"/>
      <c r="F327" s="161"/>
      <c r="G327" s="161"/>
      <c r="H327" s="161"/>
      <c r="I327" s="161"/>
      <c r="J327" s="161"/>
      <c r="K327" s="161"/>
      <c r="L327" s="161"/>
      <c r="M327" s="161"/>
      <c r="N327" s="161"/>
      <c r="O327" s="161"/>
      <c r="P327" s="161"/>
      <c r="Q327" s="161"/>
      <c r="R327" s="161"/>
      <c r="S327" s="161"/>
      <c r="T327" s="161"/>
      <c r="U327" s="161"/>
      <c r="V327" s="161"/>
      <c r="W327" s="161"/>
      <c r="X327" s="161"/>
      <c r="Y327" s="161"/>
      <c r="Z327" s="161"/>
      <c r="AA327" s="161"/>
    </row>
    <row r="328" spans="1:27" ht="12" customHeight="1" x14ac:dyDescent="0.25">
      <c r="A328" s="161"/>
      <c r="B328" s="161"/>
      <c r="C328" s="161"/>
      <c r="D328" s="161"/>
      <c r="E328" s="161"/>
      <c r="F328" s="161"/>
      <c r="G328" s="161"/>
      <c r="H328" s="161"/>
      <c r="I328" s="161"/>
      <c r="J328" s="161"/>
      <c r="K328" s="161"/>
      <c r="L328" s="161"/>
      <c r="M328" s="161"/>
      <c r="N328" s="161"/>
      <c r="O328" s="161"/>
      <c r="P328" s="161"/>
      <c r="Q328" s="161"/>
      <c r="R328" s="161"/>
      <c r="S328" s="161"/>
      <c r="T328" s="161"/>
      <c r="U328" s="161"/>
      <c r="V328" s="161"/>
      <c r="W328" s="161"/>
      <c r="X328" s="161"/>
      <c r="Y328" s="161"/>
      <c r="Z328" s="161"/>
      <c r="AA328" s="161"/>
    </row>
    <row r="329" spans="1:27" ht="12" customHeight="1" x14ac:dyDescent="0.25">
      <c r="A329" s="161"/>
      <c r="B329" s="161"/>
      <c r="C329" s="161"/>
      <c r="D329" s="161"/>
      <c r="E329" s="161"/>
      <c r="F329" s="161"/>
      <c r="G329" s="161"/>
      <c r="H329" s="161"/>
      <c r="I329" s="161"/>
      <c r="J329" s="161"/>
      <c r="K329" s="161"/>
      <c r="L329" s="161"/>
      <c r="M329" s="161"/>
      <c r="N329" s="161"/>
      <c r="O329" s="161"/>
      <c r="P329" s="161"/>
      <c r="Q329" s="161"/>
      <c r="R329" s="161"/>
      <c r="S329" s="161"/>
      <c r="T329" s="161"/>
      <c r="U329" s="161"/>
      <c r="V329" s="161"/>
      <c r="W329" s="161"/>
      <c r="X329" s="161"/>
      <c r="Y329" s="161"/>
      <c r="Z329" s="161"/>
      <c r="AA329" s="161"/>
    </row>
    <row r="330" spans="1:27" ht="12" customHeight="1" x14ac:dyDescent="0.25">
      <c r="A330" s="161"/>
      <c r="B330" s="161"/>
      <c r="C330" s="161"/>
      <c r="D330" s="161"/>
      <c r="E330" s="161"/>
      <c r="F330" s="161"/>
      <c r="G330" s="161"/>
      <c r="H330" s="161"/>
      <c r="I330" s="161"/>
      <c r="J330" s="161"/>
      <c r="K330" s="161"/>
      <c r="L330" s="161"/>
      <c r="M330" s="161"/>
      <c r="N330" s="161"/>
      <c r="O330" s="161"/>
      <c r="P330" s="161"/>
      <c r="Q330" s="161"/>
      <c r="R330" s="161"/>
      <c r="S330" s="161"/>
      <c r="T330" s="161"/>
      <c r="U330" s="161"/>
      <c r="V330" s="161"/>
      <c r="W330" s="161"/>
      <c r="X330" s="161"/>
      <c r="Y330" s="161"/>
      <c r="Z330" s="161"/>
      <c r="AA330" s="161"/>
    </row>
    <row r="331" spans="1:27" ht="12" customHeight="1" x14ac:dyDescent="0.25">
      <c r="A331" s="161"/>
      <c r="B331" s="161"/>
      <c r="C331" s="161"/>
      <c r="D331" s="161"/>
      <c r="E331" s="161"/>
      <c r="F331" s="161"/>
      <c r="G331" s="161"/>
      <c r="H331" s="161"/>
      <c r="I331" s="161"/>
      <c r="J331" s="161"/>
      <c r="K331" s="161"/>
      <c r="L331" s="161"/>
      <c r="M331" s="161"/>
      <c r="N331" s="161"/>
      <c r="O331" s="161"/>
      <c r="P331" s="161"/>
      <c r="Q331" s="161"/>
      <c r="R331" s="161"/>
      <c r="S331" s="161"/>
      <c r="T331" s="161"/>
      <c r="U331" s="161"/>
      <c r="V331" s="161"/>
      <c r="W331" s="161"/>
      <c r="X331" s="161"/>
      <c r="Y331" s="161"/>
      <c r="Z331" s="161"/>
      <c r="AA331" s="161"/>
    </row>
    <row r="332" spans="1:27" ht="12" customHeight="1" x14ac:dyDescent="0.25">
      <c r="A332" s="161"/>
      <c r="B332" s="161"/>
      <c r="C332" s="161"/>
      <c r="D332" s="161"/>
      <c r="E332" s="161"/>
      <c r="F332" s="161"/>
      <c r="G332" s="161"/>
      <c r="H332" s="161"/>
      <c r="I332" s="161"/>
      <c r="J332" s="161"/>
      <c r="K332" s="161"/>
      <c r="L332" s="161"/>
      <c r="M332" s="161"/>
      <c r="N332" s="161"/>
      <c r="O332" s="161"/>
      <c r="P332" s="161"/>
      <c r="Q332" s="161"/>
      <c r="R332" s="161"/>
      <c r="S332" s="161"/>
      <c r="T332" s="161"/>
      <c r="U332" s="161"/>
      <c r="V332" s="161"/>
      <c r="W332" s="161"/>
      <c r="X332" s="161"/>
      <c r="Y332" s="161"/>
      <c r="Z332" s="161"/>
      <c r="AA332" s="161"/>
    </row>
    <row r="333" spans="1:27" ht="12" customHeight="1" x14ac:dyDescent="0.25">
      <c r="A333" s="161"/>
      <c r="B333" s="161"/>
      <c r="C333" s="161"/>
      <c r="D333" s="161"/>
      <c r="E333" s="161"/>
      <c r="F333" s="161"/>
      <c r="G333" s="161"/>
      <c r="H333" s="161"/>
      <c r="I333" s="161"/>
      <c r="J333" s="161"/>
      <c r="K333" s="161"/>
      <c r="L333" s="161"/>
      <c r="M333" s="161"/>
      <c r="N333" s="161"/>
      <c r="O333" s="161"/>
      <c r="P333" s="161"/>
      <c r="Q333" s="161"/>
      <c r="R333" s="161"/>
      <c r="S333" s="161"/>
      <c r="T333" s="161"/>
      <c r="U333" s="161"/>
      <c r="V333" s="161"/>
      <c r="W333" s="161"/>
      <c r="X333" s="161"/>
      <c r="Y333" s="161"/>
      <c r="Z333" s="161"/>
      <c r="AA333" s="161"/>
    </row>
    <row r="334" spans="1:27" ht="12" customHeight="1" x14ac:dyDescent="0.25">
      <c r="A334" s="161"/>
      <c r="B334" s="161"/>
      <c r="C334" s="161"/>
      <c r="D334" s="161"/>
      <c r="E334" s="161"/>
      <c r="F334" s="161"/>
      <c r="G334" s="161"/>
      <c r="H334" s="161"/>
      <c r="I334" s="161"/>
      <c r="J334" s="161"/>
      <c r="K334" s="161"/>
      <c r="L334" s="161"/>
      <c r="M334" s="161"/>
      <c r="N334" s="161"/>
      <c r="O334" s="161"/>
      <c r="P334" s="161"/>
      <c r="Q334" s="161"/>
      <c r="R334" s="161"/>
      <c r="S334" s="161"/>
      <c r="T334" s="161"/>
      <c r="U334" s="161"/>
      <c r="V334" s="161"/>
      <c r="W334" s="161"/>
      <c r="X334" s="161"/>
      <c r="Y334" s="161"/>
      <c r="Z334" s="161"/>
      <c r="AA334" s="161"/>
    </row>
    <row r="335" spans="1:27" ht="12" customHeight="1" x14ac:dyDescent="0.25">
      <c r="A335" s="161"/>
      <c r="B335" s="161"/>
      <c r="C335" s="161"/>
      <c r="D335" s="161"/>
      <c r="E335" s="161"/>
      <c r="F335" s="161"/>
      <c r="G335" s="161"/>
      <c r="H335" s="161"/>
      <c r="I335" s="161"/>
      <c r="J335" s="161"/>
      <c r="K335" s="161"/>
      <c r="L335" s="161"/>
      <c r="M335" s="161"/>
      <c r="N335" s="161"/>
      <c r="O335" s="161"/>
      <c r="P335" s="161"/>
      <c r="Q335" s="161"/>
      <c r="R335" s="161"/>
      <c r="S335" s="161"/>
      <c r="T335" s="161"/>
      <c r="U335" s="161"/>
      <c r="V335" s="161"/>
      <c r="W335" s="161"/>
      <c r="X335" s="161"/>
      <c r="Y335" s="161"/>
      <c r="Z335" s="161"/>
      <c r="AA335" s="161"/>
    </row>
    <row r="336" spans="1:27" ht="12" customHeight="1" x14ac:dyDescent="0.25">
      <c r="A336" s="161"/>
      <c r="B336" s="161"/>
      <c r="C336" s="161"/>
      <c r="D336" s="161"/>
      <c r="E336" s="161"/>
      <c r="F336" s="161"/>
      <c r="G336" s="161"/>
      <c r="H336" s="161"/>
      <c r="I336" s="161"/>
      <c r="J336" s="161"/>
      <c r="K336" s="161"/>
      <c r="L336" s="161"/>
      <c r="M336" s="161"/>
      <c r="N336" s="161"/>
      <c r="O336" s="161"/>
      <c r="P336" s="161"/>
      <c r="Q336" s="161"/>
      <c r="R336" s="161"/>
      <c r="S336" s="161"/>
      <c r="T336" s="161"/>
      <c r="U336" s="161"/>
      <c r="V336" s="161"/>
      <c r="W336" s="161"/>
      <c r="X336" s="161"/>
      <c r="Y336" s="161"/>
      <c r="Z336" s="161"/>
      <c r="AA336" s="161"/>
    </row>
    <row r="337" spans="1:27" ht="12" customHeight="1" x14ac:dyDescent="0.25">
      <c r="A337" s="161"/>
      <c r="B337" s="161"/>
      <c r="C337" s="161"/>
      <c r="D337" s="161"/>
      <c r="E337" s="161"/>
      <c r="F337" s="161"/>
      <c r="G337" s="161"/>
      <c r="H337" s="161"/>
      <c r="I337" s="161"/>
      <c r="J337" s="161"/>
      <c r="K337" s="161"/>
      <c r="L337" s="161"/>
      <c r="M337" s="161"/>
      <c r="N337" s="161"/>
      <c r="O337" s="161"/>
      <c r="P337" s="161"/>
      <c r="Q337" s="161"/>
      <c r="R337" s="161"/>
      <c r="S337" s="161"/>
      <c r="T337" s="161"/>
      <c r="U337" s="161"/>
      <c r="V337" s="161"/>
      <c r="W337" s="161"/>
      <c r="X337" s="161"/>
      <c r="Y337" s="161"/>
      <c r="Z337" s="161"/>
      <c r="AA337" s="161"/>
    </row>
    <row r="338" spans="1:27" ht="12" customHeight="1" x14ac:dyDescent="0.25">
      <c r="A338" s="161"/>
      <c r="B338" s="161"/>
      <c r="C338" s="161"/>
      <c r="D338" s="161"/>
      <c r="E338" s="161"/>
      <c r="F338" s="161"/>
      <c r="G338" s="161"/>
      <c r="H338" s="161"/>
      <c r="I338" s="161"/>
      <c r="J338" s="161"/>
      <c r="K338" s="161"/>
      <c r="L338" s="161"/>
      <c r="M338" s="161"/>
      <c r="N338" s="161"/>
      <c r="O338" s="161"/>
      <c r="P338" s="161"/>
      <c r="Q338" s="161"/>
      <c r="R338" s="161"/>
      <c r="S338" s="161"/>
      <c r="T338" s="161"/>
      <c r="U338" s="161"/>
      <c r="V338" s="161"/>
      <c r="W338" s="161"/>
      <c r="X338" s="161"/>
      <c r="Y338" s="161"/>
      <c r="Z338" s="161"/>
      <c r="AA338" s="161"/>
    </row>
    <row r="339" spans="1:27" ht="12" customHeight="1" x14ac:dyDescent="0.25">
      <c r="A339" s="161"/>
      <c r="B339" s="161"/>
      <c r="C339" s="161"/>
      <c r="D339" s="161"/>
      <c r="E339" s="161"/>
      <c r="F339" s="161"/>
      <c r="G339" s="161"/>
      <c r="H339" s="161"/>
      <c r="I339" s="161"/>
      <c r="J339" s="161"/>
      <c r="K339" s="161"/>
      <c r="L339" s="161"/>
      <c r="M339" s="161"/>
      <c r="N339" s="161"/>
      <c r="O339" s="161"/>
      <c r="P339" s="161"/>
      <c r="Q339" s="161"/>
      <c r="R339" s="161"/>
      <c r="S339" s="161"/>
      <c r="T339" s="161"/>
      <c r="U339" s="161"/>
      <c r="V339" s="161"/>
      <c r="W339" s="161"/>
      <c r="X339" s="161"/>
      <c r="Y339" s="161"/>
      <c r="Z339" s="161"/>
      <c r="AA339" s="161"/>
    </row>
    <row r="340" spans="1:27" ht="12" customHeight="1" x14ac:dyDescent="0.25">
      <c r="A340" s="161"/>
      <c r="B340" s="161"/>
      <c r="C340" s="161"/>
      <c r="D340" s="161"/>
      <c r="E340" s="161"/>
      <c r="F340" s="161"/>
      <c r="G340" s="161"/>
      <c r="H340" s="161"/>
      <c r="I340" s="161"/>
      <c r="J340" s="161"/>
      <c r="K340" s="161"/>
      <c r="L340" s="161"/>
      <c r="M340" s="161"/>
      <c r="N340" s="161"/>
      <c r="O340" s="161"/>
      <c r="P340" s="161"/>
      <c r="Q340" s="161"/>
      <c r="R340" s="161"/>
      <c r="S340" s="161"/>
      <c r="T340" s="161"/>
      <c r="U340" s="161"/>
      <c r="V340" s="161"/>
      <c r="W340" s="161"/>
      <c r="X340" s="161"/>
      <c r="Y340" s="161"/>
      <c r="Z340" s="161"/>
      <c r="AA340" s="161"/>
    </row>
    <row r="341" spans="1:27" ht="12" customHeight="1" x14ac:dyDescent="0.25">
      <c r="A341" s="161"/>
      <c r="B341" s="161"/>
      <c r="C341" s="161"/>
      <c r="D341" s="161"/>
      <c r="E341" s="161"/>
      <c r="F341" s="161"/>
      <c r="G341" s="161"/>
      <c r="H341" s="161"/>
      <c r="I341" s="161"/>
      <c r="J341" s="161"/>
      <c r="K341" s="161"/>
      <c r="L341" s="161"/>
      <c r="M341" s="161"/>
      <c r="N341" s="161"/>
      <c r="O341" s="161"/>
      <c r="P341" s="161"/>
      <c r="Q341" s="161"/>
      <c r="R341" s="161"/>
      <c r="S341" s="161"/>
      <c r="T341" s="161"/>
      <c r="U341" s="161"/>
      <c r="V341" s="161"/>
      <c r="W341" s="161"/>
      <c r="X341" s="161"/>
      <c r="Y341" s="161"/>
      <c r="Z341" s="161"/>
      <c r="AA341" s="161"/>
    </row>
    <row r="342" spans="1:27" ht="12" customHeight="1" x14ac:dyDescent="0.25">
      <c r="A342" s="161"/>
      <c r="B342" s="161"/>
      <c r="C342" s="161"/>
      <c r="D342" s="161"/>
      <c r="E342" s="161"/>
      <c r="F342" s="161"/>
      <c r="G342" s="161"/>
      <c r="H342" s="161"/>
      <c r="I342" s="161"/>
      <c r="J342" s="161"/>
      <c r="K342" s="161"/>
      <c r="L342" s="161"/>
      <c r="M342" s="161"/>
      <c r="N342" s="161"/>
      <c r="O342" s="161"/>
      <c r="P342" s="161"/>
      <c r="Q342" s="161"/>
      <c r="R342" s="161"/>
      <c r="S342" s="161"/>
      <c r="T342" s="161"/>
      <c r="U342" s="161"/>
      <c r="V342" s="161"/>
      <c r="W342" s="161"/>
      <c r="X342" s="161"/>
      <c r="Y342" s="161"/>
      <c r="Z342" s="161"/>
      <c r="AA342" s="161"/>
    </row>
    <row r="343" spans="1:27" ht="12" customHeight="1" x14ac:dyDescent="0.25">
      <c r="A343" s="161"/>
      <c r="B343" s="161"/>
      <c r="C343" s="161"/>
      <c r="D343" s="161"/>
      <c r="E343" s="161"/>
      <c r="F343" s="161"/>
      <c r="G343" s="161"/>
      <c r="H343" s="161"/>
      <c r="I343" s="161"/>
      <c r="J343" s="161"/>
      <c r="K343" s="161"/>
      <c r="L343" s="161"/>
      <c r="M343" s="161"/>
      <c r="N343" s="161"/>
      <c r="O343" s="161"/>
      <c r="P343" s="161"/>
      <c r="Q343" s="161"/>
      <c r="R343" s="161"/>
      <c r="S343" s="161"/>
      <c r="T343" s="161"/>
      <c r="U343" s="161"/>
      <c r="V343" s="161"/>
      <c r="W343" s="161"/>
      <c r="X343" s="161"/>
      <c r="Y343" s="161"/>
      <c r="Z343" s="161"/>
      <c r="AA343" s="161"/>
    </row>
    <row r="344" spans="1:27" ht="12" customHeight="1" x14ac:dyDescent="0.25">
      <c r="A344" s="161"/>
      <c r="B344" s="161"/>
      <c r="C344" s="161"/>
      <c r="D344" s="161"/>
      <c r="E344" s="161"/>
      <c r="F344" s="161"/>
      <c r="G344" s="161"/>
      <c r="H344" s="161"/>
      <c r="I344" s="161"/>
      <c r="J344" s="161"/>
      <c r="K344" s="161"/>
      <c r="L344" s="161"/>
      <c r="M344" s="161"/>
      <c r="N344" s="161"/>
      <c r="O344" s="161"/>
      <c r="P344" s="161"/>
      <c r="Q344" s="161"/>
      <c r="R344" s="161"/>
      <c r="S344" s="161"/>
      <c r="T344" s="161"/>
      <c r="U344" s="161"/>
      <c r="V344" s="161"/>
      <c r="W344" s="161"/>
      <c r="X344" s="161"/>
      <c r="Y344" s="161"/>
      <c r="Z344" s="161"/>
      <c r="AA344" s="161"/>
    </row>
    <row r="345" spans="1:27" ht="12" customHeight="1" x14ac:dyDescent="0.25">
      <c r="A345" s="161"/>
      <c r="B345" s="161"/>
      <c r="C345" s="161"/>
      <c r="D345" s="161"/>
      <c r="E345" s="161"/>
      <c r="F345" s="161"/>
      <c r="G345" s="161"/>
      <c r="H345" s="161"/>
      <c r="I345" s="161"/>
      <c r="J345" s="161"/>
      <c r="K345" s="161"/>
      <c r="L345" s="161"/>
      <c r="M345" s="161"/>
      <c r="N345" s="161"/>
      <c r="O345" s="161"/>
      <c r="P345" s="161"/>
      <c r="Q345" s="161"/>
      <c r="R345" s="161"/>
      <c r="S345" s="161"/>
      <c r="T345" s="161"/>
      <c r="U345" s="161"/>
      <c r="V345" s="161"/>
      <c r="W345" s="161"/>
      <c r="X345" s="161"/>
      <c r="Y345" s="161"/>
      <c r="Z345" s="161"/>
      <c r="AA345" s="161"/>
    </row>
    <row r="346" spans="1:27" ht="12" customHeight="1" x14ac:dyDescent="0.25">
      <c r="A346" s="161"/>
      <c r="B346" s="161"/>
      <c r="C346" s="161"/>
      <c r="D346" s="161"/>
      <c r="E346" s="161"/>
      <c r="F346" s="161"/>
      <c r="G346" s="161"/>
      <c r="H346" s="161"/>
      <c r="I346" s="161"/>
      <c r="J346" s="161"/>
      <c r="K346" s="161"/>
      <c r="L346" s="161"/>
      <c r="M346" s="161"/>
      <c r="N346" s="161"/>
      <c r="O346" s="161"/>
      <c r="P346" s="161"/>
      <c r="Q346" s="161"/>
      <c r="R346" s="161"/>
      <c r="S346" s="161"/>
      <c r="T346" s="161"/>
      <c r="U346" s="161"/>
      <c r="V346" s="161"/>
      <c r="W346" s="161"/>
      <c r="X346" s="161"/>
      <c r="Y346" s="161"/>
      <c r="Z346" s="161"/>
      <c r="AA346" s="161"/>
    </row>
    <row r="347" spans="1:27" ht="12" customHeight="1" x14ac:dyDescent="0.25">
      <c r="A347" s="161"/>
      <c r="B347" s="161"/>
      <c r="C347" s="161"/>
      <c r="D347" s="161"/>
      <c r="E347" s="161"/>
      <c r="F347" s="161"/>
      <c r="G347" s="161"/>
      <c r="H347" s="161"/>
      <c r="I347" s="161"/>
      <c r="J347" s="161"/>
      <c r="K347" s="161"/>
      <c r="L347" s="161"/>
      <c r="M347" s="161"/>
      <c r="N347" s="161"/>
      <c r="O347" s="161"/>
      <c r="P347" s="161"/>
      <c r="Q347" s="161"/>
      <c r="R347" s="161"/>
      <c r="S347" s="161"/>
      <c r="T347" s="161"/>
      <c r="U347" s="161"/>
      <c r="V347" s="161"/>
      <c r="W347" s="161"/>
      <c r="X347" s="161"/>
      <c r="Y347" s="161"/>
      <c r="Z347" s="161"/>
      <c r="AA347" s="161"/>
    </row>
    <row r="348" spans="1:27" ht="12" customHeight="1" x14ac:dyDescent="0.25">
      <c r="A348" s="161"/>
      <c r="B348" s="161"/>
      <c r="C348" s="161"/>
      <c r="D348" s="161"/>
      <c r="E348" s="161"/>
      <c r="F348" s="161"/>
      <c r="G348" s="161"/>
      <c r="H348" s="161"/>
      <c r="I348" s="161"/>
      <c r="J348" s="161"/>
      <c r="K348" s="161"/>
      <c r="L348" s="161"/>
      <c r="M348" s="161"/>
      <c r="N348" s="161"/>
      <c r="O348" s="161"/>
      <c r="P348" s="161"/>
      <c r="Q348" s="161"/>
      <c r="R348" s="161"/>
      <c r="S348" s="161"/>
      <c r="T348" s="161"/>
      <c r="U348" s="161"/>
      <c r="V348" s="161"/>
      <c r="W348" s="161"/>
      <c r="X348" s="161"/>
      <c r="Y348" s="161"/>
      <c r="Z348" s="161"/>
      <c r="AA348" s="161"/>
    </row>
    <row r="349" spans="1:27" ht="12" customHeight="1" x14ac:dyDescent="0.25">
      <c r="A349" s="161"/>
      <c r="B349" s="161"/>
      <c r="C349" s="161"/>
      <c r="D349" s="161"/>
      <c r="E349" s="161"/>
      <c r="F349" s="161"/>
      <c r="G349" s="161"/>
      <c r="H349" s="161"/>
      <c r="I349" s="161"/>
      <c r="J349" s="161"/>
      <c r="K349" s="161"/>
      <c r="L349" s="161"/>
      <c r="M349" s="161"/>
      <c r="N349" s="161"/>
      <c r="O349" s="161"/>
      <c r="P349" s="161"/>
      <c r="Q349" s="161"/>
      <c r="R349" s="161"/>
      <c r="S349" s="161"/>
      <c r="T349" s="161"/>
      <c r="U349" s="161"/>
      <c r="V349" s="161"/>
      <c r="W349" s="161"/>
      <c r="X349" s="161"/>
      <c r="Y349" s="161"/>
      <c r="Z349" s="161"/>
      <c r="AA349" s="161"/>
    </row>
    <row r="350" spans="1:27" ht="12" customHeight="1" x14ac:dyDescent="0.25">
      <c r="A350" s="161"/>
      <c r="B350" s="161"/>
      <c r="C350" s="161"/>
      <c r="D350" s="161"/>
      <c r="E350" s="161"/>
      <c r="F350" s="161"/>
      <c r="G350" s="161"/>
      <c r="H350" s="161"/>
      <c r="I350" s="161"/>
      <c r="J350" s="161"/>
      <c r="K350" s="161"/>
      <c r="L350" s="161"/>
      <c r="M350" s="161"/>
      <c r="N350" s="161"/>
      <c r="O350" s="161"/>
      <c r="P350" s="161"/>
      <c r="Q350" s="161"/>
      <c r="R350" s="161"/>
      <c r="S350" s="161"/>
      <c r="T350" s="161"/>
      <c r="U350" s="161"/>
      <c r="V350" s="161"/>
      <c r="W350" s="161"/>
      <c r="X350" s="161"/>
      <c r="Y350" s="161"/>
      <c r="Z350" s="161"/>
      <c r="AA350" s="161"/>
    </row>
    <row r="351" spans="1:27" ht="12" customHeight="1" x14ac:dyDescent="0.25">
      <c r="A351" s="161"/>
      <c r="B351" s="161"/>
      <c r="C351" s="161"/>
      <c r="D351" s="161"/>
      <c r="E351" s="161"/>
      <c r="F351" s="161"/>
      <c r="G351" s="161"/>
      <c r="H351" s="161"/>
      <c r="I351" s="161"/>
      <c r="J351" s="161"/>
      <c r="K351" s="161"/>
      <c r="L351" s="161"/>
      <c r="M351" s="161"/>
      <c r="N351" s="161"/>
      <c r="O351" s="161"/>
      <c r="P351" s="161"/>
      <c r="Q351" s="161"/>
      <c r="R351" s="161"/>
      <c r="S351" s="161"/>
      <c r="T351" s="161"/>
      <c r="U351" s="161"/>
      <c r="V351" s="161"/>
      <c r="W351" s="161"/>
      <c r="X351" s="161"/>
      <c r="Y351" s="161"/>
      <c r="Z351" s="161"/>
      <c r="AA351" s="161"/>
    </row>
    <row r="352" spans="1:27" ht="12" customHeight="1" x14ac:dyDescent="0.25">
      <c r="A352" s="161"/>
      <c r="B352" s="161"/>
      <c r="C352" s="161"/>
      <c r="D352" s="161"/>
      <c r="E352" s="161"/>
      <c r="F352" s="161"/>
      <c r="G352" s="161"/>
      <c r="H352" s="161"/>
      <c r="I352" s="161"/>
      <c r="J352" s="161"/>
      <c r="K352" s="161"/>
      <c r="L352" s="161"/>
      <c r="M352" s="161"/>
      <c r="N352" s="161"/>
      <c r="O352" s="161"/>
      <c r="P352" s="161"/>
      <c r="Q352" s="161"/>
      <c r="R352" s="161"/>
      <c r="S352" s="161"/>
      <c r="T352" s="161"/>
      <c r="U352" s="161"/>
      <c r="V352" s="161"/>
      <c r="W352" s="161"/>
      <c r="X352" s="161"/>
      <c r="Y352" s="161"/>
      <c r="Z352" s="161"/>
      <c r="AA352" s="161"/>
    </row>
    <row r="353" spans="1:27" ht="12" customHeight="1" x14ac:dyDescent="0.25">
      <c r="A353" s="161"/>
      <c r="B353" s="161"/>
      <c r="C353" s="161"/>
      <c r="D353" s="161"/>
      <c r="E353" s="161"/>
      <c r="F353" s="161"/>
      <c r="G353" s="161"/>
      <c r="H353" s="161"/>
      <c r="I353" s="161"/>
      <c r="J353" s="161"/>
      <c r="K353" s="161"/>
      <c r="L353" s="161"/>
      <c r="M353" s="161"/>
      <c r="N353" s="161"/>
      <c r="O353" s="161"/>
      <c r="P353" s="161"/>
      <c r="Q353" s="161"/>
      <c r="R353" s="161"/>
      <c r="S353" s="161"/>
      <c r="T353" s="161"/>
      <c r="U353" s="161"/>
      <c r="V353" s="161"/>
      <c r="W353" s="161"/>
      <c r="X353" s="161"/>
      <c r="Y353" s="161"/>
      <c r="Z353" s="161"/>
      <c r="AA353" s="161"/>
    </row>
    <row r="354" spans="1:27" ht="12" customHeight="1" x14ac:dyDescent="0.25">
      <c r="A354" s="161"/>
      <c r="B354" s="161"/>
      <c r="C354" s="161"/>
      <c r="D354" s="161"/>
      <c r="E354" s="161"/>
      <c r="F354" s="161"/>
      <c r="G354" s="161"/>
      <c r="H354" s="161"/>
      <c r="I354" s="161"/>
      <c r="J354" s="161"/>
      <c r="K354" s="161"/>
      <c r="L354" s="161"/>
      <c r="M354" s="161"/>
      <c r="N354" s="161"/>
      <c r="O354" s="161"/>
      <c r="P354" s="161"/>
      <c r="Q354" s="161"/>
      <c r="R354" s="161"/>
      <c r="S354" s="161"/>
      <c r="T354" s="161"/>
      <c r="U354" s="161"/>
      <c r="V354" s="161"/>
      <c r="W354" s="161"/>
      <c r="X354" s="161"/>
      <c r="Y354" s="161"/>
      <c r="Z354" s="161"/>
      <c r="AA354" s="161"/>
    </row>
    <row r="355" spans="1:27" ht="12" customHeight="1" x14ac:dyDescent="0.25">
      <c r="A355" s="161"/>
      <c r="B355" s="161"/>
      <c r="C355" s="161"/>
      <c r="D355" s="161"/>
      <c r="E355" s="161"/>
      <c r="F355" s="161"/>
      <c r="G355" s="161"/>
      <c r="H355" s="161"/>
      <c r="I355" s="161"/>
      <c r="J355" s="161"/>
      <c r="K355" s="161"/>
      <c r="L355" s="161"/>
      <c r="M355" s="161"/>
      <c r="N355" s="161"/>
      <c r="O355" s="161"/>
      <c r="P355" s="161"/>
      <c r="Q355" s="161"/>
      <c r="R355" s="161"/>
      <c r="S355" s="161"/>
      <c r="T355" s="161"/>
      <c r="U355" s="161"/>
      <c r="V355" s="161"/>
      <c r="W355" s="161"/>
      <c r="X355" s="161"/>
      <c r="Y355" s="161"/>
      <c r="Z355" s="161"/>
      <c r="AA355" s="161"/>
    </row>
    <row r="356" spans="1:27" ht="12" customHeight="1" x14ac:dyDescent="0.25">
      <c r="A356" s="161"/>
      <c r="B356" s="161"/>
      <c r="C356" s="161"/>
      <c r="D356" s="161"/>
      <c r="E356" s="161"/>
      <c r="F356" s="161"/>
      <c r="G356" s="161"/>
      <c r="H356" s="161"/>
      <c r="I356" s="161"/>
      <c r="J356" s="161"/>
      <c r="K356" s="161"/>
      <c r="L356" s="161"/>
      <c r="M356" s="161"/>
      <c r="N356" s="161"/>
      <c r="O356" s="161"/>
      <c r="P356" s="161"/>
      <c r="Q356" s="161"/>
      <c r="R356" s="161"/>
      <c r="S356" s="161"/>
      <c r="T356" s="161"/>
      <c r="U356" s="161"/>
      <c r="V356" s="161"/>
      <c r="W356" s="161"/>
      <c r="X356" s="161"/>
      <c r="Y356" s="161"/>
      <c r="Z356" s="161"/>
      <c r="AA356" s="161"/>
    </row>
    <row r="357" spans="1:27" ht="12" customHeight="1" x14ac:dyDescent="0.25">
      <c r="A357" s="161"/>
      <c r="B357" s="161"/>
      <c r="C357" s="161"/>
      <c r="D357" s="161"/>
      <c r="E357" s="161"/>
      <c r="F357" s="161"/>
      <c r="G357" s="161"/>
      <c r="H357" s="161"/>
      <c r="I357" s="161"/>
      <c r="J357" s="161"/>
      <c r="K357" s="161"/>
      <c r="L357" s="161"/>
      <c r="M357" s="161"/>
      <c r="N357" s="161"/>
      <c r="O357" s="161"/>
      <c r="P357" s="161"/>
      <c r="Q357" s="161"/>
      <c r="R357" s="161"/>
      <c r="S357" s="161"/>
      <c r="T357" s="161"/>
      <c r="U357" s="161"/>
      <c r="V357" s="161"/>
      <c r="W357" s="161"/>
      <c r="X357" s="161"/>
      <c r="Y357" s="161"/>
      <c r="Z357" s="161"/>
      <c r="AA357" s="161"/>
    </row>
    <row r="358" spans="1:27" ht="12" customHeight="1" x14ac:dyDescent="0.25">
      <c r="A358" s="161"/>
      <c r="B358" s="161"/>
      <c r="C358" s="161"/>
      <c r="D358" s="161"/>
      <c r="E358" s="161"/>
      <c r="F358" s="161"/>
      <c r="G358" s="161"/>
      <c r="H358" s="161"/>
      <c r="I358" s="161"/>
      <c r="J358" s="161"/>
      <c r="K358" s="161"/>
      <c r="L358" s="161"/>
      <c r="M358" s="161"/>
      <c r="N358" s="161"/>
      <c r="O358" s="161"/>
      <c r="P358" s="161"/>
      <c r="Q358" s="161"/>
      <c r="R358" s="161"/>
      <c r="S358" s="161"/>
      <c r="T358" s="161"/>
      <c r="U358" s="161"/>
      <c r="V358" s="161"/>
      <c r="W358" s="161"/>
      <c r="X358" s="161"/>
      <c r="Y358" s="161"/>
      <c r="Z358" s="161"/>
      <c r="AA358" s="161"/>
    </row>
    <row r="359" spans="1:27" ht="12" customHeight="1" x14ac:dyDescent="0.25">
      <c r="A359" s="161"/>
      <c r="B359" s="161"/>
      <c r="C359" s="161"/>
      <c r="D359" s="161"/>
      <c r="E359" s="161"/>
      <c r="F359" s="161"/>
      <c r="G359" s="161"/>
      <c r="H359" s="161"/>
      <c r="I359" s="161"/>
      <c r="J359" s="161"/>
      <c r="K359" s="161"/>
      <c r="L359" s="161"/>
      <c r="M359" s="161"/>
      <c r="N359" s="161"/>
      <c r="O359" s="161"/>
      <c r="P359" s="161"/>
      <c r="Q359" s="161"/>
      <c r="R359" s="161"/>
      <c r="S359" s="161"/>
      <c r="T359" s="161"/>
      <c r="U359" s="161"/>
      <c r="V359" s="161"/>
      <c r="W359" s="161"/>
      <c r="X359" s="161"/>
      <c r="Y359" s="161"/>
      <c r="Z359" s="161"/>
      <c r="AA359" s="161"/>
    </row>
    <row r="360" spans="1:27" ht="12" customHeight="1" x14ac:dyDescent="0.25">
      <c r="A360" s="161"/>
      <c r="B360" s="161"/>
      <c r="C360" s="161"/>
      <c r="D360" s="161"/>
      <c r="E360" s="161"/>
      <c r="F360" s="161"/>
      <c r="G360" s="161"/>
      <c r="H360" s="161"/>
      <c r="I360" s="161"/>
      <c r="J360" s="161"/>
      <c r="K360" s="161"/>
      <c r="L360" s="161"/>
      <c r="M360" s="161"/>
      <c r="N360" s="161"/>
      <c r="O360" s="161"/>
      <c r="P360" s="161"/>
      <c r="Q360" s="161"/>
      <c r="R360" s="161"/>
      <c r="S360" s="161"/>
      <c r="T360" s="161"/>
      <c r="U360" s="161"/>
      <c r="V360" s="161"/>
      <c r="W360" s="161"/>
      <c r="X360" s="161"/>
      <c r="Y360" s="161"/>
      <c r="Z360" s="161"/>
      <c r="AA360" s="161"/>
    </row>
    <row r="361" spans="1:27" ht="12" customHeight="1" x14ac:dyDescent="0.25">
      <c r="A361" s="161"/>
      <c r="B361" s="161"/>
      <c r="C361" s="161"/>
      <c r="D361" s="161"/>
      <c r="E361" s="161"/>
      <c r="F361" s="161"/>
      <c r="G361" s="161"/>
      <c r="H361" s="161"/>
      <c r="I361" s="161"/>
      <c r="J361" s="161"/>
      <c r="K361" s="161"/>
      <c r="L361" s="161"/>
      <c r="M361" s="161"/>
      <c r="N361" s="161"/>
      <c r="O361" s="161"/>
      <c r="P361" s="161"/>
      <c r="Q361" s="161"/>
      <c r="R361" s="161"/>
      <c r="S361" s="161"/>
      <c r="T361" s="161"/>
      <c r="U361" s="161"/>
      <c r="V361" s="161"/>
      <c r="W361" s="161"/>
      <c r="X361" s="161"/>
      <c r="Y361" s="161"/>
      <c r="Z361" s="161"/>
      <c r="AA361" s="161"/>
    </row>
    <row r="362" spans="1:27" ht="12" customHeight="1" x14ac:dyDescent="0.25">
      <c r="A362" s="161"/>
      <c r="B362" s="161"/>
      <c r="C362" s="161"/>
      <c r="D362" s="161"/>
      <c r="E362" s="161"/>
      <c r="F362" s="161"/>
      <c r="G362" s="161"/>
      <c r="H362" s="161"/>
      <c r="I362" s="161"/>
      <c r="J362" s="161"/>
      <c r="K362" s="161"/>
      <c r="L362" s="161"/>
      <c r="M362" s="161"/>
      <c r="N362" s="161"/>
      <c r="O362" s="161"/>
      <c r="P362" s="161"/>
      <c r="Q362" s="161"/>
      <c r="R362" s="161"/>
      <c r="S362" s="161"/>
      <c r="T362" s="161"/>
      <c r="U362" s="161"/>
      <c r="V362" s="161"/>
      <c r="W362" s="161"/>
      <c r="X362" s="161"/>
      <c r="Y362" s="161"/>
      <c r="Z362" s="161"/>
      <c r="AA362" s="161"/>
    </row>
    <row r="363" spans="1:27" ht="12" customHeight="1" x14ac:dyDescent="0.25">
      <c r="A363" s="161"/>
      <c r="B363" s="161"/>
      <c r="C363" s="161"/>
      <c r="D363" s="161"/>
      <c r="E363" s="161"/>
      <c r="F363" s="161"/>
      <c r="G363" s="161"/>
      <c r="H363" s="161"/>
      <c r="I363" s="161"/>
      <c r="J363" s="161"/>
      <c r="K363" s="161"/>
      <c r="L363" s="161"/>
      <c r="M363" s="161"/>
      <c r="N363" s="161"/>
      <c r="O363" s="161"/>
      <c r="P363" s="161"/>
      <c r="Q363" s="161"/>
      <c r="R363" s="161"/>
      <c r="S363" s="161"/>
      <c r="T363" s="161"/>
      <c r="U363" s="161"/>
      <c r="V363" s="161"/>
      <c r="W363" s="161"/>
      <c r="X363" s="161"/>
      <c r="Y363" s="161"/>
      <c r="Z363" s="161"/>
      <c r="AA363" s="161"/>
    </row>
    <row r="364" spans="1:27" ht="12" customHeight="1" x14ac:dyDescent="0.25">
      <c r="A364" s="161"/>
      <c r="B364" s="161"/>
      <c r="C364" s="161"/>
      <c r="D364" s="161"/>
      <c r="E364" s="161"/>
      <c r="F364" s="161"/>
      <c r="G364" s="161"/>
      <c r="H364" s="161"/>
      <c r="I364" s="161"/>
      <c r="J364" s="161"/>
      <c r="K364" s="161"/>
      <c r="L364" s="161"/>
      <c r="M364" s="161"/>
      <c r="N364" s="161"/>
      <c r="O364" s="161"/>
      <c r="P364" s="161"/>
      <c r="Q364" s="161"/>
      <c r="R364" s="161"/>
      <c r="S364" s="161"/>
      <c r="T364" s="161"/>
      <c r="U364" s="161"/>
      <c r="V364" s="161"/>
      <c r="W364" s="161"/>
      <c r="X364" s="161"/>
      <c r="Y364" s="161"/>
      <c r="Z364" s="161"/>
      <c r="AA364" s="161"/>
    </row>
    <row r="365" spans="1:27" ht="12" customHeight="1" x14ac:dyDescent="0.25">
      <c r="A365" s="161"/>
      <c r="B365" s="161"/>
      <c r="C365" s="161"/>
      <c r="D365" s="161"/>
      <c r="E365" s="161"/>
      <c r="F365" s="161"/>
      <c r="G365" s="161"/>
      <c r="H365" s="161"/>
      <c r="I365" s="161"/>
      <c r="J365" s="161"/>
      <c r="K365" s="161"/>
      <c r="L365" s="161"/>
      <c r="M365" s="161"/>
      <c r="N365" s="161"/>
      <c r="O365" s="161"/>
      <c r="P365" s="161"/>
      <c r="Q365" s="161"/>
      <c r="R365" s="161"/>
      <c r="S365" s="161"/>
      <c r="T365" s="161"/>
      <c r="U365" s="161"/>
      <c r="V365" s="161"/>
      <c r="W365" s="161"/>
      <c r="X365" s="161"/>
      <c r="Y365" s="161"/>
      <c r="Z365" s="161"/>
      <c r="AA365" s="161"/>
    </row>
    <row r="366" spans="1:27" ht="12" customHeight="1" x14ac:dyDescent="0.25">
      <c r="A366" s="161"/>
      <c r="B366" s="161"/>
      <c r="C366" s="161"/>
      <c r="D366" s="161"/>
      <c r="E366" s="161"/>
      <c r="F366" s="161"/>
      <c r="G366" s="161"/>
      <c r="H366" s="161"/>
      <c r="I366" s="161"/>
      <c r="J366" s="161"/>
      <c r="K366" s="161"/>
      <c r="L366" s="161"/>
      <c r="M366" s="161"/>
      <c r="N366" s="161"/>
      <c r="O366" s="161"/>
      <c r="P366" s="161"/>
      <c r="Q366" s="161"/>
      <c r="R366" s="161"/>
      <c r="S366" s="161"/>
      <c r="T366" s="161"/>
      <c r="U366" s="161"/>
      <c r="V366" s="161"/>
      <c r="W366" s="161"/>
      <c r="X366" s="161"/>
      <c r="Y366" s="161"/>
      <c r="Z366" s="161"/>
      <c r="AA366" s="161"/>
    </row>
    <row r="367" spans="1:27" ht="12" customHeight="1" x14ac:dyDescent="0.25">
      <c r="A367" s="161"/>
      <c r="B367" s="161"/>
      <c r="C367" s="161"/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</row>
    <row r="368" spans="1:27" ht="12" customHeight="1" x14ac:dyDescent="0.25">
      <c r="A368" s="161"/>
      <c r="B368" s="161"/>
      <c r="C368" s="161"/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</row>
    <row r="369" spans="1:27" ht="12" customHeight="1" x14ac:dyDescent="0.25">
      <c r="A369" s="161"/>
      <c r="B369" s="161"/>
      <c r="C369" s="161"/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</row>
    <row r="370" spans="1:27" ht="12" customHeight="1" x14ac:dyDescent="0.25">
      <c r="A370" s="161"/>
      <c r="B370" s="161"/>
      <c r="C370" s="161"/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</row>
    <row r="371" spans="1:27" ht="12" customHeight="1" x14ac:dyDescent="0.25">
      <c r="A371" s="161"/>
      <c r="B371" s="161"/>
      <c r="C371" s="161"/>
      <c r="D371" s="161"/>
      <c r="E371" s="161"/>
      <c r="F371" s="161"/>
      <c r="G371" s="161"/>
      <c r="H371" s="161"/>
      <c r="I371" s="161"/>
      <c r="J371" s="161"/>
      <c r="K371" s="161"/>
      <c r="L371" s="161"/>
      <c r="M371" s="161"/>
      <c r="N371" s="161"/>
      <c r="O371" s="161"/>
      <c r="P371" s="161"/>
      <c r="Q371" s="161"/>
      <c r="R371" s="161"/>
      <c r="S371" s="161"/>
      <c r="T371" s="161"/>
      <c r="U371" s="161"/>
      <c r="V371" s="161"/>
      <c r="W371" s="161"/>
      <c r="X371" s="161"/>
      <c r="Y371" s="161"/>
      <c r="Z371" s="161"/>
      <c r="AA371" s="161"/>
    </row>
    <row r="372" spans="1:27" ht="12" customHeight="1" x14ac:dyDescent="0.25">
      <c r="A372" s="161"/>
      <c r="B372" s="161"/>
      <c r="C372" s="161"/>
      <c r="D372" s="161"/>
      <c r="E372" s="161"/>
      <c r="F372" s="161"/>
      <c r="G372" s="161"/>
      <c r="H372" s="161"/>
      <c r="I372" s="161"/>
      <c r="J372" s="161"/>
      <c r="K372" s="161"/>
      <c r="L372" s="161"/>
      <c r="M372" s="161"/>
      <c r="N372" s="161"/>
      <c r="O372" s="161"/>
      <c r="P372" s="161"/>
      <c r="Q372" s="161"/>
      <c r="R372" s="161"/>
      <c r="S372" s="161"/>
      <c r="T372" s="161"/>
      <c r="U372" s="161"/>
      <c r="V372" s="161"/>
      <c r="W372" s="161"/>
      <c r="X372" s="161"/>
      <c r="Y372" s="161"/>
      <c r="Z372" s="161"/>
      <c r="AA372" s="161"/>
    </row>
    <row r="373" spans="1:27" ht="12" customHeight="1" x14ac:dyDescent="0.25">
      <c r="A373" s="161"/>
      <c r="B373" s="161"/>
      <c r="C373" s="161"/>
      <c r="D373" s="161"/>
      <c r="E373" s="161"/>
      <c r="F373" s="161"/>
      <c r="G373" s="161"/>
      <c r="H373" s="161"/>
      <c r="I373" s="161"/>
      <c r="J373" s="161"/>
      <c r="K373" s="161"/>
      <c r="L373" s="161"/>
      <c r="M373" s="161"/>
      <c r="N373" s="161"/>
      <c r="O373" s="161"/>
      <c r="P373" s="161"/>
      <c r="Q373" s="161"/>
      <c r="R373" s="161"/>
      <c r="S373" s="161"/>
      <c r="T373" s="161"/>
      <c r="U373" s="161"/>
      <c r="V373" s="161"/>
      <c r="W373" s="161"/>
      <c r="X373" s="161"/>
      <c r="Y373" s="161"/>
      <c r="Z373" s="161"/>
      <c r="AA373" s="161"/>
    </row>
    <row r="374" spans="1:27" ht="12" customHeight="1" x14ac:dyDescent="0.25">
      <c r="A374" s="161"/>
      <c r="B374" s="161"/>
      <c r="C374" s="161"/>
      <c r="D374" s="161"/>
      <c r="E374" s="161"/>
      <c r="F374" s="161"/>
      <c r="G374" s="161"/>
      <c r="H374" s="161"/>
      <c r="I374" s="161"/>
      <c r="J374" s="161"/>
      <c r="K374" s="161"/>
      <c r="L374" s="161"/>
      <c r="M374" s="161"/>
      <c r="N374" s="161"/>
      <c r="O374" s="161"/>
      <c r="P374" s="161"/>
      <c r="Q374" s="161"/>
      <c r="R374" s="161"/>
      <c r="S374" s="161"/>
      <c r="T374" s="161"/>
      <c r="U374" s="161"/>
      <c r="V374" s="161"/>
      <c r="W374" s="161"/>
      <c r="X374" s="161"/>
      <c r="Y374" s="161"/>
      <c r="Z374" s="161"/>
      <c r="AA374" s="161"/>
    </row>
    <row r="375" spans="1:27" ht="12" customHeight="1" x14ac:dyDescent="0.25">
      <c r="A375" s="161"/>
      <c r="B375" s="161"/>
      <c r="C375" s="161"/>
      <c r="D375" s="161"/>
      <c r="E375" s="161"/>
      <c r="F375" s="161"/>
      <c r="G375" s="161"/>
      <c r="H375" s="161"/>
      <c r="I375" s="161"/>
      <c r="J375" s="161"/>
      <c r="K375" s="161"/>
      <c r="L375" s="161"/>
      <c r="M375" s="161"/>
      <c r="N375" s="161"/>
      <c r="O375" s="161"/>
      <c r="P375" s="161"/>
      <c r="Q375" s="161"/>
      <c r="R375" s="161"/>
      <c r="S375" s="161"/>
      <c r="T375" s="161"/>
      <c r="U375" s="161"/>
      <c r="V375" s="161"/>
      <c r="W375" s="161"/>
      <c r="X375" s="161"/>
      <c r="Y375" s="161"/>
      <c r="Z375" s="161"/>
      <c r="AA375" s="161"/>
    </row>
    <row r="376" spans="1:27" ht="12" customHeight="1" x14ac:dyDescent="0.25">
      <c r="A376" s="161"/>
      <c r="B376" s="161"/>
      <c r="C376" s="161"/>
      <c r="D376" s="161"/>
      <c r="E376" s="161"/>
      <c r="F376" s="161"/>
      <c r="G376" s="161"/>
      <c r="H376" s="161"/>
      <c r="I376" s="161"/>
      <c r="J376" s="161"/>
      <c r="K376" s="161"/>
      <c r="L376" s="161"/>
      <c r="M376" s="161"/>
      <c r="N376" s="161"/>
      <c r="O376" s="161"/>
      <c r="P376" s="161"/>
      <c r="Q376" s="161"/>
      <c r="R376" s="161"/>
      <c r="S376" s="161"/>
      <c r="T376" s="161"/>
      <c r="U376" s="161"/>
      <c r="V376" s="161"/>
      <c r="W376" s="161"/>
      <c r="X376" s="161"/>
      <c r="Y376" s="161"/>
      <c r="Z376" s="161"/>
      <c r="AA376" s="161"/>
    </row>
    <row r="377" spans="1:27" ht="12" customHeight="1" x14ac:dyDescent="0.25">
      <c r="A377" s="161"/>
      <c r="B377" s="161"/>
      <c r="C377" s="161"/>
      <c r="D377" s="161"/>
      <c r="E377" s="161"/>
      <c r="F377" s="161"/>
      <c r="G377" s="161"/>
      <c r="H377" s="161"/>
      <c r="I377" s="161"/>
      <c r="J377" s="161"/>
      <c r="K377" s="161"/>
      <c r="L377" s="161"/>
      <c r="M377" s="161"/>
      <c r="N377" s="161"/>
      <c r="O377" s="161"/>
      <c r="P377" s="161"/>
      <c r="Q377" s="161"/>
      <c r="R377" s="161"/>
      <c r="S377" s="161"/>
      <c r="T377" s="161"/>
      <c r="U377" s="161"/>
      <c r="V377" s="161"/>
      <c r="W377" s="161"/>
      <c r="X377" s="161"/>
      <c r="Y377" s="161"/>
      <c r="Z377" s="161"/>
      <c r="AA377" s="161"/>
    </row>
    <row r="378" spans="1:27" ht="12" customHeight="1" x14ac:dyDescent="0.25">
      <c r="A378" s="161"/>
      <c r="B378" s="161"/>
      <c r="C378" s="161"/>
      <c r="D378" s="161"/>
      <c r="E378" s="161"/>
      <c r="F378" s="161"/>
      <c r="G378" s="161"/>
      <c r="H378" s="161"/>
      <c r="I378" s="161"/>
      <c r="J378" s="161"/>
      <c r="K378" s="161"/>
      <c r="L378" s="161"/>
      <c r="M378" s="161"/>
      <c r="N378" s="161"/>
      <c r="O378" s="161"/>
      <c r="P378" s="161"/>
      <c r="Q378" s="161"/>
      <c r="R378" s="161"/>
      <c r="S378" s="161"/>
      <c r="T378" s="161"/>
      <c r="U378" s="161"/>
      <c r="V378" s="161"/>
      <c r="W378" s="161"/>
      <c r="X378" s="161"/>
      <c r="Y378" s="161"/>
      <c r="Z378" s="161"/>
      <c r="AA378" s="161"/>
    </row>
    <row r="379" spans="1:27" ht="12" customHeight="1" x14ac:dyDescent="0.25">
      <c r="A379" s="161"/>
      <c r="B379" s="161"/>
      <c r="C379" s="161"/>
      <c r="D379" s="161"/>
      <c r="E379" s="161"/>
      <c r="F379" s="161"/>
      <c r="G379" s="161"/>
      <c r="H379" s="161"/>
      <c r="I379" s="161"/>
      <c r="J379" s="161"/>
      <c r="K379" s="161"/>
      <c r="L379" s="161"/>
      <c r="M379" s="161"/>
      <c r="N379" s="161"/>
      <c r="O379" s="161"/>
      <c r="P379" s="161"/>
      <c r="Q379" s="161"/>
      <c r="R379" s="161"/>
      <c r="S379" s="161"/>
      <c r="T379" s="161"/>
      <c r="U379" s="161"/>
      <c r="V379" s="161"/>
      <c r="W379" s="161"/>
      <c r="X379" s="161"/>
      <c r="Y379" s="161"/>
      <c r="Z379" s="161"/>
      <c r="AA379" s="161"/>
    </row>
    <row r="380" spans="1:27" ht="12" customHeight="1" x14ac:dyDescent="0.25">
      <c r="A380" s="161"/>
      <c r="B380" s="161"/>
      <c r="C380" s="161"/>
      <c r="D380" s="161"/>
      <c r="E380" s="161"/>
      <c r="F380" s="161"/>
      <c r="G380" s="161"/>
      <c r="H380" s="161"/>
      <c r="I380" s="161"/>
      <c r="J380" s="161"/>
      <c r="K380" s="161"/>
      <c r="L380" s="161"/>
      <c r="M380" s="161"/>
      <c r="N380" s="161"/>
      <c r="O380" s="161"/>
      <c r="P380" s="161"/>
      <c r="Q380" s="161"/>
      <c r="R380" s="161"/>
      <c r="S380" s="161"/>
      <c r="T380" s="161"/>
      <c r="U380" s="161"/>
      <c r="V380" s="161"/>
      <c r="W380" s="161"/>
      <c r="X380" s="161"/>
      <c r="Y380" s="161"/>
      <c r="Z380" s="161"/>
      <c r="AA380" s="161"/>
    </row>
    <row r="381" spans="1:27" ht="12" customHeight="1" x14ac:dyDescent="0.25">
      <c r="A381" s="161"/>
      <c r="B381" s="161"/>
      <c r="C381" s="161"/>
      <c r="D381" s="161"/>
      <c r="E381" s="161"/>
      <c r="F381" s="161"/>
      <c r="G381" s="161"/>
      <c r="H381" s="161"/>
      <c r="I381" s="161"/>
      <c r="J381" s="161"/>
      <c r="K381" s="161"/>
      <c r="L381" s="161"/>
      <c r="M381" s="161"/>
      <c r="N381" s="161"/>
      <c r="O381" s="161"/>
      <c r="P381" s="161"/>
      <c r="Q381" s="161"/>
      <c r="R381" s="161"/>
      <c r="S381" s="161"/>
      <c r="T381" s="161"/>
      <c r="U381" s="161"/>
      <c r="V381" s="161"/>
      <c r="W381" s="161"/>
      <c r="X381" s="161"/>
      <c r="Y381" s="161"/>
      <c r="Z381" s="161"/>
      <c r="AA381" s="161"/>
    </row>
    <row r="382" spans="1:27" ht="12" customHeight="1" x14ac:dyDescent="0.25">
      <c r="A382" s="161"/>
      <c r="B382" s="161"/>
      <c r="C382" s="161"/>
      <c r="D382" s="161"/>
      <c r="E382" s="161"/>
      <c r="F382" s="161"/>
      <c r="G382" s="161"/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</row>
    <row r="383" spans="1:27" ht="12" customHeight="1" x14ac:dyDescent="0.25">
      <c r="A383" s="161"/>
      <c r="B383" s="161"/>
      <c r="C383" s="161"/>
      <c r="D383" s="161"/>
      <c r="E383" s="161"/>
      <c r="F383" s="161"/>
      <c r="G383" s="161"/>
      <c r="H383" s="161"/>
      <c r="I383" s="161"/>
      <c r="J383" s="161"/>
      <c r="K383" s="161"/>
      <c r="L383" s="161"/>
      <c r="M383" s="161"/>
      <c r="N383" s="161"/>
      <c r="O383" s="161"/>
      <c r="P383" s="161"/>
      <c r="Q383" s="161"/>
      <c r="R383" s="161"/>
      <c r="S383" s="161"/>
      <c r="T383" s="161"/>
      <c r="U383" s="161"/>
      <c r="V383" s="161"/>
      <c r="W383" s="161"/>
      <c r="X383" s="161"/>
      <c r="Y383" s="161"/>
      <c r="Z383" s="161"/>
      <c r="AA383" s="161"/>
    </row>
    <row r="384" spans="1:27" ht="12" customHeight="1" x14ac:dyDescent="0.25">
      <c r="A384" s="161"/>
      <c r="B384" s="161"/>
      <c r="C384" s="161"/>
      <c r="D384" s="161"/>
      <c r="E384" s="161"/>
      <c r="F384" s="161"/>
      <c r="G384" s="161"/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</row>
    <row r="385" spans="1:27" ht="12" customHeight="1" x14ac:dyDescent="0.25">
      <c r="A385" s="161"/>
      <c r="B385" s="161"/>
      <c r="C385" s="161"/>
      <c r="D385" s="161"/>
      <c r="E385" s="161"/>
      <c r="F385" s="161"/>
      <c r="G385" s="161"/>
      <c r="H385" s="161"/>
      <c r="I385" s="161"/>
      <c r="J385" s="161"/>
      <c r="K385" s="161"/>
      <c r="L385" s="161"/>
      <c r="M385" s="161"/>
      <c r="N385" s="161"/>
      <c r="O385" s="161"/>
      <c r="P385" s="161"/>
      <c r="Q385" s="161"/>
      <c r="R385" s="161"/>
      <c r="S385" s="161"/>
      <c r="T385" s="161"/>
      <c r="U385" s="161"/>
      <c r="V385" s="161"/>
      <c r="W385" s="161"/>
      <c r="X385" s="161"/>
      <c r="Y385" s="161"/>
      <c r="Z385" s="161"/>
      <c r="AA385" s="161"/>
    </row>
    <row r="386" spans="1:27" ht="12" customHeight="1" x14ac:dyDescent="0.25">
      <c r="A386" s="161"/>
      <c r="B386" s="161"/>
      <c r="C386" s="161"/>
      <c r="D386" s="161"/>
      <c r="E386" s="161"/>
      <c r="F386" s="161"/>
      <c r="G386" s="161"/>
      <c r="H386" s="161"/>
      <c r="I386" s="161"/>
      <c r="J386" s="161"/>
      <c r="K386" s="161"/>
      <c r="L386" s="161"/>
      <c r="M386" s="161"/>
      <c r="N386" s="161"/>
      <c r="O386" s="161"/>
      <c r="P386" s="161"/>
      <c r="Q386" s="161"/>
      <c r="R386" s="161"/>
      <c r="S386" s="161"/>
      <c r="T386" s="161"/>
      <c r="U386" s="161"/>
      <c r="V386" s="161"/>
      <c r="W386" s="161"/>
      <c r="X386" s="161"/>
      <c r="Y386" s="161"/>
      <c r="Z386" s="161"/>
      <c r="AA386" s="161"/>
    </row>
    <row r="387" spans="1:27" ht="12" customHeight="1" x14ac:dyDescent="0.25">
      <c r="A387" s="161"/>
      <c r="B387" s="161"/>
      <c r="C387" s="161"/>
      <c r="D387" s="161"/>
      <c r="E387" s="161"/>
      <c r="F387" s="161"/>
      <c r="G387" s="161"/>
      <c r="H387" s="161"/>
      <c r="I387" s="161"/>
      <c r="J387" s="161"/>
      <c r="K387" s="161"/>
      <c r="L387" s="161"/>
      <c r="M387" s="161"/>
      <c r="N387" s="161"/>
      <c r="O387" s="161"/>
      <c r="P387" s="161"/>
      <c r="Q387" s="161"/>
      <c r="R387" s="161"/>
      <c r="S387" s="161"/>
      <c r="T387" s="161"/>
      <c r="U387" s="161"/>
      <c r="V387" s="161"/>
      <c r="W387" s="161"/>
      <c r="X387" s="161"/>
      <c r="Y387" s="161"/>
      <c r="Z387" s="161"/>
      <c r="AA387" s="161"/>
    </row>
    <row r="388" spans="1:27" ht="12" customHeight="1" x14ac:dyDescent="0.25">
      <c r="A388" s="161"/>
      <c r="B388" s="161"/>
      <c r="C388" s="161"/>
      <c r="D388" s="161"/>
      <c r="E388" s="161"/>
      <c r="F388" s="161"/>
      <c r="G388" s="161"/>
      <c r="H388" s="161"/>
      <c r="I388" s="161"/>
      <c r="J388" s="161"/>
      <c r="K388" s="161"/>
      <c r="L388" s="161"/>
      <c r="M388" s="161"/>
      <c r="N388" s="161"/>
      <c r="O388" s="161"/>
      <c r="P388" s="161"/>
      <c r="Q388" s="161"/>
      <c r="R388" s="161"/>
      <c r="S388" s="161"/>
      <c r="T388" s="161"/>
      <c r="U388" s="161"/>
      <c r="V388" s="161"/>
      <c r="W388" s="161"/>
      <c r="X388" s="161"/>
      <c r="Y388" s="161"/>
      <c r="Z388" s="161"/>
      <c r="AA388" s="161"/>
    </row>
    <row r="389" spans="1:27" ht="12" customHeight="1" x14ac:dyDescent="0.25">
      <c r="A389" s="161"/>
      <c r="B389" s="161"/>
      <c r="C389" s="161"/>
      <c r="D389" s="161"/>
      <c r="E389" s="161"/>
      <c r="F389" s="161"/>
      <c r="G389" s="161"/>
      <c r="H389" s="161"/>
      <c r="I389" s="161"/>
      <c r="J389" s="161"/>
      <c r="K389" s="161"/>
      <c r="L389" s="161"/>
      <c r="M389" s="161"/>
      <c r="N389" s="161"/>
      <c r="O389" s="161"/>
      <c r="P389" s="161"/>
      <c r="Q389" s="161"/>
      <c r="R389" s="161"/>
      <c r="S389" s="161"/>
      <c r="T389" s="161"/>
      <c r="U389" s="161"/>
      <c r="V389" s="161"/>
      <c r="W389" s="161"/>
      <c r="X389" s="161"/>
      <c r="Y389" s="161"/>
      <c r="Z389" s="161"/>
      <c r="AA389" s="161"/>
    </row>
    <row r="390" spans="1:27" ht="12" customHeight="1" x14ac:dyDescent="0.25">
      <c r="A390" s="161"/>
      <c r="B390" s="161"/>
      <c r="C390" s="161"/>
      <c r="D390" s="161"/>
      <c r="E390" s="161"/>
      <c r="F390" s="161"/>
      <c r="G390" s="161"/>
      <c r="H390" s="161"/>
      <c r="I390" s="161"/>
      <c r="J390" s="161"/>
      <c r="K390" s="161"/>
      <c r="L390" s="161"/>
      <c r="M390" s="161"/>
      <c r="N390" s="161"/>
      <c r="O390" s="161"/>
      <c r="P390" s="161"/>
      <c r="Q390" s="161"/>
      <c r="R390" s="161"/>
      <c r="S390" s="161"/>
      <c r="T390" s="161"/>
      <c r="U390" s="161"/>
      <c r="V390" s="161"/>
      <c r="W390" s="161"/>
      <c r="X390" s="161"/>
      <c r="Y390" s="161"/>
      <c r="Z390" s="161"/>
      <c r="AA390" s="161"/>
    </row>
    <row r="391" spans="1:27" ht="12" customHeight="1" x14ac:dyDescent="0.25">
      <c r="A391" s="161"/>
      <c r="B391" s="161"/>
      <c r="C391" s="161"/>
      <c r="D391" s="161"/>
      <c r="E391" s="161"/>
      <c r="F391" s="161"/>
      <c r="G391" s="161"/>
      <c r="H391" s="161"/>
      <c r="I391" s="161"/>
      <c r="J391" s="161"/>
      <c r="K391" s="161"/>
      <c r="L391" s="161"/>
      <c r="M391" s="161"/>
      <c r="N391" s="161"/>
      <c r="O391" s="161"/>
      <c r="P391" s="161"/>
      <c r="Q391" s="161"/>
      <c r="R391" s="161"/>
      <c r="S391" s="161"/>
      <c r="T391" s="161"/>
      <c r="U391" s="161"/>
      <c r="V391" s="161"/>
      <c r="W391" s="161"/>
      <c r="X391" s="161"/>
      <c r="Y391" s="161"/>
      <c r="Z391" s="161"/>
      <c r="AA391" s="161"/>
    </row>
    <row r="392" spans="1:27" ht="12" customHeight="1" x14ac:dyDescent="0.25">
      <c r="A392" s="161"/>
      <c r="B392" s="161"/>
      <c r="C392" s="161"/>
      <c r="D392" s="161"/>
      <c r="E392" s="161"/>
      <c r="F392" s="161"/>
      <c r="G392" s="161"/>
      <c r="H392" s="161"/>
      <c r="I392" s="161"/>
      <c r="J392" s="161"/>
      <c r="K392" s="161"/>
      <c r="L392" s="161"/>
      <c r="M392" s="161"/>
      <c r="N392" s="161"/>
      <c r="O392" s="161"/>
      <c r="P392" s="161"/>
      <c r="Q392" s="161"/>
      <c r="R392" s="161"/>
      <c r="S392" s="161"/>
      <c r="T392" s="161"/>
      <c r="U392" s="161"/>
      <c r="V392" s="161"/>
      <c r="W392" s="161"/>
      <c r="X392" s="161"/>
      <c r="Y392" s="161"/>
      <c r="Z392" s="161"/>
      <c r="AA392" s="161"/>
    </row>
    <row r="393" spans="1:27" ht="12" customHeight="1" x14ac:dyDescent="0.25">
      <c r="A393" s="161"/>
      <c r="B393" s="161"/>
      <c r="C393" s="161"/>
      <c r="D393" s="161"/>
      <c r="E393" s="161"/>
      <c r="F393" s="161"/>
      <c r="G393" s="161"/>
      <c r="H393" s="161"/>
      <c r="I393" s="161"/>
      <c r="J393" s="161"/>
      <c r="K393" s="161"/>
      <c r="L393" s="161"/>
      <c r="M393" s="161"/>
      <c r="N393" s="161"/>
      <c r="O393" s="161"/>
      <c r="P393" s="161"/>
      <c r="Q393" s="161"/>
      <c r="R393" s="161"/>
      <c r="S393" s="161"/>
      <c r="T393" s="161"/>
      <c r="U393" s="161"/>
      <c r="V393" s="161"/>
      <c r="W393" s="161"/>
      <c r="X393" s="161"/>
      <c r="Y393" s="161"/>
      <c r="Z393" s="161"/>
      <c r="AA393" s="161"/>
    </row>
    <row r="394" spans="1:27" ht="12" customHeight="1" x14ac:dyDescent="0.25">
      <c r="A394" s="161"/>
      <c r="B394" s="161"/>
      <c r="C394" s="161"/>
      <c r="D394" s="161"/>
      <c r="E394" s="161"/>
      <c r="F394" s="161"/>
      <c r="G394" s="161"/>
      <c r="H394" s="161"/>
      <c r="I394" s="161"/>
      <c r="J394" s="161"/>
      <c r="K394" s="161"/>
      <c r="L394" s="161"/>
      <c r="M394" s="161"/>
      <c r="N394" s="161"/>
      <c r="O394" s="161"/>
      <c r="P394" s="161"/>
      <c r="Q394" s="161"/>
      <c r="R394" s="161"/>
      <c r="S394" s="161"/>
      <c r="T394" s="161"/>
      <c r="U394" s="161"/>
      <c r="V394" s="161"/>
      <c r="W394" s="161"/>
      <c r="X394" s="161"/>
      <c r="Y394" s="161"/>
      <c r="Z394" s="161"/>
      <c r="AA394" s="161"/>
    </row>
    <row r="395" spans="1:27" ht="12" customHeight="1" x14ac:dyDescent="0.25">
      <c r="A395" s="161"/>
      <c r="B395" s="161"/>
      <c r="C395" s="161"/>
      <c r="D395" s="161"/>
      <c r="E395" s="161"/>
      <c r="F395" s="161"/>
      <c r="G395" s="161"/>
      <c r="H395" s="161"/>
      <c r="I395" s="161"/>
      <c r="J395" s="161"/>
      <c r="K395" s="161"/>
      <c r="L395" s="161"/>
      <c r="M395" s="161"/>
      <c r="N395" s="161"/>
      <c r="O395" s="161"/>
      <c r="P395" s="161"/>
      <c r="Q395" s="161"/>
      <c r="R395" s="161"/>
      <c r="S395" s="161"/>
      <c r="T395" s="161"/>
      <c r="U395" s="161"/>
      <c r="V395" s="161"/>
      <c r="W395" s="161"/>
      <c r="X395" s="161"/>
      <c r="Y395" s="161"/>
      <c r="Z395" s="161"/>
      <c r="AA395" s="161"/>
    </row>
    <row r="396" spans="1:27" ht="12" customHeight="1" x14ac:dyDescent="0.25">
      <c r="A396" s="161"/>
      <c r="B396" s="161"/>
      <c r="C396" s="161"/>
      <c r="D396" s="161"/>
      <c r="E396" s="161"/>
      <c r="F396" s="161"/>
      <c r="G396" s="161"/>
      <c r="H396" s="161"/>
      <c r="I396" s="161"/>
      <c r="J396" s="161"/>
      <c r="K396" s="161"/>
      <c r="L396" s="161"/>
      <c r="M396" s="161"/>
      <c r="N396" s="161"/>
      <c r="O396" s="161"/>
      <c r="P396" s="161"/>
      <c r="Q396" s="161"/>
      <c r="R396" s="161"/>
      <c r="S396" s="161"/>
      <c r="T396" s="161"/>
      <c r="U396" s="161"/>
      <c r="V396" s="161"/>
      <c r="W396" s="161"/>
      <c r="X396" s="161"/>
      <c r="Y396" s="161"/>
      <c r="Z396" s="161"/>
      <c r="AA396" s="161"/>
    </row>
    <row r="397" spans="1:27" ht="12" customHeight="1" x14ac:dyDescent="0.25">
      <c r="A397" s="161"/>
      <c r="B397" s="161"/>
      <c r="C397" s="161"/>
      <c r="D397" s="161"/>
      <c r="E397" s="161"/>
      <c r="F397" s="161"/>
      <c r="G397" s="161"/>
      <c r="H397" s="161"/>
      <c r="I397" s="161"/>
      <c r="J397" s="161"/>
      <c r="K397" s="161"/>
      <c r="L397" s="161"/>
      <c r="M397" s="161"/>
      <c r="N397" s="161"/>
      <c r="O397" s="161"/>
      <c r="P397" s="161"/>
      <c r="Q397" s="161"/>
      <c r="R397" s="161"/>
      <c r="S397" s="161"/>
      <c r="T397" s="161"/>
      <c r="U397" s="161"/>
      <c r="V397" s="161"/>
      <c r="W397" s="161"/>
      <c r="X397" s="161"/>
      <c r="Y397" s="161"/>
      <c r="Z397" s="161"/>
      <c r="AA397" s="161"/>
    </row>
    <row r="398" spans="1:27" ht="12" customHeight="1" x14ac:dyDescent="0.25">
      <c r="A398" s="161"/>
      <c r="B398" s="161"/>
      <c r="C398" s="161"/>
      <c r="D398" s="161"/>
      <c r="E398" s="161"/>
      <c r="F398" s="161"/>
      <c r="G398" s="161"/>
      <c r="H398" s="161"/>
      <c r="I398" s="161"/>
      <c r="J398" s="161"/>
      <c r="K398" s="161"/>
      <c r="L398" s="161"/>
      <c r="M398" s="161"/>
      <c r="N398" s="161"/>
      <c r="O398" s="161"/>
      <c r="P398" s="161"/>
      <c r="Q398" s="161"/>
      <c r="R398" s="161"/>
      <c r="S398" s="161"/>
      <c r="T398" s="161"/>
      <c r="U398" s="161"/>
      <c r="V398" s="161"/>
      <c r="W398" s="161"/>
      <c r="X398" s="161"/>
      <c r="Y398" s="161"/>
      <c r="Z398" s="161"/>
      <c r="AA398" s="161"/>
    </row>
    <row r="399" spans="1:27" ht="12" customHeight="1" x14ac:dyDescent="0.25">
      <c r="A399" s="161"/>
      <c r="B399" s="161"/>
      <c r="C399" s="161"/>
      <c r="D399" s="161"/>
      <c r="E399" s="161"/>
      <c r="F399" s="161"/>
      <c r="G399" s="161"/>
      <c r="H399" s="161"/>
      <c r="I399" s="161"/>
      <c r="J399" s="161"/>
      <c r="K399" s="161"/>
      <c r="L399" s="161"/>
      <c r="M399" s="161"/>
      <c r="N399" s="161"/>
      <c r="O399" s="161"/>
      <c r="P399" s="161"/>
      <c r="Q399" s="161"/>
      <c r="R399" s="161"/>
      <c r="S399" s="161"/>
      <c r="T399" s="161"/>
      <c r="U399" s="161"/>
      <c r="V399" s="161"/>
      <c r="W399" s="161"/>
      <c r="X399" s="161"/>
      <c r="Y399" s="161"/>
      <c r="Z399" s="161"/>
      <c r="AA399" s="161"/>
    </row>
    <row r="400" spans="1:27" ht="12" customHeight="1" x14ac:dyDescent="0.25">
      <c r="A400" s="161"/>
      <c r="B400" s="161"/>
      <c r="C400" s="161"/>
      <c r="D400" s="161"/>
      <c r="E400" s="161"/>
      <c r="F400" s="161"/>
      <c r="G400" s="161"/>
      <c r="H400" s="161"/>
      <c r="I400" s="161"/>
      <c r="J400" s="161"/>
      <c r="K400" s="161"/>
      <c r="L400" s="161"/>
      <c r="M400" s="161"/>
      <c r="N400" s="161"/>
      <c r="O400" s="161"/>
      <c r="P400" s="161"/>
      <c r="Q400" s="161"/>
      <c r="R400" s="161"/>
      <c r="S400" s="161"/>
      <c r="T400" s="161"/>
      <c r="U400" s="161"/>
      <c r="V400" s="161"/>
      <c r="W400" s="161"/>
      <c r="X400" s="161"/>
      <c r="Y400" s="161"/>
      <c r="Z400" s="161"/>
      <c r="AA400" s="161"/>
    </row>
    <row r="401" spans="1:27" ht="12" customHeight="1" x14ac:dyDescent="0.25">
      <c r="A401" s="161"/>
      <c r="B401" s="161"/>
      <c r="C401" s="161"/>
      <c r="D401" s="161"/>
      <c r="E401" s="161"/>
      <c r="F401" s="161"/>
      <c r="G401" s="161"/>
      <c r="H401" s="161"/>
      <c r="I401" s="161"/>
      <c r="J401" s="161"/>
      <c r="K401" s="161"/>
      <c r="L401" s="161"/>
      <c r="M401" s="161"/>
      <c r="N401" s="161"/>
      <c r="O401" s="161"/>
      <c r="P401" s="161"/>
      <c r="Q401" s="161"/>
      <c r="R401" s="161"/>
      <c r="S401" s="161"/>
      <c r="T401" s="161"/>
      <c r="U401" s="161"/>
      <c r="V401" s="161"/>
      <c r="W401" s="161"/>
      <c r="X401" s="161"/>
      <c r="Y401" s="161"/>
      <c r="Z401" s="161"/>
      <c r="AA401" s="161"/>
    </row>
    <row r="402" spans="1:27" ht="12" customHeight="1" x14ac:dyDescent="0.25">
      <c r="A402" s="161"/>
      <c r="B402" s="161"/>
      <c r="C402" s="161"/>
      <c r="D402" s="161"/>
      <c r="E402" s="161"/>
      <c r="F402" s="161"/>
      <c r="G402" s="161"/>
      <c r="H402" s="161"/>
      <c r="I402" s="161"/>
      <c r="J402" s="161"/>
      <c r="K402" s="161"/>
      <c r="L402" s="161"/>
      <c r="M402" s="161"/>
      <c r="N402" s="161"/>
      <c r="O402" s="161"/>
      <c r="P402" s="161"/>
      <c r="Q402" s="161"/>
      <c r="R402" s="161"/>
      <c r="S402" s="161"/>
      <c r="T402" s="161"/>
      <c r="U402" s="161"/>
      <c r="V402" s="161"/>
      <c r="W402" s="161"/>
      <c r="X402" s="161"/>
      <c r="Y402" s="161"/>
      <c r="Z402" s="161"/>
      <c r="AA402" s="161"/>
    </row>
    <row r="403" spans="1:27" ht="12" customHeight="1" x14ac:dyDescent="0.25">
      <c r="A403" s="161"/>
      <c r="B403" s="161"/>
      <c r="C403" s="161"/>
      <c r="D403" s="161"/>
      <c r="E403" s="161"/>
      <c r="F403" s="161"/>
      <c r="G403" s="161"/>
      <c r="H403" s="161"/>
      <c r="I403" s="161"/>
      <c r="J403" s="161"/>
      <c r="K403" s="161"/>
      <c r="L403" s="161"/>
      <c r="M403" s="161"/>
      <c r="N403" s="161"/>
      <c r="O403" s="161"/>
      <c r="P403" s="161"/>
      <c r="Q403" s="161"/>
      <c r="R403" s="161"/>
      <c r="S403" s="161"/>
      <c r="T403" s="161"/>
      <c r="U403" s="161"/>
      <c r="V403" s="161"/>
      <c r="W403" s="161"/>
      <c r="X403" s="161"/>
      <c r="Y403" s="161"/>
      <c r="Z403" s="161"/>
      <c r="AA403" s="161"/>
    </row>
    <row r="404" spans="1:27" ht="12" customHeight="1" x14ac:dyDescent="0.25">
      <c r="A404" s="161"/>
      <c r="B404" s="161"/>
      <c r="C404" s="161"/>
      <c r="D404" s="161"/>
      <c r="E404" s="161"/>
      <c r="F404" s="161"/>
      <c r="G404" s="161"/>
      <c r="H404" s="161"/>
      <c r="I404" s="161"/>
      <c r="J404" s="161"/>
      <c r="K404" s="161"/>
      <c r="L404" s="161"/>
      <c r="M404" s="161"/>
      <c r="N404" s="161"/>
      <c r="O404" s="161"/>
      <c r="P404" s="161"/>
      <c r="Q404" s="161"/>
      <c r="R404" s="161"/>
      <c r="S404" s="161"/>
      <c r="T404" s="161"/>
      <c r="U404" s="161"/>
      <c r="V404" s="161"/>
      <c r="W404" s="161"/>
      <c r="X404" s="161"/>
      <c r="Y404" s="161"/>
      <c r="Z404" s="161"/>
      <c r="AA404" s="161"/>
    </row>
    <row r="405" spans="1:27" ht="12" customHeight="1" x14ac:dyDescent="0.25">
      <c r="A405" s="161"/>
      <c r="B405" s="161"/>
      <c r="C405" s="161"/>
      <c r="D405" s="161"/>
      <c r="E405" s="161"/>
      <c r="F405" s="161"/>
      <c r="G405" s="161"/>
      <c r="H405" s="161"/>
      <c r="I405" s="161"/>
      <c r="J405" s="161"/>
      <c r="K405" s="161"/>
      <c r="L405" s="161"/>
      <c r="M405" s="161"/>
      <c r="N405" s="161"/>
      <c r="O405" s="161"/>
      <c r="P405" s="161"/>
      <c r="Q405" s="161"/>
      <c r="R405" s="161"/>
      <c r="S405" s="161"/>
      <c r="T405" s="161"/>
      <c r="U405" s="161"/>
      <c r="V405" s="161"/>
      <c r="W405" s="161"/>
      <c r="X405" s="161"/>
      <c r="Y405" s="161"/>
      <c r="Z405" s="161"/>
      <c r="AA405" s="161"/>
    </row>
    <row r="406" spans="1:27" ht="12" customHeight="1" x14ac:dyDescent="0.25">
      <c r="A406" s="161"/>
      <c r="B406" s="161"/>
      <c r="C406" s="161"/>
      <c r="D406" s="161"/>
      <c r="E406" s="161"/>
      <c r="F406" s="161"/>
      <c r="G406" s="161"/>
      <c r="H406" s="161"/>
      <c r="I406" s="161"/>
      <c r="J406" s="161"/>
      <c r="K406" s="161"/>
      <c r="L406" s="161"/>
      <c r="M406" s="161"/>
      <c r="N406" s="161"/>
      <c r="O406" s="161"/>
      <c r="P406" s="161"/>
      <c r="Q406" s="161"/>
      <c r="R406" s="161"/>
      <c r="S406" s="161"/>
      <c r="T406" s="161"/>
      <c r="U406" s="161"/>
      <c r="V406" s="161"/>
      <c r="W406" s="161"/>
      <c r="X406" s="161"/>
      <c r="Y406" s="161"/>
      <c r="Z406" s="161"/>
      <c r="AA406" s="161"/>
    </row>
    <row r="407" spans="1:27" ht="12" customHeight="1" x14ac:dyDescent="0.25">
      <c r="A407" s="161"/>
      <c r="B407" s="161"/>
      <c r="C407" s="161"/>
      <c r="D407" s="161"/>
      <c r="E407" s="161"/>
      <c r="F407" s="161"/>
      <c r="G407" s="161"/>
      <c r="H407" s="161"/>
      <c r="I407" s="161"/>
      <c r="J407" s="161"/>
      <c r="K407" s="161"/>
      <c r="L407" s="161"/>
      <c r="M407" s="161"/>
      <c r="N407" s="161"/>
      <c r="O407" s="161"/>
      <c r="P407" s="161"/>
      <c r="Q407" s="161"/>
      <c r="R407" s="161"/>
      <c r="S407" s="161"/>
      <c r="T407" s="161"/>
      <c r="U407" s="161"/>
      <c r="V407" s="161"/>
      <c r="W407" s="161"/>
      <c r="X407" s="161"/>
      <c r="Y407" s="161"/>
      <c r="Z407" s="161"/>
      <c r="AA407" s="161"/>
    </row>
    <row r="408" spans="1:27" ht="12" customHeight="1" x14ac:dyDescent="0.25">
      <c r="A408" s="161"/>
      <c r="B408" s="161"/>
      <c r="C408" s="161"/>
      <c r="D408" s="161"/>
      <c r="E408" s="161"/>
      <c r="F408" s="161"/>
      <c r="G408" s="161"/>
      <c r="H408" s="161"/>
      <c r="I408" s="161"/>
      <c r="J408" s="161"/>
      <c r="K408" s="161"/>
      <c r="L408" s="161"/>
      <c r="M408" s="161"/>
      <c r="N408" s="161"/>
      <c r="O408" s="161"/>
      <c r="P408" s="161"/>
      <c r="Q408" s="161"/>
      <c r="R408" s="161"/>
      <c r="S408" s="161"/>
      <c r="T408" s="161"/>
      <c r="U408" s="161"/>
      <c r="V408" s="161"/>
      <c r="W408" s="161"/>
      <c r="X408" s="161"/>
      <c r="Y408" s="161"/>
      <c r="Z408" s="161"/>
      <c r="AA408" s="161"/>
    </row>
    <row r="409" spans="1:27" ht="12" customHeight="1" x14ac:dyDescent="0.25">
      <c r="A409" s="161"/>
      <c r="B409" s="161"/>
      <c r="C409" s="161"/>
      <c r="D409" s="161"/>
      <c r="E409" s="161"/>
      <c r="F409" s="161"/>
      <c r="G409" s="161"/>
      <c r="H409" s="161"/>
      <c r="I409" s="161"/>
      <c r="J409" s="161"/>
      <c r="K409" s="161"/>
      <c r="L409" s="161"/>
      <c r="M409" s="161"/>
      <c r="N409" s="161"/>
      <c r="O409" s="161"/>
      <c r="P409" s="161"/>
      <c r="Q409" s="161"/>
      <c r="R409" s="161"/>
      <c r="S409" s="161"/>
      <c r="T409" s="161"/>
      <c r="U409" s="161"/>
      <c r="V409" s="161"/>
      <c r="W409" s="161"/>
      <c r="X409" s="161"/>
      <c r="Y409" s="161"/>
      <c r="Z409" s="161"/>
      <c r="AA409" s="161"/>
    </row>
    <row r="410" spans="1:27" ht="12" customHeight="1" x14ac:dyDescent="0.25">
      <c r="A410" s="161"/>
      <c r="B410" s="161"/>
      <c r="C410" s="161"/>
      <c r="D410" s="161"/>
      <c r="E410" s="161"/>
      <c r="F410" s="161"/>
      <c r="G410" s="161"/>
      <c r="H410" s="161"/>
      <c r="I410" s="161"/>
      <c r="J410" s="161"/>
      <c r="K410" s="161"/>
      <c r="L410" s="161"/>
      <c r="M410" s="161"/>
      <c r="N410" s="161"/>
      <c r="O410" s="161"/>
      <c r="P410" s="161"/>
      <c r="Q410" s="161"/>
      <c r="R410" s="161"/>
      <c r="S410" s="161"/>
      <c r="T410" s="161"/>
      <c r="U410" s="161"/>
      <c r="V410" s="161"/>
      <c r="W410" s="161"/>
      <c r="X410" s="161"/>
      <c r="Y410" s="161"/>
      <c r="Z410" s="161"/>
      <c r="AA410" s="161"/>
    </row>
    <row r="411" spans="1:27" ht="12" customHeight="1" x14ac:dyDescent="0.25">
      <c r="A411" s="161"/>
      <c r="B411" s="161"/>
      <c r="C411" s="161"/>
      <c r="D411" s="161"/>
      <c r="E411" s="161"/>
      <c r="F411" s="161"/>
      <c r="G411" s="161"/>
      <c r="H411" s="161"/>
      <c r="I411" s="161"/>
      <c r="J411" s="161"/>
      <c r="K411" s="161"/>
      <c r="L411" s="161"/>
      <c r="M411" s="161"/>
      <c r="N411" s="161"/>
      <c r="O411" s="161"/>
      <c r="P411" s="161"/>
      <c r="Q411" s="161"/>
      <c r="R411" s="161"/>
      <c r="S411" s="161"/>
      <c r="T411" s="161"/>
      <c r="U411" s="161"/>
      <c r="V411" s="161"/>
      <c r="W411" s="161"/>
      <c r="X411" s="161"/>
      <c r="Y411" s="161"/>
      <c r="Z411" s="161"/>
      <c r="AA411" s="161"/>
    </row>
    <row r="412" spans="1:27" ht="12" customHeight="1" x14ac:dyDescent="0.25">
      <c r="A412" s="161"/>
      <c r="B412" s="161"/>
      <c r="C412" s="161"/>
      <c r="D412" s="161"/>
      <c r="E412" s="161"/>
      <c r="F412" s="161"/>
      <c r="G412" s="161"/>
      <c r="H412" s="161"/>
      <c r="I412" s="161"/>
      <c r="J412" s="161"/>
      <c r="K412" s="161"/>
      <c r="L412" s="161"/>
      <c r="M412" s="161"/>
      <c r="N412" s="161"/>
      <c r="O412" s="161"/>
      <c r="P412" s="161"/>
      <c r="Q412" s="161"/>
      <c r="R412" s="161"/>
      <c r="S412" s="161"/>
      <c r="T412" s="161"/>
      <c r="U412" s="161"/>
      <c r="V412" s="161"/>
      <c r="W412" s="161"/>
      <c r="X412" s="161"/>
      <c r="Y412" s="161"/>
      <c r="Z412" s="161"/>
      <c r="AA412" s="161"/>
    </row>
    <row r="413" spans="1:27" ht="12" customHeight="1" x14ac:dyDescent="0.25">
      <c r="A413" s="161"/>
      <c r="B413" s="161"/>
      <c r="C413" s="161"/>
      <c r="D413" s="161"/>
      <c r="E413" s="161"/>
      <c r="F413" s="161"/>
      <c r="G413" s="161"/>
      <c r="H413" s="161"/>
      <c r="I413" s="161"/>
      <c r="J413" s="161"/>
      <c r="K413" s="161"/>
      <c r="L413" s="161"/>
      <c r="M413" s="161"/>
      <c r="N413" s="161"/>
      <c r="O413" s="161"/>
      <c r="P413" s="161"/>
      <c r="Q413" s="161"/>
      <c r="R413" s="161"/>
      <c r="S413" s="161"/>
      <c r="T413" s="161"/>
      <c r="U413" s="161"/>
      <c r="V413" s="161"/>
      <c r="W413" s="161"/>
      <c r="X413" s="161"/>
      <c r="Y413" s="161"/>
      <c r="Z413" s="161"/>
      <c r="AA413" s="161"/>
    </row>
    <row r="414" spans="1:27" ht="12" customHeight="1" x14ac:dyDescent="0.25">
      <c r="A414" s="161"/>
      <c r="B414" s="161"/>
      <c r="C414" s="161"/>
      <c r="D414" s="161"/>
      <c r="E414" s="161"/>
      <c r="F414" s="161"/>
      <c r="G414" s="161"/>
      <c r="H414" s="161"/>
      <c r="I414" s="161"/>
      <c r="J414" s="161"/>
      <c r="K414" s="161"/>
      <c r="L414" s="161"/>
      <c r="M414" s="161"/>
      <c r="N414" s="161"/>
      <c r="O414" s="161"/>
      <c r="P414" s="161"/>
      <c r="Q414" s="161"/>
      <c r="R414" s="161"/>
      <c r="S414" s="161"/>
      <c r="T414" s="161"/>
      <c r="U414" s="161"/>
      <c r="V414" s="161"/>
      <c r="W414" s="161"/>
      <c r="X414" s="161"/>
      <c r="Y414" s="161"/>
      <c r="Z414" s="161"/>
      <c r="AA414" s="161"/>
    </row>
    <row r="415" spans="1:27" ht="12" customHeight="1" x14ac:dyDescent="0.25">
      <c r="A415" s="161"/>
      <c r="B415" s="161"/>
      <c r="C415" s="161"/>
      <c r="D415" s="161"/>
      <c r="E415" s="161"/>
      <c r="F415" s="161"/>
      <c r="G415" s="161"/>
      <c r="H415" s="161"/>
      <c r="I415" s="161"/>
      <c r="J415" s="161"/>
      <c r="K415" s="161"/>
      <c r="L415" s="161"/>
      <c r="M415" s="161"/>
      <c r="N415" s="161"/>
      <c r="O415" s="161"/>
      <c r="P415" s="161"/>
      <c r="Q415" s="161"/>
      <c r="R415" s="161"/>
      <c r="S415" s="161"/>
      <c r="T415" s="161"/>
      <c r="U415" s="161"/>
      <c r="V415" s="161"/>
      <c r="W415" s="161"/>
      <c r="X415" s="161"/>
      <c r="Y415" s="161"/>
      <c r="Z415" s="161"/>
      <c r="AA415" s="161"/>
    </row>
    <row r="416" spans="1:27" ht="12" customHeight="1" x14ac:dyDescent="0.25">
      <c r="A416" s="161"/>
      <c r="B416" s="161"/>
      <c r="C416" s="161"/>
      <c r="D416" s="161"/>
      <c r="E416" s="161"/>
      <c r="F416" s="161"/>
      <c r="G416" s="161"/>
      <c r="H416" s="161"/>
      <c r="I416" s="161"/>
      <c r="J416" s="161"/>
      <c r="K416" s="161"/>
      <c r="L416" s="161"/>
      <c r="M416" s="161"/>
      <c r="N416" s="161"/>
      <c r="O416" s="161"/>
      <c r="P416" s="161"/>
      <c r="Q416" s="161"/>
      <c r="R416" s="161"/>
      <c r="S416" s="161"/>
      <c r="T416" s="161"/>
      <c r="U416" s="161"/>
      <c r="V416" s="161"/>
      <c r="W416" s="161"/>
      <c r="X416" s="161"/>
      <c r="Y416" s="161"/>
      <c r="Z416" s="161"/>
      <c r="AA416" s="161"/>
    </row>
    <row r="417" spans="1:27" ht="12" customHeight="1" x14ac:dyDescent="0.25">
      <c r="A417" s="161"/>
      <c r="B417" s="161"/>
      <c r="C417" s="161"/>
      <c r="D417" s="161"/>
      <c r="E417" s="161"/>
      <c r="F417" s="161"/>
      <c r="G417" s="161"/>
      <c r="H417" s="161"/>
      <c r="I417" s="161"/>
      <c r="J417" s="161"/>
      <c r="K417" s="161"/>
      <c r="L417" s="161"/>
      <c r="M417" s="161"/>
      <c r="N417" s="161"/>
      <c r="O417" s="161"/>
      <c r="P417" s="161"/>
      <c r="Q417" s="161"/>
      <c r="R417" s="161"/>
      <c r="S417" s="161"/>
      <c r="T417" s="161"/>
      <c r="U417" s="161"/>
      <c r="V417" s="161"/>
      <c r="W417" s="161"/>
      <c r="X417" s="161"/>
      <c r="Y417" s="161"/>
      <c r="Z417" s="161"/>
      <c r="AA417" s="161"/>
    </row>
    <row r="418" spans="1:27" ht="12" customHeight="1" x14ac:dyDescent="0.25">
      <c r="A418" s="161"/>
      <c r="B418" s="161"/>
      <c r="C418" s="161"/>
      <c r="D418" s="161"/>
      <c r="E418" s="161"/>
      <c r="F418" s="161"/>
      <c r="G418" s="161"/>
      <c r="H418" s="161"/>
      <c r="I418" s="161"/>
      <c r="J418" s="161"/>
      <c r="K418" s="161"/>
      <c r="L418" s="161"/>
      <c r="M418" s="161"/>
      <c r="N418" s="161"/>
      <c r="O418" s="161"/>
      <c r="P418" s="161"/>
      <c r="Q418" s="161"/>
      <c r="R418" s="161"/>
      <c r="S418" s="161"/>
      <c r="T418" s="161"/>
      <c r="U418" s="161"/>
      <c r="V418" s="161"/>
      <c r="W418" s="161"/>
      <c r="X418" s="161"/>
      <c r="Y418" s="161"/>
      <c r="Z418" s="161"/>
      <c r="AA418" s="161"/>
    </row>
    <row r="419" spans="1:27" ht="12" customHeight="1" x14ac:dyDescent="0.25">
      <c r="A419" s="161"/>
      <c r="B419" s="161"/>
      <c r="C419" s="161"/>
      <c r="D419" s="161"/>
      <c r="E419" s="161"/>
      <c r="F419" s="161"/>
      <c r="G419" s="161"/>
      <c r="H419" s="161"/>
      <c r="I419" s="161"/>
      <c r="J419" s="161"/>
      <c r="K419" s="161"/>
      <c r="L419" s="161"/>
      <c r="M419" s="161"/>
      <c r="N419" s="161"/>
      <c r="O419" s="161"/>
      <c r="P419" s="161"/>
      <c r="Q419" s="161"/>
      <c r="R419" s="161"/>
      <c r="S419" s="161"/>
      <c r="T419" s="161"/>
      <c r="U419" s="161"/>
      <c r="V419" s="161"/>
      <c r="W419" s="161"/>
      <c r="X419" s="161"/>
      <c r="Y419" s="161"/>
      <c r="Z419" s="161"/>
      <c r="AA419" s="161"/>
    </row>
    <row r="420" spans="1:27" ht="12" customHeight="1" x14ac:dyDescent="0.25">
      <c r="A420" s="161"/>
      <c r="B420" s="161"/>
      <c r="C420" s="161"/>
      <c r="D420" s="161"/>
      <c r="E420" s="161"/>
      <c r="F420" s="161"/>
      <c r="G420" s="161"/>
      <c r="H420" s="161"/>
      <c r="I420" s="161"/>
      <c r="J420" s="161"/>
      <c r="K420" s="161"/>
      <c r="L420" s="161"/>
      <c r="M420" s="161"/>
      <c r="N420" s="161"/>
      <c r="O420" s="161"/>
      <c r="P420" s="161"/>
      <c r="Q420" s="161"/>
      <c r="R420" s="161"/>
      <c r="S420" s="161"/>
      <c r="T420" s="161"/>
      <c r="U420" s="161"/>
      <c r="V420" s="161"/>
      <c r="W420" s="161"/>
      <c r="X420" s="161"/>
      <c r="Y420" s="161"/>
      <c r="Z420" s="161"/>
      <c r="AA420" s="161"/>
    </row>
    <row r="421" spans="1:27" ht="12" customHeight="1" x14ac:dyDescent="0.25">
      <c r="A421" s="161"/>
      <c r="B421" s="161"/>
      <c r="C421" s="161"/>
      <c r="D421" s="161"/>
      <c r="E421" s="161"/>
      <c r="F421" s="161"/>
      <c r="G421" s="161"/>
      <c r="H421" s="161"/>
      <c r="I421" s="161"/>
      <c r="J421" s="161"/>
      <c r="K421" s="161"/>
      <c r="L421" s="161"/>
      <c r="M421" s="161"/>
      <c r="N421" s="161"/>
      <c r="O421" s="161"/>
      <c r="P421" s="161"/>
      <c r="Q421" s="161"/>
      <c r="R421" s="161"/>
      <c r="S421" s="161"/>
      <c r="T421" s="161"/>
      <c r="U421" s="161"/>
      <c r="V421" s="161"/>
      <c r="W421" s="161"/>
      <c r="X421" s="161"/>
      <c r="Y421" s="161"/>
      <c r="Z421" s="161"/>
      <c r="AA421" s="161"/>
    </row>
    <row r="422" spans="1:27" ht="12" customHeight="1" x14ac:dyDescent="0.25">
      <c r="A422" s="161"/>
      <c r="B422" s="161"/>
      <c r="C422" s="161"/>
      <c r="D422" s="161"/>
      <c r="E422" s="161"/>
      <c r="F422" s="161"/>
      <c r="G422" s="161"/>
      <c r="H422" s="161"/>
      <c r="I422" s="161"/>
      <c r="J422" s="161"/>
      <c r="K422" s="161"/>
      <c r="L422" s="161"/>
      <c r="M422" s="161"/>
      <c r="N422" s="161"/>
      <c r="O422" s="161"/>
      <c r="P422" s="161"/>
      <c r="Q422" s="161"/>
      <c r="R422" s="161"/>
      <c r="S422" s="161"/>
      <c r="T422" s="161"/>
      <c r="U422" s="161"/>
      <c r="V422" s="161"/>
      <c r="W422" s="161"/>
      <c r="X422" s="161"/>
      <c r="Y422" s="161"/>
      <c r="Z422" s="161"/>
      <c r="AA422" s="161"/>
    </row>
    <row r="423" spans="1:27" ht="12" customHeight="1" x14ac:dyDescent="0.25">
      <c r="A423" s="161"/>
      <c r="B423" s="161"/>
      <c r="C423" s="161"/>
      <c r="D423" s="161"/>
      <c r="E423" s="161"/>
      <c r="F423" s="161"/>
      <c r="G423" s="161"/>
      <c r="H423" s="161"/>
      <c r="I423" s="161"/>
      <c r="J423" s="161"/>
      <c r="K423" s="161"/>
      <c r="L423" s="161"/>
      <c r="M423" s="161"/>
      <c r="N423" s="161"/>
      <c r="O423" s="161"/>
      <c r="P423" s="161"/>
      <c r="Q423" s="161"/>
      <c r="R423" s="161"/>
      <c r="S423" s="161"/>
      <c r="T423" s="161"/>
      <c r="U423" s="161"/>
      <c r="V423" s="161"/>
      <c r="W423" s="161"/>
      <c r="X423" s="161"/>
      <c r="Y423" s="161"/>
      <c r="Z423" s="161"/>
      <c r="AA423" s="161"/>
    </row>
    <row r="424" spans="1:27" ht="12" customHeight="1" x14ac:dyDescent="0.25">
      <c r="A424" s="161"/>
      <c r="B424" s="161"/>
      <c r="C424" s="161"/>
      <c r="D424" s="161"/>
      <c r="E424" s="161"/>
      <c r="F424" s="161"/>
      <c r="G424" s="161"/>
      <c r="H424" s="161"/>
      <c r="I424" s="161"/>
      <c r="J424" s="161"/>
      <c r="K424" s="161"/>
      <c r="L424" s="161"/>
      <c r="M424" s="161"/>
      <c r="N424" s="161"/>
      <c r="O424" s="161"/>
      <c r="P424" s="161"/>
      <c r="Q424" s="161"/>
      <c r="R424" s="161"/>
      <c r="S424" s="161"/>
      <c r="T424" s="161"/>
      <c r="U424" s="161"/>
      <c r="V424" s="161"/>
      <c r="W424" s="161"/>
      <c r="X424" s="161"/>
      <c r="Y424" s="161"/>
      <c r="Z424" s="161"/>
      <c r="AA424" s="161"/>
    </row>
    <row r="425" spans="1:27" ht="12" customHeight="1" x14ac:dyDescent="0.25">
      <c r="A425" s="161"/>
      <c r="B425" s="161"/>
      <c r="C425" s="161"/>
      <c r="D425" s="161"/>
      <c r="E425" s="161"/>
      <c r="F425" s="161"/>
      <c r="G425" s="161"/>
      <c r="H425" s="161"/>
      <c r="I425" s="161"/>
      <c r="J425" s="161"/>
      <c r="K425" s="161"/>
      <c r="L425" s="161"/>
      <c r="M425" s="161"/>
      <c r="N425" s="161"/>
      <c r="O425" s="161"/>
      <c r="P425" s="161"/>
      <c r="Q425" s="161"/>
      <c r="R425" s="161"/>
      <c r="S425" s="161"/>
      <c r="T425" s="161"/>
      <c r="U425" s="161"/>
      <c r="V425" s="161"/>
      <c r="W425" s="161"/>
      <c r="X425" s="161"/>
      <c r="Y425" s="161"/>
      <c r="Z425" s="161"/>
      <c r="AA425" s="161"/>
    </row>
    <row r="426" spans="1:27" ht="12" customHeight="1" x14ac:dyDescent="0.25">
      <c r="A426" s="161"/>
      <c r="B426" s="161"/>
      <c r="C426" s="161"/>
      <c r="D426" s="161"/>
      <c r="E426" s="161"/>
      <c r="F426" s="161"/>
      <c r="G426" s="161"/>
      <c r="H426" s="161"/>
      <c r="I426" s="161"/>
      <c r="J426" s="161"/>
      <c r="K426" s="161"/>
      <c r="L426" s="161"/>
      <c r="M426" s="161"/>
      <c r="N426" s="161"/>
      <c r="O426" s="161"/>
      <c r="P426" s="161"/>
      <c r="Q426" s="161"/>
      <c r="R426" s="161"/>
      <c r="S426" s="161"/>
      <c r="T426" s="161"/>
      <c r="U426" s="161"/>
      <c r="V426" s="161"/>
      <c r="W426" s="161"/>
      <c r="X426" s="161"/>
      <c r="Y426" s="161"/>
      <c r="Z426" s="161"/>
      <c r="AA426" s="161"/>
    </row>
    <row r="427" spans="1:27" ht="12" customHeight="1" x14ac:dyDescent="0.25">
      <c r="A427" s="161"/>
      <c r="B427" s="161"/>
      <c r="C427" s="161"/>
      <c r="D427" s="161"/>
      <c r="E427" s="161"/>
      <c r="F427" s="161"/>
      <c r="G427" s="161"/>
      <c r="H427" s="161"/>
      <c r="I427" s="161"/>
      <c r="J427" s="161"/>
      <c r="K427" s="161"/>
      <c r="L427" s="161"/>
      <c r="M427" s="161"/>
      <c r="N427" s="161"/>
      <c r="O427" s="161"/>
      <c r="P427" s="161"/>
      <c r="Q427" s="161"/>
      <c r="R427" s="161"/>
      <c r="S427" s="161"/>
      <c r="T427" s="161"/>
      <c r="U427" s="161"/>
      <c r="V427" s="161"/>
      <c r="W427" s="161"/>
      <c r="X427" s="161"/>
      <c r="Y427" s="161"/>
      <c r="Z427" s="161"/>
      <c r="AA427" s="161"/>
    </row>
    <row r="428" spans="1:27" ht="12" customHeight="1" x14ac:dyDescent="0.25">
      <c r="A428" s="161"/>
      <c r="B428" s="161"/>
      <c r="C428" s="161"/>
      <c r="D428" s="161"/>
      <c r="E428" s="161"/>
      <c r="F428" s="161"/>
      <c r="G428" s="161"/>
      <c r="H428" s="161"/>
      <c r="I428" s="161"/>
      <c r="J428" s="161"/>
      <c r="K428" s="161"/>
      <c r="L428" s="161"/>
      <c r="M428" s="161"/>
      <c r="N428" s="161"/>
      <c r="O428" s="161"/>
      <c r="P428" s="161"/>
      <c r="Q428" s="161"/>
      <c r="R428" s="161"/>
      <c r="S428" s="161"/>
      <c r="T428" s="161"/>
      <c r="U428" s="161"/>
      <c r="V428" s="161"/>
      <c r="W428" s="161"/>
      <c r="X428" s="161"/>
      <c r="Y428" s="161"/>
      <c r="Z428" s="161"/>
      <c r="AA428" s="161"/>
    </row>
    <row r="429" spans="1:27" ht="12" customHeight="1" x14ac:dyDescent="0.25">
      <c r="A429" s="161"/>
      <c r="B429" s="161"/>
      <c r="C429" s="161"/>
      <c r="D429" s="161"/>
      <c r="E429" s="161"/>
      <c r="F429" s="161"/>
      <c r="G429" s="161"/>
      <c r="H429" s="161"/>
      <c r="I429" s="161"/>
      <c r="J429" s="161"/>
      <c r="K429" s="161"/>
      <c r="L429" s="161"/>
      <c r="M429" s="161"/>
      <c r="N429" s="161"/>
      <c r="O429" s="161"/>
      <c r="P429" s="161"/>
      <c r="Q429" s="161"/>
      <c r="R429" s="161"/>
      <c r="S429" s="161"/>
      <c r="T429" s="161"/>
      <c r="U429" s="161"/>
      <c r="V429" s="161"/>
      <c r="W429" s="161"/>
      <c r="X429" s="161"/>
      <c r="Y429" s="161"/>
      <c r="Z429" s="161"/>
      <c r="AA429" s="161"/>
    </row>
    <row r="430" spans="1:27" ht="12" customHeight="1" x14ac:dyDescent="0.25">
      <c r="A430" s="161"/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</row>
    <row r="431" spans="1:27" ht="12" customHeight="1" x14ac:dyDescent="0.25">
      <c r="A431" s="161"/>
      <c r="B431" s="161"/>
      <c r="C431" s="161"/>
      <c r="D431" s="161"/>
      <c r="E431" s="161"/>
      <c r="F431" s="161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</row>
    <row r="432" spans="1:27" ht="12" customHeight="1" x14ac:dyDescent="0.25">
      <c r="A432" s="161"/>
      <c r="B432" s="161"/>
      <c r="C432" s="161"/>
      <c r="D432" s="161"/>
      <c r="E432" s="161"/>
      <c r="F432" s="161"/>
      <c r="G432" s="161"/>
      <c r="H432" s="161"/>
      <c r="I432" s="161"/>
      <c r="J432" s="161"/>
      <c r="K432" s="161"/>
      <c r="L432" s="161"/>
      <c r="M432" s="161"/>
      <c r="N432" s="161"/>
      <c r="O432" s="161"/>
      <c r="P432" s="161"/>
      <c r="Q432" s="161"/>
      <c r="R432" s="161"/>
      <c r="S432" s="161"/>
      <c r="T432" s="161"/>
      <c r="U432" s="161"/>
      <c r="V432" s="161"/>
      <c r="W432" s="161"/>
      <c r="X432" s="161"/>
      <c r="Y432" s="161"/>
      <c r="Z432" s="161"/>
      <c r="AA432" s="161"/>
    </row>
    <row r="433" spans="1:27" ht="12" customHeight="1" x14ac:dyDescent="0.25">
      <c r="A433" s="161"/>
      <c r="B433" s="161"/>
      <c r="C433" s="161"/>
      <c r="D433" s="161"/>
      <c r="E433" s="161"/>
      <c r="F433" s="161"/>
      <c r="G433" s="161"/>
      <c r="H433" s="161"/>
      <c r="I433" s="161"/>
      <c r="J433" s="161"/>
      <c r="K433" s="161"/>
      <c r="L433" s="161"/>
      <c r="M433" s="161"/>
      <c r="N433" s="161"/>
      <c r="O433" s="161"/>
      <c r="P433" s="161"/>
      <c r="Q433" s="161"/>
      <c r="R433" s="161"/>
      <c r="S433" s="161"/>
      <c r="T433" s="161"/>
      <c r="U433" s="161"/>
      <c r="V433" s="161"/>
      <c r="W433" s="161"/>
      <c r="X433" s="161"/>
      <c r="Y433" s="161"/>
      <c r="Z433" s="161"/>
      <c r="AA433" s="161"/>
    </row>
    <row r="434" spans="1:27" ht="12" customHeight="1" x14ac:dyDescent="0.25">
      <c r="A434" s="161"/>
      <c r="B434" s="161"/>
      <c r="C434" s="161"/>
      <c r="D434" s="161"/>
      <c r="E434" s="161"/>
      <c r="F434" s="161"/>
      <c r="G434" s="161"/>
      <c r="H434" s="161"/>
      <c r="I434" s="161"/>
      <c r="J434" s="161"/>
      <c r="K434" s="161"/>
      <c r="L434" s="161"/>
      <c r="M434" s="161"/>
      <c r="N434" s="161"/>
      <c r="O434" s="161"/>
      <c r="P434" s="161"/>
      <c r="Q434" s="161"/>
      <c r="R434" s="161"/>
      <c r="S434" s="161"/>
      <c r="T434" s="161"/>
      <c r="U434" s="161"/>
      <c r="V434" s="161"/>
      <c r="W434" s="161"/>
      <c r="X434" s="161"/>
      <c r="Y434" s="161"/>
      <c r="Z434" s="161"/>
      <c r="AA434" s="161"/>
    </row>
    <row r="435" spans="1:27" ht="12" customHeight="1" x14ac:dyDescent="0.25">
      <c r="A435" s="161"/>
      <c r="B435" s="161"/>
      <c r="C435" s="161"/>
      <c r="D435" s="161"/>
      <c r="E435" s="161"/>
      <c r="F435" s="161"/>
      <c r="G435" s="161"/>
      <c r="H435" s="161"/>
      <c r="I435" s="161"/>
      <c r="J435" s="161"/>
      <c r="K435" s="161"/>
      <c r="L435" s="161"/>
      <c r="M435" s="161"/>
      <c r="N435" s="161"/>
      <c r="O435" s="161"/>
      <c r="P435" s="161"/>
      <c r="Q435" s="161"/>
      <c r="R435" s="161"/>
      <c r="S435" s="161"/>
      <c r="T435" s="161"/>
      <c r="U435" s="161"/>
      <c r="V435" s="161"/>
      <c r="W435" s="161"/>
      <c r="X435" s="161"/>
      <c r="Y435" s="161"/>
      <c r="Z435" s="161"/>
      <c r="AA435" s="161"/>
    </row>
    <row r="436" spans="1:27" ht="12" customHeight="1" x14ac:dyDescent="0.25">
      <c r="A436" s="161"/>
      <c r="B436" s="161"/>
      <c r="C436" s="161"/>
      <c r="D436" s="161"/>
      <c r="E436" s="161"/>
      <c r="F436" s="161"/>
      <c r="G436" s="161"/>
      <c r="H436" s="161"/>
      <c r="I436" s="161"/>
      <c r="J436" s="161"/>
      <c r="K436" s="161"/>
      <c r="L436" s="161"/>
      <c r="M436" s="161"/>
      <c r="N436" s="161"/>
      <c r="O436" s="161"/>
      <c r="P436" s="161"/>
      <c r="Q436" s="161"/>
      <c r="R436" s="161"/>
      <c r="S436" s="161"/>
      <c r="T436" s="161"/>
      <c r="U436" s="161"/>
      <c r="V436" s="161"/>
      <c r="W436" s="161"/>
      <c r="X436" s="161"/>
      <c r="Y436" s="161"/>
      <c r="Z436" s="161"/>
      <c r="AA436" s="161"/>
    </row>
    <row r="437" spans="1:27" ht="12" customHeight="1" x14ac:dyDescent="0.25">
      <c r="A437" s="161"/>
      <c r="B437" s="161"/>
      <c r="C437" s="161"/>
      <c r="D437" s="161"/>
      <c r="E437" s="161"/>
      <c r="F437" s="161"/>
      <c r="G437" s="161"/>
      <c r="H437" s="161"/>
      <c r="I437" s="161"/>
      <c r="J437" s="161"/>
      <c r="K437" s="161"/>
      <c r="L437" s="161"/>
      <c r="M437" s="161"/>
      <c r="N437" s="161"/>
      <c r="O437" s="161"/>
      <c r="P437" s="161"/>
      <c r="Q437" s="161"/>
      <c r="R437" s="161"/>
      <c r="S437" s="161"/>
      <c r="T437" s="161"/>
      <c r="U437" s="161"/>
      <c r="V437" s="161"/>
      <c r="W437" s="161"/>
      <c r="X437" s="161"/>
      <c r="Y437" s="161"/>
      <c r="Z437" s="161"/>
      <c r="AA437" s="161"/>
    </row>
    <row r="438" spans="1:27" ht="12" customHeight="1" x14ac:dyDescent="0.25">
      <c r="A438" s="161"/>
      <c r="B438" s="161"/>
      <c r="C438" s="161"/>
      <c r="D438" s="161"/>
      <c r="E438" s="161"/>
      <c r="F438" s="161"/>
      <c r="G438" s="161"/>
      <c r="H438" s="161"/>
      <c r="I438" s="161"/>
      <c r="J438" s="161"/>
      <c r="K438" s="161"/>
      <c r="L438" s="161"/>
      <c r="M438" s="161"/>
      <c r="N438" s="161"/>
      <c r="O438" s="161"/>
      <c r="P438" s="161"/>
      <c r="Q438" s="161"/>
      <c r="R438" s="161"/>
      <c r="S438" s="161"/>
      <c r="T438" s="161"/>
      <c r="U438" s="161"/>
      <c r="V438" s="161"/>
      <c r="W438" s="161"/>
      <c r="X438" s="161"/>
      <c r="Y438" s="161"/>
      <c r="Z438" s="161"/>
      <c r="AA438" s="161"/>
    </row>
    <row r="439" spans="1:27" ht="12" customHeight="1" x14ac:dyDescent="0.25">
      <c r="A439" s="161"/>
      <c r="B439" s="161"/>
      <c r="C439" s="161"/>
      <c r="D439" s="161"/>
      <c r="E439" s="161"/>
      <c r="F439" s="161"/>
      <c r="G439" s="161"/>
      <c r="H439" s="161"/>
      <c r="I439" s="161"/>
      <c r="J439" s="161"/>
      <c r="K439" s="161"/>
      <c r="L439" s="161"/>
      <c r="M439" s="161"/>
      <c r="N439" s="161"/>
      <c r="O439" s="161"/>
      <c r="P439" s="161"/>
      <c r="Q439" s="161"/>
      <c r="R439" s="161"/>
      <c r="S439" s="161"/>
      <c r="T439" s="161"/>
      <c r="U439" s="161"/>
      <c r="V439" s="161"/>
      <c r="W439" s="161"/>
      <c r="X439" s="161"/>
      <c r="Y439" s="161"/>
      <c r="Z439" s="161"/>
      <c r="AA439" s="161"/>
    </row>
    <row r="440" spans="1:27" ht="12" customHeight="1" x14ac:dyDescent="0.25">
      <c r="A440" s="161"/>
      <c r="B440" s="161"/>
      <c r="C440" s="161"/>
      <c r="D440" s="161"/>
      <c r="E440" s="161"/>
      <c r="F440" s="161"/>
      <c r="G440" s="161"/>
      <c r="H440" s="161"/>
      <c r="I440" s="161"/>
      <c r="J440" s="161"/>
      <c r="K440" s="161"/>
      <c r="L440" s="161"/>
      <c r="M440" s="161"/>
      <c r="N440" s="161"/>
      <c r="O440" s="161"/>
      <c r="P440" s="161"/>
      <c r="Q440" s="161"/>
      <c r="R440" s="161"/>
      <c r="S440" s="161"/>
      <c r="T440" s="161"/>
      <c r="U440" s="161"/>
      <c r="V440" s="161"/>
      <c r="W440" s="161"/>
      <c r="X440" s="161"/>
      <c r="Y440" s="161"/>
      <c r="Z440" s="161"/>
      <c r="AA440" s="161"/>
    </row>
    <row r="441" spans="1:27" ht="12" customHeight="1" x14ac:dyDescent="0.25">
      <c r="A441" s="161"/>
      <c r="B441" s="161"/>
      <c r="C441" s="161"/>
      <c r="D441" s="161"/>
      <c r="E441" s="161"/>
      <c r="F441" s="161"/>
      <c r="G441" s="161"/>
      <c r="H441" s="161"/>
      <c r="I441" s="161"/>
      <c r="J441" s="161"/>
      <c r="K441" s="161"/>
      <c r="L441" s="161"/>
      <c r="M441" s="161"/>
      <c r="N441" s="161"/>
      <c r="O441" s="161"/>
      <c r="P441" s="161"/>
      <c r="Q441" s="161"/>
      <c r="R441" s="161"/>
      <c r="S441" s="161"/>
      <c r="T441" s="161"/>
      <c r="U441" s="161"/>
      <c r="V441" s="161"/>
      <c r="W441" s="161"/>
      <c r="X441" s="161"/>
      <c r="Y441" s="161"/>
      <c r="Z441" s="161"/>
      <c r="AA441" s="161"/>
    </row>
    <row r="442" spans="1:27" ht="12" customHeight="1" x14ac:dyDescent="0.25">
      <c r="A442" s="161"/>
      <c r="B442" s="161"/>
      <c r="C442" s="161"/>
      <c r="D442" s="161"/>
      <c r="E442" s="161"/>
      <c r="F442" s="161"/>
      <c r="G442" s="161"/>
      <c r="H442" s="161"/>
      <c r="I442" s="161"/>
      <c r="J442" s="161"/>
      <c r="K442" s="161"/>
      <c r="L442" s="161"/>
      <c r="M442" s="161"/>
      <c r="N442" s="161"/>
      <c r="O442" s="161"/>
      <c r="P442" s="161"/>
      <c r="Q442" s="161"/>
      <c r="R442" s="161"/>
      <c r="S442" s="161"/>
      <c r="T442" s="161"/>
      <c r="U442" s="161"/>
      <c r="V442" s="161"/>
      <c r="W442" s="161"/>
      <c r="X442" s="161"/>
      <c r="Y442" s="161"/>
      <c r="Z442" s="161"/>
      <c r="AA442" s="161"/>
    </row>
    <row r="443" spans="1:27" ht="12" customHeight="1" x14ac:dyDescent="0.25">
      <c r="A443" s="161"/>
      <c r="B443" s="161"/>
      <c r="C443" s="161"/>
      <c r="D443" s="161"/>
      <c r="E443" s="161"/>
      <c r="F443" s="161"/>
      <c r="G443" s="161"/>
      <c r="H443" s="161"/>
      <c r="I443" s="161"/>
      <c r="J443" s="161"/>
      <c r="K443" s="161"/>
      <c r="L443" s="161"/>
      <c r="M443" s="161"/>
      <c r="N443" s="161"/>
      <c r="O443" s="161"/>
      <c r="P443" s="161"/>
      <c r="Q443" s="161"/>
      <c r="R443" s="161"/>
      <c r="S443" s="161"/>
      <c r="T443" s="161"/>
      <c r="U443" s="161"/>
      <c r="V443" s="161"/>
      <c r="W443" s="161"/>
      <c r="X443" s="161"/>
      <c r="Y443" s="161"/>
      <c r="Z443" s="161"/>
      <c r="AA443" s="161"/>
    </row>
    <row r="444" spans="1:27" ht="12" customHeight="1" x14ac:dyDescent="0.25">
      <c r="A444" s="161"/>
      <c r="B444" s="161"/>
      <c r="C444" s="161"/>
      <c r="D444" s="161"/>
      <c r="E444" s="161"/>
      <c r="F444" s="161"/>
      <c r="G444" s="161"/>
      <c r="H444" s="161"/>
      <c r="I444" s="161"/>
      <c r="J444" s="161"/>
      <c r="K444" s="161"/>
      <c r="L444" s="161"/>
      <c r="M444" s="161"/>
      <c r="N444" s="161"/>
      <c r="O444" s="161"/>
      <c r="P444" s="161"/>
      <c r="Q444" s="161"/>
      <c r="R444" s="161"/>
      <c r="S444" s="161"/>
      <c r="T444" s="161"/>
      <c r="U444" s="161"/>
      <c r="V444" s="161"/>
      <c r="W444" s="161"/>
      <c r="X444" s="161"/>
      <c r="Y444" s="161"/>
      <c r="Z444" s="161"/>
      <c r="AA444" s="161"/>
    </row>
    <row r="445" spans="1:27" ht="12" customHeight="1" x14ac:dyDescent="0.25">
      <c r="A445" s="161"/>
      <c r="B445" s="161"/>
      <c r="C445" s="161"/>
      <c r="D445" s="161"/>
      <c r="E445" s="161"/>
      <c r="F445" s="161"/>
      <c r="G445" s="161"/>
      <c r="H445" s="161"/>
      <c r="I445" s="161"/>
      <c r="J445" s="161"/>
      <c r="K445" s="161"/>
      <c r="L445" s="161"/>
      <c r="M445" s="161"/>
      <c r="N445" s="161"/>
      <c r="O445" s="161"/>
      <c r="P445" s="161"/>
      <c r="Q445" s="161"/>
      <c r="R445" s="161"/>
      <c r="S445" s="161"/>
      <c r="T445" s="161"/>
      <c r="U445" s="161"/>
      <c r="V445" s="161"/>
      <c r="W445" s="161"/>
      <c r="X445" s="161"/>
      <c r="Y445" s="161"/>
      <c r="Z445" s="161"/>
      <c r="AA445" s="161"/>
    </row>
    <row r="446" spans="1:27" ht="12" customHeight="1" x14ac:dyDescent="0.25">
      <c r="A446" s="161"/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</row>
    <row r="447" spans="1:27" ht="12" customHeight="1" x14ac:dyDescent="0.25">
      <c r="A447" s="161"/>
      <c r="B447" s="161"/>
      <c r="C447" s="161"/>
      <c r="D447" s="161"/>
      <c r="E447" s="161"/>
      <c r="F447" s="161"/>
      <c r="G447" s="161"/>
      <c r="H447" s="161"/>
      <c r="I447" s="161"/>
      <c r="J447" s="161"/>
      <c r="K447" s="161"/>
      <c r="L447" s="161"/>
      <c r="M447" s="161"/>
      <c r="N447" s="161"/>
      <c r="O447" s="161"/>
      <c r="P447" s="161"/>
      <c r="Q447" s="161"/>
      <c r="R447" s="161"/>
      <c r="S447" s="161"/>
      <c r="T447" s="161"/>
      <c r="U447" s="161"/>
      <c r="V447" s="161"/>
      <c r="W447" s="161"/>
      <c r="X447" s="161"/>
      <c r="Y447" s="161"/>
      <c r="Z447" s="161"/>
      <c r="AA447" s="161"/>
    </row>
    <row r="448" spans="1:27" ht="12" customHeight="1" x14ac:dyDescent="0.25">
      <c r="A448" s="161"/>
      <c r="B448" s="161"/>
      <c r="C448" s="161"/>
      <c r="D448" s="161"/>
      <c r="E448" s="161"/>
      <c r="F448" s="161"/>
      <c r="G448" s="161"/>
      <c r="H448" s="161"/>
      <c r="I448" s="161"/>
      <c r="J448" s="161"/>
      <c r="K448" s="161"/>
      <c r="L448" s="161"/>
      <c r="M448" s="161"/>
      <c r="N448" s="161"/>
      <c r="O448" s="161"/>
      <c r="P448" s="161"/>
      <c r="Q448" s="161"/>
      <c r="R448" s="161"/>
      <c r="S448" s="161"/>
      <c r="T448" s="161"/>
      <c r="U448" s="161"/>
      <c r="V448" s="161"/>
      <c r="W448" s="161"/>
      <c r="X448" s="161"/>
      <c r="Y448" s="161"/>
      <c r="Z448" s="161"/>
      <c r="AA448" s="161"/>
    </row>
    <row r="449" spans="1:27" ht="12" customHeight="1" x14ac:dyDescent="0.25">
      <c r="A449" s="161"/>
      <c r="B449" s="161"/>
      <c r="C449" s="161"/>
      <c r="D449" s="161"/>
      <c r="E449" s="161"/>
      <c r="F449" s="161"/>
      <c r="G449" s="161"/>
      <c r="H449" s="161"/>
      <c r="I449" s="161"/>
      <c r="J449" s="161"/>
      <c r="K449" s="161"/>
      <c r="L449" s="161"/>
      <c r="M449" s="161"/>
      <c r="N449" s="161"/>
      <c r="O449" s="161"/>
      <c r="P449" s="161"/>
      <c r="Q449" s="161"/>
      <c r="R449" s="161"/>
      <c r="S449" s="161"/>
      <c r="T449" s="161"/>
      <c r="U449" s="161"/>
      <c r="V449" s="161"/>
      <c r="W449" s="161"/>
      <c r="X449" s="161"/>
      <c r="Y449" s="161"/>
      <c r="Z449" s="161"/>
      <c r="AA449" s="161"/>
    </row>
    <row r="450" spans="1:27" ht="12" customHeight="1" x14ac:dyDescent="0.25">
      <c r="A450" s="161"/>
      <c r="B450" s="161"/>
      <c r="C450" s="161"/>
      <c r="D450" s="161"/>
      <c r="E450" s="161"/>
      <c r="F450" s="161"/>
      <c r="G450" s="161"/>
      <c r="H450" s="161"/>
      <c r="I450" s="161"/>
      <c r="J450" s="161"/>
      <c r="K450" s="161"/>
      <c r="L450" s="161"/>
      <c r="M450" s="161"/>
      <c r="N450" s="161"/>
      <c r="O450" s="161"/>
      <c r="P450" s="161"/>
      <c r="Q450" s="161"/>
      <c r="R450" s="161"/>
      <c r="S450" s="161"/>
      <c r="T450" s="161"/>
      <c r="U450" s="161"/>
      <c r="V450" s="161"/>
      <c r="W450" s="161"/>
      <c r="X450" s="161"/>
      <c r="Y450" s="161"/>
      <c r="Z450" s="161"/>
      <c r="AA450" s="161"/>
    </row>
    <row r="451" spans="1:27" ht="12" customHeight="1" x14ac:dyDescent="0.25">
      <c r="A451" s="161"/>
      <c r="B451" s="161"/>
      <c r="C451" s="161"/>
      <c r="D451" s="161"/>
      <c r="E451" s="161"/>
      <c r="F451" s="161"/>
      <c r="G451" s="161"/>
      <c r="H451" s="161"/>
      <c r="I451" s="161"/>
      <c r="J451" s="161"/>
      <c r="K451" s="161"/>
      <c r="L451" s="161"/>
      <c r="M451" s="161"/>
      <c r="N451" s="161"/>
      <c r="O451" s="161"/>
      <c r="P451" s="161"/>
      <c r="Q451" s="161"/>
      <c r="R451" s="161"/>
      <c r="S451" s="161"/>
      <c r="T451" s="161"/>
      <c r="U451" s="161"/>
      <c r="V451" s="161"/>
      <c r="W451" s="161"/>
      <c r="X451" s="161"/>
      <c r="Y451" s="161"/>
      <c r="Z451" s="161"/>
      <c r="AA451" s="161"/>
    </row>
    <row r="452" spans="1:27" ht="12" customHeight="1" x14ac:dyDescent="0.25">
      <c r="A452" s="161"/>
      <c r="B452" s="161"/>
      <c r="C452" s="161"/>
      <c r="D452" s="161"/>
      <c r="E452" s="161"/>
      <c r="F452" s="161"/>
      <c r="G452" s="161"/>
      <c r="H452" s="161"/>
      <c r="I452" s="161"/>
      <c r="J452" s="161"/>
      <c r="K452" s="161"/>
      <c r="L452" s="161"/>
      <c r="M452" s="161"/>
      <c r="N452" s="161"/>
      <c r="O452" s="161"/>
      <c r="P452" s="161"/>
      <c r="Q452" s="161"/>
      <c r="R452" s="161"/>
      <c r="S452" s="161"/>
      <c r="T452" s="161"/>
      <c r="U452" s="161"/>
      <c r="V452" s="161"/>
      <c r="W452" s="161"/>
      <c r="X452" s="161"/>
      <c r="Y452" s="161"/>
      <c r="Z452" s="161"/>
      <c r="AA452" s="161"/>
    </row>
    <row r="453" spans="1:27" ht="12" customHeight="1" x14ac:dyDescent="0.25">
      <c r="A453" s="161"/>
      <c r="B453" s="161"/>
      <c r="C453" s="161"/>
      <c r="D453" s="161"/>
      <c r="E453" s="161"/>
      <c r="F453" s="161"/>
      <c r="G453" s="161"/>
      <c r="H453" s="161"/>
      <c r="I453" s="161"/>
      <c r="J453" s="161"/>
      <c r="K453" s="161"/>
      <c r="L453" s="161"/>
      <c r="M453" s="161"/>
      <c r="N453" s="161"/>
      <c r="O453" s="161"/>
      <c r="P453" s="161"/>
      <c r="Q453" s="161"/>
      <c r="R453" s="161"/>
      <c r="S453" s="161"/>
      <c r="T453" s="161"/>
      <c r="U453" s="161"/>
      <c r="V453" s="161"/>
      <c r="W453" s="161"/>
      <c r="X453" s="161"/>
      <c r="Y453" s="161"/>
      <c r="Z453" s="161"/>
      <c r="AA453" s="161"/>
    </row>
    <row r="454" spans="1:27" ht="12" customHeight="1" x14ac:dyDescent="0.25">
      <c r="A454" s="161"/>
      <c r="B454" s="161"/>
      <c r="C454" s="161"/>
      <c r="D454" s="161"/>
      <c r="E454" s="161"/>
      <c r="F454" s="161"/>
      <c r="G454" s="161"/>
      <c r="H454" s="161"/>
      <c r="I454" s="161"/>
      <c r="J454" s="161"/>
      <c r="K454" s="161"/>
      <c r="L454" s="161"/>
      <c r="M454" s="161"/>
      <c r="N454" s="161"/>
      <c r="O454" s="161"/>
      <c r="P454" s="161"/>
      <c r="Q454" s="161"/>
      <c r="R454" s="161"/>
      <c r="S454" s="161"/>
      <c r="T454" s="161"/>
      <c r="U454" s="161"/>
      <c r="V454" s="161"/>
      <c r="W454" s="161"/>
      <c r="X454" s="161"/>
      <c r="Y454" s="161"/>
      <c r="Z454" s="161"/>
      <c r="AA454" s="161"/>
    </row>
    <row r="455" spans="1:27" ht="12" customHeight="1" x14ac:dyDescent="0.25">
      <c r="A455" s="161"/>
      <c r="B455" s="161"/>
      <c r="C455" s="161"/>
      <c r="D455" s="161"/>
      <c r="E455" s="161"/>
      <c r="F455" s="161"/>
      <c r="G455" s="161"/>
      <c r="H455" s="161"/>
      <c r="I455" s="161"/>
      <c r="J455" s="161"/>
      <c r="K455" s="161"/>
      <c r="L455" s="161"/>
      <c r="M455" s="161"/>
      <c r="N455" s="161"/>
      <c r="O455" s="161"/>
      <c r="P455" s="161"/>
      <c r="Q455" s="161"/>
      <c r="R455" s="161"/>
      <c r="S455" s="161"/>
      <c r="T455" s="161"/>
      <c r="U455" s="161"/>
      <c r="V455" s="161"/>
      <c r="W455" s="161"/>
      <c r="X455" s="161"/>
      <c r="Y455" s="161"/>
      <c r="Z455" s="161"/>
      <c r="AA455" s="161"/>
    </row>
    <row r="456" spans="1:27" ht="12" customHeight="1" x14ac:dyDescent="0.25">
      <c r="A456" s="161"/>
      <c r="B456" s="161"/>
      <c r="C456" s="161"/>
      <c r="D456" s="161"/>
      <c r="E456" s="161"/>
      <c r="F456" s="161"/>
      <c r="G456" s="161"/>
      <c r="H456" s="161"/>
      <c r="I456" s="161"/>
      <c r="J456" s="161"/>
      <c r="K456" s="161"/>
      <c r="L456" s="161"/>
      <c r="M456" s="161"/>
      <c r="N456" s="161"/>
      <c r="O456" s="161"/>
      <c r="P456" s="161"/>
      <c r="Q456" s="161"/>
      <c r="R456" s="161"/>
      <c r="S456" s="161"/>
      <c r="T456" s="161"/>
      <c r="U456" s="161"/>
      <c r="V456" s="161"/>
      <c r="W456" s="161"/>
      <c r="X456" s="161"/>
      <c r="Y456" s="161"/>
      <c r="Z456" s="161"/>
      <c r="AA456" s="161"/>
    </row>
    <row r="457" spans="1:27" ht="12" customHeight="1" x14ac:dyDescent="0.25">
      <c r="A457" s="161"/>
      <c r="B457" s="161"/>
      <c r="C457" s="161"/>
      <c r="D457" s="161"/>
      <c r="E457" s="161"/>
      <c r="F457" s="161"/>
      <c r="G457" s="161"/>
      <c r="H457" s="161"/>
      <c r="I457" s="161"/>
      <c r="J457" s="161"/>
      <c r="K457" s="161"/>
      <c r="L457" s="161"/>
      <c r="M457" s="161"/>
      <c r="N457" s="161"/>
      <c r="O457" s="161"/>
      <c r="P457" s="161"/>
      <c r="Q457" s="161"/>
      <c r="R457" s="161"/>
      <c r="S457" s="161"/>
      <c r="T457" s="161"/>
      <c r="U457" s="161"/>
      <c r="V457" s="161"/>
      <c r="W457" s="161"/>
      <c r="X457" s="161"/>
      <c r="Y457" s="161"/>
      <c r="Z457" s="161"/>
      <c r="AA457" s="161"/>
    </row>
    <row r="458" spans="1:27" ht="12" customHeight="1" x14ac:dyDescent="0.25">
      <c r="A458" s="161"/>
      <c r="B458" s="161"/>
      <c r="C458" s="161"/>
      <c r="D458" s="161"/>
      <c r="E458" s="161"/>
      <c r="F458" s="161"/>
      <c r="G458" s="161"/>
      <c r="H458" s="161"/>
      <c r="I458" s="161"/>
      <c r="J458" s="161"/>
      <c r="K458" s="161"/>
      <c r="L458" s="161"/>
      <c r="M458" s="161"/>
      <c r="N458" s="161"/>
      <c r="O458" s="161"/>
      <c r="P458" s="161"/>
      <c r="Q458" s="161"/>
      <c r="R458" s="161"/>
      <c r="S458" s="161"/>
      <c r="T458" s="161"/>
      <c r="U458" s="161"/>
      <c r="V458" s="161"/>
      <c r="W458" s="161"/>
      <c r="X458" s="161"/>
      <c r="Y458" s="161"/>
      <c r="Z458" s="161"/>
      <c r="AA458" s="161"/>
    </row>
    <row r="459" spans="1:27" ht="12" customHeight="1" x14ac:dyDescent="0.25">
      <c r="A459" s="161"/>
      <c r="B459" s="161"/>
      <c r="C459" s="161"/>
      <c r="D459" s="161"/>
      <c r="E459" s="161"/>
      <c r="F459" s="161"/>
      <c r="G459" s="161"/>
      <c r="H459" s="161"/>
      <c r="I459" s="161"/>
      <c r="J459" s="161"/>
      <c r="K459" s="161"/>
      <c r="L459" s="161"/>
      <c r="M459" s="161"/>
      <c r="N459" s="161"/>
      <c r="O459" s="161"/>
      <c r="P459" s="161"/>
      <c r="Q459" s="161"/>
      <c r="R459" s="161"/>
      <c r="S459" s="161"/>
      <c r="T459" s="161"/>
      <c r="U459" s="161"/>
      <c r="V459" s="161"/>
      <c r="W459" s="161"/>
      <c r="X459" s="161"/>
      <c r="Y459" s="161"/>
      <c r="Z459" s="161"/>
      <c r="AA459" s="161"/>
    </row>
    <row r="460" spans="1:27" ht="12" customHeight="1" x14ac:dyDescent="0.25">
      <c r="A460" s="161"/>
      <c r="B460" s="161"/>
      <c r="C460" s="161"/>
      <c r="D460" s="161"/>
      <c r="E460" s="161"/>
      <c r="F460" s="161"/>
      <c r="G460" s="161"/>
      <c r="H460" s="161"/>
      <c r="I460" s="161"/>
      <c r="J460" s="161"/>
      <c r="K460" s="161"/>
      <c r="L460" s="161"/>
      <c r="M460" s="161"/>
      <c r="N460" s="161"/>
      <c r="O460" s="161"/>
      <c r="P460" s="161"/>
      <c r="Q460" s="161"/>
      <c r="R460" s="161"/>
      <c r="S460" s="161"/>
      <c r="T460" s="161"/>
      <c r="U460" s="161"/>
      <c r="V460" s="161"/>
      <c r="W460" s="161"/>
      <c r="X460" s="161"/>
      <c r="Y460" s="161"/>
      <c r="Z460" s="161"/>
      <c r="AA460" s="161"/>
    </row>
    <row r="461" spans="1:27" ht="12" customHeight="1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  <c r="J461" s="161"/>
      <c r="K461" s="161"/>
      <c r="L461" s="161"/>
      <c r="M461" s="161"/>
      <c r="N461" s="161"/>
      <c r="O461" s="161"/>
      <c r="P461" s="161"/>
      <c r="Q461" s="161"/>
      <c r="R461" s="161"/>
      <c r="S461" s="161"/>
      <c r="T461" s="161"/>
      <c r="U461" s="161"/>
      <c r="V461" s="161"/>
      <c r="W461" s="161"/>
      <c r="X461" s="161"/>
      <c r="Y461" s="161"/>
      <c r="Z461" s="161"/>
      <c r="AA461" s="161"/>
    </row>
    <row r="462" spans="1:27" ht="12" customHeight="1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  <c r="J462" s="161"/>
      <c r="K462" s="161"/>
      <c r="L462" s="161"/>
      <c r="M462" s="161"/>
      <c r="N462" s="161"/>
      <c r="O462" s="161"/>
      <c r="P462" s="161"/>
      <c r="Q462" s="161"/>
      <c r="R462" s="161"/>
      <c r="S462" s="161"/>
      <c r="T462" s="161"/>
      <c r="U462" s="161"/>
      <c r="V462" s="161"/>
      <c r="W462" s="161"/>
      <c r="X462" s="161"/>
      <c r="Y462" s="161"/>
      <c r="Z462" s="161"/>
      <c r="AA462" s="161"/>
    </row>
    <row r="463" spans="1:27" ht="12" customHeight="1" x14ac:dyDescent="0.25">
      <c r="A463" s="161"/>
      <c r="B463" s="161"/>
      <c r="C463" s="161"/>
      <c r="D463" s="161"/>
      <c r="E463" s="161"/>
      <c r="F463" s="161"/>
      <c r="G463" s="161"/>
      <c r="H463" s="161"/>
      <c r="I463" s="161"/>
      <c r="J463" s="161"/>
      <c r="K463" s="161"/>
      <c r="L463" s="161"/>
      <c r="M463" s="161"/>
      <c r="N463" s="161"/>
      <c r="O463" s="161"/>
      <c r="P463" s="161"/>
      <c r="Q463" s="161"/>
      <c r="R463" s="161"/>
      <c r="S463" s="161"/>
      <c r="T463" s="161"/>
      <c r="U463" s="161"/>
      <c r="V463" s="161"/>
      <c r="W463" s="161"/>
      <c r="X463" s="161"/>
      <c r="Y463" s="161"/>
      <c r="Z463" s="161"/>
      <c r="AA463" s="161"/>
    </row>
    <row r="464" spans="1:27" ht="12" customHeight="1" x14ac:dyDescent="0.25">
      <c r="A464" s="161"/>
      <c r="B464" s="161"/>
      <c r="C464" s="161"/>
      <c r="D464" s="161"/>
      <c r="E464" s="161"/>
      <c r="F464" s="161"/>
      <c r="G464" s="161"/>
      <c r="H464" s="161"/>
      <c r="I464" s="161"/>
      <c r="J464" s="161"/>
      <c r="K464" s="161"/>
      <c r="L464" s="161"/>
      <c r="M464" s="161"/>
      <c r="N464" s="161"/>
      <c r="O464" s="161"/>
      <c r="P464" s="161"/>
      <c r="Q464" s="161"/>
      <c r="R464" s="161"/>
      <c r="S464" s="161"/>
      <c r="T464" s="161"/>
      <c r="U464" s="161"/>
      <c r="V464" s="161"/>
      <c r="W464" s="161"/>
      <c r="X464" s="161"/>
      <c r="Y464" s="161"/>
      <c r="Z464" s="161"/>
      <c r="AA464" s="161"/>
    </row>
    <row r="465" spans="1:27" ht="12" customHeight="1" x14ac:dyDescent="0.25">
      <c r="A465" s="161"/>
      <c r="B465" s="161"/>
      <c r="C465" s="161"/>
      <c r="D465" s="161"/>
      <c r="E465" s="161"/>
      <c r="F465" s="161"/>
      <c r="G465" s="161"/>
      <c r="H465" s="161"/>
      <c r="I465" s="161"/>
      <c r="J465" s="161"/>
      <c r="K465" s="161"/>
      <c r="L465" s="161"/>
      <c r="M465" s="161"/>
      <c r="N465" s="161"/>
      <c r="O465" s="161"/>
      <c r="P465" s="161"/>
      <c r="Q465" s="161"/>
      <c r="R465" s="161"/>
      <c r="S465" s="161"/>
      <c r="T465" s="161"/>
      <c r="U465" s="161"/>
      <c r="V465" s="161"/>
      <c r="W465" s="161"/>
      <c r="X465" s="161"/>
      <c r="Y465" s="161"/>
      <c r="Z465" s="161"/>
      <c r="AA465" s="161"/>
    </row>
    <row r="466" spans="1:27" ht="12" customHeight="1" x14ac:dyDescent="0.25">
      <c r="A466" s="161"/>
      <c r="B466" s="161"/>
      <c r="C466" s="161"/>
      <c r="D466" s="161"/>
      <c r="E466" s="161"/>
      <c r="F466" s="161"/>
      <c r="G466" s="161"/>
      <c r="H466" s="161"/>
      <c r="I466" s="161"/>
      <c r="J466" s="161"/>
      <c r="K466" s="161"/>
      <c r="L466" s="161"/>
      <c r="M466" s="161"/>
      <c r="N466" s="161"/>
      <c r="O466" s="161"/>
      <c r="P466" s="161"/>
      <c r="Q466" s="161"/>
      <c r="R466" s="161"/>
      <c r="S466" s="161"/>
      <c r="T466" s="161"/>
      <c r="U466" s="161"/>
      <c r="V466" s="161"/>
      <c r="W466" s="161"/>
      <c r="X466" s="161"/>
      <c r="Y466" s="161"/>
      <c r="Z466" s="161"/>
      <c r="AA466" s="161"/>
    </row>
    <row r="467" spans="1:27" ht="12" customHeight="1" x14ac:dyDescent="0.25">
      <c r="A467" s="161"/>
      <c r="B467" s="161"/>
      <c r="C467" s="161"/>
      <c r="D467" s="161"/>
      <c r="E467" s="161"/>
      <c r="F467" s="161"/>
      <c r="G467" s="161"/>
      <c r="H467" s="161"/>
      <c r="I467" s="161"/>
      <c r="J467" s="161"/>
      <c r="K467" s="161"/>
      <c r="L467" s="161"/>
      <c r="M467" s="161"/>
      <c r="N467" s="161"/>
      <c r="O467" s="161"/>
      <c r="P467" s="161"/>
      <c r="Q467" s="161"/>
      <c r="R467" s="161"/>
      <c r="S467" s="161"/>
      <c r="T467" s="161"/>
      <c r="U467" s="161"/>
      <c r="V467" s="161"/>
      <c r="W467" s="161"/>
      <c r="X467" s="161"/>
      <c r="Y467" s="161"/>
      <c r="Z467" s="161"/>
      <c r="AA467" s="161"/>
    </row>
    <row r="468" spans="1:27" ht="12" customHeight="1" x14ac:dyDescent="0.25">
      <c r="A468" s="161"/>
      <c r="B468" s="161"/>
      <c r="C468" s="161"/>
      <c r="D468" s="161"/>
      <c r="E468" s="161"/>
      <c r="F468" s="161"/>
      <c r="G468" s="161"/>
      <c r="H468" s="161"/>
      <c r="I468" s="161"/>
      <c r="J468" s="161"/>
      <c r="K468" s="161"/>
      <c r="L468" s="161"/>
      <c r="M468" s="161"/>
      <c r="N468" s="161"/>
      <c r="O468" s="161"/>
      <c r="P468" s="161"/>
      <c r="Q468" s="161"/>
      <c r="R468" s="161"/>
      <c r="S468" s="161"/>
      <c r="T468" s="161"/>
      <c r="U468" s="161"/>
      <c r="V468" s="161"/>
      <c r="W468" s="161"/>
      <c r="X468" s="161"/>
      <c r="Y468" s="161"/>
      <c r="Z468" s="161"/>
      <c r="AA468" s="161"/>
    </row>
    <row r="469" spans="1:27" ht="12" customHeight="1" x14ac:dyDescent="0.25">
      <c r="A469" s="161"/>
      <c r="B469" s="161"/>
      <c r="C469" s="161"/>
      <c r="D469" s="161"/>
      <c r="E469" s="161"/>
      <c r="F469" s="161"/>
      <c r="G469" s="161"/>
      <c r="H469" s="161"/>
      <c r="I469" s="161"/>
      <c r="J469" s="161"/>
      <c r="K469" s="161"/>
      <c r="L469" s="161"/>
      <c r="M469" s="161"/>
      <c r="N469" s="161"/>
      <c r="O469" s="161"/>
      <c r="P469" s="161"/>
      <c r="Q469" s="161"/>
      <c r="R469" s="161"/>
      <c r="S469" s="161"/>
      <c r="T469" s="161"/>
      <c r="U469" s="161"/>
      <c r="V469" s="161"/>
      <c r="W469" s="161"/>
      <c r="X469" s="161"/>
      <c r="Y469" s="161"/>
      <c r="Z469" s="161"/>
      <c r="AA469" s="161"/>
    </row>
    <row r="470" spans="1:27" ht="12" customHeight="1" x14ac:dyDescent="0.25">
      <c r="A470" s="161"/>
      <c r="B470" s="161"/>
      <c r="C470" s="161"/>
      <c r="D470" s="161"/>
      <c r="E470" s="161"/>
      <c r="F470" s="161"/>
      <c r="G470" s="161"/>
      <c r="H470" s="161"/>
      <c r="I470" s="161"/>
      <c r="J470" s="161"/>
      <c r="K470" s="161"/>
      <c r="L470" s="161"/>
      <c r="M470" s="161"/>
      <c r="N470" s="161"/>
      <c r="O470" s="161"/>
      <c r="P470" s="161"/>
      <c r="Q470" s="161"/>
      <c r="R470" s="161"/>
      <c r="S470" s="161"/>
      <c r="T470" s="161"/>
      <c r="U470" s="161"/>
      <c r="V470" s="161"/>
      <c r="W470" s="161"/>
      <c r="X470" s="161"/>
      <c r="Y470" s="161"/>
      <c r="Z470" s="161"/>
      <c r="AA470" s="161"/>
    </row>
    <row r="471" spans="1:27" ht="12" customHeight="1" x14ac:dyDescent="0.25">
      <c r="A471" s="161"/>
      <c r="B471" s="161"/>
      <c r="C471" s="161"/>
      <c r="D471" s="161"/>
      <c r="E471" s="161"/>
      <c r="F471" s="161"/>
      <c r="G471" s="161"/>
      <c r="H471" s="161"/>
      <c r="I471" s="161"/>
      <c r="J471" s="161"/>
      <c r="K471" s="161"/>
      <c r="L471" s="161"/>
      <c r="M471" s="161"/>
      <c r="N471" s="161"/>
      <c r="O471" s="161"/>
      <c r="P471" s="161"/>
      <c r="Q471" s="161"/>
      <c r="R471" s="161"/>
      <c r="S471" s="161"/>
      <c r="T471" s="161"/>
      <c r="U471" s="161"/>
      <c r="V471" s="161"/>
      <c r="W471" s="161"/>
      <c r="X471" s="161"/>
      <c r="Y471" s="161"/>
      <c r="Z471" s="161"/>
      <c r="AA471" s="161"/>
    </row>
    <row r="472" spans="1:27" ht="12" customHeight="1" x14ac:dyDescent="0.25">
      <c r="A472" s="161"/>
      <c r="B472" s="161"/>
      <c r="C472" s="161"/>
      <c r="D472" s="161"/>
      <c r="E472" s="161"/>
      <c r="F472" s="161"/>
      <c r="G472" s="161"/>
      <c r="H472" s="161"/>
      <c r="I472" s="161"/>
      <c r="J472" s="161"/>
      <c r="K472" s="161"/>
      <c r="L472" s="161"/>
      <c r="M472" s="161"/>
      <c r="N472" s="161"/>
      <c r="O472" s="161"/>
      <c r="P472" s="161"/>
      <c r="Q472" s="161"/>
      <c r="R472" s="161"/>
      <c r="S472" s="161"/>
      <c r="T472" s="161"/>
      <c r="U472" s="161"/>
      <c r="V472" s="161"/>
      <c r="W472" s="161"/>
      <c r="X472" s="161"/>
      <c r="Y472" s="161"/>
      <c r="Z472" s="161"/>
      <c r="AA472" s="161"/>
    </row>
    <row r="473" spans="1:27" ht="12" customHeight="1" x14ac:dyDescent="0.25">
      <c r="A473" s="161"/>
      <c r="B473" s="161"/>
      <c r="C473" s="161"/>
      <c r="D473" s="161"/>
      <c r="E473" s="161"/>
      <c r="F473" s="161"/>
      <c r="G473" s="161"/>
      <c r="H473" s="161"/>
      <c r="I473" s="161"/>
      <c r="J473" s="161"/>
      <c r="K473" s="161"/>
      <c r="L473" s="161"/>
      <c r="M473" s="161"/>
      <c r="N473" s="161"/>
      <c r="O473" s="161"/>
      <c r="P473" s="161"/>
      <c r="Q473" s="161"/>
      <c r="R473" s="161"/>
      <c r="S473" s="161"/>
      <c r="T473" s="161"/>
      <c r="U473" s="161"/>
      <c r="V473" s="161"/>
      <c r="W473" s="161"/>
      <c r="X473" s="161"/>
      <c r="Y473" s="161"/>
      <c r="Z473" s="161"/>
      <c r="AA473" s="161"/>
    </row>
    <row r="474" spans="1:27" ht="12" customHeight="1" x14ac:dyDescent="0.25">
      <c r="A474" s="161"/>
      <c r="B474" s="161"/>
      <c r="C474" s="161"/>
      <c r="D474" s="161"/>
      <c r="E474" s="161"/>
      <c r="F474" s="161"/>
      <c r="G474" s="161"/>
      <c r="H474" s="161"/>
      <c r="I474" s="161"/>
      <c r="J474" s="161"/>
      <c r="K474" s="161"/>
      <c r="L474" s="161"/>
      <c r="M474" s="161"/>
      <c r="N474" s="161"/>
      <c r="O474" s="161"/>
      <c r="P474" s="161"/>
      <c r="Q474" s="161"/>
      <c r="R474" s="161"/>
      <c r="S474" s="161"/>
      <c r="T474" s="161"/>
      <c r="U474" s="161"/>
      <c r="V474" s="161"/>
      <c r="W474" s="161"/>
      <c r="X474" s="161"/>
      <c r="Y474" s="161"/>
      <c r="Z474" s="161"/>
      <c r="AA474" s="161"/>
    </row>
    <row r="475" spans="1:27" ht="12" customHeight="1" x14ac:dyDescent="0.25">
      <c r="A475" s="161"/>
      <c r="B475" s="161"/>
      <c r="C475" s="161"/>
      <c r="D475" s="161"/>
      <c r="E475" s="161"/>
      <c r="F475" s="161"/>
      <c r="G475" s="161"/>
      <c r="H475" s="161"/>
      <c r="I475" s="161"/>
      <c r="J475" s="161"/>
      <c r="K475" s="161"/>
      <c r="L475" s="161"/>
      <c r="M475" s="161"/>
      <c r="N475" s="161"/>
      <c r="O475" s="161"/>
      <c r="P475" s="161"/>
      <c r="Q475" s="161"/>
      <c r="R475" s="161"/>
      <c r="S475" s="161"/>
      <c r="T475" s="161"/>
      <c r="U475" s="161"/>
      <c r="V475" s="161"/>
      <c r="W475" s="161"/>
      <c r="X475" s="161"/>
      <c r="Y475" s="161"/>
      <c r="Z475" s="161"/>
      <c r="AA475" s="161"/>
    </row>
    <row r="476" spans="1:27" ht="12" customHeight="1" x14ac:dyDescent="0.25">
      <c r="A476" s="161"/>
      <c r="B476" s="161"/>
      <c r="C476" s="161"/>
      <c r="D476" s="161"/>
      <c r="E476" s="161"/>
      <c r="F476" s="161"/>
      <c r="G476" s="161"/>
      <c r="H476" s="161"/>
      <c r="I476" s="161"/>
      <c r="J476" s="161"/>
      <c r="K476" s="161"/>
      <c r="L476" s="161"/>
      <c r="M476" s="161"/>
      <c r="N476" s="161"/>
      <c r="O476" s="161"/>
      <c r="P476" s="161"/>
      <c r="Q476" s="161"/>
      <c r="R476" s="161"/>
      <c r="S476" s="161"/>
      <c r="T476" s="161"/>
      <c r="U476" s="161"/>
      <c r="V476" s="161"/>
      <c r="W476" s="161"/>
      <c r="X476" s="161"/>
      <c r="Y476" s="161"/>
      <c r="Z476" s="161"/>
      <c r="AA476" s="161"/>
    </row>
    <row r="477" spans="1:27" ht="12" customHeight="1" x14ac:dyDescent="0.25">
      <c r="A477" s="161"/>
      <c r="B477" s="161"/>
      <c r="C477" s="161"/>
      <c r="D477" s="161"/>
      <c r="E477" s="161"/>
      <c r="F477" s="161"/>
      <c r="G477" s="161"/>
      <c r="H477" s="161"/>
      <c r="I477" s="161"/>
      <c r="J477" s="161"/>
      <c r="K477" s="161"/>
      <c r="L477" s="161"/>
      <c r="M477" s="161"/>
      <c r="N477" s="161"/>
      <c r="O477" s="161"/>
      <c r="P477" s="161"/>
      <c r="Q477" s="161"/>
      <c r="R477" s="161"/>
      <c r="S477" s="161"/>
      <c r="T477" s="161"/>
      <c r="U477" s="161"/>
      <c r="V477" s="161"/>
      <c r="W477" s="161"/>
      <c r="X477" s="161"/>
      <c r="Y477" s="161"/>
      <c r="Z477" s="161"/>
      <c r="AA477" s="161"/>
    </row>
    <row r="478" spans="1:27" ht="12" customHeight="1" x14ac:dyDescent="0.25">
      <c r="A478" s="161"/>
      <c r="B478" s="161"/>
      <c r="C478" s="161"/>
      <c r="D478" s="161"/>
      <c r="E478" s="161"/>
      <c r="F478" s="161"/>
      <c r="G478" s="161"/>
      <c r="H478" s="161"/>
      <c r="I478" s="161"/>
      <c r="J478" s="161"/>
      <c r="K478" s="161"/>
      <c r="L478" s="161"/>
      <c r="M478" s="161"/>
      <c r="N478" s="161"/>
      <c r="O478" s="161"/>
      <c r="P478" s="161"/>
      <c r="Q478" s="161"/>
      <c r="R478" s="161"/>
      <c r="S478" s="161"/>
      <c r="T478" s="161"/>
      <c r="U478" s="161"/>
      <c r="V478" s="161"/>
      <c r="W478" s="161"/>
      <c r="X478" s="161"/>
      <c r="Y478" s="161"/>
      <c r="Z478" s="161"/>
      <c r="AA478" s="161"/>
    </row>
    <row r="479" spans="1:27" ht="12" customHeight="1" x14ac:dyDescent="0.25">
      <c r="A479" s="161"/>
      <c r="B479" s="161"/>
      <c r="C479" s="161"/>
      <c r="D479" s="161"/>
      <c r="E479" s="161"/>
      <c r="F479" s="161"/>
      <c r="G479" s="161"/>
      <c r="H479" s="161"/>
      <c r="I479" s="161"/>
      <c r="J479" s="161"/>
      <c r="K479" s="161"/>
      <c r="L479" s="161"/>
      <c r="M479" s="161"/>
      <c r="N479" s="161"/>
      <c r="O479" s="161"/>
      <c r="P479" s="161"/>
      <c r="Q479" s="161"/>
      <c r="R479" s="161"/>
      <c r="S479" s="161"/>
      <c r="T479" s="161"/>
      <c r="U479" s="161"/>
      <c r="V479" s="161"/>
      <c r="W479" s="161"/>
      <c r="X479" s="161"/>
      <c r="Y479" s="161"/>
      <c r="Z479" s="161"/>
      <c r="AA479" s="161"/>
    </row>
    <row r="480" spans="1:27" ht="12" customHeight="1" x14ac:dyDescent="0.25">
      <c r="A480" s="161"/>
      <c r="B480" s="161"/>
      <c r="C480" s="161"/>
      <c r="D480" s="161"/>
      <c r="E480" s="161"/>
      <c r="F480" s="161"/>
      <c r="G480" s="161"/>
      <c r="H480" s="161"/>
      <c r="I480" s="161"/>
      <c r="J480" s="161"/>
      <c r="K480" s="161"/>
      <c r="L480" s="161"/>
      <c r="M480" s="161"/>
      <c r="N480" s="161"/>
      <c r="O480" s="161"/>
      <c r="P480" s="161"/>
      <c r="Q480" s="161"/>
      <c r="R480" s="161"/>
      <c r="S480" s="161"/>
      <c r="T480" s="161"/>
      <c r="U480" s="161"/>
      <c r="V480" s="161"/>
      <c r="W480" s="161"/>
      <c r="X480" s="161"/>
      <c r="Y480" s="161"/>
      <c r="Z480" s="161"/>
      <c r="AA480" s="161"/>
    </row>
    <row r="481" spans="1:27" ht="12" customHeight="1" x14ac:dyDescent="0.25">
      <c r="A481" s="161"/>
      <c r="B481" s="161"/>
      <c r="C481" s="161"/>
      <c r="D481" s="161"/>
      <c r="E481" s="161"/>
      <c r="F481" s="161"/>
      <c r="G481" s="161"/>
      <c r="H481" s="161"/>
      <c r="I481" s="161"/>
      <c r="J481" s="161"/>
      <c r="K481" s="161"/>
      <c r="L481" s="161"/>
      <c r="M481" s="161"/>
      <c r="N481" s="161"/>
      <c r="O481" s="161"/>
      <c r="P481" s="161"/>
      <c r="Q481" s="161"/>
      <c r="R481" s="161"/>
      <c r="S481" s="161"/>
      <c r="T481" s="161"/>
      <c r="U481" s="161"/>
      <c r="V481" s="161"/>
      <c r="W481" s="161"/>
      <c r="X481" s="161"/>
      <c r="Y481" s="161"/>
      <c r="Z481" s="161"/>
      <c r="AA481" s="161"/>
    </row>
    <row r="482" spans="1:27" ht="12" customHeight="1" x14ac:dyDescent="0.25">
      <c r="A482" s="161"/>
      <c r="B482" s="161"/>
      <c r="C482" s="161"/>
      <c r="D482" s="161"/>
      <c r="E482" s="161"/>
      <c r="F482" s="161"/>
      <c r="G482" s="161"/>
      <c r="H482" s="161"/>
      <c r="I482" s="161"/>
      <c r="J482" s="161"/>
      <c r="K482" s="161"/>
      <c r="L482" s="161"/>
      <c r="M482" s="161"/>
      <c r="N482" s="161"/>
      <c r="O482" s="161"/>
      <c r="P482" s="161"/>
      <c r="Q482" s="161"/>
      <c r="R482" s="161"/>
      <c r="S482" s="161"/>
      <c r="T482" s="161"/>
      <c r="U482" s="161"/>
      <c r="V482" s="161"/>
      <c r="W482" s="161"/>
      <c r="X482" s="161"/>
      <c r="Y482" s="161"/>
      <c r="Z482" s="161"/>
      <c r="AA482" s="161"/>
    </row>
    <row r="483" spans="1:27" ht="12" customHeight="1" x14ac:dyDescent="0.25">
      <c r="A483" s="161"/>
      <c r="B483" s="161"/>
      <c r="C483" s="161"/>
      <c r="D483" s="161"/>
      <c r="E483" s="161"/>
      <c r="F483" s="161"/>
      <c r="G483" s="161"/>
      <c r="H483" s="161"/>
      <c r="I483" s="161"/>
      <c r="J483" s="161"/>
      <c r="K483" s="161"/>
      <c r="L483" s="161"/>
      <c r="M483" s="161"/>
      <c r="N483" s="161"/>
      <c r="O483" s="161"/>
      <c r="P483" s="161"/>
      <c r="Q483" s="161"/>
      <c r="R483" s="161"/>
      <c r="S483" s="161"/>
      <c r="T483" s="161"/>
      <c r="U483" s="161"/>
      <c r="V483" s="161"/>
      <c r="W483" s="161"/>
      <c r="X483" s="161"/>
      <c r="Y483" s="161"/>
      <c r="Z483" s="161"/>
      <c r="AA483" s="161"/>
    </row>
    <row r="484" spans="1:27" ht="12" customHeight="1" x14ac:dyDescent="0.25">
      <c r="A484" s="161"/>
      <c r="B484" s="161"/>
      <c r="C484" s="161"/>
      <c r="D484" s="161"/>
      <c r="E484" s="161"/>
      <c r="F484" s="161"/>
      <c r="G484" s="161"/>
      <c r="H484" s="161"/>
      <c r="I484" s="161"/>
      <c r="J484" s="161"/>
      <c r="K484" s="161"/>
      <c r="L484" s="161"/>
      <c r="M484" s="161"/>
      <c r="N484" s="161"/>
      <c r="O484" s="161"/>
      <c r="P484" s="161"/>
      <c r="Q484" s="161"/>
      <c r="R484" s="161"/>
      <c r="S484" s="161"/>
      <c r="T484" s="161"/>
      <c r="U484" s="161"/>
      <c r="V484" s="161"/>
      <c r="W484" s="161"/>
      <c r="X484" s="161"/>
      <c r="Y484" s="161"/>
      <c r="Z484" s="161"/>
      <c r="AA484" s="161"/>
    </row>
    <row r="485" spans="1:27" ht="12" customHeight="1" x14ac:dyDescent="0.25">
      <c r="A485" s="161"/>
      <c r="B485" s="161"/>
      <c r="C485" s="161"/>
      <c r="D485" s="161"/>
      <c r="E485" s="161"/>
      <c r="F485" s="161"/>
      <c r="G485" s="161"/>
      <c r="H485" s="161"/>
      <c r="I485" s="161"/>
      <c r="J485" s="161"/>
      <c r="K485" s="161"/>
      <c r="L485" s="161"/>
      <c r="M485" s="161"/>
      <c r="N485" s="161"/>
      <c r="O485" s="161"/>
      <c r="P485" s="161"/>
      <c r="Q485" s="161"/>
      <c r="R485" s="161"/>
      <c r="S485" s="161"/>
      <c r="T485" s="161"/>
      <c r="U485" s="161"/>
      <c r="V485" s="161"/>
      <c r="W485" s="161"/>
      <c r="X485" s="161"/>
      <c r="Y485" s="161"/>
      <c r="Z485" s="161"/>
      <c r="AA485" s="161"/>
    </row>
    <row r="486" spans="1:27" ht="12" customHeight="1" x14ac:dyDescent="0.25">
      <c r="A486" s="161"/>
      <c r="B486" s="161"/>
      <c r="C486" s="161"/>
      <c r="D486" s="161"/>
      <c r="E486" s="161"/>
      <c r="F486" s="161"/>
      <c r="G486" s="161"/>
      <c r="H486" s="161"/>
      <c r="I486" s="161"/>
      <c r="J486" s="161"/>
      <c r="K486" s="161"/>
      <c r="L486" s="161"/>
      <c r="M486" s="161"/>
      <c r="N486" s="161"/>
      <c r="O486" s="161"/>
      <c r="P486" s="161"/>
      <c r="Q486" s="161"/>
      <c r="R486" s="161"/>
      <c r="S486" s="161"/>
      <c r="T486" s="161"/>
      <c r="U486" s="161"/>
      <c r="V486" s="161"/>
      <c r="W486" s="161"/>
      <c r="X486" s="161"/>
      <c r="Y486" s="161"/>
      <c r="Z486" s="161"/>
      <c r="AA486" s="161"/>
    </row>
    <row r="487" spans="1:27" ht="12" customHeight="1" x14ac:dyDescent="0.25">
      <c r="A487" s="161"/>
      <c r="B487" s="161"/>
      <c r="C487" s="161"/>
      <c r="D487" s="161"/>
      <c r="E487" s="161"/>
      <c r="F487" s="161"/>
      <c r="G487" s="161"/>
      <c r="H487" s="161"/>
      <c r="I487" s="161"/>
      <c r="J487" s="161"/>
      <c r="K487" s="161"/>
      <c r="L487" s="161"/>
      <c r="M487" s="161"/>
      <c r="N487" s="161"/>
      <c r="O487" s="161"/>
      <c r="P487" s="161"/>
      <c r="Q487" s="161"/>
      <c r="R487" s="161"/>
      <c r="S487" s="161"/>
      <c r="T487" s="161"/>
      <c r="U487" s="161"/>
      <c r="V487" s="161"/>
      <c r="W487" s="161"/>
      <c r="X487" s="161"/>
      <c r="Y487" s="161"/>
      <c r="Z487" s="161"/>
      <c r="AA487" s="161"/>
    </row>
    <row r="488" spans="1:27" ht="12" customHeight="1" x14ac:dyDescent="0.25">
      <c r="A488" s="161"/>
      <c r="B488" s="161"/>
      <c r="C488" s="161"/>
      <c r="D488" s="161"/>
      <c r="E488" s="161"/>
      <c r="F488" s="161"/>
      <c r="G488" s="161"/>
      <c r="H488" s="161"/>
      <c r="I488" s="161"/>
      <c r="J488" s="161"/>
      <c r="K488" s="161"/>
      <c r="L488" s="161"/>
      <c r="M488" s="161"/>
      <c r="N488" s="161"/>
      <c r="O488" s="161"/>
      <c r="P488" s="161"/>
      <c r="Q488" s="161"/>
      <c r="R488" s="161"/>
      <c r="S488" s="161"/>
      <c r="T488" s="161"/>
      <c r="U488" s="161"/>
      <c r="V488" s="161"/>
      <c r="W488" s="161"/>
      <c r="X488" s="161"/>
      <c r="Y488" s="161"/>
      <c r="Z488" s="161"/>
      <c r="AA488" s="161"/>
    </row>
    <row r="489" spans="1:27" ht="12" customHeight="1" x14ac:dyDescent="0.25">
      <c r="A489" s="161"/>
      <c r="B489" s="161"/>
      <c r="C489" s="161"/>
      <c r="D489" s="161"/>
      <c r="E489" s="161"/>
      <c r="F489" s="161"/>
      <c r="G489" s="161"/>
      <c r="H489" s="161"/>
      <c r="I489" s="161"/>
      <c r="J489" s="161"/>
      <c r="K489" s="161"/>
      <c r="L489" s="161"/>
      <c r="M489" s="161"/>
      <c r="N489" s="161"/>
      <c r="O489" s="161"/>
      <c r="P489" s="161"/>
      <c r="Q489" s="161"/>
      <c r="R489" s="161"/>
      <c r="S489" s="161"/>
      <c r="T489" s="161"/>
      <c r="U489" s="161"/>
      <c r="V489" s="161"/>
      <c r="W489" s="161"/>
      <c r="X489" s="161"/>
      <c r="Y489" s="161"/>
      <c r="Z489" s="161"/>
      <c r="AA489" s="161"/>
    </row>
    <row r="490" spans="1:27" ht="12" customHeight="1" x14ac:dyDescent="0.25">
      <c r="A490" s="161"/>
      <c r="B490" s="161"/>
      <c r="C490" s="161"/>
      <c r="D490" s="161"/>
      <c r="E490" s="161"/>
      <c r="F490" s="161"/>
      <c r="G490" s="161"/>
      <c r="H490" s="161"/>
      <c r="I490" s="161"/>
      <c r="J490" s="161"/>
      <c r="K490" s="161"/>
      <c r="L490" s="161"/>
      <c r="M490" s="161"/>
      <c r="N490" s="161"/>
      <c r="O490" s="161"/>
      <c r="P490" s="161"/>
      <c r="Q490" s="161"/>
      <c r="R490" s="161"/>
      <c r="S490" s="161"/>
      <c r="T490" s="161"/>
      <c r="U490" s="161"/>
      <c r="V490" s="161"/>
      <c r="W490" s="161"/>
      <c r="X490" s="161"/>
      <c r="Y490" s="161"/>
      <c r="Z490" s="161"/>
      <c r="AA490" s="161"/>
    </row>
    <row r="491" spans="1:27" ht="12" customHeight="1" x14ac:dyDescent="0.25">
      <c r="A491" s="161"/>
      <c r="B491" s="161"/>
      <c r="C491" s="161"/>
      <c r="D491" s="161"/>
      <c r="E491" s="161"/>
      <c r="F491" s="161"/>
      <c r="G491" s="161"/>
      <c r="H491" s="161"/>
      <c r="I491" s="161"/>
      <c r="J491" s="161"/>
      <c r="K491" s="161"/>
      <c r="L491" s="161"/>
      <c r="M491" s="161"/>
      <c r="N491" s="161"/>
      <c r="O491" s="161"/>
      <c r="P491" s="161"/>
      <c r="Q491" s="161"/>
      <c r="R491" s="161"/>
      <c r="S491" s="161"/>
      <c r="T491" s="161"/>
      <c r="U491" s="161"/>
      <c r="V491" s="161"/>
      <c r="W491" s="161"/>
      <c r="X491" s="161"/>
      <c r="Y491" s="161"/>
      <c r="Z491" s="161"/>
      <c r="AA491" s="161"/>
    </row>
    <row r="492" spans="1:27" ht="12" customHeight="1" x14ac:dyDescent="0.25">
      <c r="A492" s="161"/>
      <c r="B492" s="161"/>
      <c r="C492" s="161"/>
      <c r="D492" s="161"/>
      <c r="E492" s="161"/>
      <c r="F492" s="161"/>
      <c r="G492" s="161"/>
      <c r="H492" s="161"/>
      <c r="I492" s="161"/>
      <c r="J492" s="161"/>
      <c r="K492" s="161"/>
      <c r="L492" s="161"/>
      <c r="M492" s="161"/>
      <c r="N492" s="161"/>
      <c r="O492" s="161"/>
      <c r="P492" s="161"/>
      <c r="Q492" s="161"/>
      <c r="R492" s="161"/>
      <c r="S492" s="161"/>
      <c r="T492" s="161"/>
      <c r="U492" s="161"/>
      <c r="V492" s="161"/>
      <c r="W492" s="161"/>
      <c r="X492" s="161"/>
      <c r="Y492" s="161"/>
      <c r="Z492" s="161"/>
      <c r="AA492" s="161"/>
    </row>
    <row r="493" spans="1:27" ht="12" customHeight="1" x14ac:dyDescent="0.25">
      <c r="A493" s="161"/>
      <c r="B493" s="161"/>
      <c r="C493" s="161"/>
      <c r="D493" s="161"/>
      <c r="E493" s="161"/>
      <c r="F493" s="161"/>
      <c r="G493" s="161"/>
      <c r="H493" s="161"/>
      <c r="I493" s="161"/>
      <c r="J493" s="161"/>
      <c r="K493" s="161"/>
      <c r="L493" s="161"/>
      <c r="M493" s="161"/>
      <c r="N493" s="161"/>
      <c r="O493" s="161"/>
      <c r="P493" s="161"/>
      <c r="Q493" s="161"/>
      <c r="R493" s="161"/>
      <c r="S493" s="161"/>
      <c r="T493" s="161"/>
      <c r="U493" s="161"/>
      <c r="V493" s="161"/>
      <c r="W493" s="161"/>
      <c r="X493" s="161"/>
      <c r="Y493" s="161"/>
      <c r="Z493" s="161"/>
      <c r="AA493" s="161"/>
    </row>
    <row r="494" spans="1:27" ht="12" customHeight="1" x14ac:dyDescent="0.25">
      <c r="A494" s="161"/>
      <c r="B494" s="161"/>
      <c r="C494" s="161"/>
      <c r="D494" s="161"/>
      <c r="E494" s="161"/>
      <c r="F494" s="161"/>
      <c r="G494" s="161"/>
      <c r="H494" s="161"/>
      <c r="I494" s="161"/>
      <c r="J494" s="161"/>
      <c r="K494" s="161"/>
      <c r="L494" s="161"/>
      <c r="M494" s="161"/>
      <c r="N494" s="161"/>
      <c r="O494" s="161"/>
      <c r="P494" s="161"/>
      <c r="Q494" s="161"/>
      <c r="R494" s="161"/>
      <c r="S494" s="161"/>
      <c r="T494" s="161"/>
      <c r="U494" s="161"/>
      <c r="V494" s="161"/>
      <c r="W494" s="161"/>
      <c r="X494" s="161"/>
      <c r="Y494" s="161"/>
      <c r="Z494" s="161"/>
      <c r="AA494" s="161"/>
    </row>
    <row r="495" spans="1:27" ht="12" customHeight="1" x14ac:dyDescent="0.25">
      <c r="A495" s="161"/>
      <c r="B495" s="161"/>
      <c r="C495" s="161"/>
      <c r="D495" s="161"/>
      <c r="E495" s="161"/>
      <c r="F495" s="161"/>
      <c r="G495" s="161"/>
      <c r="H495" s="161"/>
      <c r="I495" s="161"/>
      <c r="J495" s="161"/>
      <c r="K495" s="161"/>
      <c r="L495" s="161"/>
      <c r="M495" s="161"/>
      <c r="N495" s="161"/>
      <c r="O495" s="161"/>
      <c r="P495" s="161"/>
      <c r="Q495" s="161"/>
      <c r="R495" s="161"/>
      <c r="S495" s="161"/>
      <c r="T495" s="161"/>
      <c r="U495" s="161"/>
      <c r="V495" s="161"/>
      <c r="W495" s="161"/>
      <c r="X495" s="161"/>
      <c r="Y495" s="161"/>
      <c r="Z495" s="161"/>
      <c r="AA495" s="161"/>
    </row>
    <row r="496" spans="1:27" ht="12" customHeight="1" x14ac:dyDescent="0.25">
      <c r="A496" s="161"/>
      <c r="B496" s="161"/>
      <c r="C496" s="161"/>
      <c r="D496" s="161"/>
      <c r="E496" s="161"/>
      <c r="F496" s="161"/>
      <c r="G496" s="161"/>
      <c r="H496" s="161"/>
      <c r="I496" s="161"/>
      <c r="J496" s="161"/>
      <c r="K496" s="161"/>
      <c r="L496" s="161"/>
      <c r="M496" s="161"/>
      <c r="N496" s="161"/>
      <c r="O496" s="161"/>
      <c r="P496" s="161"/>
      <c r="Q496" s="161"/>
      <c r="R496" s="161"/>
      <c r="S496" s="161"/>
      <c r="T496" s="161"/>
      <c r="U496" s="161"/>
      <c r="V496" s="161"/>
      <c r="W496" s="161"/>
      <c r="X496" s="161"/>
      <c r="Y496" s="161"/>
      <c r="Z496" s="161"/>
      <c r="AA496" s="161"/>
    </row>
    <row r="497" spans="1:27" ht="12" customHeight="1" x14ac:dyDescent="0.25">
      <c r="A497" s="161"/>
      <c r="B497" s="161"/>
      <c r="C497" s="161"/>
      <c r="D497" s="161"/>
      <c r="E497" s="161"/>
      <c r="F497" s="161"/>
      <c r="G497" s="161"/>
      <c r="H497" s="161"/>
      <c r="I497" s="161"/>
      <c r="J497" s="161"/>
      <c r="K497" s="161"/>
      <c r="L497" s="161"/>
      <c r="M497" s="161"/>
      <c r="N497" s="161"/>
      <c r="O497" s="161"/>
      <c r="P497" s="161"/>
      <c r="Q497" s="161"/>
      <c r="R497" s="161"/>
      <c r="S497" s="161"/>
      <c r="T497" s="161"/>
      <c r="U497" s="161"/>
      <c r="V497" s="161"/>
      <c r="W497" s="161"/>
      <c r="X497" s="161"/>
      <c r="Y497" s="161"/>
      <c r="Z497" s="161"/>
      <c r="AA497" s="161"/>
    </row>
    <row r="498" spans="1:27" ht="12" customHeight="1" x14ac:dyDescent="0.25">
      <c r="A498" s="161"/>
      <c r="B498" s="161"/>
      <c r="C498" s="161"/>
      <c r="D498" s="161"/>
      <c r="E498" s="161"/>
      <c r="F498" s="161"/>
      <c r="G498" s="161"/>
      <c r="H498" s="161"/>
      <c r="I498" s="161"/>
      <c r="J498" s="161"/>
      <c r="K498" s="161"/>
      <c r="L498" s="161"/>
      <c r="M498" s="161"/>
      <c r="N498" s="161"/>
      <c r="O498" s="161"/>
      <c r="P498" s="161"/>
      <c r="Q498" s="161"/>
      <c r="R498" s="161"/>
      <c r="S498" s="161"/>
      <c r="T498" s="161"/>
      <c r="U498" s="161"/>
      <c r="V498" s="161"/>
      <c r="W498" s="161"/>
      <c r="X498" s="161"/>
      <c r="Y498" s="161"/>
      <c r="Z498" s="161"/>
      <c r="AA498" s="161"/>
    </row>
    <row r="499" spans="1:27" ht="12" customHeight="1" x14ac:dyDescent="0.25">
      <c r="A499" s="161"/>
      <c r="B499" s="161"/>
      <c r="C499" s="161"/>
      <c r="D499" s="161"/>
      <c r="E499" s="161"/>
      <c r="F499" s="161"/>
      <c r="G499" s="161"/>
      <c r="H499" s="161"/>
      <c r="I499" s="161"/>
      <c r="J499" s="161"/>
      <c r="K499" s="161"/>
      <c r="L499" s="161"/>
      <c r="M499" s="161"/>
      <c r="N499" s="161"/>
      <c r="O499" s="161"/>
      <c r="P499" s="161"/>
      <c r="Q499" s="161"/>
      <c r="R499" s="161"/>
      <c r="S499" s="161"/>
      <c r="T499" s="161"/>
      <c r="U499" s="161"/>
      <c r="V499" s="161"/>
      <c r="W499" s="161"/>
      <c r="X499" s="161"/>
      <c r="Y499" s="161"/>
      <c r="Z499" s="161"/>
      <c r="AA499" s="161"/>
    </row>
    <row r="500" spans="1:27" ht="12" customHeight="1" x14ac:dyDescent="0.25">
      <c r="A500" s="161"/>
      <c r="B500" s="161"/>
      <c r="C500" s="161"/>
      <c r="D500" s="161"/>
      <c r="E500" s="161"/>
      <c r="F500" s="161"/>
      <c r="G500" s="161"/>
      <c r="H500" s="161"/>
      <c r="I500" s="161"/>
      <c r="J500" s="161"/>
      <c r="K500" s="161"/>
      <c r="L500" s="161"/>
      <c r="M500" s="161"/>
      <c r="N500" s="161"/>
      <c r="O500" s="161"/>
      <c r="P500" s="161"/>
      <c r="Q500" s="161"/>
      <c r="R500" s="161"/>
      <c r="S500" s="161"/>
      <c r="T500" s="161"/>
      <c r="U500" s="161"/>
      <c r="V500" s="161"/>
      <c r="W500" s="161"/>
      <c r="X500" s="161"/>
      <c r="Y500" s="161"/>
      <c r="Z500" s="161"/>
      <c r="AA500" s="161"/>
    </row>
    <row r="501" spans="1:27" ht="12" customHeight="1" x14ac:dyDescent="0.25">
      <c r="A501" s="161"/>
      <c r="B501" s="161"/>
      <c r="C501" s="161"/>
      <c r="D501" s="161"/>
      <c r="E501" s="161"/>
      <c r="F501" s="161"/>
      <c r="G501" s="161"/>
      <c r="H501" s="161"/>
      <c r="I501" s="161"/>
      <c r="J501" s="161"/>
      <c r="K501" s="161"/>
      <c r="L501" s="161"/>
      <c r="M501" s="161"/>
      <c r="N501" s="161"/>
      <c r="O501" s="161"/>
      <c r="P501" s="161"/>
      <c r="Q501" s="161"/>
      <c r="R501" s="161"/>
      <c r="S501" s="161"/>
      <c r="T501" s="161"/>
      <c r="U501" s="161"/>
      <c r="V501" s="161"/>
      <c r="W501" s="161"/>
      <c r="X501" s="161"/>
      <c r="Y501" s="161"/>
      <c r="Z501" s="161"/>
      <c r="AA501" s="161"/>
    </row>
    <row r="502" spans="1:27" ht="12" customHeight="1" x14ac:dyDescent="0.25">
      <c r="A502" s="161"/>
      <c r="B502" s="161"/>
      <c r="C502" s="161"/>
      <c r="D502" s="161"/>
      <c r="E502" s="161"/>
      <c r="F502" s="161"/>
      <c r="G502" s="161"/>
      <c r="H502" s="161"/>
      <c r="I502" s="161"/>
      <c r="J502" s="161"/>
      <c r="K502" s="161"/>
      <c r="L502" s="161"/>
      <c r="M502" s="161"/>
      <c r="N502" s="161"/>
      <c r="O502" s="161"/>
      <c r="P502" s="161"/>
      <c r="Q502" s="161"/>
      <c r="R502" s="161"/>
      <c r="S502" s="161"/>
      <c r="T502" s="161"/>
      <c r="U502" s="161"/>
      <c r="V502" s="161"/>
      <c r="W502" s="161"/>
      <c r="X502" s="161"/>
      <c r="Y502" s="161"/>
      <c r="Z502" s="161"/>
      <c r="AA502" s="161"/>
    </row>
    <row r="503" spans="1:27" ht="12" customHeight="1" x14ac:dyDescent="0.25">
      <c r="A503" s="161"/>
      <c r="B503" s="161"/>
      <c r="C503" s="161"/>
      <c r="D503" s="161"/>
      <c r="E503" s="161"/>
      <c r="F503" s="161"/>
      <c r="G503" s="161"/>
      <c r="H503" s="161"/>
      <c r="I503" s="161"/>
      <c r="J503" s="161"/>
      <c r="K503" s="161"/>
      <c r="L503" s="161"/>
      <c r="M503" s="161"/>
      <c r="N503" s="161"/>
      <c r="O503" s="161"/>
      <c r="P503" s="161"/>
      <c r="Q503" s="161"/>
      <c r="R503" s="161"/>
      <c r="S503" s="161"/>
      <c r="T503" s="161"/>
      <c r="U503" s="161"/>
      <c r="V503" s="161"/>
      <c r="W503" s="161"/>
      <c r="X503" s="161"/>
      <c r="Y503" s="161"/>
      <c r="Z503" s="161"/>
      <c r="AA503" s="161"/>
    </row>
    <row r="504" spans="1:27" ht="12" customHeight="1" x14ac:dyDescent="0.25">
      <c r="A504" s="161"/>
      <c r="B504" s="161"/>
      <c r="C504" s="161"/>
      <c r="D504" s="161"/>
      <c r="E504" s="161"/>
      <c r="F504" s="161"/>
      <c r="G504" s="161"/>
      <c r="H504" s="161"/>
      <c r="I504" s="161"/>
      <c r="J504" s="161"/>
      <c r="K504" s="161"/>
      <c r="L504" s="161"/>
      <c r="M504" s="161"/>
      <c r="N504" s="161"/>
      <c r="O504" s="161"/>
      <c r="P504" s="161"/>
      <c r="Q504" s="161"/>
      <c r="R504" s="161"/>
      <c r="S504" s="161"/>
      <c r="T504" s="161"/>
      <c r="U504" s="161"/>
      <c r="V504" s="161"/>
      <c r="W504" s="161"/>
      <c r="X504" s="161"/>
      <c r="Y504" s="161"/>
      <c r="Z504" s="161"/>
      <c r="AA504" s="161"/>
    </row>
    <row r="505" spans="1:27" ht="12" customHeight="1" x14ac:dyDescent="0.25">
      <c r="A505" s="161"/>
      <c r="B505" s="161"/>
      <c r="C505" s="161"/>
      <c r="D505" s="161"/>
      <c r="E505" s="161"/>
      <c r="F505" s="161"/>
      <c r="G505" s="161"/>
      <c r="H505" s="161"/>
      <c r="I505" s="161"/>
      <c r="J505" s="161"/>
      <c r="K505" s="161"/>
      <c r="L505" s="161"/>
      <c r="M505" s="161"/>
      <c r="N505" s="161"/>
      <c r="O505" s="161"/>
      <c r="P505" s="161"/>
      <c r="Q505" s="161"/>
      <c r="R505" s="161"/>
      <c r="S505" s="161"/>
      <c r="T505" s="161"/>
      <c r="U505" s="161"/>
      <c r="V505" s="161"/>
      <c r="W505" s="161"/>
      <c r="X505" s="161"/>
      <c r="Y505" s="161"/>
      <c r="Z505" s="161"/>
      <c r="AA505" s="161"/>
    </row>
    <row r="506" spans="1:27" ht="12" customHeight="1" x14ac:dyDescent="0.25">
      <c r="A506" s="161"/>
      <c r="B506" s="161"/>
      <c r="C506" s="161"/>
      <c r="D506" s="161"/>
      <c r="E506" s="161"/>
      <c r="F506" s="161"/>
      <c r="G506" s="161"/>
      <c r="H506" s="161"/>
      <c r="I506" s="161"/>
      <c r="J506" s="161"/>
      <c r="K506" s="161"/>
      <c r="L506" s="161"/>
      <c r="M506" s="161"/>
      <c r="N506" s="161"/>
      <c r="O506" s="161"/>
      <c r="P506" s="161"/>
      <c r="Q506" s="161"/>
      <c r="R506" s="161"/>
      <c r="S506" s="161"/>
      <c r="T506" s="161"/>
      <c r="U506" s="161"/>
      <c r="V506" s="161"/>
      <c r="W506" s="161"/>
      <c r="X506" s="161"/>
      <c r="Y506" s="161"/>
      <c r="Z506" s="161"/>
      <c r="AA506" s="161"/>
    </row>
    <row r="507" spans="1:27" ht="12" customHeight="1" x14ac:dyDescent="0.25">
      <c r="A507" s="161"/>
      <c r="B507" s="161"/>
      <c r="C507" s="161"/>
      <c r="D507" s="161"/>
      <c r="E507" s="161"/>
      <c r="F507" s="161"/>
      <c r="G507" s="161"/>
      <c r="H507" s="161"/>
      <c r="I507" s="161"/>
      <c r="J507" s="161"/>
      <c r="K507" s="161"/>
      <c r="L507" s="161"/>
      <c r="M507" s="161"/>
      <c r="N507" s="161"/>
      <c r="O507" s="161"/>
      <c r="P507" s="161"/>
      <c r="Q507" s="161"/>
      <c r="R507" s="161"/>
      <c r="S507" s="161"/>
      <c r="T507" s="161"/>
      <c r="U507" s="161"/>
      <c r="V507" s="161"/>
      <c r="W507" s="161"/>
      <c r="X507" s="161"/>
      <c r="Y507" s="161"/>
      <c r="Z507" s="161"/>
      <c r="AA507" s="161"/>
    </row>
    <row r="508" spans="1:27" ht="12" customHeight="1" x14ac:dyDescent="0.25">
      <c r="A508" s="161"/>
      <c r="B508" s="161"/>
      <c r="C508" s="161"/>
      <c r="D508" s="161"/>
      <c r="E508" s="161"/>
      <c r="F508" s="161"/>
      <c r="G508" s="161"/>
      <c r="H508" s="161"/>
      <c r="I508" s="161"/>
      <c r="J508" s="161"/>
      <c r="K508" s="161"/>
      <c r="L508" s="161"/>
      <c r="M508" s="161"/>
      <c r="N508" s="161"/>
      <c r="O508" s="161"/>
      <c r="P508" s="161"/>
      <c r="Q508" s="161"/>
      <c r="R508" s="161"/>
      <c r="S508" s="161"/>
      <c r="T508" s="161"/>
      <c r="U508" s="161"/>
      <c r="V508" s="161"/>
      <c r="W508" s="161"/>
      <c r="X508" s="161"/>
      <c r="Y508" s="161"/>
      <c r="Z508" s="161"/>
      <c r="AA508" s="161"/>
    </row>
    <row r="509" spans="1:27" ht="12" customHeight="1" x14ac:dyDescent="0.25">
      <c r="A509" s="161"/>
      <c r="B509" s="161"/>
      <c r="C509" s="161"/>
      <c r="D509" s="161"/>
      <c r="E509" s="161"/>
      <c r="F509" s="161"/>
      <c r="G509" s="161"/>
      <c r="H509" s="161"/>
      <c r="I509" s="161"/>
      <c r="J509" s="161"/>
      <c r="K509" s="161"/>
      <c r="L509" s="161"/>
      <c r="M509" s="161"/>
      <c r="N509" s="161"/>
      <c r="O509" s="161"/>
      <c r="P509" s="161"/>
      <c r="Q509" s="161"/>
      <c r="R509" s="161"/>
      <c r="S509" s="161"/>
      <c r="T509" s="161"/>
      <c r="U509" s="161"/>
      <c r="V509" s="161"/>
      <c r="W509" s="161"/>
      <c r="X509" s="161"/>
      <c r="Y509" s="161"/>
      <c r="Z509" s="161"/>
      <c r="AA509" s="161"/>
    </row>
    <row r="510" spans="1:27" ht="12" customHeight="1" x14ac:dyDescent="0.25">
      <c r="A510" s="161"/>
      <c r="B510" s="161"/>
      <c r="C510" s="161"/>
      <c r="D510" s="161"/>
      <c r="E510" s="161"/>
      <c r="F510" s="161"/>
      <c r="G510" s="161"/>
      <c r="H510" s="161"/>
      <c r="I510" s="161"/>
      <c r="J510" s="161"/>
      <c r="K510" s="161"/>
      <c r="L510" s="161"/>
      <c r="M510" s="161"/>
      <c r="N510" s="161"/>
      <c r="O510" s="161"/>
      <c r="P510" s="161"/>
      <c r="Q510" s="161"/>
      <c r="R510" s="161"/>
      <c r="S510" s="161"/>
      <c r="T510" s="161"/>
      <c r="U510" s="161"/>
      <c r="V510" s="161"/>
      <c r="W510" s="161"/>
      <c r="X510" s="161"/>
      <c r="Y510" s="161"/>
      <c r="Z510" s="161"/>
      <c r="AA510" s="161"/>
    </row>
    <row r="511" spans="1:27" ht="12" customHeight="1" x14ac:dyDescent="0.25">
      <c r="A511" s="161"/>
      <c r="B511" s="161"/>
      <c r="C511" s="161"/>
      <c r="D511" s="161"/>
      <c r="E511" s="161"/>
      <c r="F511" s="161"/>
      <c r="G511" s="161"/>
      <c r="H511" s="161"/>
      <c r="I511" s="161"/>
      <c r="J511" s="161"/>
      <c r="K511" s="161"/>
      <c r="L511" s="161"/>
      <c r="M511" s="161"/>
      <c r="N511" s="161"/>
      <c r="O511" s="161"/>
      <c r="P511" s="161"/>
      <c r="Q511" s="161"/>
      <c r="R511" s="161"/>
      <c r="S511" s="161"/>
      <c r="T511" s="161"/>
      <c r="U511" s="161"/>
      <c r="V511" s="161"/>
      <c r="W511" s="161"/>
      <c r="X511" s="161"/>
      <c r="Y511" s="161"/>
      <c r="Z511" s="161"/>
      <c r="AA511" s="161"/>
    </row>
    <row r="512" spans="1:27" ht="12" customHeight="1" x14ac:dyDescent="0.25">
      <c r="A512" s="161"/>
      <c r="B512" s="161"/>
      <c r="C512" s="161"/>
      <c r="D512" s="161"/>
      <c r="E512" s="161"/>
      <c r="F512" s="161"/>
      <c r="G512" s="161"/>
      <c r="H512" s="161"/>
      <c r="I512" s="161"/>
      <c r="J512" s="161"/>
      <c r="K512" s="161"/>
      <c r="L512" s="161"/>
      <c r="M512" s="161"/>
      <c r="N512" s="161"/>
      <c r="O512" s="161"/>
      <c r="P512" s="161"/>
      <c r="Q512" s="161"/>
      <c r="R512" s="161"/>
      <c r="S512" s="161"/>
      <c r="T512" s="161"/>
      <c r="U512" s="161"/>
      <c r="V512" s="161"/>
      <c r="W512" s="161"/>
      <c r="X512" s="161"/>
      <c r="Y512" s="161"/>
      <c r="Z512" s="161"/>
      <c r="AA512" s="161"/>
    </row>
    <row r="513" spans="1:27" ht="12" customHeight="1" x14ac:dyDescent="0.25">
      <c r="A513" s="161"/>
      <c r="B513" s="161"/>
      <c r="C513" s="161"/>
      <c r="D513" s="161"/>
      <c r="E513" s="161"/>
      <c r="F513" s="161"/>
      <c r="G513" s="161"/>
      <c r="H513" s="161"/>
      <c r="I513" s="161"/>
      <c r="J513" s="161"/>
      <c r="K513" s="161"/>
      <c r="L513" s="161"/>
      <c r="M513" s="161"/>
      <c r="N513" s="161"/>
      <c r="O513" s="161"/>
      <c r="P513" s="161"/>
      <c r="Q513" s="161"/>
      <c r="R513" s="161"/>
      <c r="S513" s="161"/>
      <c r="T513" s="161"/>
      <c r="U513" s="161"/>
      <c r="V513" s="161"/>
      <c r="W513" s="161"/>
      <c r="X513" s="161"/>
      <c r="Y513" s="161"/>
      <c r="Z513" s="161"/>
      <c r="AA513" s="161"/>
    </row>
    <row r="514" spans="1:27" ht="12" customHeight="1" x14ac:dyDescent="0.25">
      <c r="A514" s="161"/>
      <c r="B514" s="161"/>
      <c r="C514" s="161"/>
      <c r="D514" s="161"/>
      <c r="E514" s="161"/>
      <c r="F514" s="161"/>
      <c r="G514" s="161"/>
      <c r="H514" s="161"/>
      <c r="I514" s="161"/>
      <c r="J514" s="161"/>
      <c r="K514" s="161"/>
      <c r="L514" s="161"/>
      <c r="M514" s="161"/>
      <c r="N514" s="161"/>
      <c r="O514" s="161"/>
      <c r="P514" s="161"/>
      <c r="Q514" s="161"/>
      <c r="R514" s="161"/>
      <c r="S514" s="161"/>
      <c r="T514" s="161"/>
      <c r="U514" s="161"/>
      <c r="V514" s="161"/>
      <c r="W514" s="161"/>
      <c r="X514" s="161"/>
      <c r="Y514" s="161"/>
      <c r="Z514" s="161"/>
      <c r="AA514" s="161"/>
    </row>
    <row r="515" spans="1:27" ht="12" customHeight="1" x14ac:dyDescent="0.25">
      <c r="A515" s="161"/>
      <c r="B515" s="161"/>
      <c r="C515" s="161"/>
      <c r="D515" s="161"/>
      <c r="E515" s="161"/>
      <c r="F515" s="161"/>
      <c r="G515" s="161"/>
      <c r="H515" s="161"/>
      <c r="I515" s="161"/>
      <c r="J515" s="161"/>
      <c r="K515" s="161"/>
      <c r="L515" s="161"/>
      <c r="M515" s="161"/>
      <c r="N515" s="161"/>
      <c r="O515" s="161"/>
      <c r="P515" s="161"/>
      <c r="Q515" s="161"/>
      <c r="R515" s="161"/>
      <c r="S515" s="161"/>
      <c r="T515" s="161"/>
      <c r="U515" s="161"/>
      <c r="V515" s="161"/>
      <c r="W515" s="161"/>
      <c r="X515" s="161"/>
      <c r="Y515" s="161"/>
      <c r="Z515" s="161"/>
      <c r="AA515" s="161"/>
    </row>
    <row r="516" spans="1:27" ht="12" customHeight="1" x14ac:dyDescent="0.25">
      <c r="A516" s="161"/>
      <c r="B516" s="161"/>
      <c r="C516" s="161"/>
      <c r="D516" s="161"/>
      <c r="E516" s="161"/>
      <c r="F516" s="161"/>
      <c r="G516" s="161"/>
      <c r="H516" s="161"/>
      <c r="I516" s="161"/>
      <c r="J516" s="161"/>
      <c r="K516" s="161"/>
      <c r="L516" s="161"/>
      <c r="M516" s="161"/>
      <c r="N516" s="161"/>
      <c r="O516" s="161"/>
      <c r="P516" s="161"/>
      <c r="Q516" s="161"/>
      <c r="R516" s="161"/>
      <c r="S516" s="161"/>
      <c r="T516" s="161"/>
      <c r="U516" s="161"/>
      <c r="V516" s="161"/>
      <c r="W516" s="161"/>
      <c r="X516" s="161"/>
      <c r="Y516" s="161"/>
      <c r="Z516" s="161"/>
      <c r="AA516" s="161"/>
    </row>
    <row r="517" spans="1:27" ht="12" customHeight="1" x14ac:dyDescent="0.25">
      <c r="A517" s="161"/>
      <c r="B517" s="161"/>
      <c r="C517" s="161"/>
      <c r="D517" s="161"/>
      <c r="E517" s="161"/>
      <c r="F517" s="161"/>
      <c r="G517" s="161"/>
      <c r="H517" s="161"/>
      <c r="I517" s="161"/>
      <c r="J517" s="161"/>
      <c r="K517" s="161"/>
      <c r="L517" s="161"/>
      <c r="M517" s="161"/>
      <c r="N517" s="161"/>
      <c r="O517" s="161"/>
      <c r="P517" s="161"/>
      <c r="Q517" s="161"/>
      <c r="R517" s="161"/>
      <c r="S517" s="161"/>
      <c r="T517" s="161"/>
      <c r="U517" s="161"/>
      <c r="V517" s="161"/>
      <c r="W517" s="161"/>
      <c r="X517" s="161"/>
      <c r="Y517" s="161"/>
      <c r="Z517" s="161"/>
      <c r="AA517" s="161"/>
    </row>
    <row r="518" spans="1:27" ht="12" customHeight="1" x14ac:dyDescent="0.25">
      <c r="A518" s="161"/>
      <c r="B518" s="161"/>
      <c r="C518" s="161"/>
      <c r="D518" s="161"/>
      <c r="E518" s="161"/>
      <c r="F518" s="161"/>
      <c r="G518" s="161"/>
      <c r="H518" s="161"/>
      <c r="I518" s="161"/>
      <c r="J518" s="161"/>
      <c r="K518" s="161"/>
      <c r="L518" s="161"/>
      <c r="M518" s="161"/>
      <c r="N518" s="161"/>
      <c r="O518" s="161"/>
      <c r="P518" s="161"/>
      <c r="Q518" s="161"/>
      <c r="R518" s="161"/>
      <c r="S518" s="161"/>
      <c r="T518" s="161"/>
      <c r="U518" s="161"/>
      <c r="V518" s="161"/>
      <c r="W518" s="161"/>
      <c r="X518" s="161"/>
      <c r="Y518" s="161"/>
      <c r="Z518" s="161"/>
      <c r="AA518" s="161"/>
    </row>
    <row r="519" spans="1:27" ht="12" customHeight="1" x14ac:dyDescent="0.25">
      <c r="A519" s="161"/>
      <c r="B519" s="161"/>
      <c r="C519" s="161"/>
      <c r="D519" s="161"/>
      <c r="E519" s="161"/>
      <c r="F519" s="161"/>
      <c r="G519" s="161"/>
      <c r="H519" s="161"/>
      <c r="I519" s="161"/>
      <c r="J519" s="161"/>
      <c r="K519" s="161"/>
      <c r="L519" s="161"/>
      <c r="M519" s="161"/>
      <c r="N519" s="161"/>
      <c r="O519" s="161"/>
      <c r="P519" s="161"/>
      <c r="Q519" s="161"/>
      <c r="R519" s="161"/>
      <c r="S519" s="161"/>
      <c r="T519" s="161"/>
      <c r="U519" s="161"/>
      <c r="V519" s="161"/>
      <c r="W519" s="161"/>
      <c r="X519" s="161"/>
      <c r="Y519" s="161"/>
      <c r="Z519" s="161"/>
      <c r="AA519" s="161"/>
    </row>
    <row r="520" spans="1:27" ht="12" customHeight="1" x14ac:dyDescent="0.25">
      <c r="A520" s="161"/>
      <c r="B520" s="161"/>
      <c r="C520" s="161"/>
      <c r="D520" s="161"/>
      <c r="E520" s="161"/>
      <c r="F520" s="161"/>
      <c r="G520" s="161"/>
      <c r="H520" s="161"/>
      <c r="I520" s="161"/>
      <c r="J520" s="161"/>
      <c r="K520" s="161"/>
      <c r="L520" s="161"/>
      <c r="M520" s="161"/>
      <c r="N520" s="161"/>
      <c r="O520" s="161"/>
      <c r="P520" s="161"/>
      <c r="Q520" s="161"/>
      <c r="R520" s="161"/>
      <c r="S520" s="161"/>
      <c r="T520" s="161"/>
      <c r="U520" s="161"/>
      <c r="V520" s="161"/>
      <c r="W520" s="161"/>
      <c r="X520" s="161"/>
      <c r="Y520" s="161"/>
      <c r="Z520" s="161"/>
      <c r="AA520" s="161"/>
    </row>
    <row r="521" spans="1:27" ht="12" customHeight="1" x14ac:dyDescent="0.25">
      <c r="A521" s="161"/>
      <c r="B521" s="161"/>
      <c r="C521" s="161"/>
      <c r="D521" s="161"/>
      <c r="E521" s="161"/>
      <c r="F521" s="161"/>
      <c r="G521" s="161"/>
      <c r="H521" s="161"/>
      <c r="I521" s="161"/>
      <c r="J521" s="161"/>
      <c r="K521" s="161"/>
      <c r="L521" s="161"/>
      <c r="M521" s="161"/>
      <c r="N521" s="161"/>
      <c r="O521" s="161"/>
      <c r="P521" s="161"/>
      <c r="Q521" s="161"/>
      <c r="R521" s="161"/>
      <c r="S521" s="161"/>
      <c r="T521" s="161"/>
      <c r="U521" s="161"/>
      <c r="V521" s="161"/>
      <c r="W521" s="161"/>
      <c r="X521" s="161"/>
      <c r="Y521" s="161"/>
      <c r="Z521" s="161"/>
      <c r="AA521" s="161"/>
    </row>
    <row r="522" spans="1:27" ht="12" customHeight="1" x14ac:dyDescent="0.25">
      <c r="A522" s="161"/>
      <c r="B522" s="161"/>
      <c r="C522" s="161"/>
      <c r="D522" s="161"/>
      <c r="E522" s="161"/>
      <c r="F522" s="161"/>
      <c r="G522" s="161"/>
      <c r="H522" s="161"/>
      <c r="I522" s="161"/>
      <c r="J522" s="161"/>
      <c r="K522" s="161"/>
      <c r="L522" s="161"/>
      <c r="M522" s="161"/>
      <c r="N522" s="161"/>
      <c r="O522" s="161"/>
      <c r="P522" s="161"/>
      <c r="Q522" s="161"/>
      <c r="R522" s="161"/>
      <c r="S522" s="161"/>
      <c r="T522" s="161"/>
      <c r="U522" s="161"/>
      <c r="V522" s="161"/>
      <c r="W522" s="161"/>
      <c r="X522" s="161"/>
      <c r="Y522" s="161"/>
      <c r="Z522" s="161"/>
      <c r="AA522" s="161"/>
    </row>
    <row r="523" spans="1:27" ht="12" customHeight="1" x14ac:dyDescent="0.25">
      <c r="A523" s="161"/>
      <c r="B523" s="161"/>
      <c r="C523" s="161"/>
      <c r="D523" s="161"/>
      <c r="E523" s="161"/>
      <c r="F523" s="161"/>
      <c r="G523" s="161"/>
      <c r="H523" s="161"/>
      <c r="I523" s="161"/>
      <c r="J523" s="161"/>
      <c r="K523" s="161"/>
      <c r="L523" s="161"/>
      <c r="M523" s="161"/>
      <c r="N523" s="161"/>
      <c r="O523" s="161"/>
      <c r="P523" s="161"/>
      <c r="Q523" s="161"/>
      <c r="R523" s="161"/>
      <c r="S523" s="161"/>
      <c r="T523" s="161"/>
      <c r="U523" s="161"/>
      <c r="V523" s="161"/>
      <c r="W523" s="161"/>
      <c r="X523" s="161"/>
      <c r="Y523" s="161"/>
      <c r="Z523" s="161"/>
      <c r="AA523" s="161"/>
    </row>
    <row r="524" spans="1:27" ht="12" customHeight="1" x14ac:dyDescent="0.25">
      <c r="A524" s="161"/>
      <c r="B524" s="161"/>
      <c r="C524" s="161"/>
      <c r="D524" s="161"/>
      <c r="E524" s="161"/>
      <c r="F524" s="161"/>
      <c r="G524" s="161"/>
      <c r="H524" s="161"/>
      <c r="I524" s="161"/>
      <c r="J524" s="161"/>
      <c r="K524" s="161"/>
      <c r="L524" s="161"/>
      <c r="M524" s="161"/>
      <c r="N524" s="161"/>
      <c r="O524" s="161"/>
      <c r="P524" s="161"/>
      <c r="Q524" s="161"/>
      <c r="R524" s="161"/>
      <c r="S524" s="161"/>
      <c r="T524" s="161"/>
      <c r="U524" s="161"/>
      <c r="V524" s="161"/>
      <c r="W524" s="161"/>
      <c r="X524" s="161"/>
      <c r="Y524" s="161"/>
      <c r="Z524" s="161"/>
      <c r="AA524" s="161"/>
    </row>
    <row r="525" spans="1:27" ht="12" customHeight="1" x14ac:dyDescent="0.25">
      <c r="A525" s="161"/>
      <c r="B525" s="161"/>
      <c r="C525" s="161"/>
      <c r="D525" s="161"/>
      <c r="E525" s="161"/>
      <c r="F525" s="161"/>
      <c r="G525" s="161"/>
      <c r="H525" s="161"/>
      <c r="I525" s="161"/>
      <c r="J525" s="161"/>
      <c r="K525" s="161"/>
      <c r="L525" s="161"/>
      <c r="M525" s="161"/>
      <c r="N525" s="161"/>
      <c r="O525" s="161"/>
      <c r="P525" s="161"/>
      <c r="Q525" s="161"/>
      <c r="R525" s="161"/>
      <c r="S525" s="161"/>
      <c r="T525" s="161"/>
      <c r="U525" s="161"/>
      <c r="V525" s="161"/>
      <c r="W525" s="161"/>
      <c r="X525" s="161"/>
      <c r="Y525" s="161"/>
      <c r="Z525" s="161"/>
      <c r="AA525" s="161"/>
    </row>
    <row r="526" spans="1:27" ht="12" customHeight="1" x14ac:dyDescent="0.25">
      <c r="A526" s="161"/>
      <c r="B526" s="161"/>
      <c r="C526" s="161"/>
      <c r="D526" s="161"/>
      <c r="E526" s="161"/>
      <c r="F526" s="161"/>
      <c r="G526" s="161"/>
      <c r="H526" s="161"/>
      <c r="I526" s="161"/>
      <c r="J526" s="161"/>
      <c r="K526" s="161"/>
      <c r="L526" s="161"/>
      <c r="M526" s="161"/>
      <c r="N526" s="161"/>
      <c r="O526" s="161"/>
      <c r="P526" s="161"/>
      <c r="Q526" s="161"/>
      <c r="R526" s="161"/>
      <c r="S526" s="161"/>
      <c r="T526" s="161"/>
      <c r="U526" s="161"/>
      <c r="V526" s="161"/>
      <c r="W526" s="161"/>
      <c r="X526" s="161"/>
      <c r="Y526" s="161"/>
      <c r="Z526" s="161"/>
      <c r="AA526" s="161"/>
    </row>
    <row r="527" spans="1:27" ht="12" customHeight="1" x14ac:dyDescent="0.25">
      <c r="A527" s="161"/>
      <c r="B527" s="161"/>
      <c r="C527" s="161"/>
      <c r="D527" s="161"/>
      <c r="E527" s="161"/>
      <c r="F527" s="161"/>
      <c r="G527" s="161"/>
      <c r="H527" s="161"/>
      <c r="I527" s="161"/>
      <c r="J527" s="161"/>
      <c r="K527" s="161"/>
      <c r="L527" s="161"/>
      <c r="M527" s="161"/>
      <c r="N527" s="161"/>
      <c r="O527" s="161"/>
      <c r="P527" s="161"/>
      <c r="Q527" s="161"/>
      <c r="R527" s="161"/>
      <c r="S527" s="161"/>
      <c r="T527" s="161"/>
      <c r="U527" s="161"/>
      <c r="V527" s="161"/>
      <c r="W527" s="161"/>
      <c r="X527" s="161"/>
      <c r="Y527" s="161"/>
      <c r="Z527" s="161"/>
      <c r="AA527" s="161"/>
    </row>
    <row r="528" spans="1:27" ht="12" customHeight="1" x14ac:dyDescent="0.25">
      <c r="A528" s="161"/>
      <c r="B528" s="161"/>
      <c r="C528" s="161"/>
      <c r="D528" s="161"/>
      <c r="E528" s="161"/>
      <c r="F528" s="161"/>
      <c r="G528" s="161"/>
      <c r="H528" s="161"/>
      <c r="I528" s="161"/>
      <c r="J528" s="161"/>
      <c r="K528" s="161"/>
      <c r="L528" s="161"/>
      <c r="M528" s="161"/>
      <c r="N528" s="161"/>
      <c r="O528" s="161"/>
      <c r="P528" s="161"/>
      <c r="Q528" s="161"/>
      <c r="R528" s="161"/>
      <c r="S528" s="161"/>
      <c r="T528" s="161"/>
      <c r="U528" s="161"/>
      <c r="V528" s="161"/>
      <c r="W528" s="161"/>
      <c r="X528" s="161"/>
      <c r="Y528" s="161"/>
      <c r="Z528" s="161"/>
      <c r="AA528" s="161"/>
    </row>
    <row r="529" spans="1:27" ht="12" customHeight="1" x14ac:dyDescent="0.25">
      <c r="A529" s="161"/>
      <c r="B529" s="161"/>
      <c r="C529" s="161"/>
      <c r="D529" s="161"/>
      <c r="E529" s="161"/>
      <c r="F529" s="161"/>
      <c r="G529" s="161"/>
      <c r="H529" s="161"/>
      <c r="I529" s="161"/>
      <c r="J529" s="161"/>
      <c r="K529" s="161"/>
      <c r="L529" s="161"/>
      <c r="M529" s="161"/>
      <c r="N529" s="161"/>
      <c r="O529" s="161"/>
      <c r="P529" s="161"/>
      <c r="Q529" s="161"/>
      <c r="R529" s="161"/>
      <c r="S529" s="161"/>
      <c r="T529" s="161"/>
      <c r="U529" s="161"/>
      <c r="V529" s="161"/>
      <c r="W529" s="161"/>
      <c r="X529" s="161"/>
      <c r="Y529" s="161"/>
      <c r="Z529" s="161"/>
      <c r="AA529" s="161"/>
    </row>
    <row r="530" spans="1:27" ht="12" customHeight="1" x14ac:dyDescent="0.25">
      <c r="A530" s="161"/>
      <c r="B530" s="161"/>
      <c r="C530" s="161"/>
      <c r="D530" s="161"/>
      <c r="E530" s="161"/>
      <c r="F530" s="161"/>
      <c r="G530" s="161"/>
      <c r="H530" s="161"/>
      <c r="I530" s="161"/>
      <c r="J530" s="161"/>
      <c r="K530" s="161"/>
      <c r="L530" s="161"/>
      <c r="M530" s="161"/>
      <c r="N530" s="161"/>
      <c r="O530" s="161"/>
      <c r="P530" s="161"/>
      <c r="Q530" s="161"/>
      <c r="R530" s="161"/>
      <c r="S530" s="161"/>
      <c r="T530" s="161"/>
      <c r="U530" s="161"/>
      <c r="V530" s="161"/>
      <c r="W530" s="161"/>
      <c r="X530" s="161"/>
      <c r="Y530" s="161"/>
      <c r="Z530" s="161"/>
      <c r="AA530" s="161"/>
    </row>
    <row r="531" spans="1:27" ht="12" customHeight="1" x14ac:dyDescent="0.25">
      <c r="A531" s="161"/>
      <c r="B531" s="161"/>
      <c r="C531" s="161"/>
      <c r="D531" s="161"/>
      <c r="E531" s="161"/>
      <c r="F531" s="161"/>
      <c r="G531" s="161"/>
      <c r="H531" s="161"/>
      <c r="I531" s="161"/>
      <c r="J531" s="161"/>
      <c r="K531" s="161"/>
      <c r="L531" s="161"/>
      <c r="M531" s="161"/>
      <c r="N531" s="161"/>
      <c r="O531" s="161"/>
      <c r="P531" s="161"/>
      <c r="Q531" s="161"/>
      <c r="R531" s="161"/>
      <c r="S531" s="161"/>
      <c r="T531" s="161"/>
      <c r="U531" s="161"/>
      <c r="V531" s="161"/>
      <c r="W531" s="161"/>
      <c r="X531" s="161"/>
      <c r="Y531" s="161"/>
      <c r="Z531" s="161"/>
      <c r="AA531" s="161"/>
    </row>
    <row r="532" spans="1:27" ht="12" customHeight="1" x14ac:dyDescent="0.25">
      <c r="A532" s="161"/>
      <c r="B532" s="161"/>
      <c r="C532" s="161"/>
      <c r="D532" s="161"/>
      <c r="E532" s="161"/>
      <c r="F532" s="161"/>
      <c r="G532" s="161"/>
      <c r="H532" s="161"/>
      <c r="I532" s="161"/>
      <c r="J532" s="161"/>
      <c r="K532" s="161"/>
      <c r="L532" s="161"/>
      <c r="M532" s="161"/>
      <c r="N532" s="161"/>
      <c r="O532" s="161"/>
      <c r="P532" s="161"/>
      <c r="Q532" s="161"/>
      <c r="R532" s="161"/>
      <c r="S532" s="161"/>
      <c r="T532" s="161"/>
      <c r="U532" s="161"/>
      <c r="V532" s="161"/>
      <c r="W532" s="161"/>
      <c r="X532" s="161"/>
      <c r="Y532" s="161"/>
      <c r="Z532" s="161"/>
      <c r="AA532" s="161"/>
    </row>
    <row r="533" spans="1:27" ht="12" customHeight="1" x14ac:dyDescent="0.25">
      <c r="A533" s="161"/>
      <c r="B533" s="161"/>
      <c r="C533" s="161"/>
      <c r="D533" s="161"/>
      <c r="E533" s="161"/>
      <c r="F533" s="161"/>
      <c r="G533" s="161"/>
      <c r="H533" s="161"/>
      <c r="I533" s="161"/>
      <c r="J533" s="161"/>
      <c r="K533" s="161"/>
      <c r="L533" s="161"/>
      <c r="M533" s="161"/>
      <c r="N533" s="161"/>
      <c r="O533" s="161"/>
      <c r="P533" s="161"/>
      <c r="Q533" s="161"/>
      <c r="R533" s="161"/>
      <c r="S533" s="161"/>
      <c r="T533" s="161"/>
      <c r="U533" s="161"/>
      <c r="V533" s="161"/>
      <c r="W533" s="161"/>
      <c r="X533" s="161"/>
      <c r="Y533" s="161"/>
      <c r="Z533" s="161"/>
      <c r="AA533" s="161"/>
    </row>
    <row r="534" spans="1:27" ht="12" customHeight="1" x14ac:dyDescent="0.25">
      <c r="A534" s="161"/>
      <c r="B534" s="161"/>
      <c r="C534" s="161"/>
      <c r="D534" s="161"/>
      <c r="E534" s="161"/>
      <c r="F534" s="161"/>
      <c r="G534" s="161"/>
      <c r="H534" s="161"/>
      <c r="I534" s="161"/>
      <c r="J534" s="161"/>
      <c r="K534" s="161"/>
      <c r="L534" s="161"/>
      <c r="M534" s="161"/>
      <c r="N534" s="161"/>
      <c r="O534" s="161"/>
      <c r="P534" s="161"/>
      <c r="Q534" s="161"/>
      <c r="R534" s="161"/>
      <c r="S534" s="161"/>
      <c r="T534" s="161"/>
      <c r="U534" s="161"/>
      <c r="V534" s="161"/>
      <c r="W534" s="161"/>
      <c r="X534" s="161"/>
      <c r="Y534" s="161"/>
      <c r="Z534" s="161"/>
      <c r="AA534" s="161"/>
    </row>
    <row r="535" spans="1:27" ht="12" customHeight="1" x14ac:dyDescent="0.25">
      <c r="A535" s="161"/>
      <c r="B535" s="161"/>
      <c r="C535" s="161"/>
      <c r="D535" s="161"/>
      <c r="E535" s="161"/>
      <c r="F535" s="161"/>
      <c r="G535" s="161"/>
      <c r="H535" s="161"/>
      <c r="I535" s="161"/>
      <c r="J535" s="161"/>
      <c r="K535" s="161"/>
      <c r="L535" s="161"/>
      <c r="M535" s="161"/>
      <c r="N535" s="161"/>
      <c r="O535" s="161"/>
      <c r="P535" s="161"/>
      <c r="Q535" s="161"/>
      <c r="R535" s="161"/>
      <c r="S535" s="161"/>
      <c r="T535" s="161"/>
      <c r="U535" s="161"/>
      <c r="V535" s="161"/>
      <c r="W535" s="161"/>
      <c r="X535" s="161"/>
      <c r="Y535" s="161"/>
      <c r="Z535" s="161"/>
      <c r="AA535" s="161"/>
    </row>
    <row r="536" spans="1:27" ht="12" customHeight="1" x14ac:dyDescent="0.25">
      <c r="A536" s="161"/>
      <c r="B536" s="161"/>
      <c r="C536" s="161"/>
      <c r="D536" s="161"/>
      <c r="E536" s="161"/>
      <c r="F536" s="161"/>
      <c r="G536" s="161"/>
      <c r="H536" s="161"/>
      <c r="I536" s="161"/>
      <c r="J536" s="161"/>
      <c r="K536" s="161"/>
      <c r="L536" s="161"/>
      <c r="M536" s="161"/>
      <c r="N536" s="161"/>
      <c r="O536" s="161"/>
      <c r="P536" s="161"/>
      <c r="Q536" s="161"/>
      <c r="R536" s="161"/>
      <c r="S536" s="161"/>
      <c r="T536" s="161"/>
      <c r="U536" s="161"/>
      <c r="V536" s="161"/>
      <c r="W536" s="161"/>
      <c r="X536" s="161"/>
      <c r="Y536" s="161"/>
      <c r="Z536" s="161"/>
      <c r="AA536" s="161"/>
    </row>
    <row r="537" spans="1:27" ht="12" customHeight="1" x14ac:dyDescent="0.25">
      <c r="A537" s="161"/>
      <c r="B537" s="161"/>
      <c r="C537" s="161"/>
      <c r="D537" s="161"/>
      <c r="E537" s="161"/>
      <c r="F537" s="161"/>
      <c r="G537" s="161"/>
      <c r="H537" s="161"/>
      <c r="I537" s="161"/>
      <c r="J537" s="161"/>
      <c r="K537" s="161"/>
      <c r="L537" s="161"/>
      <c r="M537" s="161"/>
      <c r="N537" s="161"/>
      <c r="O537" s="161"/>
      <c r="P537" s="161"/>
      <c r="Q537" s="161"/>
      <c r="R537" s="161"/>
      <c r="S537" s="161"/>
      <c r="T537" s="161"/>
      <c r="U537" s="161"/>
      <c r="V537" s="161"/>
      <c r="W537" s="161"/>
      <c r="X537" s="161"/>
      <c r="Y537" s="161"/>
      <c r="Z537" s="161"/>
      <c r="AA537" s="161"/>
    </row>
    <row r="538" spans="1:27" ht="12" customHeight="1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  <c r="J538" s="161"/>
      <c r="K538" s="161"/>
      <c r="L538" s="161"/>
      <c r="M538" s="161"/>
      <c r="N538" s="161"/>
      <c r="O538" s="161"/>
      <c r="P538" s="161"/>
      <c r="Q538" s="161"/>
      <c r="R538" s="161"/>
      <c r="S538" s="161"/>
      <c r="T538" s="161"/>
      <c r="U538" s="161"/>
      <c r="V538" s="161"/>
      <c r="W538" s="161"/>
      <c r="X538" s="161"/>
      <c r="Y538" s="161"/>
      <c r="Z538" s="161"/>
      <c r="AA538" s="161"/>
    </row>
    <row r="539" spans="1:27" ht="12" customHeight="1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  <c r="J539" s="161"/>
      <c r="K539" s="161"/>
      <c r="L539" s="161"/>
      <c r="M539" s="161"/>
      <c r="N539" s="161"/>
      <c r="O539" s="161"/>
      <c r="P539" s="161"/>
      <c r="Q539" s="161"/>
      <c r="R539" s="161"/>
      <c r="S539" s="161"/>
      <c r="T539" s="161"/>
      <c r="U539" s="161"/>
      <c r="V539" s="161"/>
      <c r="W539" s="161"/>
      <c r="X539" s="161"/>
      <c r="Y539" s="161"/>
      <c r="Z539" s="161"/>
      <c r="AA539" s="161"/>
    </row>
    <row r="540" spans="1:27" ht="12" customHeight="1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  <c r="J540" s="161"/>
      <c r="K540" s="161"/>
      <c r="L540" s="161"/>
      <c r="M540" s="161"/>
      <c r="N540" s="161"/>
      <c r="O540" s="161"/>
      <c r="P540" s="161"/>
      <c r="Q540" s="161"/>
      <c r="R540" s="161"/>
      <c r="S540" s="161"/>
      <c r="T540" s="161"/>
      <c r="U540" s="161"/>
      <c r="V540" s="161"/>
      <c r="W540" s="161"/>
      <c r="X540" s="161"/>
      <c r="Y540" s="161"/>
      <c r="Z540" s="161"/>
      <c r="AA540" s="161"/>
    </row>
    <row r="541" spans="1:27" ht="12" customHeight="1" x14ac:dyDescent="0.25">
      <c r="A541" s="161"/>
      <c r="B541" s="161"/>
      <c r="C541" s="161"/>
      <c r="D541" s="161"/>
      <c r="E541" s="161"/>
      <c r="F541" s="161"/>
      <c r="G541" s="161"/>
      <c r="H541" s="161"/>
      <c r="I541" s="161"/>
      <c r="J541" s="161"/>
      <c r="K541" s="161"/>
      <c r="L541" s="161"/>
      <c r="M541" s="161"/>
      <c r="N541" s="161"/>
      <c r="O541" s="161"/>
      <c r="P541" s="161"/>
      <c r="Q541" s="161"/>
      <c r="R541" s="161"/>
      <c r="S541" s="161"/>
      <c r="T541" s="161"/>
      <c r="U541" s="161"/>
      <c r="V541" s="161"/>
      <c r="W541" s="161"/>
      <c r="X541" s="161"/>
      <c r="Y541" s="161"/>
      <c r="Z541" s="161"/>
      <c r="AA541" s="161"/>
    </row>
    <row r="542" spans="1:27" ht="12" customHeight="1" x14ac:dyDescent="0.25">
      <c r="A542" s="161"/>
      <c r="B542" s="161"/>
      <c r="C542" s="161"/>
      <c r="D542" s="161"/>
      <c r="E542" s="161"/>
      <c r="F542" s="161"/>
      <c r="G542" s="161"/>
      <c r="H542" s="161"/>
      <c r="I542" s="161"/>
      <c r="J542" s="161"/>
      <c r="K542" s="161"/>
      <c r="L542" s="161"/>
      <c r="M542" s="161"/>
      <c r="N542" s="161"/>
      <c r="O542" s="161"/>
      <c r="P542" s="161"/>
      <c r="Q542" s="161"/>
      <c r="R542" s="161"/>
      <c r="S542" s="161"/>
      <c r="T542" s="161"/>
      <c r="U542" s="161"/>
      <c r="V542" s="161"/>
      <c r="W542" s="161"/>
      <c r="X542" s="161"/>
      <c r="Y542" s="161"/>
      <c r="Z542" s="161"/>
      <c r="AA542" s="161"/>
    </row>
    <row r="543" spans="1:27" ht="12" customHeight="1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  <c r="J543" s="161"/>
      <c r="K543" s="161"/>
      <c r="L543" s="161"/>
      <c r="M543" s="161"/>
      <c r="N543" s="161"/>
      <c r="O543" s="161"/>
      <c r="P543" s="161"/>
      <c r="Q543" s="161"/>
      <c r="R543" s="161"/>
      <c r="S543" s="161"/>
      <c r="T543" s="161"/>
      <c r="U543" s="161"/>
      <c r="V543" s="161"/>
      <c r="W543" s="161"/>
      <c r="X543" s="161"/>
      <c r="Y543" s="161"/>
      <c r="Z543" s="161"/>
      <c r="AA543" s="161"/>
    </row>
    <row r="544" spans="1:27" ht="12" customHeight="1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  <c r="J544" s="161"/>
      <c r="K544" s="161"/>
      <c r="L544" s="161"/>
      <c r="M544" s="161"/>
      <c r="N544" s="161"/>
      <c r="O544" s="161"/>
      <c r="P544" s="161"/>
      <c r="Q544" s="161"/>
      <c r="R544" s="161"/>
      <c r="S544" s="161"/>
      <c r="T544" s="161"/>
      <c r="U544" s="161"/>
      <c r="V544" s="161"/>
      <c r="W544" s="161"/>
      <c r="X544" s="161"/>
      <c r="Y544" s="161"/>
      <c r="Z544" s="161"/>
      <c r="AA544" s="161"/>
    </row>
    <row r="545" spans="1:27" ht="12" customHeight="1" x14ac:dyDescent="0.25">
      <c r="A545" s="161"/>
      <c r="B545" s="161"/>
      <c r="C545" s="161"/>
      <c r="D545" s="161"/>
      <c r="E545" s="161"/>
      <c r="F545" s="161"/>
      <c r="G545" s="161"/>
      <c r="H545" s="161"/>
      <c r="I545" s="161"/>
      <c r="J545" s="161"/>
      <c r="K545" s="161"/>
      <c r="L545" s="161"/>
      <c r="M545" s="161"/>
      <c r="N545" s="161"/>
      <c r="O545" s="161"/>
      <c r="P545" s="161"/>
      <c r="Q545" s="161"/>
      <c r="R545" s="161"/>
      <c r="S545" s="161"/>
      <c r="T545" s="161"/>
      <c r="U545" s="161"/>
      <c r="V545" s="161"/>
      <c r="W545" s="161"/>
      <c r="X545" s="161"/>
      <c r="Y545" s="161"/>
      <c r="Z545" s="161"/>
      <c r="AA545" s="161"/>
    </row>
    <row r="546" spans="1:27" ht="12" customHeight="1" x14ac:dyDescent="0.25">
      <c r="A546" s="161"/>
      <c r="B546" s="161"/>
      <c r="C546" s="161"/>
      <c r="D546" s="161"/>
      <c r="E546" s="161"/>
      <c r="F546" s="161"/>
      <c r="G546" s="161"/>
      <c r="H546" s="161"/>
      <c r="I546" s="161"/>
      <c r="J546" s="161"/>
      <c r="K546" s="161"/>
      <c r="L546" s="161"/>
      <c r="M546" s="161"/>
      <c r="N546" s="161"/>
      <c r="O546" s="161"/>
      <c r="P546" s="161"/>
      <c r="Q546" s="161"/>
      <c r="R546" s="161"/>
      <c r="S546" s="161"/>
      <c r="T546" s="161"/>
      <c r="U546" s="161"/>
      <c r="V546" s="161"/>
      <c r="W546" s="161"/>
      <c r="X546" s="161"/>
      <c r="Y546" s="161"/>
      <c r="Z546" s="161"/>
      <c r="AA546" s="161"/>
    </row>
    <row r="547" spans="1:27" ht="12" customHeight="1" x14ac:dyDescent="0.25">
      <c r="A547" s="161"/>
      <c r="B547" s="161"/>
      <c r="C547" s="161"/>
      <c r="D547" s="161"/>
      <c r="E547" s="161"/>
      <c r="F547" s="161"/>
      <c r="G547" s="161"/>
      <c r="H547" s="161"/>
      <c r="I547" s="161"/>
      <c r="J547" s="161"/>
      <c r="K547" s="161"/>
      <c r="L547" s="161"/>
      <c r="M547" s="161"/>
      <c r="N547" s="161"/>
      <c r="O547" s="161"/>
      <c r="P547" s="161"/>
      <c r="Q547" s="161"/>
      <c r="R547" s="161"/>
      <c r="S547" s="161"/>
      <c r="T547" s="161"/>
      <c r="U547" s="161"/>
      <c r="V547" s="161"/>
      <c r="W547" s="161"/>
      <c r="X547" s="161"/>
      <c r="Y547" s="161"/>
      <c r="Z547" s="161"/>
      <c r="AA547" s="161"/>
    </row>
    <row r="548" spans="1:27" ht="12" customHeight="1" x14ac:dyDescent="0.25">
      <c r="A548" s="161"/>
      <c r="B548" s="161"/>
      <c r="C548" s="161"/>
      <c r="D548" s="161"/>
      <c r="E548" s="161"/>
      <c r="F548" s="161"/>
      <c r="G548" s="161"/>
      <c r="H548" s="161"/>
      <c r="I548" s="161"/>
      <c r="J548" s="161"/>
      <c r="K548" s="161"/>
      <c r="L548" s="161"/>
      <c r="M548" s="161"/>
      <c r="N548" s="161"/>
      <c r="O548" s="161"/>
      <c r="P548" s="161"/>
      <c r="Q548" s="161"/>
      <c r="R548" s="161"/>
      <c r="S548" s="161"/>
      <c r="T548" s="161"/>
      <c r="U548" s="161"/>
      <c r="V548" s="161"/>
      <c r="W548" s="161"/>
      <c r="X548" s="161"/>
      <c r="Y548" s="161"/>
      <c r="Z548" s="161"/>
      <c r="AA548" s="161"/>
    </row>
    <row r="549" spans="1:27" ht="12" customHeight="1" x14ac:dyDescent="0.25">
      <c r="A549" s="161"/>
      <c r="B549" s="161"/>
      <c r="C549" s="161"/>
      <c r="D549" s="161"/>
      <c r="E549" s="161"/>
      <c r="F549" s="161"/>
      <c r="G549" s="161"/>
      <c r="H549" s="161"/>
      <c r="I549" s="161"/>
      <c r="J549" s="161"/>
      <c r="K549" s="161"/>
      <c r="L549" s="161"/>
      <c r="M549" s="161"/>
      <c r="N549" s="161"/>
      <c r="O549" s="161"/>
      <c r="P549" s="161"/>
      <c r="Q549" s="161"/>
      <c r="R549" s="161"/>
      <c r="S549" s="161"/>
      <c r="T549" s="161"/>
      <c r="U549" s="161"/>
      <c r="V549" s="161"/>
      <c r="W549" s="161"/>
      <c r="X549" s="161"/>
      <c r="Y549" s="161"/>
      <c r="Z549" s="161"/>
      <c r="AA549" s="161"/>
    </row>
    <row r="550" spans="1:27" ht="12" customHeight="1" x14ac:dyDescent="0.25">
      <c r="A550" s="161"/>
      <c r="B550" s="161"/>
      <c r="C550" s="161"/>
      <c r="D550" s="161"/>
      <c r="E550" s="161"/>
      <c r="F550" s="161"/>
      <c r="G550" s="161"/>
      <c r="H550" s="161"/>
      <c r="I550" s="161"/>
      <c r="J550" s="161"/>
      <c r="K550" s="161"/>
      <c r="L550" s="161"/>
      <c r="M550" s="161"/>
      <c r="N550" s="161"/>
      <c r="O550" s="161"/>
      <c r="P550" s="161"/>
      <c r="Q550" s="161"/>
      <c r="R550" s="161"/>
      <c r="S550" s="161"/>
      <c r="T550" s="161"/>
      <c r="U550" s="161"/>
      <c r="V550" s="161"/>
      <c r="W550" s="161"/>
      <c r="X550" s="161"/>
      <c r="Y550" s="161"/>
      <c r="Z550" s="161"/>
      <c r="AA550" s="161"/>
    </row>
    <row r="551" spans="1:27" ht="12" customHeight="1" x14ac:dyDescent="0.25">
      <c r="A551" s="161"/>
      <c r="B551" s="161"/>
      <c r="C551" s="161"/>
      <c r="D551" s="161"/>
      <c r="E551" s="161"/>
      <c r="F551" s="161"/>
      <c r="G551" s="161"/>
      <c r="H551" s="161"/>
      <c r="I551" s="161"/>
      <c r="J551" s="161"/>
      <c r="K551" s="161"/>
      <c r="L551" s="161"/>
      <c r="M551" s="161"/>
      <c r="N551" s="161"/>
      <c r="O551" s="161"/>
      <c r="P551" s="161"/>
      <c r="Q551" s="161"/>
      <c r="R551" s="161"/>
      <c r="S551" s="161"/>
      <c r="T551" s="161"/>
      <c r="U551" s="161"/>
      <c r="V551" s="161"/>
      <c r="W551" s="161"/>
      <c r="X551" s="161"/>
      <c r="Y551" s="161"/>
      <c r="Z551" s="161"/>
      <c r="AA551" s="161"/>
    </row>
    <row r="552" spans="1:27" ht="12" customHeight="1" x14ac:dyDescent="0.25">
      <c r="A552" s="161"/>
      <c r="B552" s="161"/>
      <c r="C552" s="161"/>
      <c r="D552" s="161"/>
      <c r="E552" s="161"/>
      <c r="F552" s="161"/>
      <c r="G552" s="161"/>
      <c r="H552" s="161"/>
      <c r="I552" s="161"/>
      <c r="J552" s="161"/>
      <c r="K552" s="161"/>
      <c r="L552" s="161"/>
      <c r="M552" s="161"/>
      <c r="N552" s="161"/>
      <c r="O552" s="161"/>
      <c r="P552" s="161"/>
      <c r="Q552" s="161"/>
      <c r="R552" s="161"/>
      <c r="S552" s="161"/>
      <c r="T552" s="161"/>
      <c r="U552" s="161"/>
      <c r="V552" s="161"/>
      <c r="W552" s="161"/>
      <c r="X552" s="161"/>
      <c r="Y552" s="161"/>
      <c r="Z552" s="161"/>
      <c r="AA552" s="161"/>
    </row>
    <row r="553" spans="1:27" ht="12" customHeight="1" x14ac:dyDescent="0.25">
      <c r="A553" s="161"/>
      <c r="B553" s="161"/>
      <c r="C553" s="161"/>
      <c r="D553" s="161"/>
      <c r="E553" s="161"/>
      <c r="F553" s="161"/>
      <c r="G553" s="161"/>
      <c r="H553" s="161"/>
      <c r="I553" s="161"/>
      <c r="J553" s="161"/>
      <c r="K553" s="161"/>
      <c r="L553" s="161"/>
      <c r="M553" s="161"/>
      <c r="N553" s="161"/>
      <c r="O553" s="161"/>
      <c r="P553" s="161"/>
      <c r="Q553" s="161"/>
      <c r="R553" s="161"/>
      <c r="S553" s="161"/>
      <c r="T553" s="161"/>
      <c r="U553" s="161"/>
      <c r="V553" s="161"/>
      <c r="W553" s="161"/>
      <c r="X553" s="161"/>
      <c r="Y553" s="161"/>
      <c r="Z553" s="161"/>
      <c r="AA553" s="161"/>
    </row>
    <row r="554" spans="1:27" ht="12" customHeight="1" x14ac:dyDescent="0.25">
      <c r="A554" s="161"/>
      <c r="B554" s="161"/>
      <c r="C554" s="161"/>
      <c r="D554" s="161"/>
      <c r="E554" s="161"/>
      <c r="F554" s="161"/>
      <c r="G554" s="161"/>
      <c r="H554" s="161"/>
      <c r="I554" s="161"/>
      <c r="J554" s="161"/>
      <c r="K554" s="161"/>
      <c r="L554" s="161"/>
      <c r="M554" s="161"/>
      <c r="N554" s="161"/>
      <c r="O554" s="161"/>
      <c r="P554" s="161"/>
      <c r="Q554" s="161"/>
      <c r="R554" s="161"/>
      <c r="S554" s="161"/>
      <c r="T554" s="161"/>
      <c r="U554" s="161"/>
      <c r="V554" s="161"/>
      <c r="W554" s="161"/>
      <c r="X554" s="161"/>
      <c r="Y554" s="161"/>
      <c r="Z554" s="161"/>
      <c r="AA554" s="161"/>
    </row>
    <row r="555" spans="1:27" ht="12" customHeight="1" x14ac:dyDescent="0.25">
      <c r="A555" s="161"/>
      <c r="B555" s="161"/>
      <c r="C555" s="161"/>
      <c r="D555" s="161"/>
      <c r="E555" s="161"/>
      <c r="F555" s="161"/>
      <c r="G555" s="161"/>
      <c r="H555" s="161"/>
      <c r="I555" s="161"/>
      <c r="J555" s="161"/>
      <c r="K555" s="161"/>
      <c r="L555" s="161"/>
      <c r="M555" s="161"/>
      <c r="N555" s="161"/>
      <c r="O555" s="161"/>
      <c r="P555" s="161"/>
      <c r="Q555" s="161"/>
      <c r="R555" s="161"/>
      <c r="S555" s="161"/>
      <c r="T555" s="161"/>
      <c r="U555" s="161"/>
      <c r="V555" s="161"/>
      <c r="W555" s="161"/>
      <c r="X555" s="161"/>
      <c r="Y555" s="161"/>
      <c r="Z555" s="161"/>
      <c r="AA555" s="161"/>
    </row>
    <row r="556" spans="1:27" ht="12" customHeight="1" x14ac:dyDescent="0.25">
      <c r="A556" s="161"/>
      <c r="B556" s="161"/>
      <c r="C556" s="161"/>
      <c r="D556" s="161"/>
      <c r="E556" s="161"/>
      <c r="F556" s="161"/>
      <c r="G556" s="161"/>
      <c r="H556" s="161"/>
      <c r="I556" s="161"/>
      <c r="J556" s="161"/>
      <c r="K556" s="161"/>
      <c r="L556" s="161"/>
      <c r="M556" s="161"/>
      <c r="N556" s="161"/>
      <c r="O556" s="161"/>
      <c r="P556" s="161"/>
      <c r="Q556" s="161"/>
      <c r="R556" s="161"/>
      <c r="S556" s="161"/>
      <c r="T556" s="161"/>
      <c r="U556" s="161"/>
      <c r="V556" s="161"/>
      <c r="W556" s="161"/>
      <c r="X556" s="161"/>
      <c r="Y556" s="161"/>
      <c r="Z556" s="161"/>
      <c r="AA556" s="161"/>
    </row>
    <row r="557" spans="1:27" ht="12" customHeight="1" x14ac:dyDescent="0.25">
      <c r="A557" s="161"/>
      <c r="B557" s="161"/>
      <c r="C557" s="161"/>
      <c r="D557" s="161"/>
      <c r="E557" s="161"/>
      <c r="F557" s="161"/>
      <c r="G557" s="161"/>
      <c r="H557" s="161"/>
      <c r="I557" s="161"/>
      <c r="J557" s="161"/>
      <c r="K557" s="161"/>
      <c r="L557" s="161"/>
      <c r="M557" s="161"/>
      <c r="N557" s="161"/>
      <c r="O557" s="161"/>
      <c r="P557" s="161"/>
      <c r="Q557" s="161"/>
      <c r="R557" s="161"/>
      <c r="S557" s="161"/>
      <c r="T557" s="161"/>
      <c r="U557" s="161"/>
      <c r="V557" s="161"/>
      <c r="W557" s="161"/>
      <c r="X557" s="161"/>
      <c r="Y557" s="161"/>
      <c r="Z557" s="161"/>
      <c r="AA557" s="161"/>
    </row>
    <row r="558" spans="1:27" ht="12" customHeight="1" x14ac:dyDescent="0.25">
      <c r="A558" s="161"/>
      <c r="B558" s="161"/>
      <c r="C558" s="161"/>
      <c r="D558" s="161"/>
      <c r="E558" s="161"/>
      <c r="F558" s="161"/>
      <c r="G558" s="161"/>
      <c r="H558" s="161"/>
      <c r="I558" s="161"/>
      <c r="J558" s="161"/>
      <c r="K558" s="161"/>
      <c r="L558" s="161"/>
      <c r="M558" s="161"/>
      <c r="N558" s="161"/>
      <c r="O558" s="161"/>
      <c r="P558" s="161"/>
      <c r="Q558" s="161"/>
      <c r="R558" s="161"/>
      <c r="S558" s="161"/>
      <c r="T558" s="161"/>
      <c r="U558" s="161"/>
      <c r="V558" s="161"/>
      <c r="W558" s="161"/>
      <c r="X558" s="161"/>
      <c r="Y558" s="161"/>
      <c r="Z558" s="161"/>
      <c r="AA558" s="161"/>
    </row>
    <row r="559" spans="1:27" ht="12" customHeight="1" x14ac:dyDescent="0.25">
      <c r="A559" s="161"/>
      <c r="B559" s="161"/>
      <c r="C559" s="161"/>
      <c r="D559" s="161"/>
      <c r="E559" s="161"/>
      <c r="F559" s="161"/>
      <c r="G559" s="161"/>
      <c r="H559" s="161"/>
      <c r="I559" s="161"/>
      <c r="J559" s="161"/>
      <c r="K559" s="161"/>
      <c r="L559" s="161"/>
      <c r="M559" s="161"/>
      <c r="N559" s="161"/>
      <c r="O559" s="161"/>
      <c r="P559" s="161"/>
      <c r="Q559" s="161"/>
      <c r="R559" s="161"/>
      <c r="S559" s="161"/>
      <c r="T559" s="161"/>
      <c r="U559" s="161"/>
      <c r="V559" s="161"/>
      <c r="W559" s="161"/>
      <c r="X559" s="161"/>
      <c r="Y559" s="161"/>
      <c r="Z559" s="161"/>
      <c r="AA559" s="161"/>
    </row>
    <row r="560" spans="1:27" ht="12" customHeight="1" x14ac:dyDescent="0.25">
      <c r="A560" s="161"/>
      <c r="B560" s="161"/>
      <c r="C560" s="161"/>
      <c r="D560" s="161"/>
      <c r="E560" s="161"/>
      <c r="F560" s="161"/>
      <c r="G560" s="161"/>
      <c r="H560" s="161"/>
      <c r="I560" s="161"/>
      <c r="J560" s="161"/>
      <c r="K560" s="161"/>
      <c r="L560" s="161"/>
      <c r="M560" s="161"/>
      <c r="N560" s="161"/>
      <c r="O560" s="161"/>
      <c r="P560" s="161"/>
      <c r="Q560" s="161"/>
      <c r="R560" s="161"/>
      <c r="S560" s="161"/>
      <c r="T560" s="161"/>
      <c r="U560" s="161"/>
      <c r="V560" s="161"/>
      <c r="W560" s="161"/>
      <c r="X560" s="161"/>
      <c r="Y560" s="161"/>
      <c r="Z560" s="161"/>
      <c r="AA560" s="161"/>
    </row>
    <row r="561" spans="1:27" ht="12" customHeight="1" x14ac:dyDescent="0.25">
      <c r="A561" s="161"/>
      <c r="B561" s="161"/>
      <c r="C561" s="161"/>
      <c r="D561" s="161"/>
      <c r="E561" s="161"/>
      <c r="F561" s="161"/>
      <c r="G561" s="161"/>
      <c r="H561" s="161"/>
      <c r="I561" s="161"/>
      <c r="J561" s="161"/>
      <c r="K561" s="161"/>
      <c r="L561" s="161"/>
      <c r="M561" s="161"/>
      <c r="N561" s="161"/>
      <c r="O561" s="161"/>
      <c r="P561" s="161"/>
      <c r="Q561" s="161"/>
      <c r="R561" s="161"/>
      <c r="S561" s="161"/>
      <c r="T561" s="161"/>
      <c r="U561" s="161"/>
      <c r="V561" s="161"/>
      <c r="W561" s="161"/>
      <c r="X561" s="161"/>
      <c r="Y561" s="161"/>
      <c r="Z561" s="161"/>
      <c r="AA561" s="161"/>
    </row>
    <row r="562" spans="1:27" ht="12" customHeight="1" x14ac:dyDescent="0.25">
      <c r="A562" s="161"/>
      <c r="B562" s="161"/>
      <c r="C562" s="161"/>
      <c r="D562" s="161"/>
      <c r="E562" s="161"/>
      <c r="F562" s="161"/>
      <c r="G562" s="161"/>
      <c r="H562" s="161"/>
      <c r="I562" s="161"/>
      <c r="J562" s="161"/>
      <c r="K562" s="161"/>
      <c r="L562" s="161"/>
      <c r="M562" s="161"/>
      <c r="N562" s="161"/>
      <c r="O562" s="161"/>
      <c r="P562" s="161"/>
      <c r="Q562" s="161"/>
      <c r="R562" s="161"/>
      <c r="S562" s="161"/>
      <c r="T562" s="161"/>
      <c r="U562" s="161"/>
      <c r="V562" s="161"/>
      <c r="W562" s="161"/>
      <c r="X562" s="161"/>
      <c r="Y562" s="161"/>
      <c r="Z562" s="161"/>
      <c r="AA562" s="161"/>
    </row>
    <row r="563" spans="1:27" ht="12" customHeight="1" x14ac:dyDescent="0.25">
      <c r="A563" s="161"/>
      <c r="B563" s="161"/>
      <c r="C563" s="161"/>
      <c r="D563" s="161"/>
      <c r="E563" s="161"/>
      <c r="F563" s="161"/>
      <c r="G563" s="161"/>
      <c r="H563" s="161"/>
      <c r="I563" s="161"/>
      <c r="J563" s="161"/>
      <c r="K563" s="161"/>
      <c r="L563" s="161"/>
      <c r="M563" s="161"/>
      <c r="N563" s="161"/>
      <c r="O563" s="161"/>
      <c r="P563" s="161"/>
      <c r="Q563" s="161"/>
      <c r="R563" s="161"/>
      <c r="S563" s="161"/>
      <c r="T563" s="161"/>
      <c r="U563" s="161"/>
      <c r="V563" s="161"/>
      <c r="W563" s="161"/>
      <c r="X563" s="161"/>
      <c r="Y563" s="161"/>
      <c r="Z563" s="161"/>
      <c r="AA563" s="161"/>
    </row>
    <row r="564" spans="1:27" ht="12" customHeight="1" x14ac:dyDescent="0.25">
      <c r="A564" s="161"/>
      <c r="B564" s="161"/>
      <c r="C564" s="161"/>
      <c r="D564" s="161"/>
      <c r="E564" s="161"/>
      <c r="F564" s="161"/>
      <c r="G564" s="161"/>
      <c r="H564" s="161"/>
      <c r="I564" s="161"/>
      <c r="J564" s="161"/>
      <c r="K564" s="161"/>
      <c r="L564" s="161"/>
      <c r="M564" s="161"/>
      <c r="N564" s="161"/>
      <c r="O564" s="161"/>
      <c r="P564" s="161"/>
      <c r="Q564" s="161"/>
      <c r="R564" s="161"/>
      <c r="S564" s="161"/>
      <c r="T564" s="161"/>
      <c r="U564" s="161"/>
      <c r="V564" s="161"/>
      <c r="W564" s="161"/>
      <c r="X564" s="161"/>
      <c r="Y564" s="161"/>
      <c r="Z564" s="161"/>
      <c r="AA564" s="161"/>
    </row>
    <row r="565" spans="1:27" ht="12" customHeight="1" x14ac:dyDescent="0.25">
      <c r="A565" s="161"/>
      <c r="B565" s="161"/>
      <c r="C565" s="161"/>
      <c r="D565" s="161"/>
      <c r="E565" s="161"/>
      <c r="F565" s="161"/>
      <c r="G565" s="161"/>
      <c r="H565" s="161"/>
      <c r="I565" s="161"/>
      <c r="J565" s="161"/>
      <c r="K565" s="161"/>
      <c r="L565" s="161"/>
      <c r="M565" s="161"/>
      <c r="N565" s="161"/>
      <c r="O565" s="161"/>
      <c r="P565" s="161"/>
      <c r="Q565" s="161"/>
      <c r="R565" s="161"/>
      <c r="S565" s="161"/>
      <c r="T565" s="161"/>
      <c r="U565" s="161"/>
      <c r="V565" s="161"/>
      <c r="W565" s="161"/>
      <c r="X565" s="161"/>
      <c r="Y565" s="161"/>
      <c r="Z565" s="161"/>
      <c r="AA565" s="161"/>
    </row>
    <row r="566" spans="1:27" ht="12" customHeight="1" x14ac:dyDescent="0.25">
      <c r="A566" s="161"/>
      <c r="B566" s="161"/>
      <c r="C566" s="161"/>
      <c r="D566" s="161"/>
      <c r="E566" s="161"/>
      <c r="F566" s="161"/>
      <c r="G566" s="161"/>
      <c r="H566" s="161"/>
      <c r="I566" s="161"/>
      <c r="J566" s="161"/>
      <c r="K566" s="161"/>
      <c r="L566" s="161"/>
      <c r="M566" s="161"/>
      <c r="N566" s="161"/>
      <c r="O566" s="161"/>
      <c r="P566" s="161"/>
      <c r="Q566" s="161"/>
      <c r="R566" s="161"/>
      <c r="S566" s="161"/>
      <c r="T566" s="161"/>
      <c r="U566" s="161"/>
      <c r="V566" s="161"/>
      <c r="W566" s="161"/>
      <c r="X566" s="161"/>
      <c r="Y566" s="161"/>
      <c r="Z566" s="161"/>
      <c r="AA566" s="161"/>
    </row>
    <row r="567" spans="1:27" ht="12" customHeight="1" x14ac:dyDescent="0.25">
      <c r="A567" s="161"/>
      <c r="B567" s="161"/>
      <c r="C567" s="161"/>
      <c r="D567" s="161"/>
      <c r="E567" s="161"/>
      <c r="F567" s="161"/>
      <c r="G567" s="161"/>
      <c r="H567" s="161"/>
      <c r="I567" s="161"/>
      <c r="J567" s="161"/>
      <c r="K567" s="161"/>
      <c r="L567" s="161"/>
      <c r="M567" s="161"/>
      <c r="N567" s="161"/>
      <c r="O567" s="161"/>
      <c r="P567" s="161"/>
      <c r="Q567" s="161"/>
      <c r="R567" s="161"/>
      <c r="S567" s="161"/>
      <c r="T567" s="161"/>
      <c r="U567" s="161"/>
      <c r="V567" s="161"/>
      <c r="W567" s="161"/>
      <c r="X567" s="161"/>
      <c r="Y567" s="161"/>
      <c r="Z567" s="161"/>
      <c r="AA567" s="161"/>
    </row>
    <row r="568" spans="1:27" ht="12" customHeight="1" x14ac:dyDescent="0.25">
      <c r="A568" s="161"/>
      <c r="B568" s="161"/>
      <c r="C568" s="161"/>
      <c r="D568" s="161"/>
      <c r="E568" s="161"/>
      <c r="F568" s="161"/>
      <c r="G568" s="161"/>
      <c r="H568" s="161"/>
      <c r="I568" s="161"/>
      <c r="J568" s="161"/>
      <c r="K568" s="161"/>
      <c r="L568" s="161"/>
      <c r="M568" s="161"/>
      <c r="N568" s="161"/>
      <c r="O568" s="161"/>
      <c r="P568" s="161"/>
      <c r="Q568" s="161"/>
      <c r="R568" s="161"/>
      <c r="S568" s="161"/>
      <c r="T568" s="161"/>
      <c r="U568" s="161"/>
      <c r="V568" s="161"/>
      <c r="W568" s="161"/>
      <c r="X568" s="161"/>
      <c r="Y568" s="161"/>
      <c r="Z568" s="161"/>
      <c r="AA568" s="161"/>
    </row>
    <row r="569" spans="1:27" ht="12" customHeight="1" x14ac:dyDescent="0.25">
      <c r="A569" s="161"/>
      <c r="B569" s="161"/>
      <c r="C569" s="161"/>
      <c r="D569" s="161"/>
      <c r="E569" s="161"/>
      <c r="F569" s="161"/>
      <c r="G569" s="161"/>
      <c r="H569" s="161"/>
      <c r="I569" s="161"/>
      <c r="J569" s="161"/>
      <c r="K569" s="161"/>
      <c r="L569" s="161"/>
      <c r="M569" s="161"/>
      <c r="N569" s="161"/>
      <c r="O569" s="161"/>
      <c r="P569" s="161"/>
      <c r="Q569" s="161"/>
      <c r="R569" s="161"/>
      <c r="S569" s="161"/>
      <c r="T569" s="161"/>
      <c r="U569" s="161"/>
      <c r="V569" s="161"/>
      <c r="W569" s="161"/>
      <c r="X569" s="161"/>
      <c r="Y569" s="161"/>
      <c r="Z569" s="161"/>
      <c r="AA569" s="161"/>
    </row>
    <row r="570" spans="1:27" ht="12" customHeight="1" x14ac:dyDescent="0.25">
      <c r="A570" s="161"/>
      <c r="B570" s="161"/>
      <c r="C570" s="161"/>
      <c r="D570" s="161"/>
      <c r="E570" s="161"/>
      <c r="F570" s="161"/>
      <c r="G570" s="161"/>
      <c r="H570" s="161"/>
      <c r="I570" s="161"/>
      <c r="J570" s="161"/>
      <c r="K570" s="161"/>
      <c r="L570" s="161"/>
      <c r="M570" s="161"/>
      <c r="N570" s="161"/>
      <c r="O570" s="161"/>
      <c r="P570" s="161"/>
      <c r="Q570" s="161"/>
      <c r="R570" s="161"/>
      <c r="S570" s="161"/>
      <c r="T570" s="161"/>
      <c r="U570" s="161"/>
      <c r="V570" s="161"/>
      <c r="W570" s="161"/>
      <c r="X570" s="161"/>
      <c r="Y570" s="161"/>
      <c r="Z570" s="161"/>
      <c r="AA570" s="161"/>
    </row>
    <row r="571" spans="1:27" ht="12" customHeight="1" x14ac:dyDescent="0.25">
      <c r="A571" s="161"/>
      <c r="B571" s="161"/>
      <c r="C571" s="161"/>
      <c r="D571" s="161"/>
      <c r="E571" s="161"/>
      <c r="F571" s="161"/>
      <c r="G571" s="161"/>
      <c r="H571" s="161"/>
      <c r="I571" s="161"/>
      <c r="J571" s="161"/>
      <c r="K571" s="161"/>
      <c r="L571" s="161"/>
      <c r="M571" s="161"/>
      <c r="N571" s="161"/>
      <c r="O571" s="161"/>
      <c r="P571" s="161"/>
      <c r="Q571" s="161"/>
      <c r="R571" s="161"/>
      <c r="S571" s="161"/>
      <c r="T571" s="161"/>
      <c r="U571" s="161"/>
      <c r="V571" s="161"/>
      <c r="W571" s="161"/>
      <c r="X571" s="161"/>
      <c r="Y571" s="161"/>
      <c r="Z571" s="161"/>
      <c r="AA571" s="161"/>
    </row>
    <row r="572" spans="1:27" ht="12" customHeight="1" x14ac:dyDescent="0.25">
      <c r="A572" s="161"/>
      <c r="B572" s="161"/>
      <c r="C572" s="161"/>
      <c r="D572" s="161"/>
      <c r="E572" s="161"/>
      <c r="F572" s="161"/>
      <c r="G572" s="161"/>
      <c r="H572" s="161"/>
      <c r="I572" s="161"/>
      <c r="J572" s="161"/>
      <c r="K572" s="161"/>
      <c r="L572" s="161"/>
      <c r="M572" s="161"/>
      <c r="N572" s="161"/>
      <c r="O572" s="161"/>
      <c r="P572" s="161"/>
      <c r="Q572" s="161"/>
      <c r="R572" s="161"/>
      <c r="S572" s="161"/>
      <c r="T572" s="161"/>
      <c r="U572" s="161"/>
      <c r="V572" s="161"/>
      <c r="W572" s="161"/>
      <c r="X572" s="161"/>
      <c r="Y572" s="161"/>
      <c r="Z572" s="161"/>
      <c r="AA572" s="161"/>
    </row>
    <row r="573" spans="1:27" ht="12" customHeight="1" x14ac:dyDescent="0.25">
      <c r="A573" s="161"/>
      <c r="B573" s="161"/>
      <c r="C573" s="161"/>
      <c r="D573" s="161"/>
      <c r="E573" s="161"/>
      <c r="F573" s="161"/>
      <c r="G573" s="161"/>
      <c r="H573" s="161"/>
      <c r="I573" s="161"/>
      <c r="J573" s="161"/>
      <c r="K573" s="161"/>
      <c r="L573" s="161"/>
      <c r="M573" s="161"/>
      <c r="N573" s="161"/>
      <c r="O573" s="161"/>
      <c r="P573" s="161"/>
      <c r="Q573" s="161"/>
      <c r="R573" s="161"/>
      <c r="S573" s="161"/>
      <c r="T573" s="161"/>
      <c r="U573" s="161"/>
      <c r="V573" s="161"/>
      <c r="W573" s="161"/>
      <c r="X573" s="161"/>
      <c r="Y573" s="161"/>
      <c r="Z573" s="161"/>
      <c r="AA573" s="161"/>
    </row>
    <row r="574" spans="1:27" ht="12" customHeight="1" x14ac:dyDescent="0.25">
      <c r="A574" s="161"/>
      <c r="B574" s="161"/>
      <c r="C574" s="161"/>
      <c r="D574" s="161"/>
      <c r="E574" s="161"/>
      <c r="F574" s="161"/>
      <c r="G574" s="161"/>
      <c r="H574" s="161"/>
      <c r="I574" s="161"/>
      <c r="J574" s="161"/>
      <c r="K574" s="161"/>
      <c r="L574" s="161"/>
      <c r="M574" s="161"/>
      <c r="N574" s="161"/>
      <c r="O574" s="161"/>
      <c r="P574" s="161"/>
      <c r="Q574" s="161"/>
      <c r="R574" s="161"/>
      <c r="S574" s="161"/>
      <c r="T574" s="161"/>
      <c r="U574" s="161"/>
      <c r="V574" s="161"/>
      <c r="W574" s="161"/>
      <c r="X574" s="161"/>
      <c r="Y574" s="161"/>
      <c r="Z574" s="161"/>
      <c r="AA574" s="161"/>
    </row>
    <row r="575" spans="1:27" ht="12" customHeight="1" x14ac:dyDescent="0.25">
      <c r="A575" s="161"/>
      <c r="B575" s="161"/>
      <c r="C575" s="161"/>
      <c r="D575" s="161"/>
      <c r="E575" s="161"/>
      <c r="F575" s="161"/>
      <c r="G575" s="161"/>
      <c r="H575" s="161"/>
      <c r="I575" s="161"/>
      <c r="J575" s="161"/>
      <c r="K575" s="161"/>
      <c r="L575" s="161"/>
      <c r="M575" s="161"/>
      <c r="N575" s="161"/>
      <c r="O575" s="161"/>
      <c r="P575" s="161"/>
      <c r="Q575" s="161"/>
      <c r="R575" s="161"/>
      <c r="S575" s="161"/>
      <c r="T575" s="161"/>
      <c r="U575" s="161"/>
      <c r="V575" s="161"/>
      <c r="W575" s="161"/>
      <c r="X575" s="161"/>
      <c r="Y575" s="161"/>
      <c r="Z575" s="161"/>
      <c r="AA575" s="161"/>
    </row>
    <row r="576" spans="1:27" ht="12" customHeight="1" x14ac:dyDescent="0.25">
      <c r="A576" s="161"/>
      <c r="B576" s="161"/>
      <c r="C576" s="161"/>
      <c r="D576" s="161"/>
      <c r="E576" s="161"/>
      <c r="F576" s="161"/>
      <c r="G576" s="161"/>
      <c r="H576" s="161"/>
      <c r="I576" s="161"/>
      <c r="J576" s="161"/>
      <c r="K576" s="161"/>
      <c r="L576" s="161"/>
      <c r="M576" s="161"/>
      <c r="N576" s="161"/>
      <c r="O576" s="161"/>
      <c r="P576" s="161"/>
      <c r="Q576" s="161"/>
      <c r="R576" s="161"/>
      <c r="S576" s="161"/>
      <c r="T576" s="161"/>
      <c r="U576" s="161"/>
      <c r="V576" s="161"/>
      <c r="W576" s="161"/>
      <c r="X576" s="161"/>
      <c r="Y576" s="161"/>
      <c r="Z576" s="161"/>
      <c r="AA576" s="161"/>
    </row>
    <row r="577" spans="1:27" ht="12" customHeight="1" x14ac:dyDescent="0.25">
      <c r="A577" s="161"/>
      <c r="B577" s="161"/>
      <c r="C577" s="161"/>
      <c r="D577" s="161"/>
      <c r="E577" s="161"/>
      <c r="F577" s="161"/>
      <c r="G577" s="161"/>
      <c r="H577" s="161"/>
      <c r="I577" s="161"/>
      <c r="J577" s="161"/>
      <c r="K577" s="161"/>
      <c r="L577" s="161"/>
      <c r="M577" s="161"/>
      <c r="N577" s="161"/>
      <c r="O577" s="161"/>
      <c r="P577" s="161"/>
      <c r="Q577" s="161"/>
      <c r="R577" s="161"/>
      <c r="S577" s="161"/>
      <c r="T577" s="161"/>
      <c r="U577" s="161"/>
      <c r="V577" s="161"/>
      <c r="W577" s="161"/>
      <c r="X577" s="161"/>
      <c r="Y577" s="161"/>
      <c r="Z577" s="161"/>
      <c r="AA577" s="161"/>
    </row>
    <row r="578" spans="1:27" ht="12" customHeight="1" x14ac:dyDescent="0.25">
      <c r="A578" s="161"/>
      <c r="B578" s="161"/>
      <c r="C578" s="161"/>
      <c r="D578" s="161"/>
      <c r="E578" s="161"/>
      <c r="F578" s="161"/>
      <c r="G578" s="161"/>
      <c r="H578" s="161"/>
      <c r="I578" s="161"/>
      <c r="J578" s="161"/>
      <c r="K578" s="161"/>
      <c r="L578" s="161"/>
      <c r="M578" s="161"/>
      <c r="N578" s="161"/>
      <c r="O578" s="161"/>
      <c r="P578" s="161"/>
      <c r="Q578" s="161"/>
      <c r="R578" s="161"/>
      <c r="S578" s="161"/>
      <c r="T578" s="161"/>
      <c r="U578" s="161"/>
      <c r="V578" s="161"/>
      <c r="W578" s="161"/>
      <c r="X578" s="161"/>
      <c r="Y578" s="161"/>
      <c r="Z578" s="161"/>
      <c r="AA578" s="161"/>
    </row>
    <row r="579" spans="1:27" ht="12" customHeight="1" x14ac:dyDescent="0.25">
      <c r="A579" s="161"/>
      <c r="B579" s="161"/>
      <c r="C579" s="161"/>
      <c r="D579" s="161"/>
      <c r="E579" s="161"/>
      <c r="F579" s="161"/>
      <c r="G579" s="161"/>
      <c r="H579" s="161"/>
      <c r="I579" s="161"/>
      <c r="J579" s="161"/>
      <c r="K579" s="161"/>
      <c r="L579" s="161"/>
      <c r="M579" s="161"/>
      <c r="N579" s="161"/>
      <c r="O579" s="161"/>
      <c r="P579" s="161"/>
      <c r="Q579" s="161"/>
      <c r="R579" s="161"/>
      <c r="S579" s="161"/>
      <c r="T579" s="161"/>
      <c r="U579" s="161"/>
      <c r="V579" s="161"/>
      <c r="W579" s="161"/>
      <c r="X579" s="161"/>
      <c r="Y579" s="161"/>
      <c r="Z579" s="161"/>
      <c r="AA579" s="161"/>
    </row>
    <row r="580" spans="1:27" ht="12" customHeight="1" x14ac:dyDescent="0.25">
      <c r="A580" s="161"/>
      <c r="B580" s="161"/>
      <c r="C580" s="161"/>
      <c r="D580" s="161"/>
      <c r="E580" s="161"/>
      <c r="F580" s="161"/>
      <c r="G580" s="161"/>
      <c r="H580" s="161"/>
      <c r="I580" s="161"/>
      <c r="J580" s="161"/>
      <c r="K580" s="161"/>
      <c r="L580" s="161"/>
      <c r="M580" s="161"/>
      <c r="N580" s="161"/>
      <c r="O580" s="161"/>
      <c r="P580" s="161"/>
      <c r="Q580" s="161"/>
      <c r="R580" s="161"/>
      <c r="S580" s="161"/>
      <c r="T580" s="161"/>
      <c r="U580" s="161"/>
      <c r="V580" s="161"/>
      <c r="W580" s="161"/>
      <c r="X580" s="161"/>
      <c r="Y580" s="161"/>
      <c r="Z580" s="161"/>
      <c r="AA580" s="161"/>
    </row>
    <row r="581" spans="1:27" ht="12" customHeight="1" x14ac:dyDescent="0.25">
      <c r="A581" s="161"/>
      <c r="B581" s="161"/>
      <c r="C581" s="161"/>
      <c r="D581" s="161"/>
      <c r="E581" s="161"/>
      <c r="F581" s="161"/>
      <c r="G581" s="161"/>
      <c r="H581" s="161"/>
      <c r="I581" s="161"/>
      <c r="J581" s="161"/>
      <c r="K581" s="161"/>
      <c r="L581" s="161"/>
      <c r="M581" s="161"/>
      <c r="N581" s="161"/>
      <c r="O581" s="161"/>
      <c r="P581" s="161"/>
      <c r="Q581" s="161"/>
      <c r="R581" s="161"/>
      <c r="S581" s="161"/>
      <c r="T581" s="161"/>
      <c r="U581" s="161"/>
      <c r="V581" s="161"/>
      <c r="W581" s="161"/>
      <c r="X581" s="161"/>
      <c r="Y581" s="161"/>
      <c r="Z581" s="161"/>
      <c r="AA581" s="161"/>
    </row>
    <row r="582" spans="1:27" ht="12" customHeight="1" x14ac:dyDescent="0.25">
      <c r="A582" s="161"/>
      <c r="B582" s="161"/>
      <c r="C582" s="161"/>
      <c r="D582" s="161"/>
      <c r="E582" s="161"/>
      <c r="F582" s="161"/>
      <c r="G582" s="161"/>
      <c r="H582" s="161"/>
      <c r="I582" s="161"/>
      <c r="J582" s="161"/>
      <c r="K582" s="161"/>
      <c r="L582" s="161"/>
      <c r="M582" s="161"/>
      <c r="N582" s="161"/>
      <c r="O582" s="161"/>
      <c r="P582" s="161"/>
      <c r="Q582" s="161"/>
      <c r="R582" s="161"/>
      <c r="S582" s="161"/>
      <c r="T582" s="161"/>
      <c r="U582" s="161"/>
      <c r="V582" s="161"/>
      <c r="W582" s="161"/>
      <c r="X582" s="161"/>
      <c r="Y582" s="161"/>
      <c r="Z582" s="161"/>
      <c r="AA582" s="161"/>
    </row>
    <row r="583" spans="1:27" ht="12" customHeight="1" x14ac:dyDescent="0.25">
      <c r="A583" s="161"/>
      <c r="B583" s="161"/>
      <c r="C583" s="161"/>
      <c r="D583" s="161"/>
      <c r="E583" s="161"/>
      <c r="F583" s="161"/>
      <c r="G583" s="161"/>
      <c r="H583" s="161"/>
      <c r="I583" s="161"/>
      <c r="J583" s="161"/>
      <c r="K583" s="161"/>
      <c r="L583" s="161"/>
      <c r="M583" s="161"/>
      <c r="N583" s="161"/>
      <c r="O583" s="161"/>
      <c r="P583" s="161"/>
      <c r="Q583" s="161"/>
      <c r="R583" s="161"/>
      <c r="S583" s="161"/>
      <c r="T583" s="161"/>
      <c r="U583" s="161"/>
      <c r="V583" s="161"/>
      <c r="W583" s="161"/>
      <c r="X583" s="161"/>
      <c r="Y583" s="161"/>
      <c r="Z583" s="161"/>
      <c r="AA583" s="161"/>
    </row>
    <row r="584" spans="1:27" ht="12" customHeight="1" x14ac:dyDescent="0.25">
      <c r="A584" s="161"/>
      <c r="B584" s="161"/>
      <c r="C584" s="161"/>
      <c r="D584" s="161"/>
      <c r="E584" s="161"/>
      <c r="F584" s="161"/>
      <c r="G584" s="161"/>
      <c r="H584" s="161"/>
      <c r="I584" s="161"/>
      <c r="J584" s="161"/>
      <c r="K584" s="161"/>
      <c r="L584" s="161"/>
      <c r="M584" s="161"/>
      <c r="N584" s="161"/>
      <c r="O584" s="161"/>
      <c r="P584" s="161"/>
      <c r="Q584" s="161"/>
      <c r="R584" s="161"/>
      <c r="S584" s="161"/>
      <c r="T584" s="161"/>
      <c r="U584" s="161"/>
      <c r="V584" s="161"/>
      <c r="W584" s="161"/>
      <c r="X584" s="161"/>
      <c r="Y584" s="161"/>
      <c r="Z584" s="161"/>
      <c r="AA584" s="161"/>
    </row>
    <row r="585" spans="1:27" ht="12" customHeight="1" x14ac:dyDescent="0.25">
      <c r="A585" s="161"/>
      <c r="B585" s="161"/>
      <c r="C585" s="161"/>
      <c r="D585" s="161"/>
      <c r="E585" s="161"/>
      <c r="F585" s="161"/>
      <c r="G585" s="161"/>
      <c r="H585" s="161"/>
      <c r="I585" s="161"/>
      <c r="J585" s="161"/>
      <c r="K585" s="161"/>
      <c r="L585" s="161"/>
      <c r="M585" s="161"/>
      <c r="N585" s="161"/>
      <c r="O585" s="161"/>
      <c r="P585" s="161"/>
      <c r="Q585" s="161"/>
      <c r="R585" s="161"/>
      <c r="S585" s="161"/>
      <c r="T585" s="161"/>
      <c r="U585" s="161"/>
      <c r="V585" s="161"/>
      <c r="W585" s="161"/>
      <c r="X585" s="161"/>
      <c r="Y585" s="161"/>
      <c r="Z585" s="161"/>
      <c r="AA585" s="161"/>
    </row>
    <row r="586" spans="1:27" ht="12" customHeight="1" x14ac:dyDescent="0.25">
      <c r="A586" s="161"/>
      <c r="B586" s="161"/>
      <c r="C586" s="161"/>
      <c r="D586" s="161"/>
      <c r="E586" s="161"/>
      <c r="F586" s="161"/>
      <c r="G586" s="161"/>
      <c r="H586" s="161"/>
      <c r="I586" s="161"/>
      <c r="J586" s="161"/>
      <c r="K586" s="161"/>
      <c r="L586" s="161"/>
      <c r="M586" s="161"/>
      <c r="N586" s="161"/>
      <c r="O586" s="161"/>
      <c r="P586" s="161"/>
      <c r="Q586" s="161"/>
      <c r="R586" s="161"/>
      <c r="S586" s="161"/>
      <c r="T586" s="161"/>
      <c r="U586" s="161"/>
      <c r="V586" s="161"/>
      <c r="W586" s="161"/>
      <c r="X586" s="161"/>
      <c r="Y586" s="161"/>
      <c r="Z586" s="161"/>
      <c r="AA586" s="161"/>
    </row>
    <row r="587" spans="1:27" ht="12" customHeight="1" x14ac:dyDescent="0.25">
      <c r="A587" s="161"/>
      <c r="B587" s="161"/>
      <c r="C587" s="161"/>
      <c r="D587" s="161"/>
      <c r="E587" s="161"/>
      <c r="F587" s="161"/>
      <c r="G587" s="161"/>
      <c r="H587" s="161"/>
      <c r="I587" s="161"/>
      <c r="J587" s="161"/>
      <c r="K587" s="161"/>
      <c r="L587" s="161"/>
      <c r="M587" s="161"/>
      <c r="N587" s="161"/>
      <c r="O587" s="161"/>
      <c r="P587" s="161"/>
      <c r="Q587" s="161"/>
      <c r="R587" s="161"/>
      <c r="S587" s="161"/>
      <c r="T587" s="161"/>
      <c r="U587" s="161"/>
      <c r="V587" s="161"/>
      <c r="W587" s="161"/>
      <c r="X587" s="161"/>
      <c r="Y587" s="161"/>
      <c r="Z587" s="161"/>
      <c r="AA587" s="161"/>
    </row>
    <row r="588" spans="1:27" ht="12" customHeight="1" x14ac:dyDescent="0.25">
      <c r="A588" s="161"/>
      <c r="B588" s="161"/>
      <c r="C588" s="161"/>
      <c r="D588" s="161"/>
      <c r="E588" s="161"/>
      <c r="F588" s="161"/>
      <c r="G588" s="161"/>
      <c r="H588" s="161"/>
      <c r="I588" s="161"/>
      <c r="J588" s="161"/>
      <c r="K588" s="161"/>
      <c r="L588" s="161"/>
      <c r="M588" s="161"/>
      <c r="N588" s="161"/>
      <c r="O588" s="161"/>
      <c r="P588" s="161"/>
      <c r="Q588" s="161"/>
      <c r="R588" s="161"/>
      <c r="S588" s="161"/>
      <c r="T588" s="161"/>
      <c r="U588" s="161"/>
      <c r="V588" s="161"/>
      <c r="W588" s="161"/>
      <c r="X588" s="161"/>
      <c r="Y588" s="161"/>
      <c r="Z588" s="161"/>
      <c r="AA588" s="161"/>
    </row>
    <row r="589" spans="1:27" ht="12" customHeight="1" x14ac:dyDescent="0.25">
      <c r="A589" s="161"/>
      <c r="B589" s="161"/>
      <c r="C589" s="161"/>
      <c r="D589" s="161"/>
      <c r="E589" s="161"/>
      <c r="F589" s="161"/>
      <c r="G589" s="161"/>
      <c r="H589" s="161"/>
      <c r="I589" s="161"/>
      <c r="J589" s="161"/>
      <c r="K589" s="161"/>
      <c r="L589" s="161"/>
      <c r="M589" s="161"/>
      <c r="N589" s="161"/>
      <c r="O589" s="161"/>
      <c r="P589" s="161"/>
      <c r="Q589" s="161"/>
      <c r="R589" s="161"/>
      <c r="S589" s="161"/>
      <c r="T589" s="161"/>
      <c r="U589" s="161"/>
      <c r="V589" s="161"/>
      <c r="W589" s="161"/>
      <c r="X589" s="161"/>
      <c r="Y589" s="161"/>
      <c r="Z589" s="161"/>
      <c r="AA589" s="161"/>
    </row>
    <row r="590" spans="1:27" ht="12" customHeight="1" x14ac:dyDescent="0.25">
      <c r="A590" s="161"/>
      <c r="B590" s="161"/>
      <c r="C590" s="161"/>
      <c r="D590" s="161"/>
      <c r="E590" s="161"/>
      <c r="F590" s="161"/>
      <c r="G590" s="161"/>
      <c r="H590" s="161"/>
      <c r="I590" s="161"/>
      <c r="J590" s="161"/>
      <c r="K590" s="161"/>
      <c r="L590" s="161"/>
      <c r="M590" s="161"/>
      <c r="N590" s="161"/>
      <c r="O590" s="161"/>
      <c r="P590" s="161"/>
      <c r="Q590" s="161"/>
      <c r="R590" s="161"/>
      <c r="S590" s="161"/>
      <c r="T590" s="161"/>
      <c r="U590" s="161"/>
      <c r="V590" s="161"/>
      <c r="W590" s="161"/>
      <c r="X590" s="161"/>
      <c r="Y590" s="161"/>
      <c r="Z590" s="161"/>
      <c r="AA590" s="161"/>
    </row>
    <row r="591" spans="1:27" ht="12" customHeight="1" x14ac:dyDescent="0.25">
      <c r="A591" s="161"/>
      <c r="B591" s="161"/>
      <c r="C591" s="161"/>
      <c r="D591" s="161"/>
      <c r="E591" s="161"/>
      <c r="F591" s="161"/>
      <c r="G591" s="161"/>
      <c r="H591" s="161"/>
      <c r="I591" s="161"/>
      <c r="J591" s="161"/>
      <c r="K591" s="161"/>
      <c r="L591" s="161"/>
      <c r="M591" s="161"/>
      <c r="N591" s="161"/>
      <c r="O591" s="161"/>
      <c r="P591" s="161"/>
      <c r="Q591" s="161"/>
      <c r="R591" s="161"/>
      <c r="S591" s="161"/>
      <c r="T591" s="161"/>
      <c r="U591" s="161"/>
      <c r="V591" s="161"/>
      <c r="W591" s="161"/>
      <c r="X591" s="161"/>
      <c r="Y591" s="161"/>
      <c r="Z591" s="161"/>
      <c r="AA591" s="161"/>
    </row>
    <row r="592" spans="1:27" ht="12" customHeight="1" x14ac:dyDescent="0.25">
      <c r="A592" s="161"/>
      <c r="B592" s="161"/>
      <c r="C592" s="161"/>
      <c r="D592" s="161"/>
      <c r="E592" s="161"/>
      <c r="F592" s="161"/>
      <c r="G592" s="161"/>
      <c r="H592" s="161"/>
      <c r="I592" s="161"/>
      <c r="J592" s="161"/>
      <c r="K592" s="161"/>
      <c r="L592" s="161"/>
      <c r="M592" s="161"/>
      <c r="N592" s="161"/>
      <c r="O592" s="161"/>
      <c r="P592" s="161"/>
      <c r="Q592" s="161"/>
      <c r="R592" s="161"/>
      <c r="S592" s="161"/>
      <c r="T592" s="161"/>
      <c r="U592" s="161"/>
      <c r="V592" s="161"/>
      <c r="W592" s="161"/>
      <c r="X592" s="161"/>
      <c r="Y592" s="161"/>
      <c r="Z592" s="161"/>
      <c r="AA592" s="161"/>
    </row>
    <row r="593" spans="1:27" ht="12" customHeight="1" x14ac:dyDescent="0.25">
      <c r="A593" s="161"/>
      <c r="B593" s="161"/>
      <c r="C593" s="161"/>
      <c r="D593" s="161"/>
      <c r="E593" s="161"/>
      <c r="F593" s="161"/>
      <c r="G593" s="161"/>
      <c r="H593" s="161"/>
      <c r="I593" s="161"/>
      <c r="J593" s="161"/>
      <c r="K593" s="161"/>
      <c r="L593" s="161"/>
      <c r="M593" s="161"/>
      <c r="N593" s="161"/>
      <c r="O593" s="161"/>
      <c r="P593" s="161"/>
      <c r="Q593" s="161"/>
      <c r="R593" s="161"/>
      <c r="S593" s="161"/>
      <c r="T593" s="161"/>
      <c r="U593" s="161"/>
      <c r="V593" s="161"/>
      <c r="W593" s="161"/>
      <c r="X593" s="161"/>
      <c r="Y593" s="161"/>
      <c r="Z593" s="161"/>
      <c r="AA593" s="161"/>
    </row>
    <row r="594" spans="1:27" ht="12" customHeight="1" x14ac:dyDescent="0.25">
      <c r="A594" s="161"/>
      <c r="B594" s="161"/>
      <c r="C594" s="161"/>
      <c r="D594" s="161"/>
      <c r="E594" s="161"/>
      <c r="F594" s="161"/>
      <c r="G594" s="161"/>
      <c r="H594" s="161"/>
      <c r="I594" s="161"/>
      <c r="J594" s="161"/>
      <c r="K594" s="161"/>
      <c r="L594" s="161"/>
      <c r="M594" s="161"/>
      <c r="N594" s="161"/>
      <c r="O594" s="161"/>
      <c r="P594" s="161"/>
      <c r="Q594" s="161"/>
      <c r="R594" s="161"/>
      <c r="S594" s="161"/>
      <c r="T594" s="161"/>
      <c r="U594" s="161"/>
      <c r="V594" s="161"/>
      <c r="W594" s="161"/>
      <c r="X594" s="161"/>
      <c r="Y594" s="161"/>
      <c r="Z594" s="161"/>
      <c r="AA594" s="161"/>
    </row>
    <row r="595" spans="1:27" ht="12" customHeight="1" x14ac:dyDescent="0.25">
      <c r="A595" s="161"/>
      <c r="B595" s="161"/>
      <c r="C595" s="161"/>
      <c r="D595" s="161"/>
      <c r="E595" s="161"/>
      <c r="F595" s="161"/>
      <c r="G595" s="161"/>
      <c r="H595" s="161"/>
      <c r="I595" s="161"/>
      <c r="J595" s="161"/>
      <c r="K595" s="161"/>
      <c r="L595" s="161"/>
      <c r="M595" s="161"/>
      <c r="N595" s="161"/>
      <c r="O595" s="161"/>
      <c r="P595" s="161"/>
      <c r="Q595" s="161"/>
      <c r="R595" s="161"/>
      <c r="S595" s="161"/>
      <c r="T595" s="161"/>
      <c r="U595" s="161"/>
      <c r="V595" s="161"/>
      <c r="W595" s="161"/>
      <c r="X595" s="161"/>
      <c r="Y595" s="161"/>
      <c r="Z595" s="161"/>
      <c r="AA595" s="161"/>
    </row>
    <row r="596" spans="1:27" ht="12" customHeight="1" x14ac:dyDescent="0.25">
      <c r="A596" s="161"/>
      <c r="B596" s="161"/>
      <c r="C596" s="161"/>
      <c r="D596" s="161"/>
      <c r="E596" s="161"/>
      <c r="F596" s="161"/>
      <c r="G596" s="161"/>
      <c r="H596" s="161"/>
      <c r="I596" s="161"/>
      <c r="J596" s="161"/>
      <c r="K596" s="161"/>
      <c r="L596" s="161"/>
      <c r="M596" s="161"/>
      <c r="N596" s="161"/>
      <c r="O596" s="161"/>
      <c r="P596" s="161"/>
      <c r="Q596" s="161"/>
      <c r="R596" s="161"/>
      <c r="S596" s="161"/>
      <c r="T596" s="161"/>
      <c r="U596" s="161"/>
      <c r="V596" s="161"/>
      <c r="W596" s="161"/>
      <c r="X596" s="161"/>
      <c r="Y596" s="161"/>
      <c r="Z596" s="161"/>
      <c r="AA596" s="161"/>
    </row>
    <row r="597" spans="1:27" ht="12" customHeight="1" x14ac:dyDescent="0.25">
      <c r="A597" s="161"/>
      <c r="B597" s="161"/>
      <c r="C597" s="161"/>
      <c r="D597" s="161"/>
      <c r="E597" s="161"/>
      <c r="F597" s="161"/>
      <c r="G597" s="161"/>
      <c r="H597" s="161"/>
      <c r="I597" s="161"/>
      <c r="J597" s="161"/>
      <c r="K597" s="161"/>
      <c r="L597" s="161"/>
      <c r="M597" s="161"/>
      <c r="N597" s="161"/>
      <c r="O597" s="161"/>
      <c r="P597" s="161"/>
      <c r="Q597" s="161"/>
      <c r="R597" s="161"/>
      <c r="S597" s="161"/>
      <c r="T597" s="161"/>
      <c r="U597" s="161"/>
      <c r="V597" s="161"/>
      <c r="W597" s="161"/>
      <c r="X597" s="161"/>
      <c r="Y597" s="161"/>
      <c r="Z597" s="161"/>
      <c r="AA597" s="161"/>
    </row>
    <row r="598" spans="1:27" ht="12" customHeight="1" x14ac:dyDescent="0.25">
      <c r="A598" s="161"/>
      <c r="B598" s="161"/>
      <c r="C598" s="161"/>
      <c r="D598" s="161"/>
      <c r="E598" s="161"/>
      <c r="F598" s="161"/>
      <c r="G598" s="161"/>
      <c r="H598" s="161"/>
      <c r="I598" s="161"/>
      <c r="J598" s="161"/>
      <c r="K598" s="161"/>
      <c r="L598" s="161"/>
      <c r="M598" s="161"/>
      <c r="N598" s="161"/>
      <c r="O598" s="161"/>
      <c r="P598" s="161"/>
      <c r="Q598" s="161"/>
      <c r="R598" s="161"/>
      <c r="S598" s="161"/>
      <c r="T598" s="161"/>
      <c r="U598" s="161"/>
      <c r="V598" s="161"/>
      <c r="W598" s="161"/>
      <c r="X598" s="161"/>
      <c r="Y598" s="161"/>
      <c r="Z598" s="161"/>
      <c r="AA598" s="161"/>
    </row>
    <row r="599" spans="1:27" ht="12" customHeight="1" x14ac:dyDescent="0.25">
      <c r="A599" s="161"/>
      <c r="B599" s="161"/>
      <c r="C599" s="161"/>
      <c r="D599" s="161"/>
      <c r="E599" s="161"/>
      <c r="F599" s="161"/>
      <c r="G599" s="161"/>
      <c r="H599" s="161"/>
      <c r="I599" s="161"/>
      <c r="J599" s="161"/>
      <c r="K599" s="161"/>
      <c r="L599" s="161"/>
      <c r="M599" s="161"/>
      <c r="N599" s="161"/>
      <c r="O599" s="161"/>
      <c r="P599" s="161"/>
      <c r="Q599" s="161"/>
      <c r="R599" s="161"/>
      <c r="S599" s="161"/>
      <c r="T599" s="161"/>
      <c r="U599" s="161"/>
      <c r="V599" s="161"/>
      <c r="W599" s="161"/>
      <c r="X599" s="161"/>
      <c r="Y599" s="161"/>
      <c r="Z599" s="161"/>
      <c r="AA599" s="161"/>
    </row>
    <row r="600" spans="1:27" ht="12" customHeight="1" x14ac:dyDescent="0.25">
      <c r="A600" s="161"/>
      <c r="B600" s="161"/>
      <c r="C600" s="161"/>
      <c r="D600" s="161"/>
      <c r="E600" s="161"/>
      <c r="F600" s="161"/>
      <c r="G600" s="161"/>
      <c r="H600" s="161"/>
      <c r="I600" s="161"/>
      <c r="J600" s="161"/>
      <c r="K600" s="161"/>
      <c r="L600" s="161"/>
      <c r="M600" s="161"/>
      <c r="N600" s="161"/>
      <c r="O600" s="161"/>
      <c r="P600" s="161"/>
      <c r="Q600" s="161"/>
      <c r="R600" s="161"/>
      <c r="S600" s="161"/>
      <c r="T600" s="161"/>
      <c r="U600" s="161"/>
      <c r="V600" s="161"/>
      <c r="W600" s="161"/>
      <c r="X600" s="161"/>
      <c r="Y600" s="161"/>
      <c r="Z600" s="161"/>
      <c r="AA600" s="161"/>
    </row>
    <row r="601" spans="1:27" ht="12" customHeight="1" x14ac:dyDescent="0.25">
      <c r="A601" s="161"/>
      <c r="B601" s="161"/>
      <c r="C601" s="161"/>
      <c r="D601" s="161"/>
      <c r="E601" s="161"/>
      <c r="F601" s="161"/>
      <c r="G601" s="161"/>
      <c r="H601" s="161"/>
      <c r="I601" s="161"/>
      <c r="J601" s="161"/>
      <c r="K601" s="161"/>
      <c r="L601" s="161"/>
      <c r="M601" s="161"/>
      <c r="N601" s="161"/>
      <c r="O601" s="161"/>
      <c r="P601" s="161"/>
      <c r="Q601" s="161"/>
      <c r="R601" s="161"/>
      <c r="S601" s="161"/>
      <c r="T601" s="161"/>
      <c r="U601" s="161"/>
      <c r="V601" s="161"/>
      <c r="W601" s="161"/>
      <c r="X601" s="161"/>
      <c r="Y601" s="161"/>
      <c r="Z601" s="161"/>
      <c r="AA601" s="161"/>
    </row>
    <row r="602" spans="1:27" ht="12" customHeight="1" x14ac:dyDescent="0.25">
      <c r="A602" s="161"/>
      <c r="B602" s="161"/>
      <c r="C602" s="161"/>
      <c r="D602" s="161"/>
      <c r="E602" s="161"/>
      <c r="F602" s="161"/>
      <c r="G602" s="161"/>
      <c r="H602" s="161"/>
      <c r="I602" s="161"/>
      <c r="J602" s="161"/>
      <c r="K602" s="161"/>
      <c r="L602" s="161"/>
      <c r="M602" s="161"/>
      <c r="N602" s="161"/>
      <c r="O602" s="161"/>
      <c r="P602" s="161"/>
      <c r="Q602" s="161"/>
      <c r="R602" s="161"/>
      <c r="S602" s="161"/>
      <c r="T602" s="161"/>
      <c r="U602" s="161"/>
      <c r="V602" s="161"/>
      <c r="W602" s="161"/>
      <c r="X602" s="161"/>
      <c r="Y602" s="161"/>
      <c r="Z602" s="161"/>
      <c r="AA602" s="161"/>
    </row>
    <row r="603" spans="1:27" ht="12" customHeight="1" x14ac:dyDescent="0.25">
      <c r="A603" s="161"/>
      <c r="B603" s="161"/>
      <c r="C603" s="161"/>
      <c r="D603" s="161"/>
      <c r="E603" s="161"/>
      <c r="F603" s="161"/>
      <c r="G603" s="161"/>
      <c r="H603" s="161"/>
      <c r="I603" s="161"/>
      <c r="J603" s="161"/>
      <c r="K603" s="161"/>
      <c r="L603" s="161"/>
      <c r="M603" s="161"/>
      <c r="N603" s="161"/>
      <c r="O603" s="161"/>
      <c r="P603" s="161"/>
      <c r="Q603" s="161"/>
      <c r="R603" s="161"/>
      <c r="S603" s="161"/>
      <c r="T603" s="161"/>
      <c r="U603" s="161"/>
      <c r="V603" s="161"/>
      <c r="W603" s="161"/>
      <c r="X603" s="161"/>
      <c r="Y603" s="161"/>
      <c r="Z603" s="161"/>
      <c r="AA603" s="161"/>
    </row>
    <row r="604" spans="1:27" ht="12" customHeight="1" x14ac:dyDescent="0.25">
      <c r="A604" s="161"/>
      <c r="B604" s="161"/>
      <c r="C604" s="161"/>
      <c r="D604" s="161"/>
      <c r="E604" s="161"/>
      <c r="F604" s="161"/>
      <c r="G604" s="161"/>
      <c r="H604" s="161"/>
      <c r="I604" s="161"/>
      <c r="J604" s="161"/>
      <c r="K604" s="161"/>
      <c r="L604" s="161"/>
      <c r="M604" s="161"/>
      <c r="N604" s="161"/>
      <c r="O604" s="161"/>
      <c r="P604" s="161"/>
      <c r="Q604" s="161"/>
      <c r="R604" s="161"/>
      <c r="S604" s="161"/>
      <c r="T604" s="161"/>
      <c r="U604" s="161"/>
      <c r="V604" s="161"/>
      <c r="W604" s="161"/>
      <c r="X604" s="161"/>
      <c r="Y604" s="161"/>
      <c r="Z604" s="161"/>
      <c r="AA604" s="161"/>
    </row>
    <row r="605" spans="1:27" ht="12" customHeight="1" x14ac:dyDescent="0.25">
      <c r="A605" s="161"/>
      <c r="B605" s="161"/>
      <c r="C605" s="161"/>
      <c r="D605" s="161"/>
      <c r="E605" s="161"/>
      <c r="F605" s="161"/>
      <c r="G605" s="161"/>
      <c r="H605" s="161"/>
      <c r="I605" s="161"/>
      <c r="J605" s="161"/>
      <c r="K605" s="161"/>
      <c r="L605" s="161"/>
      <c r="M605" s="161"/>
      <c r="N605" s="161"/>
      <c r="O605" s="161"/>
      <c r="P605" s="161"/>
      <c r="Q605" s="161"/>
      <c r="R605" s="161"/>
      <c r="S605" s="161"/>
      <c r="T605" s="161"/>
      <c r="U605" s="161"/>
      <c r="V605" s="161"/>
      <c r="W605" s="161"/>
      <c r="X605" s="161"/>
      <c r="Y605" s="161"/>
      <c r="Z605" s="161"/>
      <c r="AA605" s="161"/>
    </row>
    <row r="606" spans="1:27" ht="12" customHeight="1" x14ac:dyDescent="0.25">
      <c r="A606" s="161"/>
      <c r="B606" s="161"/>
      <c r="C606" s="161"/>
      <c r="D606" s="161"/>
      <c r="E606" s="161"/>
      <c r="F606" s="161"/>
      <c r="G606" s="161"/>
      <c r="H606" s="161"/>
      <c r="I606" s="161"/>
      <c r="J606" s="161"/>
      <c r="K606" s="161"/>
      <c r="L606" s="161"/>
      <c r="M606" s="161"/>
      <c r="N606" s="161"/>
      <c r="O606" s="161"/>
      <c r="P606" s="161"/>
      <c r="Q606" s="161"/>
      <c r="R606" s="161"/>
      <c r="S606" s="161"/>
      <c r="T606" s="161"/>
      <c r="U606" s="161"/>
      <c r="V606" s="161"/>
      <c r="W606" s="161"/>
      <c r="X606" s="161"/>
      <c r="Y606" s="161"/>
      <c r="Z606" s="161"/>
      <c r="AA606" s="161"/>
    </row>
    <row r="607" spans="1:27" ht="12" customHeight="1" x14ac:dyDescent="0.25">
      <c r="A607" s="161"/>
      <c r="B607" s="161"/>
      <c r="C607" s="161"/>
      <c r="D607" s="161"/>
      <c r="E607" s="161"/>
      <c r="F607" s="161"/>
      <c r="G607" s="161"/>
      <c r="H607" s="161"/>
      <c r="I607" s="161"/>
      <c r="J607" s="161"/>
      <c r="K607" s="161"/>
      <c r="L607" s="161"/>
      <c r="M607" s="161"/>
      <c r="N607" s="161"/>
      <c r="O607" s="161"/>
      <c r="P607" s="161"/>
      <c r="Q607" s="161"/>
      <c r="R607" s="161"/>
      <c r="S607" s="161"/>
      <c r="T607" s="161"/>
      <c r="U607" s="161"/>
      <c r="V607" s="161"/>
      <c r="W607" s="161"/>
      <c r="X607" s="161"/>
      <c r="Y607" s="161"/>
      <c r="Z607" s="161"/>
      <c r="AA607" s="161"/>
    </row>
    <row r="608" spans="1:27" ht="12" customHeight="1" x14ac:dyDescent="0.25">
      <c r="A608" s="161"/>
      <c r="B608" s="161"/>
      <c r="C608" s="161"/>
      <c r="D608" s="161"/>
      <c r="E608" s="161"/>
      <c r="F608" s="161"/>
      <c r="G608" s="161"/>
      <c r="H608" s="161"/>
      <c r="I608" s="161"/>
      <c r="J608" s="161"/>
      <c r="K608" s="161"/>
      <c r="L608" s="161"/>
      <c r="M608" s="161"/>
      <c r="N608" s="161"/>
      <c r="O608" s="161"/>
      <c r="P608" s="161"/>
      <c r="Q608" s="161"/>
      <c r="R608" s="161"/>
      <c r="S608" s="161"/>
      <c r="T608" s="161"/>
      <c r="U608" s="161"/>
      <c r="V608" s="161"/>
      <c r="W608" s="161"/>
      <c r="X608" s="161"/>
      <c r="Y608" s="161"/>
      <c r="Z608" s="161"/>
      <c r="AA608" s="161"/>
    </row>
    <row r="609" spans="1:27" ht="12" customHeight="1" x14ac:dyDescent="0.25">
      <c r="A609" s="161"/>
      <c r="B609" s="161"/>
      <c r="C609" s="161"/>
      <c r="D609" s="161"/>
      <c r="E609" s="161"/>
      <c r="F609" s="161"/>
      <c r="G609" s="161"/>
      <c r="H609" s="161"/>
      <c r="I609" s="161"/>
      <c r="J609" s="161"/>
      <c r="K609" s="161"/>
      <c r="L609" s="161"/>
      <c r="M609" s="161"/>
      <c r="N609" s="161"/>
      <c r="O609" s="161"/>
      <c r="P609" s="161"/>
      <c r="Q609" s="161"/>
      <c r="R609" s="161"/>
      <c r="S609" s="161"/>
      <c r="T609" s="161"/>
      <c r="U609" s="161"/>
      <c r="V609" s="161"/>
      <c r="W609" s="161"/>
      <c r="X609" s="161"/>
      <c r="Y609" s="161"/>
      <c r="Z609" s="161"/>
      <c r="AA609" s="161"/>
    </row>
    <row r="610" spans="1:27" ht="12" customHeight="1" x14ac:dyDescent="0.25">
      <c r="A610" s="161"/>
      <c r="B610" s="161"/>
      <c r="C610" s="161"/>
      <c r="D610" s="161"/>
      <c r="E610" s="161"/>
      <c r="F610" s="161"/>
      <c r="G610" s="161"/>
      <c r="H610" s="161"/>
      <c r="I610" s="161"/>
      <c r="J610" s="161"/>
      <c r="K610" s="161"/>
      <c r="L610" s="161"/>
      <c r="M610" s="161"/>
      <c r="N610" s="161"/>
      <c r="O610" s="161"/>
      <c r="P610" s="161"/>
      <c r="Q610" s="161"/>
      <c r="R610" s="161"/>
      <c r="S610" s="161"/>
      <c r="T610" s="161"/>
      <c r="U610" s="161"/>
      <c r="V610" s="161"/>
      <c r="W610" s="161"/>
      <c r="X610" s="161"/>
      <c r="Y610" s="161"/>
      <c r="Z610" s="161"/>
      <c r="AA610" s="161"/>
    </row>
    <row r="611" spans="1:27" ht="12" customHeight="1" x14ac:dyDescent="0.25">
      <c r="A611" s="161"/>
      <c r="B611" s="161"/>
      <c r="C611" s="161"/>
      <c r="D611" s="161"/>
      <c r="E611" s="161"/>
      <c r="F611" s="161"/>
      <c r="G611" s="161"/>
      <c r="H611" s="161"/>
      <c r="I611" s="161"/>
      <c r="J611" s="161"/>
      <c r="K611" s="161"/>
      <c r="L611" s="161"/>
      <c r="M611" s="161"/>
      <c r="N611" s="161"/>
      <c r="O611" s="161"/>
      <c r="P611" s="161"/>
      <c r="Q611" s="161"/>
      <c r="R611" s="161"/>
      <c r="S611" s="161"/>
      <c r="T611" s="161"/>
      <c r="U611" s="161"/>
      <c r="V611" s="161"/>
      <c r="W611" s="161"/>
      <c r="X611" s="161"/>
      <c r="Y611" s="161"/>
      <c r="Z611" s="161"/>
      <c r="AA611" s="161"/>
    </row>
    <row r="612" spans="1:27" ht="12" customHeight="1" x14ac:dyDescent="0.25">
      <c r="A612" s="161"/>
      <c r="B612" s="161"/>
      <c r="C612" s="161"/>
      <c r="D612" s="161"/>
      <c r="E612" s="161"/>
      <c r="F612" s="161"/>
      <c r="G612" s="161"/>
      <c r="H612" s="161"/>
      <c r="I612" s="161"/>
      <c r="J612" s="161"/>
      <c r="K612" s="161"/>
      <c r="L612" s="161"/>
      <c r="M612" s="161"/>
      <c r="N612" s="161"/>
      <c r="O612" s="161"/>
      <c r="P612" s="161"/>
      <c r="Q612" s="161"/>
      <c r="R612" s="161"/>
      <c r="S612" s="161"/>
      <c r="T612" s="161"/>
      <c r="U612" s="161"/>
      <c r="V612" s="161"/>
      <c r="W612" s="161"/>
      <c r="X612" s="161"/>
      <c r="Y612" s="161"/>
      <c r="Z612" s="161"/>
      <c r="AA612" s="161"/>
    </row>
    <row r="613" spans="1:27" ht="12" customHeight="1" x14ac:dyDescent="0.25">
      <c r="A613" s="161"/>
      <c r="B613" s="161"/>
      <c r="C613" s="161"/>
      <c r="D613" s="161"/>
      <c r="E613" s="161"/>
      <c r="F613" s="161"/>
      <c r="G613" s="161"/>
      <c r="H613" s="161"/>
      <c r="I613" s="161"/>
      <c r="J613" s="161"/>
      <c r="K613" s="161"/>
      <c r="L613" s="161"/>
      <c r="M613" s="161"/>
      <c r="N613" s="161"/>
      <c r="O613" s="161"/>
      <c r="P613" s="161"/>
      <c r="Q613" s="161"/>
      <c r="R613" s="161"/>
      <c r="S613" s="161"/>
      <c r="T613" s="161"/>
      <c r="U613" s="161"/>
      <c r="V613" s="161"/>
      <c r="W613" s="161"/>
      <c r="X613" s="161"/>
      <c r="Y613" s="161"/>
      <c r="Z613" s="161"/>
      <c r="AA613" s="161"/>
    </row>
    <row r="614" spans="1:27" ht="12" customHeight="1" x14ac:dyDescent="0.25">
      <c r="A614" s="161"/>
      <c r="B614" s="161"/>
      <c r="C614" s="161"/>
      <c r="D614" s="161"/>
      <c r="E614" s="161"/>
      <c r="F614" s="161"/>
      <c r="G614" s="161"/>
      <c r="H614" s="161"/>
      <c r="I614" s="161"/>
      <c r="J614" s="161"/>
      <c r="K614" s="161"/>
      <c r="L614" s="161"/>
      <c r="M614" s="161"/>
      <c r="N614" s="161"/>
      <c r="O614" s="161"/>
      <c r="P614" s="161"/>
      <c r="Q614" s="161"/>
      <c r="R614" s="161"/>
      <c r="S614" s="161"/>
      <c r="T614" s="161"/>
      <c r="U614" s="161"/>
      <c r="V614" s="161"/>
      <c r="W614" s="161"/>
      <c r="X614" s="161"/>
      <c r="Y614" s="161"/>
      <c r="Z614" s="161"/>
      <c r="AA614" s="161"/>
    </row>
    <row r="615" spans="1:27" ht="12" customHeight="1" x14ac:dyDescent="0.25">
      <c r="A615" s="161"/>
      <c r="B615" s="161"/>
      <c r="C615" s="161"/>
      <c r="D615" s="161"/>
      <c r="E615" s="161"/>
      <c r="F615" s="161"/>
      <c r="G615" s="161"/>
      <c r="H615" s="161"/>
      <c r="I615" s="161"/>
      <c r="J615" s="161"/>
      <c r="K615" s="161"/>
      <c r="L615" s="161"/>
      <c r="M615" s="161"/>
      <c r="N615" s="161"/>
      <c r="O615" s="161"/>
      <c r="P615" s="161"/>
      <c r="Q615" s="161"/>
      <c r="R615" s="161"/>
      <c r="S615" s="161"/>
      <c r="T615" s="161"/>
      <c r="U615" s="161"/>
      <c r="V615" s="161"/>
      <c r="W615" s="161"/>
      <c r="X615" s="161"/>
      <c r="Y615" s="161"/>
      <c r="Z615" s="161"/>
      <c r="AA615" s="161"/>
    </row>
    <row r="616" spans="1:27" ht="12" customHeight="1" x14ac:dyDescent="0.25">
      <c r="A616" s="161"/>
      <c r="B616" s="161"/>
      <c r="C616" s="161"/>
      <c r="D616" s="161"/>
      <c r="E616" s="161"/>
      <c r="F616" s="161"/>
      <c r="G616" s="161"/>
      <c r="H616" s="161"/>
      <c r="I616" s="161"/>
      <c r="J616" s="161"/>
      <c r="K616" s="161"/>
      <c r="L616" s="161"/>
      <c r="M616" s="161"/>
      <c r="N616" s="161"/>
      <c r="O616" s="161"/>
      <c r="P616" s="161"/>
      <c r="Q616" s="161"/>
      <c r="R616" s="161"/>
      <c r="S616" s="161"/>
      <c r="T616" s="161"/>
      <c r="U616" s="161"/>
      <c r="V616" s="161"/>
      <c r="W616" s="161"/>
      <c r="X616" s="161"/>
      <c r="Y616" s="161"/>
      <c r="Z616" s="161"/>
      <c r="AA616" s="161"/>
    </row>
    <row r="617" spans="1:27" ht="12" customHeight="1" x14ac:dyDescent="0.25">
      <c r="A617" s="161"/>
      <c r="B617" s="161"/>
      <c r="C617" s="161"/>
      <c r="D617" s="161"/>
      <c r="E617" s="161"/>
      <c r="F617" s="161"/>
      <c r="G617" s="161"/>
      <c r="H617" s="161"/>
      <c r="I617" s="161"/>
      <c r="J617" s="161"/>
      <c r="K617" s="161"/>
      <c r="L617" s="161"/>
      <c r="M617" s="161"/>
      <c r="N617" s="161"/>
      <c r="O617" s="161"/>
      <c r="P617" s="161"/>
      <c r="Q617" s="161"/>
      <c r="R617" s="161"/>
      <c r="S617" s="161"/>
      <c r="T617" s="161"/>
      <c r="U617" s="161"/>
      <c r="V617" s="161"/>
      <c r="W617" s="161"/>
      <c r="X617" s="161"/>
      <c r="Y617" s="161"/>
      <c r="Z617" s="161"/>
      <c r="AA617" s="161"/>
    </row>
    <row r="618" spans="1:27" ht="12" customHeight="1" x14ac:dyDescent="0.25">
      <c r="A618" s="161"/>
      <c r="B618" s="161"/>
      <c r="C618" s="161"/>
      <c r="D618" s="161"/>
      <c r="E618" s="161"/>
      <c r="F618" s="161"/>
      <c r="G618" s="161"/>
      <c r="H618" s="161"/>
      <c r="I618" s="161"/>
      <c r="J618" s="161"/>
      <c r="K618" s="161"/>
      <c r="L618" s="161"/>
      <c r="M618" s="161"/>
      <c r="N618" s="161"/>
      <c r="O618" s="161"/>
      <c r="P618" s="161"/>
      <c r="Q618" s="161"/>
      <c r="R618" s="161"/>
      <c r="S618" s="161"/>
      <c r="T618" s="161"/>
      <c r="U618" s="161"/>
      <c r="V618" s="161"/>
      <c r="W618" s="161"/>
      <c r="X618" s="161"/>
      <c r="Y618" s="161"/>
      <c r="Z618" s="161"/>
      <c r="AA618" s="161"/>
    </row>
    <row r="619" spans="1:27" ht="12" customHeight="1" x14ac:dyDescent="0.25">
      <c r="A619" s="161"/>
      <c r="B619" s="161"/>
      <c r="C619" s="161"/>
      <c r="D619" s="161"/>
      <c r="E619" s="161"/>
      <c r="F619" s="161"/>
      <c r="G619" s="161"/>
      <c r="H619" s="161"/>
      <c r="I619" s="161"/>
      <c r="J619" s="161"/>
      <c r="K619" s="161"/>
      <c r="L619" s="161"/>
      <c r="M619" s="161"/>
      <c r="N619" s="161"/>
      <c r="O619" s="161"/>
      <c r="P619" s="161"/>
      <c r="Q619" s="161"/>
      <c r="R619" s="161"/>
      <c r="S619" s="161"/>
      <c r="T619" s="161"/>
      <c r="U619" s="161"/>
      <c r="V619" s="161"/>
      <c r="W619" s="161"/>
      <c r="X619" s="161"/>
      <c r="Y619" s="161"/>
      <c r="Z619" s="161"/>
      <c r="AA619" s="161"/>
    </row>
    <row r="620" spans="1:27" ht="12" customHeight="1" x14ac:dyDescent="0.25">
      <c r="A620" s="161"/>
      <c r="B620" s="161"/>
      <c r="C620" s="161"/>
      <c r="D620" s="161"/>
      <c r="E620" s="161"/>
      <c r="F620" s="161"/>
      <c r="G620" s="161"/>
      <c r="H620" s="161"/>
      <c r="I620" s="161"/>
      <c r="J620" s="161"/>
      <c r="K620" s="161"/>
      <c r="L620" s="161"/>
      <c r="M620" s="161"/>
      <c r="N620" s="161"/>
      <c r="O620" s="161"/>
      <c r="P620" s="161"/>
      <c r="Q620" s="161"/>
      <c r="R620" s="161"/>
      <c r="S620" s="161"/>
      <c r="T620" s="161"/>
      <c r="U620" s="161"/>
      <c r="V620" s="161"/>
      <c r="W620" s="161"/>
      <c r="X620" s="161"/>
      <c r="Y620" s="161"/>
      <c r="Z620" s="161"/>
      <c r="AA620" s="161"/>
    </row>
    <row r="621" spans="1:27" ht="12" customHeight="1" x14ac:dyDescent="0.25">
      <c r="A621" s="161"/>
      <c r="B621" s="161"/>
      <c r="C621" s="161"/>
      <c r="D621" s="161"/>
      <c r="E621" s="161"/>
      <c r="F621" s="161"/>
      <c r="G621" s="161"/>
      <c r="H621" s="161"/>
      <c r="I621" s="161"/>
      <c r="J621" s="161"/>
      <c r="K621" s="161"/>
      <c r="L621" s="161"/>
      <c r="M621" s="161"/>
      <c r="N621" s="161"/>
      <c r="O621" s="161"/>
      <c r="P621" s="161"/>
      <c r="Q621" s="161"/>
      <c r="R621" s="161"/>
      <c r="S621" s="161"/>
      <c r="T621" s="161"/>
      <c r="U621" s="161"/>
      <c r="V621" s="161"/>
      <c r="W621" s="161"/>
      <c r="X621" s="161"/>
      <c r="Y621" s="161"/>
      <c r="Z621" s="161"/>
      <c r="AA621" s="161"/>
    </row>
    <row r="622" spans="1:27" ht="12" customHeight="1" x14ac:dyDescent="0.25">
      <c r="A622" s="161"/>
      <c r="B622" s="161"/>
      <c r="C622" s="161"/>
      <c r="D622" s="161"/>
      <c r="E622" s="161"/>
      <c r="F622" s="161"/>
      <c r="G622" s="161"/>
      <c r="H622" s="161"/>
      <c r="I622" s="161"/>
      <c r="J622" s="161"/>
      <c r="K622" s="161"/>
      <c r="L622" s="161"/>
      <c r="M622" s="161"/>
      <c r="N622" s="161"/>
      <c r="O622" s="161"/>
      <c r="P622" s="161"/>
      <c r="Q622" s="161"/>
      <c r="R622" s="161"/>
      <c r="S622" s="161"/>
      <c r="T622" s="161"/>
      <c r="U622" s="161"/>
      <c r="V622" s="161"/>
      <c r="W622" s="161"/>
      <c r="X622" s="161"/>
      <c r="Y622" s="161"/>
      <c r="Z622" s="161"/>
      <c r="AA622" s="161"/>
    </row>
    <row r="623" spans="1:27" ht="12" customHeight="1" x14ac:dyDescent="0.25">
      <c r="A623" s="161"/>
      <c r="B623" s="161"/>
      <c r="C623" s="161"/>
      <c r="D623" s="161"/>
      <c r="E623" s="161"/>
      <c r="F623" s="161"/>
      <c r="G623" s="161"/>
      <c r="H623" s="161"/>
      <c r="I623" s="161"/>
      <c r="J623" s="161"/>
      <c r="K623" s="161"/>
      <c r="L623" s="161"/>
      <c r="M623" s="161"/>
      <c r="N623" s="161"/>
      <c r="O623" s="161"/>
      <c r="P623" s="161"/>
      <c r="Q623" s="161"/>
      <c r="R623" s="161"/>
      <c r="S623" s="161"/>
      <c r="T623" s="161"/>
      <c r="U623" s="161"/>
      <c r="V623" s="161"/>
      <c r="W623" s="161"/>
      <c r="X623" s="161"/>
      <c r="Y623" s="161"/>
      <c r="Z623" s="161"/>
      <c r="AA623" s="161"/>
    </row>
    <row r="624" spans="1:27" ht="12" customHeight="1" x14ac:dyDescent="0.25">
      <c r="A624" s="161"/>
      <c r="B624" s="161"/>
      <c r="C624" s="161"/>
      <c r="D624" s="161"/>
      <c r="E624" s="161"/>
      <c r="F624" s="161"/>
      <c r="G624" s="161"/>
      <c r="H624" s="161"/>
      <c r="I624" s="161"/>
      <c r="J624" s="161"/>
      <c r="K624" s="161"/>
      <c r="L624" s="161"/>
      <c r="M624" s="161"/>
      <c r="N624" s="161"/>
      <c r="O624" s="161"/>
      <c r="P624" s="161"/>
      <c r="Q624" s="161"/>
      <c r="R624" s="161"/>
      <c r="S624" s="161"/>
      <c r="T624" s="161"/>
      <c r="U624" s="161"/>
      <c r="V624" s="161"/>
      <c r="W624" s="161"/>
      <c r="X624" s="161"/>
      <c r="Y624" s="161"/>
      <c r="Z624" s="161"/>
      <c r="AA624" s="161"/>
    </row>
    <row r="625" spans="1:27" ht="12" customHeight="1" x14ac:dyDescent="0.25">
      <c r="A625" s="161"/>
      <c r="B625" s="161"/>
      <c r="C625" s="161"/>
      <c r="D625" s="161"/>
      <c r="E625" s="161"/>
      <c r="F625" s="161"/>
      <c r="G625" s="161"/>
      <c r="H625" s="161"/>
      <c r="I625" s="161"/>
      <c r="J625" s="161"/>
      <c r="K625" s="161"/>
      <c r="L625" s="161"/>
      <c r="M625" s="161"/>
      <c r="N625" s="161"/>
      <c r="O625" s="161"/>
      <c r="P625" s="161"/>
      <c r="Q625" s="161"/>
      <c r="R625" s="161"/>
      <c r="S625" s="161"/>
      <c r="T625" s="161"/>
      <c r="U625" s="161"/>
      <c r="V625" s="161"/>
      <c r="W625" s="161"/>
      <c r="X625" s="161"/>
      <c r="Y625" s="161"/>
      <c r="Z625" s="161"/>
      <c r="AA625" s="161"/>
    </row>
    <row r="626" spans="1:27" ht="12" customHeight="1" x14ac:dyDescent="0.25">
      <c r="A626" s="161"/>
      <c r="B626" s="161"/>
      <c r="C626" s="161"/>
      <c r="D626" s="161"/>
      <c r="E626" s="161"/>
      <c r="F626" s="161"/>
      <c r="G626" s="161"/>
      <c r="H626" s="161"/>
      <c r="I626" s="161"/>
      <c r="J626" s="161"/>
      <c r="K626" s="161"/>
      <c r="L626" s="161"/>
      <c r="M626" s="161"/>
      <c r="N626" s="161"/>
      <c r="O626" s="161"/>
      <c r="P626" s="161"/>
      <c r="Q626" s="161"/>
      <c r="R626" s="161"/>
      <c r="S626" s="161"/>
      <c r="T626" s="161"/>
      <c r="U626" s="161"/>
      <c r="V626" s="161"/>
      <c r="W626" s="161"/>
      <c r="X626" s="161"/>
      <c r="Y626" s="161"/>
      <c r="Z626" s="161"/>
      <c r="AA626" s="161"/>
    </row>
    <row r="627" spans="1:27" ht="12" customHeight="1" x14ac:dyDescent="0.25">
      <c r="A627" s="161"/>
      <c r="B627" s="161"/>
      <c r="C627" s="161"/>
      <c r="D627" s="161"/>
      <c r="E627" s="161"/>
      <c r="F627" s="161"/>
      <c r="G627" s="161"/>
      <c r="H627" s="161"/>
      <c r="I627" s="161"/>
      <c r="J627" s="161"/>
      <c r="K627" s="161"/>
      <c r="L627" s="161"/>
      <c r="M627" s="161"/>
      <c r="N627" s="161"/>
      <c r="O627" s="161"/>
      <c r="P627" s="161"/>
      <c r="Q627" s="161"/>
      <c r="R627" s="161"/>
      <c r="S627" s="161"/>
      <c r="T627" s="161"/>
      <c r="U627" s="161"/>
      <c r="V627" s="161"/>
      <c r="W627" s="161"/>
      <c r="X627" s="161"/>
      <c r="Y627" s="161"/>
      <c r="Z627" s="161"/>
      <c r="AA627" s="161"/>
    </row>
    <row r="628" spans="1:27" ht="12" customHeight="1" x14ac:dyDescent="0.25">
      <c r="A628" s="161"/>
      <c r="B628" s="161"/>
      <c r="C628" s="161"/>
      <c r="D628" s="161"/>
      <c r="E628" s="161"/>
      <c r="F628" s="161"/>
      <c r="G628" s="161"/>
      <c r="H628" s="161"/>
      <c r="I628" s="161"/>
      <c r="J628" s="161"/>
      <c r="K628" s="161"/>
      <c r="L628" s="161"/>
      <c r="M628" s="161"/>
      <c r="N628" s="161"/>
      <c r="O628" s="161"/>
      <c r="P628" s="161"/>
      <c r="Q628" s="161"/>
      <c r="R628" s="161"/>
      <c r="S628" s="161"/>
      <c r="T628" s="161"/>
      <c r="U628" s="161"/>
      <c r="V628" s="161"/>
      <c r="W628" s="161"/>
      <c r="X628" s="161"/>
      <c r="Y628" s="161"/>
      <c r="Z628" s="161"/>
      <c r="AA628" s="161"/>
    </row>
    <row r="629" spans="1:27" ht="12" customHeight="1" x14ac:dyDescent="0.25">
      <c r="A629" s="161"/>
      <c r="B629" s="161"/>
      <c r="C629" s="161"/>
      <c r="D629" s="161"/>
      <c r="E629" s="161"/>
      <c r="F629" s="161"/>
      <c r="G629" s="161"/>
      <c r="H629" s="161"/>
      <c r="I629" s="161"/>
      <c r="J629" s="161"/>
      <c r="K629" s="161"/>
      <c r="L629" s="161"/>
      <c r="M629" s="161"/>
      <c r="N629" s="161"/>
      <c r="O629" s="161"/>
      <c r="P629" s="161"/>
      <c r="Q629" s="161"/>
      <c r="R629" s="161"/>
      <c r="S629" s="161"/>
      <c r="T629" s="161"/>
      <c r="U629" s="161"/>
      <c r="V629" s="161"/>
      <c r="W629" s="161"/>
      <c r="X629" s="161"/>
      <c r="Y629" s="161"/>
      <c r="Z629" s="161"/>
      <c r="AA629" s="161"/>
    </row>
    <row r="630" spans="1:27" ht="12" customHeight="1" x14ac:dyDescent="0.25">
      <c r="A630" s="161"/>
      <c r="B630" s="161"/>
      <c r="C630" s="161"/>
      <c r="D630" s="161"/>
      <c r="E630" s="161"/>
      <c r="F630" s="161"/>
      <c r="G630" s="161"/>
      <c r="H630" s="161"/>
      <c r="I630" s="161"/>
      <c r="J630" s="161"/>
      <c r="K630" s="161"/>
      <c r="L630" s="161"/>
      <c r="M630" s="161"/>
      <c r="N630" s="161"/>
      <c r="O630" s="161"/>
      <c r="P630" s="161"/>
      <c r="Q630" s="161"/>
      <c r="R630" s="161"/>
      <c r="S630" s="161"/>
      <c r="T630" s="161"/>
      <c r="U630" s="161"/>
      <c r="V630" s="161"/>
      <c r="W630" s="161"/>
      <c r="X630" s="161"/>
      <c r="Y630" s="161"/>
      <c r="Z630" s="161"/>
      <c r="AA630" s="161"/>
    </row>
    <row r="631" spans="1:27" ht="12" customHeight="1" x14ac:dyDescent="0.25">
      <c r="A631" s="161"/>
      <c r="B631" s="161"/>
      <c r="C631" s="161"/>
      <c r="D631" s="161"/>
      <c r="E631" s="161"/>
      <c r="F631" s="161"/>
      <c r="G631" s="161"/>
      <c r="H631" s="161"/>
      <c r="I631" s="161"/>
      <c r="J631" s="161"/>
      <c r="K631" s="161"/>
      <c r="L631" s="161"/>
      <c r="M631" s="161"/>
      <c r="N631" s="161"/>
      <c r="O631" s="161"/>
      <c r="P631" s="161"/>
      <c r="Q631" s="161"/>
      <c r="R631" s="161"/>
      <c r="S631" s="161"/>
      <c r="T631" s="161"/>
      <c r="U631" s="161"/>
      <c r="V631" s="161"/>
      <c r="W631" s="161"/>
      <c r="X631" s="161"/>
      <c r="Y631" s="161"/>
      <c r="Z631" s="161"/>
      <c r="AA631" s="161"/>
    </row>
    <row r="632" spans="1:27" ht="12" customHeight="1" x14ac:dyDescent="0.25">
      <c r="A632" s="161"/>
      <c r="B632" s="161"/>
      <c r="C632" s="161"/>
      <c r="D632" s="161"/>
      <c r="E632" s="161"/>
      <c r="F632" s="161"/>
      <c r="G632" s="161"/>
      <c r="H632" s="161"/>
      <c r="I632" s="161"/>
      <c r="J632" s="161"/>
      <c r="K632" s="161"/>
      <c r="L632" s="161"/>
      <c r="M632" s="161"/>
      <c r="N632" s="161"/>
      <c r="O632" s="161"/>
      <c r="P632" s="161"/>
      <c r="Q632" s="161"/>
      <c r="R632" s="161"/>
      <c r="S632" s="161"/>
      <c r="T632" s="161"/>
      <c r="U632" s="161"/>
      <c r="V632" s="161"/>
      <c r="W632" s="161"/>
      <c r="X632" s="161"/>
      <c r="Y632" s="161"/>
      <c r="Z632" s="161"/>
      <c r="AA632" s="161"/>
    </row>
    <row r="633" spans="1:27" ht="12" customHeight="1" x14ac:dyDescent="0.25">
      <c r="A633" s="161"/>
      <c r="B633" s="161"/>
      <c r="C633" s="161"/>
      <c r="D633" s="161"/>
      <c r="E633" s="161"/>
      <c r="F633" s="161"/>
      <c r="G633" s="161"/>
      <c r="H633" s="161"/>
      <c r="I633" s="161"/>
      <c r="J633" s="161"/>
      <c r="K633" s="161"/>
      <c r="L633" s="161"/>
      <c r="M633" s="161"/>
      <c r="N633" s="161"/>
      <c r="O633" s="161"/>
      <c r="P633" s="161"/>
      <c r="Q633" s="161"/>
      <c r="R633" s="161"/>
      <c r="S633" s="161"/>
      <c r="T633" s="161"/>
      <c r="U633" s="161"/>
      <c r="V633" s="161"/>
      <c r="W633" s="161"/>
      <c r="X633" s="161"/>
      <c r="Y633" s="161"/>
      <c r="Z633" s="161"/>
      <c r="AA633" s="161"/>
    </row>
    <row r="634" spans="1:27" ht="12" customHeight="1" x14ac:dyDescent="0.25">
      <c r="A634" s="161"/>
      <c r="B634" s="161"/>
      <c r="C634" s="161"/>
      <c r="D634" s="161"/>
      <c r="E634" s="161"/>
      <c r="F634" s="161"/>
      <c r="G634" s="161"/>
      <c r="H634" s="161"/>
      <c r="I634" s="161"/>
      <c r="J634" s="161"/>
      <c r="K634" s="161"/>
      <c r="L634" s="161"/>
      <c r="M634" s="161"/>
      <c r="N634" s="161"/>
      <c r="O634" s="161"/>
      <c r="P634" s="161"/>
      <c r="Q634" s="161"/>
      <c r="R634" s="161"/>
      <c r="S634" s="161"/>
      <c r="T634" s="161"/>
      <c r="U634" s="161"/>
      <c r="V634" s="161"/>
      <c r="W634" s="161"/>
      <c r="X634" s="161"/>
      <c r="Y634" s="161"/>
      <c r="Z634" s="161"/>
      <c r="AA634" s="161"/>
    </row>
    <row r="635" spans="1:27" ht="12" customHeight="1" x14ac:dyDescent="0.25">
      <c r="A635" s="161"/>
      <c r="B635" s="161"/>
      <c r="C635" s="161"/>
      <c r="D635" s="161"/>
      <c r="E635" s="161"/>
      <c r="F635" s="161"/>
      <c r="G635" s="161"/>
      <c r="H635" s="161"/>
      <c r="I635" s="161"/>
      <c r="J635" s="161"/>
      <c r="K635" s="161"/>
      <c r="L635" s="161"/>
      <c r="M635" s="161"/>
      <c r="N635" s="161"/>
      <c r="O635" s="161"/>
      <c r="P635" s="161"/>
      <c r="Q635" s="161"/>
      <c r="R635" s="161"/>
      <c r="S635" s="161"/>
      <c r="T635" s="161"/>
      <c r="U635" s="161"/>
      <c r="V635" s="161"/>
      <c r="W635" s="161"/>
      <c r="X635" s="161"/>
      <c r="Y635" s="161"/>
      <c r="Z635" s="161"/>
      <c r="AA635" s="161"/>
    </row>
    <row r="636" spans="1:27" ht="12" customHeight="1" x14ac:dyDescent="0.25">
      <c r="A636" s="161"/>
      <c r="B636" s="161"/>
      <c r="C636" s="161"/>
      <c r="D636" s="161"/>
      <c r="E636" s="161"/>
      <c r="F636" s="161"/>
      <c r="G636" s="161"/>
      <c r="H636" s="161"/>
      <c r="I636" s="161"/>
      <c r="J636" s="161"/>
      <c r="K636" s="161"/>
      <c r="L636" s="161"/>
      <c r="M636" s="161"/>
      <c r="N636" s="161"/>
      <c r="O636" s="161"/>
      <c r="P636" s="161"/>
      <c r="Q636" s="161"/>
      <c r="R636" s="161"/>
      <c r="S636" s="161"/>
      <c r="T636" s="161"/>
      <c r="U636" s="161"/>
      <c r="V636" s="161"/>
      <c r="W636" s="161"/>
      <c r="X636" s="161"/>
      <c r="Y636" s="161"/>
      <c r="Z636" s="161"/>
      <c r="AA636" s="161"/>
    </row>
    <row r="637" spans="1:27" ht="12" customHeight="1" x14ac:dyDescent="0.25">
      <c r="A637" s="161"/>
      <c r="B637" s="161"/>
      <c r="C637" s="161"/>
      <c r="D637" s="161"/>
      <c r="E637" s="161"/>
      <c r="F637" s="161"/>
      <c r="G637" s="161"/>
      <c r="H637" s="161"/>
      <c r="I637" s="161"/>
      <c r="J637" s="161"/>
      <c r="K637" s="161"/>
      <c r="L637" s="161"/>
      <c r="M637" s="161"/>
      <c r="N637" s="161"/>
      <c r="O637" s="161"/>
      <c r="P637" s="161"/>
      <c r="Q637" s="161"/>
      <c r="R637" s="161"/>
      <c r="S637" s="161"/>
      <c r="T637" s="161"/>
      <c r="U637" s="161"/>
      <c r="V637" s="161"/>
      <c r="W637" s="161"/>
      <c r="X637" s="161"/>
      <c r="Y637" s="161"/>
      <c r="Z637" s="161"/>
      <c r="AA637" s="161"/>
    </row>
    <row r="638" spans="1:27" ht="12" customHeight="1" x14ac:dyDescent="0.25">
      <c r="A638" s="161"/>
      <c r="B638" s="161"/>
      <c r="C638" s="161"/>
      <c r="D638" s="161"/>
      <c r="E638" s="161"/>
      <c r="F638" s="161"/>
      <c r="G638" s="161"/>
      <c r="H638" s="161"/>
      <c r="I638" s="161"/>
      <c r="J638" s="161"/>
      <c r="K638" s="161"/>
      <c r="L638" s="161"/>
      <c r="M638" s="161"/>
      <c r="N638" s="161"/>
      <c r="O638" s="161"/>
      <c r="P638" s="161"/>
      <c r="Q638" s="161"/>
      <c r="R638" s="161"/>
      <c r="S638" s="161"/>
      <c r="T638" s="161"/>
      <c r="U638" s="161"/>
      <c r="V638" s="161"/>
      <c r="W638" s="161"/>
      <c r="X638" s="161"/>
      <c r="Y638" s="161"/>
      <c r="Z638" s="161"/>
      <c r="AA638" s="161"/>
    </row>
    <row r="639" spans="1:27" ht="12" customHeight="1" x14ac:dyDescent="0.25">
      <c r="A639" s="161"/>
      <c r="B639" s="161"/>
      <c r="C639" s="161"/>
      <c r="D639" s="161"/>
      <c r="E639" s="161"/>
      <c r="F639" s="161"/>
      <c r="G639" s="161"/>
      <c r="H639" s="161"/>
      <c r="I639" s="161"/>
      <c r="J639" s="161"/>
      <c r="K639" s="161"/>
      <c r="L639" s="161"/>
      <c r="M639" s="161"/>
      <c r="N639" s="161"/>
      <c r="O639" s="161"/>
      <c r="P639" s="161"/>
      <c r="Q639" s="161"/>
      <c r="R639" s="161"/>
      <c r="S639" s="161"/>
      <c r="T639" s="161"/>
      <c r="U639" s="161"/>
      <c r="V639" s="161"/>
      <c r="W639" s="161"/>
      <c r="X639" s="161"/>
      <c r="Y639" s="161"/>
      <c r="Z639" s="161"/>
      <c r="AA639" s="161"/>
    </row>
    <row r="640" spans="1:27" ht="12" customHeight="1" x14ac:dyDescent="0.25">
      <c r="A640" s="161"/>
      <c r="B640" s="161"/>
      <c r="C640" s="161"/>
      <c r="D640" s="161"/>
      <c r="E640" s="161"/>
      <c r="F640" s="161"/>
      <c r="G640" s="161"/>
      <c r="H640" s="161"/>
      <c r="I640" s="161"/>
      <c r="J640" s="161"/>
      <c r="K640" s="161"/>
      <c r="L640" s="161"/>
      <c r="M640" s="161"/>
      <c r="N640" s="161"/>
      <c r="O640" s="161"/>
      <c r="P640" s="161"/>
      <c r="Q640" s="161"/>
      <c r="R640" s="161"/>
      <c r="S640" s="161"/>
      <c r="T640" s="161"/>
      <c r="U640" s="161"/>
      <c r="V640" s="161"/>
      <c r="W640" s="161"/>
      <c r="X640" s="161"/>
      <c r="Y640" s="161"/>
      <c r="Z640" s="161"/>
      <c r="AA640" s="161"/>
    </row>
    <row r="641" spans="1:27" ht="12" customHeight="1" x14ac:dyDescent="0.25">
      <c r="A641" s="161"/>
      <c r="B641" s="161"/>
      <c r="C641" s="161"/>
      <c r="D641" s="161"/>
      <c r="E641" s="161"/>
      <c r="F641" s="161"/>
      <c r="G641" s="161"/>
      <c r="H641" s="161"/>
      <c r="I641" s="161"/>
      <c r="J641" s="161"/>
      <c r="K641" s="161"/>
      <c r="L641" s="161"/>
      <c r="M641" s="161"/>
      <c r="N641" s="161"/>
      <c r="O641" s="161"/>
      <c r="P641" s="161"/>
      <c r="Q641" s="161"/>
      <c r="R641" s="161"/>
      <c r="S641" s="161"/>
      <c r="T641" s="161"/>
      <c r="U641" s="161"/>
      <c r="V641" s="161"/>
      <c r="W641" s="161"/>
      <c r="X641" s="161"/>
      <c r="Y641" s="161"/>
      <c r="Z641" s="161"/>
      <c r="AA641" s="161"/>
    </row>
    <row r="642" spans="1:27" ht="12" customHeight="1" x14ac:dyDescent="0.25">
      <c r="A642" s="161"/>
      <c r="B642" s="161"/>
      <c r="C642" s="161"/>
      <c r="D642" s="161"/>
      <c r="E642" s="161"/>
      <c r="F642" s="161"/>
      <c r="G642" s="161"/>
      <c r="H642" s="161"/>
      <c r="I642" s="161"/>
      <c r="J642" s="161"/>
      <c r="K642" s="161"/>
      <c r="L642" s="161"/>
      <c r="M642" s="161"/>
      <c r="N642" s="161"/>
      <c r="O642" s="161"/>
      <c r="P642" s="161"/>
      <c r="Q642" s="161"/>
      <c r="R642" s="161"/>
      <c r="S642" s="161"/>
      <c r="T642" s="161"/>
      <c r="U642" s="161"/>
      <c r="V642" s="161"/>
      <c r="W642" s="161"/>
      <c r="X642" s="161"/>
      <c r="Y642" s="161"/>
      <c r="Z642" s="161"/>
      <c r="AA642" s="161"/>
    </row>
    <row r="643" spans="1:27" ht="12" customHeight="1" x14ac:dyDescent="0.25">
      <c r="A643" s="161"/>
      <c r="B643" s="161"/>
      <c r="C643" s="161"/>
      <c r="D643" s="161"/>
      <c r="E643" s="161"/>
      <c r="F643" s="161"/>
      <c r="G643" s="161"/>
      <c r="H643" s="161"/>
      <c r="I643" s="161"/>
      <c r="J643" s="161"/>
      <c r="K643" s="161"/>
      <c r="L643" s="161"/>
      <c r="M643" s="161"/>
      <c r="N643" s="161"/>
      <c r="O643" s="161"/>
      <c r="P643" s="161"/>
      <c r="Q643" s="161"/>
      <c r="R643" s="161"/>
      <c r="S643" s="161"/>
      <c r="T643" s="161"/>
      <c r="U643" s="161"/>
      <c r="V643" s="161"/>
      <c r="W643" s="161"/>
      <c r="X643" s="161"/>
      <c r="Y643" s="161"/>
      <c r="Z643" s="161"/>
      <c r="AA643" s="161"/>
    </row>
    <row r="644" spans="1:27" ht="12" customHeight="1" x14ac:dyDescent="0.25">
      <c r="A644" s="161"/>
      <c r="B644" s="161"/>
      <c r="C644" s="161"/>
      <c r="D644" s="161"/>
      <c r="E644" s="161"/>
      <c r="F644" s="161"/>
      <c r="G644" s="161"/>
      <c r="H644" s="161"/>
      <c r="I644" s="161"/>
      <c r="J644" s="161"/>
      <c r="K644" s="161"/>
      <c r="L644" s="161"/>
      <c r="M644" s="161"/>
      <c r="N644" s="161"/>
      <c r="O644" s="161"/>
      <c r="P644" s="161"/>
      <c r="Q644" s="161"/>
      <c r="R644" s="161"/>
      <c r="S644" s="161"/>
      <c r="T644" s="161"/>
      <c r="U644" s="161"/>
      <c r="V644" s="161"/>
      <c r="W644" s="161"/>
      <c r="X644" s="161"/>
      <c r="Y644" s="161"/>
      <c r="Z644" s="161"/>
      <c r="AA644" s="161"/>
    </row>
    <row r="645" spans="1:27" ht="12" customHeight="1" x14ac:dyDescent="0.25">
      <c r="A645" s="161"/>
      <c r="B645" s="161"/>
      <c r="C645" s="161"/>
      <c r="D645" s="161"/>
      <c r="E645" s="161"/>
      <c r="F645" s="161"/>
      <c r="G645" s="161"/>
      <c r="H645" s="161"/>
      <c r="I645" s="161"/>
      <c r="J645" s="161"/>
      <c r="K645" s="161"/>
      <c r="L645" s="161"/>
      <c r="M645" s="161"/>
      <c r="N645" s="161"/>
      <c r="O645" s="161"/>
      <c r="P645" s="161"/>
      <c r="Q645" s="161"/>
      <c r="R645" s="161"/>
      <c r="S645" s="161"/>
      <c r="T645" s="161"/>
      <c r="U645" s="161"/>
      <c r="V645" s="161"/>
      <c r="W645" s="161"/>
      <c r="X645" s="161"/>
      <c r="Y645" s="161"/>
      <c r="Z645" s="161"/>
      <c r="AA645" s="161"/>
    </row>
    <row r="646" spans="1:27" ht="12" customHeight="1" x14ac:dyDescent="0.25">
      <c r="A646" s="161"/>
      <c r="B646" s="161"/>
      <c r="C646" s="161"/>
      <c r="D646" s="161"/>
      <c r="E646" s="161"/>
      <c r="F646" s="161"/>
      <c r="G646" s="161"/>
      <c r="H646" s="161"/>
      <c r="I646" s="161"/>
      <c r="J646" s="161"/>
      <c r="K646" s="161"/>
      <c r="L646" s="161"/>
      <c r="M646" s="161"/>
      <c r="N646" s="161"/>
      <c r="O646" s="161"/>
      <c r="P646" s="161"/>
      <c r="Q646" s="161"/>
      <c r="R646" s="161"/>
      <c r="S646" s="161"/>
      <c r="T646" s="161"/>
      <c r="U646" s="161"/>
      <c r="V646" s="161"/>
      <c r="W646" s="161"/>
      <c r="X646" s="161"/>
      <c r="Y646" s="161"/>
      <c r="Z646" s="161"/>
      <c r="AA646" s="161"/>
    </row>
    <row r="647" spans="1:27" ht="12" customHeight="1" x14ac:dyDescent="0.25">
      <c r="A647" s="161"/>
      <c r="B647" s="161"/>
      <c r="C647" s="161"/>
      <c r="D647" s="161"/>
      <c r="E647" s="161"/>
      <c r="F647" s="161"/>
      <c r="G647" s="161"/>
      <c r="H647" s="161"/>
      <c r="I647" s="161"/>
      <c r="J647" s="161"/>
      <c r="K647" s="161"/>
      <c r="L647" s="161"/>
      <c r="M647" s="161"/>
      <c r="N647" s="161"/>
      <c r="O647" s="161"/>
      <c r="P647" s="161"/>
      <c r="Q647" s="161"/>
      <c r="R647" s="161"/>
      <c r="S647" s="161"/>
      <c r="T647" s="161"/>
      <c r="U647" s="161"/>
      <c r="V647" s="161"/>
      <c r="W647" s="161"/>
      <c r="X647" s="161"/>
      <c r="Y647" s="161"/>
      <c r="Z647" s="161"/>
      <c r="AA647" s="161"/>
    </row>
    <row r="648" spans="1:27" ht="12" customHeight="1" x14ac:dyDescent="0.25">
      <c r="A648" s="161"/>
      <c r="B648" s="161"/>
      <c r="C648" s="161"/>
      <c r="D648" s="161"/>
      <c r="E648" s="161"/>
      <c r="F648" s="161"/>
      <c r="G648" s="161"/>
      <c r="H648" s="161"/>
      <c r="I648" s="161"/>
      <c r="J648" s="161"/>
      <c r="K648" s="161"/>
      <c r="L648" s="161"/>
      <c r="M648" s="161"/>
      <c r="N648" s="161"/>
      <c r="O648" s="161"/>
      <c r="P648" s="161"/>
      <c r="Q648" s="161"/>
      <c r="R648" s="161"/>
      <c r="S648" s="161"/>
      <c r="T648" s="161"/>
      <c r="U648" s="161"/>
      <c r="V648" s="161"/>
      <c r="W648" s="161"/>
      <c r="X648" s="161"/>
      <c r="Y648" s="161"/>
      <c r="Z648" s="161"/>
      <c r="AA648" s="161"/>
    </row>
    <row r="649" spans="1:27" ht="12" customHeight="1" x14ac:dyDescent="0.25">
      <c r="A649" s="161"/>
      <c r="B649" s="161"/>
      <c r="C649" s="161"/>
      <c r="D649" s="161"/>
      <c r="E649" s="161"/>
      <c r="F649" s="161"/>
      <c r="G649" s="161"/>
      <c r="H649" s="161"/>
      <c r="I649" s="161"/>
      <c r="J649" s="161"/>
      <c r="K649" s="161"/>
      <c r="L649" s="161"/>
      <c r="M649" s="161"/>
      <c r="N649" s="161"/>
      <c r="O649" s="161"/>
      <c r="P649" s="161"/>
      <c r="Q649" s="161"/>
      <c r="R649" s="161"/>
      <c r="S649" s="161"/>
      <c r="T649" s="161"/>
      <c r="U649" s="161"/>
      <c r="V649" s="161"/>
      <c r="W649" s="161"/>
      <c r="X649" s="161"/>
      <c r="Y649" s="161"/>
      <c r="Z649" s="161"/>
      <c r="AA649" s="161"/>
    </row>
    <row r="650" spans="1:27" ht="12" customHeight="1" x14ac:dyDescent="0.25">
      <c r="A650" s="161"/>
      <c r="B650" s="161"/>
      <c r="C650" s="161"/>
      <c r="D650" s="161"/>
      <c r="E650" s="161"/>
      <c r="F650" s="161"/>
      <c r="G650" s="161"/>
      <c r="H650" s="161"/>
      <c r="I650" s="161"/>
      <c r="J650" s="161"/>
      <c r="K650" s="161"/>
      <c r="L650" s="161"/>
      <c r="M650" s="161"/>
      <c r="N650" s="161"/>
      <c r="O650" s="161"/>
      <c r="P650" s="161"/>
      <c r="Q650" s="161"/>
      <c r="R650" s="161"/>
      <c r="S650" s="161"/>
      <c r="T650" s="161"/>
      <c r="U650" s="161"/>
      <c r="V650" s="161"/>
      <c r="W650" s="161"/>
      <c r="X650" s="161"/>
      <c r="Y650" s="161"/>
      <c r="Z650" s="161"/>
      <c r="AA650" s="161"/>
    </row>
    <row r="651" spans="1:27" ht="12" customHeight="1" x14ac:dyDescent="0.25">
      <c r="A651" s="161"/>
      <c r="B651" s="161"/>
      <c r="C651" s="161"/>
      <c r="D651" s="161"/>
      <c r="E651" s="161"/>
      <c r="F651" s="161"/>
      <c r="G651" s="161"/>
      <c r="H651" s="161"/>
      <c r="I651" s="161"/>
      <c r="J651" s="161"/>
      <c r="K651" s="161"/>
      <c r="L651" s="161"/>
      <c r="M651" s="161"/>
      <c r="N651" s="161"/>
      <c r="O651" s="161"/>
      <c r="P651" s="161"/>
      <c r="Q651" s="161"/>
      <c r="R651" s="161"/>
      <c r="S651" s="161"/>
      <c r="T651" s="161"/>
      <c r="U651" s="161"/>
      <c r="V651" s="161"/>
      <c r="W651" s="161"/>
      <c r="X651" s="161"/>
      <c r="Y651" s="161"/>
      <c r="Z651" s="161"/>
      <c r="AA651" s="161"/>
    </row>
    <row r="652" spans="1:27" ht="12" customHeight="1" x14ac:dyDescent="0.25">
      <c r="A652" s="161"/>
      <c r="B652" s="161"/>
      <c r="C652" s="161"/>
      <c r="D652" s="161"/>
      <c r="E652" s="161"/>
      <c r="F652" s="161"/>
      <c r="G652" s="161"/>
      <c r="H652" s="161"/>
      <c r="I652" s="161"/>
      <c r="J652" s="161"/>
      <c r="K652" s="161"/>
      <c r="L652" s="161"/>
      <c r="M652" s="161"/>
      <c r="N652" s="161"/>
      <c r="O652" s="161"/>
      <c r="P652" s="161"/>
      <c r="Q652" s="161"/>
      <c r="R652" s="161"/>
      <c r="S652" s="161"/>
      <c r="T652" s="161"/>
      <c r="U652" s="161"/>
      <c r="V652" s="161"/>
      <c r="W652" s="161"/>
      <c r="X652" s="161"/>
      <c r="Y652" s="161"/>
      <c r="Z652" s="161"/>
      <c r="AA652" s="161"/>
    </row>
    <row r="653" spans="1:27" ht="12" customHeight="1" x14ac:dyDescent="0.25">
      <c r="A653" s="161"/>
      <c r="B653" s="161"/>
      <c r="C653" s="161"/>
      <c r="D653" s="161"/>
      <c r="E653" s="161"/>
      <c r="F653" s="161"/>
      <c r="G653" s="161"/>
      <c r="H653" s="161"/>
      <c r="I653" s="161"/>
      <c r="J653" s="161"/>
      <c r="K653" s="161"/>
      <c r="L653" s="161"/>
      <c r="M653" s="161"/>
      <c r="N653" s="161"/>
      <c r="O653" s="161"/>
      <c r="P653" s="161"/>
      <c r="Q653" s="161"/>
      <c r="R653" s="161"/>
      <c r="S653" s="161"/>
      <c r="T653" s="161"/>
      <c r="U653" s="161"/>
      <c r="V653" s="161"/>
      <c r="W653" s="161"/>
      <c r="X653" s="161"/>
      <c r="Y653" s="161"/>
      <c r="Z653" s="161"/>
      <c r="AA653" s="161"/>
    </row>
    <row r="654" spans="1:27" ht="12" customHeight="1" x14ac:dyDescent="0.25">
      <c r="A654" s="161"/>
      <c r="B654" s="161"/>
      <c r="C654" s="161"/>
      <c r="D654" s="161"/>
      <c r="E654" s="161"/>
      <c r="F654" s="161"/>
      <c r="G654" s="161"/>
      <c r="H654" s="161"/>
      <c r="I654" s="161"/>
      <c r="J654" s="161"/>
      <c r="K654" s="161"/>
      <c r="L654" s="161"/>
      <c r="M654" s="161"/>
      <c r="N654" s="161"/>
      <c r="O654" s="161"/>
      <c r="P654" s="161"/>
      <c r="Q654" s="161"/>
      <c r="R654" s="161"/>
      <c r="S654" s="161"/>
      <c r="T654" s="161"/>
      <c r="U654" s="161"/>
      <c r="V654" s="161"/>
      <c r="W654" s="161"/>
      <c r="X654" s="161"/>
      <c r="Y654" s="161"/>
      <c r="Z654" s="161"/>
      <c r="AA654" s="161"/>
    </row>
    <row r="655" spans="1:27" ht="12" customHeight="1" x14ac:dyDescent="0.25">
      <c r="A655" s="161"/>
      <c r="B655" s="161"/>
      <c r="C655" s="161"/>
      <c r="D655" s="161"/>
      <c r="E655" s="161"/>
      <c r="F655" s="161"/>
      <c r="G655" s="161"/>
      <c r="H655" s="161"/>
      <c r="I655" s="161"/>
      <c r="J655" s="161"/>
      <c r="K655" s="161"/>
      <c r="L655" s="161"/>
      <c r="M655" s="161"/>
      <c r="N655" s="161"/>
      <c r="O655" s="161"/>
      <c r="P655" s="161"/>
      <c r="Q655" s="161"/>
      <c r="R655" s="161"/>
      <c r="S655" s="161"/>
      <c r="T655" s="161"/>
      <c r="U655" s="161"/>
      <c r="V655" s="161"/>
      <c r="W655" s="161"/>
      <c r="X655" s="161"/>
      <c r="Y655" s="161"/>
      <c r="Z655" s="161"/>
      <c r="AA655" s="161"/>
    </row>
    <row r="656" spans="1:27" ht="12" customHeight="1" x14ac:dyDescent="0.25">
      <c r="A656" s="161"/>
      <c r="B656" s="161"/>
      <c r="C656" s="161"/>
      <c r="D656" s="161"/>
      <c r="E656" s="161"/>
      <c r="F656" s="161"/>
      <c r="G656" s="161"/>
      <c r="H656" s="161"/>
      <c r="I656" s="161"/>
      <c r="J656" s="161"/>
      <c r="K656" s="161"/>
      <c r="L656" s="161"/>
      <c r="M656" s="161"/>
      <c r="N656" s="161"/>
      <c r="O656" s="161"/>
      <c r="P656" s="161"/>
      <c r="Q656" s="161"/>
      <c r="R656" s="161"/>
      <c r="S656" s="161"/>
      <c r="T656" s="161"/>
      <c r="U656" s="161"/>
      <c r="V656" s="161"/>
      <c r="W656" s="161"/>
      <c r="X656" s="161"/>
      <c r="Y656" s="161"/>
      <c r="Z656" s="161"/>
      <c r="AA656" s="161"/>
    </row>
    <row r="657" spans="1:27" ht="12" customHeight="1" x14ac:dyDescent="0.25">
      <c r="A657" s="161"/>
      <c r="B657" s="161"/>
      <c r="C657" s="161"/>
      <c r="D657" s="161"/>
      <c r="E657" s="161"/>
      <c r="F657" s="161"/>
      <c r="G657" s="161"/>
      <c r="H657" s="161"/>
      <c r="I657" s="161"/>
      <c r="J657" s="161"/>
      <c r="K657" s="161"/>
      <c r="L657" s="161"/>
      <c r="M657" s="161"/>
      <c r="N657" s="161"/>
      <c r="O657" s="161"/>
      <c r="P657" s="161"/>
      <c r="Q657" s="161"/>
      <c r="R657" s="161"/>
      <c r="S657" s="161"/>
      <c r="T657" s="161"/>
      <c r="U657" s="161"/>
      <c r="V657" s="161"/>
      <c r="W657" s="161"/>
      <c r="X657" s="161"/>
      <c r="Y657" s="161"/>
      <c r="Z657" s="161"/>
      <c r="AA657" s="161"/>
    </row>
    <row r="658" spans="1:27" ht="12" customHeight="1" x14ac:dyDescent="0.25">
      <c r="A658" s="161"/>
      <c r="B658" s="161"/>
      <c r="C658" s="161"/>
      <c r="D658" s="161"/>
      <c r="E658" s="161"/>
      <c r="F658" s="161"/>
      <c r="G658" s="161"/>
      <c r="H658" s="161"/>
      <c r="I658" s="161"/>
      <c r="J658" s="161"/>
      <c r="K658" s="161"/>
      <c r="L658" s="161"/>
      <c r="M658" s="161"/>
      <c r="N658" s="161"/>
      <c r="O658" s="161"/>
      <c r="P658" s="161"/>
      <c r="Q658" s="161"/>
      <c r="R658" s="161"/>
      <c r="S658" s="161"/>
      <c r="T658" s="161"/>
      <c r="U658" s="161"/>
      <c r="V658" s="161"/>
      <c r="W658" s="161"/>
      <c r="X658" s="161"/>
      <c r="Y658" s="161"/>
      <c r="Z658" s="161"/>
      <c r="AA658" s="161"/>
    </row>
    <row r="659" spans="1:27" ht="12" customHeight="1" x14ac:dyDescent="0.25">
      <c r="A659" s="161"/>
      <c r="B659" s="161"/>
      <c r="C659" s="161"/>
      <c r="D659" s="161"/>
      <c r="E659" s="161"/>
      <c r="F659" s="161"/>
      <c r="G659" s="161"/>
      <c r="H659" s="161"/>
      <c r="I659" s="161"/>
      <c r="J659" s="161"/>
      <c r="K659" s="161"/>
      <c r="L659" s="161"/>
      <c r="M659" s="161"/>
      <c r="N659" s="161"/>
      <c r="O659" s="161"/>
      <c r="P659" s="161"/>
      <c r="Q659" s="161"/>
      <c r="R659" s="161"/>
      <c r="S659" s="161"/>
      <c r="T659" s="161"/>
      <c r="U659" s="161"/>
      <c r="V659" s="161"/>
      <c r="W659" s="161"/>
      <c r="X659" s="161"/>
      <c r="Y659" s="161"/>
      <c r="Z659" s="161"/>
      <c r="AA659" s="161"/>
    </row>
    <row r="660" spans="1:27" ht="12" customHeight="1" x14ac:dyDescent="0.25">
      <c r="A660" s="161"/>
      <c r="B660" s="161"/>
      <c r="C660" s="161"/>
      <c r="D660" s="161"/>
      <c r="E660" s="161"/>
      <c r="F660" s="161"/>
      <c r="G660" s="161"/>
      <c r="H660" s="161"/>
      <c r="I660" s="161"/>
      <c r="J660" s="161"/>
      <c r="K660" s="161"/>
      <c r="L660" s="161"/>
      <c r="M660" s="161"/>
      <c r="N660" s="161"/>
      <c r="O660" s="161"/>
      <c r="P660" s="161"/>
      <c r="Q660" s="161"/>
      <c r="R660" s="161"/>
      <c r="S660" s="161"/>
      <c r="T660" s="161"/>
      <c r="U660" s="161"/>
      <c r="V660" s="161"/>
      <c r="W660" s="161"/>
      <c r="X660" s="161"/>
      <c r="Y660" s="161"/>
      <c r="Z660" s="161"/>
      <c r="AA660" s="161"/>
    </row>
    <row r="661" spans="1:27" ht="12" customHeight="1" x14ac:dyDescent="0.25">
      <c r="A661" s="161"/>
      <c r="B661" s="161"/>
      <c r="C661" s="161"/>
      <c r="D661" s="161"/>
      <c r="E661" s="161"/>
      <c r="F661" s="161"/>
      <c r="G661" s="161"/>
      <c r="H661" s="161"/>
      <c r="I661" s="161"/>
      <c r="J661" s="161"/>
      <c r="K661" s="161"/>
      <c r="L661" s="161"/>
      <c r="M661" s="161"/>
      <c r="N661" s="161"/>
      <c r="O661" s="161"/>
      <c r="P661" s="161"/>
      <c r="Q661" s="161"/>
      <c r="R661" s="161"/>
      <c r="S661" s="161"/>
      <c r="T661" s="161"/>
      <c r="U661" s="161"/>
      <c r="V661" s="161"/>
      <c r="W661" s="161"/>
      <c r="X661" s="161"/>
      <c r="Y661" s="161"/>
      <c r="Z661" s="161"/>
      <c r="AA661" s="161"/>
    </row>
    <row r="662" spans="1:27" ht="12" customHeight="1" x14ac:dyDescent="0.25">
      <c r="A662" s="161"/>
      <c r="B662" s="161"/>
      <c r="C662" s="161"/>
      <c r="D662" s="161"/>
      <c r="E662" s="161"/>
      <c r="F662" s="161"/>
      <c r="G662" s="161"/>
      <c r="H662" s="161"/>
      <c r="I662" s="161"/>
      <c r="J662" s="161"/>
      <c r="K662" s="161"/>
      <c r="L662" s="161"/>
      <c r="M662" s="161"/>
      <c r="N662" s="161"/>
      <c r="O662" s="161"/>
      <c r="P662" s="161"/>
      <c r="Q662" s="161"/>
      <c r="R662" s="161"/>
      <c r="S662" s="161"/>
      <c r="T662" s="161"/>
      <c r="U662" s="161"/>
      <c r="V662" s="161"/>
      <c r="W662" s="161"/>
      <c r="X662" s="161"/>
      <c r="Y662" s="161"/>
      <c r="Z662" s="161"/>
      <c r="AA662" s="161"/>
    </row>
    <row r="663" spans="1:27" ht="12" customHeight="1" x14ac:dyDescent="0.25">
      <c r="A663" s="161"/>
      <c r="B663" s="161"/>
      <c r="C663" s="161"/>
      <c r="D663" s="161"/>
      <c r="E663" s="161"/>
      <c r="F663" s="161"/>
      <c r="G663" s="161"/>
      <c r="H663" s="161"/>
      <c r="I663" s="161"/>
      <c r="J663" s="161"/>
      <c r="K663" s="161"/>
      <c r="L663" s="161"/>
      <c r="M663" s="161"/>
      <c r="N663" s="161"/>
      <c r="O663" s="161"/>
      <c r="P663" s="161"/>
      <c r="Q663" s="161"/>
      <c r="R663" s="161"/>
      <c r="S663" s="161"/>
      <c r="T663" s="161"/>
      <c r="U663" s="161"/>
      <c r="V663" s="161"/>
      <c r="W663" s="161"/>
      <c r="X663" s="161"/>
      <c r="Y663" s="161"/>
      <c r="Z663" s="161"/>
      <c r="AA663" s="161"/>
    </row>
    <row r="664" spans="1:27" ht="12" customHeight="1" x14ac:dyDescent="0.25">
      <c r="A664" s="161"/>
      <c r="B664" s="161"/>
      <c r="C664" s="161"/>
      <c r="D664" s="161"/>
      <c r="E664" s="161"/>
      <c r="F664" s="161"/>
      <c r="G664" s="161"/>
      <c r="H664" s="161"/>
      <c r="I664" s="161"/>
      <c r="J664" s="161"/>
      <c r="K664" s="161"/>
      <c r="L664" s="161"/>
      <c r="M664" s="161"/>
      <c r="N664" s="161"/>
      <c r="O664" s="161"/>
      <c r="P664" s="161"/>
      <c r="Q664" s="161"/>
      <c r="R664" s="161"/>
      <c r="S664" s="161"/>
      <c r="T664" s="161"/>
      <c r="U664" s="161"/>
      <c r="V664" s="161"/>
      <c r="W664" s="161"/>
      <c r="X664" s="161"/>
      <c r="Y664" s="161"/>
      <c r="Z664" s="161"/>
      <c r="AA664" s="161"/>
    </row>
    <row r="665" spans="1:27" ht="12" customHeight="1" x14ac:dyDescent="0.25">
      <c r="A665" s="161"/>
      <c r="B665" s="161"/>
      <c r="C665" s="161"/>
      <c r="D665" s="161"/>
      <c r="E665" s="161"/>
      <c r="F665" s="161"/>
      <c r="G665" s="161"/>
      <c r="H665" s="161"/>
      <c r="I665" s="161"/>
      <c r="J665" s="161"/>
      <c r="K665" s="161"/>
      <c r="L665" s="161"/>
      <c r="M665" s="161"/>
      <c r="N665" s="161"/>
      <c r="O665" s="161"/>
      <c r="P665" s="161"/>
      <c r="Q665" s="161"/>
      <c r="R665" s="161"/>
      <c r="S665" s="161"/>
      <c r="T665" s="161"/>
      <c r="U665" s="161"/>
      <c r="V665" s="161"/>
      <c r="W665" s="161"/>
      <c r="X665" s="161"/>
      <c r="Y665" s="161"/>
      <c r="Z665" s="161"/>
      <c r="AA665" s="161"/>
    </row>
    <row r="666" spans="1:27" ht="12" customHeight="1" x14ac:dyDescent="0.25">
      <c r="A666" s="161"/>
      <c r="B666" s="161"/>
      <c r="C666" s="161"/>
      <c r="D666" s="161"/>
      <c r="E666" s="161"/>
      <c r="F666" s="161"/>
      <c r="G666" s="161"/>
      <c r="H666" s="161"/>
      <c r="I666" s="161"/>
      <c r="J666" s="161"/>
      <c r="K666" s="161"/>
      <c r="L666" s="161"/>
      <c r="M666" s="161"/>
      <c r="N666" s="161"/>
      <c r="O666" s="161"/>
      <c r="P666" s="161"/>
      <c r="Q666" s="161"/>
      <c r="R666" s="161"/>
      <c r="S666" s="161"/>
      <c r="T666" s="161"/>
      <c r="U666" s="161"/>
      <c r="V666" s="161"/>
      <c r="W666" s="161"/>
      <c r="X666" s="161"/>
      <c r="Y666" s="161"/>
      <c r="Z666" s="161"/>
      <c r="AA666" s="161"/>
    </row>
    <row r="667" spans="1:27" ht="12" customHeight="1" x14ac:dyDescent="0.25">
      <c r="A667" s="161"/>
      <c r="B667" s="161"/>
      <c r="C667" s="161"/>
      <c r="D667" s="161"/>
      <c r="E667" s="161"/>
      <c r="F667" s="161"/>
      <c r="G667" s="161"/>
      <c r="H667" s="161"/>
      <c r="I667" s="161"/>
      <c r="J667" s="161"/>
      <c r="K667" s="161"/>
      <c r="L667" s="161"/>
      <c r="M667" s="161"/>
      <c r="N667" s="161"/>
      <c r="O667" s="161"/>
      <c r="P667" s="161"/>
      <c r="Q667" s="161"/>
      <c r="R667" s="161"/>
      <c r="S667" s="161"/>
      <c r="T667" s="161"/>
      <c r="U667" s="161"/>
      <c r="V667" s="161"/>
      <c r="W667" s="161"/>
      <c r="X667" s="161"/>
      <c r="Y667" s="161"/>
      <c r="Z667" s="161"/>
      <c r="AA667" s="161"/>
    </row>
    <row r="668" spans="1:27" ht="12" customHeight="1" x14ac:dyDescent="0.25">
      <c r="A668" s="161"/>
      <c r="B668" s="161"/>
      <c r="C668" s="161"/>
      <c r="D668" s="161"/>
      <c r="E668" s="161"/>
      <c r="F668" s="161"/>
      <c r="G668" s="161"/>
      <c r="H668" s="161"/>
      <c r="I668" s="161"/>
      <c r="J668" s="161"/>
      <c r="K668" s="161"/>
      <c r="L668" s="161"/>
      <c r="M668" s="161"/>
      <c r="N668" s="161"/>
      <c r="O668" s="161"/>
      <c r="P668" s="161"/>
      <c r="Q668" s="161"/>
      <c r="R668" s="161"/>
      <c r="S668" s="161"/>
      <c r="T668" s="161"/>
      <c r="U668" s="161"/>
      <c r="V668" s="161"/>
      <c r="W668" s="161"/>
      <c r="X668" s="161"/>
      <c r="Y668" s="161"/>
      <c r="Z668" s="161"/>
      <c r="AA668" s="161"/>
    </row>
    <row r="669" spans="1:27" ht="12" customHeight="1" x14ac:dyDescent="0.25">
      <c r="A669" s="161"/>
      <c r="B669" s="161"/>
      <c r="C669" s="161"/>
      <c r="D669" s="161"/>
      <c r="E669" s="161"/>
      <c r="F669" s="161"/>
      <c r="G669" s="161"/>
      <c r="H669" s="161"/>
      <c r="I669" s="161"/>
      <c r="J669" s="161"/>
      <c r="K669" s="161"/>
      <c r="L669" s="161"/>
      <c r="M669" s="161"/>
      <c r="N669" s="161"/>
      <c r="O669" s="161"/>
      <c r="P669" s="161"/>
      <c r="Q669" s="161"/>
      <c r="R669" s="161"/>
      <c r="S669" s="161"/>
      <c r="T669" s="161"/>
      <c r="U669" s="161"/>
      <c r="V669" s="161"/>
      <c r="W669" s="161"/>
      <c r="X669" s="161"/>
      <c r="Y669" s="161"/>
      <c r="Z669" s="161"/>
      <c r="AA669" s="161"/>
    </row>
    <row r="670" spans="1:27" ht="12" customHeight="1" x14ac:dyDescent="0.25">
      <c r="A670" s="161"/>
      <c r="B670" s="161"/>
      <c r="C670" s="161"/>
      <c r="D670" s="161"/>
      <c r="E670" s="161"/>
      <c r="F670" s="161"/>
      <c r="G670" s="161"/>
      <c r="H670" s="161"/>
      <c r="I670" s="161"/>
      <c r="J670" s="161"/>
      <c r="K670" s="161"/>
      <c r="L670" s="161"/>
      <c r="M670" s="161"/>
      <c r="N670" s="161"/>
      <c r="O670" s="161"/>
      <c r="P670" s="161"/>
      <c r="Q670" s="161"/>
      <c r="R670" s="161"/>
      <c r="S670" s="161"/>
      <c r="T670" s="161"/>
      <c r="U670" s="161"/>
      <c r="V670" s="161"/>
      <c r="W670" s="161"/>
      <c r="X670" s="161"/>
      <c r="Y670" s="161"/>
      <c r="Z670" s="161"/>
      <c r="AA670" s="161"/>
    </row>
    <row r="671" spans="1:27" ht="12" customHeight="1" x14ac:dyDescent="0.25">
      <c r="A671" s="161"/>
      <c r="B671" s="161"/>
      <c r="C671" s="161"/>
      <c r="D671" s="161"/>
      <c r="E671" s="161"/>
      <c r="F671" s="161"/>
      <c r="G671" s="161"/>
      <c r="H671" s="161"/>
      <c r="I671" s="161"/>
      <c r="J671" s="161"/>
      <c r="K671" s="161"/>
      <c r="L671" s="161"/>
      <c r="M671" s="161"/>
      <c r="N671" s="161"/>
      <c r="O671" s="161"/>
      <c r="P671" s="161"/>
      <c r="Q671" s="161"/>
      <c r="R671" s="161"/>
      <c r="S671" s="161"/>
      <c r="T671" s="161"/>
      <c r="U671" s="161"/>
      <c r="V671" s="161"/>
      <c r="W671" s="161"/>
      <c r="X671" s="161"/>
      <c r="Y671" s="161"/>
      <c r="Z671" s="161"/>
      <c r="AA671" s="161"/>
    </row>
    <row r="672" spans="1:27" ht="12" customHeight="1" x14ac:dyDescent="0.25">
      <c r="A672" s="161"/>
      <c r="B672" s="161"/>
      <c r="C672" s="161"/>
      <c r="D672" s="161"/>
      <c r="E672" s="161"/>
      <c r="F672" s="161"/>
      <c r="G672" s="161"/>
      <c r="H672" s="161"/>
      <c r="I672" s="161"/>
      <c r="J672" s="161"/>
      <c r="K672" s="161"/>
      <c r="L672" s="161"/>
      <c r="M672" s="161"/>
      <c r="N672" s="161"/>
      <c r="O672" s="161"/>
      <c r="P672" s="161"/>
      <c r="Q672" s="161"/>
      <c r="R672" s="161"/>
      <c r="S672" s="161"/>
      <c r="T672" s="161"/>
      <c r="U672" s="161"/>
      <c r="V672" s="161"/>
      <c r="W672" s="161"/>
      <c r="X672" s="161"/>
      <c r="Y672" s="161"/>
      <c r="Z672" s="161"/>
      <c r="AA672" s="161"/>
    </row>
    <row r="673" spans="1:27" ht="12" customHeight="1" x14ac:dyDescent="0.25">
      <c r="A673" s="161"/>
      <c r="B673" s="161"/>
      <c r="C673" s="161"/>
      <c r="D673" s="161"/>
      <c r="E673" s="161"/>
      <c r="F673" s="161"/>
      <c r="G673" s="161"/>
      <c r="H673" s="161"/>
      <c r="I673" s="161"/>
      <c r="J673" s="161"/>
      <c r="K673" s="161"/>
      <c r="L673" s="161"/>
      <c r="M673" s="161"/>
      <c r="N673" s="161"/>
      <c r="O673" s="161"/>
      <c r="P673" s="161"/>
      <c r="Q673" s="161"/>
      <c r="R673" s="161"/>
      <c r="S673" s="161"/>
      <c r="T673" s="161"/>
      <c r="U673" s="161"/>
      <c r="V673" s="161"/>
      <c r="W673" s="161"/>
      <c r="X673" s="161"/>
      <c r="Y673" s="161"/>
      <c r="Z673" s="161"/>
      <c r="AA673" s="161"/>
    </row>
    <row r="674" spans="1:27" ht="12" customHeight="1" x14ac:dyDescent="0.25">
      <c r="A674" s="161"/>
      <c r="B674" s="161"/>
      <c r="C674" s="161"/>
      <c r="D674" s="161"/>
      <c r="E674" s="161"/>
      <c r="F674" s="161"/>
      <c r="G674" s="161"/>
      <c r="H674" s="161"/>
      <c r="I674" s="161"/>
      <c r="J674" s="161"/>
      <c r="K674" s="161"/>
      <c r="L674" s="161"/>
      <c r="M674" s="161"/>
      <c r="N674" s="161"/>
      <c r="O674" s="161"/>
      <c r="P674" s="161"/>
      <c r="Q674" s="161"/>
      <c r="R674" s="161"/>
      <c r="S674" s="161"/>
      <c r="T674" s="161"/>
      <c r="U674" s="161"/>
      <c r="V674" s="161"/>
      <c r="W674" s="161"/>
      <c r="X674" s="161"/>
      <c r="Y674" s="161"/>
      <c r="Z674" s="161"/>
      <c r="AA674" s="161"/>
    </row>
    <row r="675" spans="1:27" ht="12" customHeight="1" x14ac:dyDescent="0.25">
      <c r="A675" s="161"/>
      <c r="B675" s="161"/>
      <c r="C675" s="161"/>
      <c r="D675" s="161"/>
      <c r="E675" s="161"/>
      <c r="F675" s="161"/>
      <c r="G675" s="161"/>
      <c r="H675" s="161"/>
      <c r="I675" s="161"/>
      <c r="J675" s="161"/>
      <c r="K675" s="161"/>
      <c r="L675" s="161"/>
      <c r="M675" s="161"/>
      <c r="N675" s="161"/>
      <c r="O675" s="161"/>
      <c r="P675" s="161"/>
      <c r="Q675" s="161"/>
      <c r="R675" s="161"/>
      <c r="S675" s="161"/>
      <c r="T675" s="161"/>
      <c r="U675" s="161"/>
      <c r="V675" s="161"/>
      <c r="W675" s="161"/>
      <c r="X675" s="161"/>
      <c r="Y675" s="161"/>
      <c r="Z675" s="161"/>
      <c r="AA675" s="161"/>
    </row>
    <row r="676" spans="1:27" ht="12" customHeight="1" x14ac:dyDescent="0.25">
      <c r="A676" s="161"/>
      <c r="B676" s="161"/>
      <c r="C676" s="161"/>
      <c r="D676" s="161"/>
      <c r="E676" s="161"/>
      <c r="F676" s="161"/>
      <c r="G676" s="161"/>
      <c r="H676" s="161"/>
      <c r="I676" s="161"/>
      <c r="J676" s="161"/>
      <c r="K676" s="161"/>
      <c r="L676" s="161"/>
      <c r="M676" s="161"/>
      <c r="N676" s="161"/>
      <c r="O676" s="161"/>
      <c r="P676" s="161"/>
      <c r="Q676" s="161"/>
      <c r="R676" s="161"/>
      <c r="S676" s="161"/>
      <c r="T676" s="161"/>
      <c r="U676" s="161"/>
      <c r="V676" s="161"/>
      <c r="W676" s="161"/>
      <c r="X676" s="161"/>
      <c r="Y676" s="161"/>
      <c r="Z676" s="161"/>
      <c r="AA676" s="161"/>
    </row>
    <row r="677" spans="1:27" ht="12" customHeight="1" x14ac:dyDescent="0.25">
      <c r="A677" s="161"/>
      <c r="B677" s="161"/>
      <c r="C677" s="161"/>
      <c r="D677" s="161"/>
      <c r="E677" s="161"/>
      <c r="F677" s="161"/>
      <c r="G677" s="161"/>
      <c r="H677" s="161"/>
      <c r="I677" s="161"/>
      <c r="J677" s="161"/>
      <c r="K677" s="161"/>
      <c r="L677" s="161"/>
      <c r="M677" s="161"/>
      <c r="N677" s="161"/>
      <c r="O677" s="161"/>
      <c r="P677" s="161"/>
      <c r="Q677" s="161"/>
      <c r="R677" s="161"/>
      <c r="S677" s="161"/>
      <c r="T677" s="161"/>
      <c r="U677" s="161"/>
      <c r="V677" s="161"/>
      <c r="W677" s="161"/>
      <c r="X677" s="161"/>
      <c r="Y677" s="161"/>
      <c r="Z677" s="161"/>
      <c r="AA677" s="161"/>
    </row>
    <row r="678" spans="1:27" ht="12" customHeight="1" x14ac:dyDescent="0.25">
      <c r="A678" s="161"/>
      <c r="B678" s="161"/>
      <c r="C678" s="161"/>
      <c r="D678" s="161"/>
      <c r="E678" s="161"/>
      <c r="F678" s="161"/>
      <c r="G678" s="161"/>
      <c r="H678" s="161"/>
      <c r="I678" s="161"/>
      <c r="J678" s="161"/>
      <c r="K678" s="161"/>
      <c r="L678" s="161"/>
      <c r="M678" s="161"/>
      <c r="N678" s="161"/>
      <c r="O678" s="161"/>
      <c r="P678" s="161"/>
      <c r="Q678" s="161"/>
      <c r="R678" s="161"/>
      <c r="S678" s="161"/>
      <c r="T678" s="161"/>
      <c r="U678" s="161"/>
      <c r="V678" s="161"/>
      <c r="W678" s="161"/>
      <c r="X678" s="161"/>
      <c r="Y678" s="161"/>
      <c r="Z678" s="161"/>
      <c r="AA678" s="161"/>
    </row>
    <row r="679" spans="1:27" ht="12" customHeight="1" x14ac:dyDescent="0.25">
      <c r="A679" s="161"/>
      <c r="B679" s="161"/>
      <c r="C679" s="161"/>
      <c r="D679" s="161"/>
      <c r="E679" s="161"/>
      <c r="F679" s="161"/>
      <c r="G679" s="161"/>
      <c r="H679" s="161"/>
      <c r="I679" s="161"/>
      <c r="J679" s="161"/>
      <c r="K679" s="161"/>
      <c r="L679" s="161"/>
      <c r="M679" s="161"/>
      <c r="N679" s="161"/>
      <c r="O679" s="161"/>
      <c r="P679" s="161"/>
      <c r="Q679" s="161"/>
      <c r="R679" s="161"/>
      <c r="S679" s="161"/>
      <c r="T679" s="161"/>
      <c r="U679" s="161"/>
      <c r="V679" s="161"/>
      <c r="W679" s="161"/>
      <c r="X679" s="161"/>
      <c r="Y679" s="161"/>
      <c r="Z679" s="161"/>
      <c r="AA679" s="161"/>
    </row>
    <row r="680" spans="1:27" ht="12" customHeight="1" x14ac:dyDescent="0.25">
      <c r="A680" s="161"/>
      <c r="B680" s="161"/>
      <c r="C680" s="161"/>
      <c r="D680" s="161"/>
      <c r="E680" s="161"/>
      <c r="F680" s="161"/>
      <c r="G680" s="161"/>
      <c r="H680" s="161"/>
      <c r="I680" s="161"/>
      <c r="J680" s="161"/>
      <c r="K680" s="161"/>
      <c r="L680" s="161"/>
      <c r="M680" s="161"/>
      <c r="N680" s="161"/>
      <c r="O680" s="161"/>
      <c r="P680" s="161"/>
      <c r="Q680" s="161"/>
      <c r="R680" s="161"/>
      <c r="S680" s="161"/>
      <c r="T680" s="161"/>
      <c r="U680" s="161"/>
      <c r="V680" s="161"/>
      <c r="W680" s="161"/>
      <c r="X680" s="161"/>
      <c r="Y680" s="161"/>
      <c r="Z680" s="161"/>
      <c r="AA680" s="161"/>
    </row>
    <row r="681" spans="1:27" ht="12" customHeight="1" x14ac:dyDescent="0.25">
      <c r="A681" s="161"/>
      <c r="B681" s="161"/>
      <c r="C681" s="161"/>
      <c r="D681" s="161"/>
      <c r="E681" s="161"/>
      <c r="F681" s="161"/>
      <c r="G681" s="161"/>
      <c r="H681" s="161"/>
      <c r="I681" s="161"/>
      <c r="J681" s="161"/>
      <c r="K681" s="161"/>
      <c r="L681" s="161"/>
      <c r="M681" s="161"/>
      <c r="N681" s="161"/>
      <c r="O681" s="161"/>
      <c r="P681" s="161"/>
      <c r="Q681" s="161"/>
      <c r="R681" s="161"/>
      <c r="S681" s="161"/>
      <c r="T681" s="161"/>
      <c r="U681" s="161"/>
      <c r="V681" s="161"/>
      <c r="W681" s="161"/>
      <c r="X681" s="161"/>
      <c r="Y681" s="161"/>
      <c r="Z681" s="161"/>
      <c r="AA681" s="161"/>
    </row>
    <row r="682" spans="1:27" ht="12" customHeight="1" x14ac:dyDescent="0.25">
      <c r="A682" s="161"/>
      <c r="B682" s="161"/>
      <c r="C682" s="161"/>
      <c r="D682" s="161"/>
      <c r="E682" s="161"/>
      <c r="F682" s="161"/>
      <c r="G682" s="161"/>
      <c r="H682" s="161"/>
      <c r="I682" s="161"/>
      <c r="J682" s="161"/>
      <c r="K682" s="161"/>
      <c r="L682" s="161"/>
      <c r="M682" s="161"/>
      <c r="N682" s="161"/>
      <c r="O682" s="161"/>
      <c r="P682" s="161"/>
      <c r="Q682" s="161"/>
      <c r="R682" s="161"/>
      <c r="S682" s="161"/>
      <c r="T682" s="161"/>
      <c r="U682" s="161"/>
      <c r="V682" s="161"/>
      <c r="W682" s="161"/>
      <c r="X682" s="161"/>
      <c r="Y682" s="161"/>
      <c r="Z682" s="161"/>
      <c r="AA682" s="161"/>
    </row>
    <row r="683" spans="1:27" ht="12" customHeight="1" x14ac:dyDescent="0.25">
      <c r="A683" s="161"/>
      <c r="B683" s="161"/>
      <c r="C683" s="161"/>
      <c r="D683" s="161"/>
      <c r="E683" s="161"/>
      <c r="F683" s="161"/>
      <c r="G683" s="161"/>
      <c r="H683" s="161"/>
      <c r="I683" s="161"/>
      <c r="J683" s="161"/>
      <c r="K683" s="161"/>
      <c r="L683" s="161"/>
      <c r="M683" s="161"/>
      <c r="N683" s="161"/>
      <c r="O683" s="161"/>
      <c r="P683" s="161"/>
      <c r="Q683" s="161"/>
      <c r="R683" s="161"/>
      <c r="S683" s="161"/>
      <c r="T683" s="161"/>
      <c r="U683" s="161"/>
      <c r="V683" s="161"/>
      <c r="W683" s="161"/>
      <c r="X683" s="161"/>
      <c r="Y683" s="161"/>
      <c r="Z683" s="161"/>
      <c r="AA683" s="161"/>
    </row>
    <row r="684" spans="1:27" ht="12" customHeight="1" x14ac:dyDescent="0.25">
      <c r="A684" s="161"/>
      <c r="B684" s="161"/>
      <c r="C684" s="161"/>
      <c r="D684" s="161"/>
      <c r="E684" s="161"/>
      <c r="F684" s="161"/>
      <c r="G684" s="161"/>
      <c r="H684" s="161"/>
      <c r="I684" s="161"/>
      <c r="J684" s="161"/>
      <c r="K684" s="161"/>
      <c r="L684" s="161"/>
      <c r="M684" s="161"/>
      <c r="N684" s="161"/>
      <c r="O684" s="161"/>
      <c r="P684" s="161"/>
      <c r="Q684" s="161"/>
      <c r="R684" s="161"/>
      <c r="S684" s="161"/>
      <c r="T684" s="161"/>
      <c r="U684" s="161"/>
      <c r="V684" s="161"/>
      <c r="W684" s="161"/>
      <c r="X684" s="161"/>
      <c r="Y684" s="161"/>
      <c r="Z684" s="161"/>
      <c r="AA684" s="161"/>
    </row>
    <row r="685" spans="1:27" ht="12" customHeight="1" x14ac:dyDescent="0.25">
      <c r="A685" s="161"/>
      <c r="B685" s="161"/>
      <c r="C685" s="161"/>
      <c r="D685" s="161"/>
      <c r="E685" s="161"/>
      <c r="F685" s="161"/>
      <c r="G685" s="161"/>
      <c r="H685" s="161"/>
      <c r="I685" s="161"/>
      <c r="J685" s="161"/>
      <c r="K685" s="161"/>
      <c r="L685" s="161"/>
      <c r="M685" s="161"/>
      <c r="N685" s="161"/>
      <c r="O685" s="161"/>
      <c r="P685" s="161"/>
      <c r="Q685" s="161"/>
      <c r="R685" s="161"/>
      <c r="S685" s="161"/>
      <c r="T685" s="161"/>
      <c r="U685" s="161"/>
      <c r="V685" s="161"/>
      <c r="W685" s="161"/>
      <c r="X685" s="161"/>
      <c r="Y685" s="161"/>
      <c r="Z685" s="161"/>
      <c r="AA685" s="161"/>
    </row>
    <row r="686" spans="1:27" ht="12" customHeight="1" x14ac:dyDescent="0.25">
      <c r="A686" s="161"/>
      <c r="B686" s="161"/>
      <c r="C686" s="161"/>
      <c r="D686" s="161"/>
      <c r="E686" s="161"/>
      <c r="F686" s="161"/>
      <c r="G686" s="161"/>
      <c r="H686" s="161"/>
      <c r="I686" s="161"/>
      <c r="J686" s="161"/>
      <c r="K686" s="161"/>
      <c r="L686" s="161"/>
      <c r="M686" s="161"/>
      <c r="N686" s="161"/>
      <c r="O686" s="161"/>
      <c r="P686" s="161"/>
      <c r="Q686" s="161"/>
      <c r="R686" s="161"/>
      <c r="S686" s="161"/>
      <c r="T686" s="161"/>
      <c r="U686" s="161"/>
      <c r="V686" s="161"/>
      <c r="W686" s="161"/>
      <c r="X686" s="161"/>
      <c r="Y686" s="161"/>
      <c r="Z686" s="161"/>
      <c r="AA686" s="161"/>
    </row>
    <row r="687" spans="1:27" ht="12" customHeight="1" x14ac:dyDescent="0.25">
      <c r="A687" s="161"/>
      <c r="B687" s="161"/>
      <c r="C687" s="161"/>
      <c r="D687" s="161"/>
      <c r="E687" s="161"/>
      <c r="F687" s="161"/>
      <c r="G687" s="161"/>
      <c r="H687" s="161"/>
      <c r="I687" s="161"/>
      <c r="J687" s="161"/>
      <c r="K687" s="161"/>
      <c r="L687" s="161"/>
      <c r="M687" s="161"/>
      <c r="N687" s="161"/>
      <c r="O687" s="161"/>
      <c r="P687" s="161"/>
      <c r="Q687" s="161"/>
      <c r="R687" s="161"/>
      <c r="S687" s="161"/>
      <c r="T687" s="161"/>
      <c r="U687" s="161"/>
      <c r="V687" s="161"/>
      <c r="W687" s="161"/>
      <c r="X687" s="161"/>
      <c r="Y687" s="161"/>
      <c r="Z687" s="161"/>
      <c r="AA687" s="161"/>
    </row>
    <row r="688" spans="1:27" ht="12" customHeight="1" x14ac:dyDescent="0.25">
      <c r="A688" s="161"/>
      <c r="B688" s="161"/>
      <c r="C688" s="161"/>
      <c r="D688" s="161"/>
      <c r="E688" s="161"/>
      <c r="F688" s="161"/>
      <c r="G688" s="161"/>
      <c r="H688" s="161"/>
      <c r="I688" s="161"/>
      <c r="J688" s="161"/>
      <c r="K688" s="161"/>
      <c r="L688" s="161"/>
      <c r="M688" s="161"/>
      <c r="N688" s="161"/>
      <c r="O688" s="161"/>
      <c r="P688" s="161"/>
      <c r="Q688" s="161"/>
      <c r="R688" s="161"/>
      <c r="S688" s="161"/>
      <c r="T688" s="161"/>
      <c r="U688" s="161"/>
      <c r="V688" s="161"/>
      <c r="W688" s="161"/>
      <c r="X688" s="161"/>
      <c r="Y688" s="161"/>
      <c r="Z688" s="161"/>
      <c r="AA688" s="161"/>
    </row>
    <row r="689" spans="1:27" ht="12" customHeight="1" x14ac:dyDescent="0.25">
      <c r="A689" s="161"/>
      <c r="B689" s="161"/>
      <c r="C689" s="161"/>
      <c r="D689" s="161"/>
      <c r="E689" s="161"/>
      <c r="F689" s="161"/>
      <c r="G689" s="161"/>
      <c r="H689" s="161"/>
      <c r="I689" s="161"/>
      <c r="J689" s="161"/>
      <c r="K689" s="161"/>
      <c r="L689" s="161"/>
      <c r="M689" s="161"/>
      <c r="N689" s="161"/>
      <c r="O689" s="161"/>
      <c r="P689" s="161"/>
      <c r="Q689" s="161"/>
      <c r="R689" s="161"/>
      <c r="S689" s="161"/>
      <c r="T689" s="161"/>
      <c r="U689" s="161"/>
      <c r="V689" s="161"/>
      <c r="W689" s="161"/>
      <c r="X689" s="161"/>
      <c r="Y689" s="161"/>
      <c r="Z689" s="161"/>
      <c r="AA689" s="161"/>
    </row>
    <row r="690" spans="1:27" ht="12" customHeight="1" x14ac:dyDescent="0.25">
      <c r="A690" s="161"/>
      <c r="B690" s="161"/>
      <c r="C690" s="161"/>
      <c r="D690" s="161"/>
      <c r="E690" s="161"/>
      <c r="F690" s="161"/>
      <c r="G690" s="161"/>
      <c r="H690" s="161"/>
      <c r="I690" s="161"/>
      <c r="J690" s="161"/>
      <c r="K690" s="161"/>
      <c r="L690" s="161"/>
      <c r="M690" s="161"/>
      <c r="N690" s="161"/>
      <c r="O690" s="161"/>
      <c r="P690" s="161"/>
      <c r="Q690" s="161"/>
      <c r="R690" s="161"/>
      <c r="S690" s="161"/>
      <c r="T690" s="161"/>
      <c r="U690" s="161"/>
      <c r="V690" s="161"/>
      <c r="W690" s="161"/>
      <c r="X690" s="161"/>
      <c r="Y690" s="161"/>
      <c r="Z690" s="161"/>
      <c r="AA690" s="161"/>
    </row>
    <row r="691" spans="1:27" ht="12" customHeight="1" x14ac:dyDescent="0.25">
      <c r="A691" s="161"/>
      <c r="B691" s="161"/>
      <c r="C691" s="161"/>
      <c r="D691" s="161"/>
      <c r="E691" s="161"/>
      <c r="F691" s="161"/>
      <c r="G691" s="161"/>
      <c r="H691" s="161"/>
      <c r="I691" s="161"/>
      <c r="J691" s="161"/>
      <c r="K691" s="161"/>
      <c r="L691" s="161"/>
      <c r="M691" s="161"/>
      <c r="N691" s="161"/>
      <c r="O691" s="161"/>
      <c r="P691" s="161"/>
      <c r="Q691" s="161"/>
      <c r="R691" s="161"/>
      <c r="S691" s="161"/>
      <c r="T691" s="161"/>
      <c r="U691" s="161"/>
      <c r="V691" s="161"/>
      <c r="W691" s="161"/>
      <c r="X691" s="161"/>
      <c r="Y691" s="161"/>
      <c r="Z691" s="161"/>
      <c r="AA691" s="161"/>
    </row>
    <row r="692" spans="1:27" ht="12" customHeight="1" x14ac:dyDescent="0.25">
      <c r="A692" s="161"/>
      <c r="B692" s="161"/>
      <c r="C692" s="161"/>
      <c r="D692" s="161"/>
      <c r="E692" s="161"/>
      <c r="F692" s="161"/>
      <c r="G692" s="161"/>
      <c r="H692" s="161"/>
      <c r="I692" s="161"/>
      <c r="J692" s="161"/>
      <c r="K692" s="161"/>
      <c r="L692" s="161"/>
      <c r="M692" s="161"/>
      <c r="N692" s="161"/>
      <c r="O692" s="161"/>
      <c r="P692" s="161"/>
      <c r="Q692" s="161"/>
      <c r="R692" s="161"/>
      <c r="S692" s="161"/>
      <c r="T692" s="161"/>
      <c r="U692" s="161"/>
      <c r="V692" s="161"/>
      <c r="W692" s="161"/>
      <c r="X692" s="161"/>
      <c r="Y692" s="161"/>
      <c r="Z692" s="161"/>
      <c r="AA692" s="161"/>
    </row>
    <row r="693" spans="1:27" ht="12" customHeight="1" x14ac:dyDescent="0.25">
      <c r="A693" s="161"/>
      <c r="B693" s="161"/>
      <c r="C693" s="161"/>
      <c r="D693" s="161"/>
      <c r="E693" s="161"/>
      <c r="F693" s="161"/>
      <c r="G693" s="161"/>
      <c r="H693" s="161"/>
      <c r="I693" s="161"/>
      <c r="J693" s="161"/>
      <c r="K693" s="161"/>
      <c r="L693" s="161"/>
      <c r="M693" s="161"/>
      <c r="N693" s="161"/>
      <c r="O693" s="161"/>
      <c r="P693" s="161"/>
      <c r="Q693" s="161"/>
      <c r="R693" s="161"/>
      <c r="S693" s="161"/>
      <c r="T693" s="161"/>
      <c r="U693" s="161"/>
      <c r="V693" s="161"/>
      <c r="W693" s="161"/>
      <c r="X693" s="161"/>
      <c r="Y693" s="161"/>
      <c r="Z693" s="161"/>
      <c r="AA693" s="161"/>
    </row>
    <row r="694" spans="1:27" ht="12" customHeight="1" x14ac:dyDescent="0.25">
      <c r="A694" s="161"/>
      <c r="B694" s="161"/>
      <c r="C694" s="161"/>
      <c r="D694" s="161"/>
      <c r="E694" s="161"/>
      <c r="F694" s="161"/>
      <c r="G694" s="161"/>
      <c r="H694" s="161"/>
      <c r="I694" s="161"/>
      <c r="J694" s="161"/>
      <c r="K694" s="161"/>
      <c r="L694" s="161"/>
      <c r="M694" s="161"/>
      <c r="N694" s="161"/>
      <c r="O694" s="161"/>
      <c r="P694" s="161"/>
      <c r="Q694" s="161"/>
      <c r="R694" s="161"/>
      <c r="S694" s="161"/>
      <c r="T694" s="161"/>
      <c r="U694" s="161"/>
      <c r="V694" s="161"/>
      <c r="W694" s="161"/>
      <c r="X694" s="161"/>
      <c r="Y694" s="161"/>
      <c r="Z694" s="161"/>
      <c r="AA694" s="161"/>
    </row>
    <row r="695" spans="1:27" ht="12" customHeight="1" x14ac:dyDescent="0.25">
      <c r="A695" s="161"/>
      <c r="B695" s="161"/>
      <c r="C695" s="161"/>
      <c r="D695" s="161"/>
      <c r="E695" s="161"/>
      <c r="F695" s="161"/>
      <c r="G695" s="161"/>
      <c r="H695" s="161"/>
      <c r="I695" s="161"/>
      <c r="J695" s="161"/>
      <c r="K695" s="161"/>
      <c r="L695" s="161"/>
      <c r="M695" s="161"/>
      <c r="N695" s="161"/>
      <c r="O695" s="161"/>
      <c r="P695" s="161"/>
      <c r="Q695" s="161"/>
      <c r="R695" s="161"/>
      <c r="S695" s="161"/>
      <c r="T695" s="161"/>
      <c r="U695" s="161"/>
      <c r="V695" s="161"/>
      <c r="W695" s="161"/>
      <c r="X695" s="161"/>
      <c r="Y695" s="161"/>
      <c r="Z695" s="161"/>
      <c r="AA695" s="161"/>
    </row>
    <row r="696" spans="1:27" ht="12" customHeight="1" x14ac:dyDescent="0.25">
      <c r="A696" s="161"/>
      <c r="B696" s="161"/>
      <c r="C696" s="161"/>
      <c r="D696" s="161"/>
      <c r="E696" s="161"/>
      <c r="F696" s="161"/>
      <c r="G696" s="161"/>
      <c r="H696" s="161"/>
      <c r="I696" s="161"/>
      <c r="J696" s="161"/>
      <c r="K696" s="161"/>
      <c r="L696" s="161"/>
      <c r="M696" s="161"/>
      <c r="N696" s="161"/>
      <c r="O696" s="161"/>
      <c r="P696" s="161"/>
      <c r="Q696" s="161"/>
      <c r="R696" s="161"/>
      <c r="S696" s="161"/>
      <c r="T696" s="161"/>
      <c r="U696" s="161"/>
      <c r="V696" s="161"/>
      <c r="W696" s="161"/>
      <c r="X696" s="161"/>
      <c r="Y696" s="161"/>
      <c r="Z696" s="161"/>
      <c r="AA696" s="161"/>
    </row>
    <row r="697" spans="1:27" ht="12" customHeight="1" x14ac:dyDescent="0.25">
      <c r="A697" s="161"/>
      <c r="B697" s="161"/>
      <c r="C697" s="161"/>
      <c r="D697" s="161"/>
      <c r="E697" s="161"/>
      <c r="F697" s="161"/>
      <c r="G697" s="161"/>
      <c r="H697" s="161"/>
      <c r="I697" s="161"/>
      <c r="J697" s="161"/>
      <c r="K697" s="161"/>
      <c r="L697" s="161"/>
      <c r="M697" s="161"/>
      <c r="N697" s="161"/>
      <c r="O697" s="161"/>
      <c r="P697" s="161"/>
      <c r="Q697" s="161"/>
      <c r="R697" s="161"/>
      <c r="S697" s="161"/>
      <c r="T697" s="161"/>
      <c r="U697" s="161"/>
      <c r="V697" s="161"/>
      <c r="W697" s="161"/>
      <c r="X697" s="161"/>
      <c r="Y697" s="161"/>
      <c r="Z697" s="161"/>
      <c r="AA697" s="161"/>
    </row>
    <row r="698" spans="1:27" ht="12" customHeight="1" x14ac:dyDescent="0.25">
      <c r="A698" s="161"/>
      <c r="B698" s="161"/>
      <c r="C698" s="161"/>
      <c r="D698" s="161"/>
      <c r="E698" s="161"/>
      <c r="F698" s="161"/>
      <c r="G698" s="161"/>
      <c r="H698" s="161"/>
      <c r="I698" s="161"/>
      <c r="J698" s="161"/>
      <c r="K698" s="161"/>
      <c r="L698" s="161"/>
      <c r="M698" s="161"/>
      <c r="N698" s="161"/>
      <c r="O698" s="161"/>
      <c r="P698" s="161"/>
      <c r="Q698" s="161"/>
      <c r="R698" s="161"/>
      <c r="S698" s="161"/>
      <c r="T698" s="161"/>
      <c r="U698" s="161"/>
      <c r="V698" s="161"/>
      <c r="W698" s="161"/>
      <c r="X698" s="161"/>
      <c r="Y698" s="161"/>
      <c r="Z698" s="161"/>
      <c r="AA698" s="161"/>
    </row>
    <row r="699" spans="1:27" ht="12" customHeight="1" x14ac:dyDescent="0.25">
      <c r="A699" s="161"/>
      <c r="B699" s="161"/>
      <c r="C699" s="161"/>
      <c r="D699" s="161"/>
      <c r="E699" s="161"/>
      <c r="F699" s="161"/>
      <c r="G699" s="161"/>
      <c r="H699" s="161"/>
      <c r="I699" s="161"/>
      <c r="J699" s="161"/>
      <c r="K699" s="161"/>
      <c r="L699" s="161"/>
      <c r="M699" s="161"/>
      <c r="N699" s="161"/>
      <c r="O699" s="161"/>
      <c r="P699" s="161"/>
      <c r="Q699" s="161"/>
      <c r="R699" s="161"/>
      <c r="S699" s="161"/>
      <c r="T699" s="161"/>
      <c r="U699" s="161"/>
      <c r="V699" s="161"/>
      <c r="W699" s="161"/>
      <c r="X699" s="161"/>
      <c r="Y699" s="161"/>
      <c r="Z699" s="161"/>
      <c r="AA699" s="161"/>
    </row>
    <row r="700" spans="1:27" ht="12" customHeight="1" x14ac:dyDescent="0.25">
      <c r="A700" s="161"/>
      <c r="B700" s="161"/>
      <c r="C700" s="161"/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61"/>
      <c r="Q700" s="161"/>
      <c r="R700" s="161"/>
      <c r="S700" s="161"/>
      <c r="T700" s="161"/>
      <c r="U700" s="161"/>
      <c r="V700" s="161"/>
      <c r="W700" s="161"/>
      <c r="X700" s="161"/>
      <c r="Y700" s="161"/>
      <c r="Z700" s="161"/>
      <c r="AA700" s="161"/>
    </row>
    <row r="701" spans="1:27" ht="12" customHeight="1" x14ac:dyDescent="0.25">
      <c r="A701" s="161"/>
      <c r="B701" s="161"/>
      <c r="C701" s="161"/>
      <c r="D701" s="161"/>
      <c r="E701" s="161"/>
      <c r="F701" s="161"/>
      <c r="G701" s="161"/>
      <c r="H701" s="161"/>
      <c r="I701" s="161"/>
      <c r="J701" s="161"/>
      <c r="K701" s="161"/>
      <c r="L701" s="161"/>
      <c r="M701" s="161"/>
      <c r="N701" s="161"/>
      <c r="O701" s="161"/>
      <c r="P701" s="161"/>
      <c r="Q701" s="161"/>
      <c r="R701" s="161"/>
      <c r="S701" s="161"/>
      <c r="T701" s="161"/>
      <c r="U701" s="161"/>
      <c r="V701" s="161"/>
      <c r="W701" s="161"/>
      <c r="X701" s="161"/>
      <c r="Y701" s="161"/>
      <c r="Z701" s="161"/>
      <c r="AA701" s="161"/>
    </row>
    <row r="702" spans="1:27" ht="12" customHeight="1" x14ac:dyDescent="0.25">
      <c r="A702" s="161"/>
      <c r="B702" s="161"/>
      <c r="C702" s="161"/>
      <c r="D702" s="161"/>
      <c r="E702" s="161"/>
      <c r="F702" s="161"/>
      <c r="G702" s="161"/>
      <c r="H702" s="161"/>
      <c r="I702" s="161"/>
      <c r="J702" s="161"/>
      <c r="K702" s="161"/>
      <c r="L702" s="161"/>
      <c r="M702" s="161"/>
      <c r="N702" s="161"/>
      <c r="O702" s="161"/>
      <c r="P702" s="161"/>
      <c r="Q702" s="161"/>
      <c r="R702" s="161"/>
      <c r="S702" s="161"/>
      <c r="T702" s="161"/>
      <c r="U702" s="161"/>
      <c r="V702" s="161"/>
      <c r="W702" s="161"/>
      <c r="X702" s="161"/>
      <c r="Y702" s="161"/>
      <c r="Z702" s="161"/>
      <c r="AA702" s="161"/>
    </row>
    <row r="703" spans="1:27" ht="12" customHeight="1" x14ac:dyDescent="0.25">
      <c r="A703" s="161"/>
      <c r="B703" s="161"/>
      <c r="C703" s="161"/>
      <c r="D703" s="161"/>
      <c r="E703" s="161"/>
      <c r="F703" s="161"/>
      <c r="G703" s="161"/>
      <c r="H703" s="161"/>
      <c r="I703" s="161"/>
      <c r="J703" s="161"/>
      <c r="K703" s="161"/>
      <c r="L703" s="161"/>
      <c r="M703" s="161"/>
      <c r="N703" s="161"/>
      <c r="O703" s="161"/>
      <c r="P703" s="161"/>
      <c r="Q703" s="161"/>
      <c r="R703" s="161"/>
      <c r="S703" s="161"/>
      <c r="T703" s="161"/>
      <c r="U703" s="161"/>
      <c r="V703" s="161"/>
      <c r="W703" s="161"/>
      <c r="X703" s="161"/>
      <c r="Y703" s="161"/>
      <c r="Z703" s="161"/>
      <c r="AA703" s="161"/>
    </row>
    <row r="704" spans="1:27" ht="12" customHeight="1" x14ac:dyDescent="0.25">
      <c r="A704" s="161"/>
      <c r="B704" s="161"/>
      <c r="C704" s="161"/>
      <c r="D704" s="161"/>
      <c r="E704" s="161"/>
      <c r="F704" s="161"/>
      <c r="G704" s="161"/>
      <c r="H704" s="161"/>
      <c r="I704" s="161"/>
      <c r="J704" s="161"/>
      <c r="K704" s="161"/>
      <c r="L704" s="161"/>
      <c r="M704" s="161"/>
      <c r="N704" s="161"/>
      <c r="O704" s="161"/>
      <c r="P704" s="161"/>
      <c r="Q704" s="161"/>
      <c r="R704" s="161"/>
      <c r="S704" s="161"/>
      <c r="T704" s="161"/>
      <c r="U704" s="161"/>
      <c r="V704" s="161"/>
      <c r="W704" s="161"/>
      <c r="X704" s="161"/>
      <c r="Y704" s="161"/>
      <c r="Z704" s="161"/>
      <c r="AA704" s="161"/>
    </row>
    <row r="705" spans="1:27" ht="12" customHeight="1" x14ac:dyDescent="0.25">
      <c r="A705" s="161"/>
      <c r="B705" s="161"/>
      <c r="C705" s="161"/>
      <c r="D705" s="161"/>
      <c r="E705" s="161"/>
      <c r="F705" s="161"/>
      <c r="G705" s="161"/>
      <c r="H705" s="161"/>
      <c r="I705" s="161"/>
      <c r="J705" s="161"/>
      <c r="K705" s="161"/>
      <c r="L705" s="161"/>
      <c r="M705" s="161"/>
      <c r="N705" s="161"/>
      <c r="O705" s="161"/>
      <c r="P705" s="161"/>
      <c r="Q705" s="161"/>
      <c r="R705" s="161"/>
      <c r="S705" s="161"/>
      <c r="T705" s="161"/>
      <c r="U705" s="161"/>
      <c r="V705" s="161"/>
      <c r="W705" s="161"/>
      <c r="X705" s="161"/>
      <c r="Y705" s="161"/>
      <c r="Z705" s="161"/>
      <c r="AA705" s="161"/>
    </row>
    <row r="706" spans="1:27" ht="12" customHeight="1" x14ac:dyDescent="0.25">
      <c r="A706" s="161"/>
      <c r="B706" s="161"/>
      <c r="C706" s="161"/>
      <c r="D706" s="161"/>
      <c r="E706" s="161"/>
      <c r="F706" s="161"/>
      <c r="G706" s="161"/>
      <c r="H706" s="161"/>
      <c r="I706" s="161"/>
      <c r="J706" s="161"/>
      <c r="K706" s="161"/>
      <c r="L706" s="161"/>
      <c r="M706" s="161"/>
      <c r="N706" s="161"/>
      <c r="O706" s="161"/>
      <c r="P706" s="161"/>
      <c r="Q706" s="161"/>
      <c r="R706" s="161"/>
      <c r="S706" s="161"/>
      <c r="T706" s="161"/>
      <c r="U706" s="161"/>
      <c r="V706" s="161"/>
      <c r="W706" s="161"/>
      <c r="X706" s="161"/>
      <c r="Y706" s="161"/>
      <c r="Z706" s="161"/>
      <c r="AA706" s="161"/>
    </row>
    <row r="707" spans="1:27" ht="12" customHeight="1" x14ac:dyDescent="0.25">
      <c r="A707" s="161"/>
      <c r="B707" s="161"/>
      <c r="C707" s="161"/>
      <c r="D707" s="161"/>
      <c r="E707" s="161"/>
      <c r="F707" s="161"/>
      <c r="G707" s="161"/>
      <c r="H707" s="161"/>
      <c r="I707" s="161"/>
      <c r="J707" s="161"/>
      <c r="K707" s="161"/>
      <c r="L707" s="161"/>
      <c r="M707" s="161"/>
      <c r="N707" s="161"/>
      <c r="O707" s="161"/>
      <c r="P707" s="161"/>
      <c r="Q707" s="161"/>
      <c r="R707" s="161"/>
      <c r="S707" s="161"/>
      <c r="T707" s="161"/>
      <c r="U707" s="161"/>
      <c r="V707" s="161"/>
      <c r="W707" s="161"/>
      <c r="X707" s="161"/>
      <c r="Y707" s="161"/>
      <c r="Z707" s="161"/>
      <c r="AA707" s="161"/>
    </row>
    <row r="708" spans="1:27" ht="12" customHeight="1" x14ac:dyDescent="0.25">
      <c r="A708" s="161"/>
      <c r="B708" s="161"/>
      <c r="C708" s="161"/>
      <c r="D708" s="161"/>
      <c r="E708" s="161"/>
      <c r="F708" s="161"/>
      <c r="G708" s="161"/>
      <c r="H708" s="161"/>
      <c r="I708" s="161"/>
      <c r="J708" s="161"/>
      <c r="K708" s="161"/>
      <c r="L708" s="161"/>
      <c r="M708" s="161"/>
      <c r="N708" s="161"/>
      <c r="O708" s="161"/>
      <c r="P708" s="161"/>
      <c r="Q708" s="161"/>
      <c r="R708" s="161"/>
      <c r="S708" s="161"/>
      <c r="T708" s="161"/>
      <c r="U708" s="161"/>
      <c r="V708" s="161"/>
      <c r="W708" s="161"/>
      <c r="X708" s="161"/>
      <c r="Y708" s="161"/>
      <c r="Z708" s="161"/>
      <c r="AA708" s="161"/>
    </row>
    <row r="709" spans="1:27" ht="12" customHeight="1" x14ac:dyDescent="0.25">
      <c r="A709" s="161"/>
      <c r="B709" s="161"/>
      <c r="C709" s="161"/>
      <c r="D709" s="161"/>
      <c r="E709" s="161"/>
      <c r="F709" s="161"/>
      <c r="G709" s="161"/>
      <c r="H709" s="161"/>
      <c r="I709" s="161"/>
      <c r="J709" s="161"/>
      <c r="K709" s="161"/>
      <c r="L709" s="161"/>
      <c r="M709" s="161"/>
      <c r="N709" s="161"/>
      <c r="O709" s="161"/>
      <c r="P709" s="161"/>
      <c r="Q709" s="161"/>
      <c r="R709" s="161"/>
      <c r="S709" s="161"/>
      <c r="T709" s="161"/>
      <c r="U709" s="161"/>
      <c r="V709" s="161"/>
      <c r="W709" s="161"/>
      <c r="X709" s="161"/>
      <c r="Y709" s="161"/>
      <c r="Z709" s="161"/>
      <c r="AA709" s="161"/>
    </row>
    <row r="710" spans="1:27" ht="12" customHeight="1" x14ac:dyDescent="0.25">
      <c r="A710" s="161"/>
      <c r="B710" s="161"/>
      <c r="C710" s="161"/>
      <c r="D710" s="161"/>
      <c r="E710" s="161"/>
      <c r="F710" s="161"/>
      <c r="G710" s="161"/>
      <c r="H710" s="161"/>
      <c r="I710" s="161"/>
      <c r="J710" s="161"/>
      <c r="K710" s="161"/>
      <c r="L710" s="161"/>
      <c r="M710" s="161"/>
      <c r="N710" s="161"/>
      <c r="O710" s="161"/>
      <c r="P710" s="161"/>
      <c r="Q710" s="161"/>
      <c r="R710" s="161"/>
      <c r="S710" s="161"/>
      <c r="T710" s="161"/>
      <c r="U710" s="161"/>
      <c r="V710" s="161"/>
      <c r="W710" s="161"/>
      <c r="X710" s="161"/>
      <c r="Y710" s="161"/>
      <c r="Z710" s="161"/>
      <c r="AA710" s="161"/>
    </row>
    <row r="711" spans="1:27" ht="12" customHeight="1" x14ac:dyDescent="0.25">
      <c r="A711" s="161"/>
      <c r="B711" s="161"/>
      <c r="C711" s="161"/>
      <c r="D711" s="161"/>
      <c r="E711" s="161"/>
      <c r="F711" s="161"/>
      <c r="G711" s="161"/>
      <c r="H711" s="161"/>
      <c r="I711" s="161"/>
      <c r="J711" s="161"/>
      <c r="K711" s="161"/>
      <c r="L711" s="161"/>
      <c r="M711" s="161"/>
      <c r="N711" s="161"/>
      <c r="O711" s="161"/>
      <c r="P711" s="161"/>
      <c r="Q711" s="161"/>
      <c r="R711" s="161"/>
      <c r="S711" s="161"/>
      <c r="T711" s="161"/>
      <c r="U711" s="161"/>
      <c r="V711" s="161"/>
      <c r="W711" s="161"/>
      <c r="X711" s="161"/>
      <c r="Y711" s="161"/>
      <c r="Z711" s="161"/>
      <c r="AA711" s="161"/>
    </row>
    <row r="712" spans="1:27" ht="12" customHeight="1" x14ac:dyDescent="0.25">
      <c r="A712" s="161"/>
      <c r="B712" s="161"/>
      <c r="C712" s="161"/>
      <c r="D712" s="161"/>
      <c r="E712" s="161"/>
      <c r="F712" s="161"/>
      <c r="G712" s="161"/>
      <c r="H712" s="161"/>
      <c r="I712" s="161"/>
      <c r="J712" s="161"/>
      <c r="K712" s="161"/>
      <c r="L712" s="161"/>
      <c r="M712" s="161"/>
      <c r="N712" s="161"/>
      <c r="O712" s="161"/>
      <c r="P712" s="161"/>
      <c r="Q712" s="161"/>
      <c r="R712" s="161"/>
      <c r="S712" s="161"/>
      <c r="T712" s="161"/>
      <c r="U712" s="161"/>
      <c r="V712" s="161"/>
      <c r="W712" s="161"/>
      <c r="X712" s="161"/>
      <c r="Y712" s="161"/>
      <c r="Z712" s="161"/>
      <c r="AA712" s="161"/>
    </row>
    <row r="713" spans="1:27" ht="12" customHeight="1" x14ac:dyDescent="0.25">
      <c r="A713" s="161"/>
      <c r="B713" s="161"/>
      <c r="C713" s="161"/>
      <c r="D713" s="161"/>
      <c r="E713" s="161"/>
      <c r="F713" s="161"/>
      <c r="G713" s="161"/>
      <c r="H713" s="161"/>
      <c r="I713" s="161"/>
      <c r="J713" s="161"/>
      <c r="K713" s="161"/>
      <c r="L713" s="161"/>
      <c r="M713" s="161"/>
      <c r="N713" s="161"/>
      <c r="O713" s="161"/>
      <c r="P713" s="161"/>
      <c r="Q713" s="161"/>
      <c r="R713" s="161"/>
      <c r="S713" s="161"/>
      <c r="T713" s="161"/>
      <c r="U713" s="161"/>
      <c r="V713" s="161"/>
      <c r="W713" s="161"/>
      <c r="X713" s="161"/>
      <c r="Y713" s="161"/>
      <c r="Z713" s="161"/>
      <c r="AA713" s="161"/>
    </row>
    <row r="714" spans="1:27" ht="12" customHeight="1" x14ac:dyDescent="0.25">
      <c r="A714" s="161"/>
      <c r="B714" s="161"/>
      <c r="C714" s="161"/>
      <c r="D714" s="161"/>
      <c r="E714" s="161"/>
      <c r="F714" s="161"/>
      <c r="G714" s="161"/>
      <c r="H714" s="161"/>
      <c r="I714" s="161"/>
      <c r="J714" s="161"/>
      <c r="K714" s="161"/>
      <c r="L714" s="161"/>
      <c r="M714" s="161"/>
      <c r="N714" s="161"/>
      <c r="O714" s="161"/>
      <c r="P714" s="161"/>
      <c r="Q714" s="161"/>
      <c r="R714" s="161"/>
      <c r="S714" s="161"/>
      <c r="T714" s="161"/>
      <c r="U714" s="161"/>
      <c r="V714" s="161"/>
      <c r="W714" s="161"/>
      <c r="X714" s="161"/>
      <c r="Y714" s="161"/>
      <c r="Z714" s="161"/>
      <c r="AA714" s="161"/>
    </row>
    <row r="715" spans="1:27" ht="12" customHeight="1" x14ac:dyDescent="0.25">
      <c r="A715" s="161"/>
      <c r="B715" s="161"/>
      <c r="C715" s="161"/>
      <c r="D715" s="161"/>
      <c r="E715" s="161"/>
      <c r="F715" s="161"/>
      <c r="G715" s="161"/>
      <c r="H715" s="161"/>
      <c r="I715" s="161"/>
      <c r="J715" s="161"/>
      <c r="K715" s="161"/>
      <c r="L715" s="161"/>
      <c r="M715" s="161"/>
      <c r="N715" s="161"/>
      <c r="O715" s="161"/>
      <c r="P715" s="161"/>
      <c r="Q715" s="161"/>
      <c r="R715" s="161"/>
      <c r="S715" s="161"/>
      <c r="T715" s="161"/>
      <c r="U715" s="161"/>
      <c r="V715" s="161"/>
      <c r="W715" s="161"/>
      <c r="X715" s="161"/>
      <c r="Y715" s="161"/>
      <c r="Z715" s="161"/>
      <c r="AA715" s="161"/>
    </row>
    <row r="716" spans="1:27" ht="12" customHeight="1" x14ac:dyDescent="0.25">
      <c r="A716" s="161"/>
      <c r="B716" s="161"/>
      <c r="C716" s="161"/>
      <c r="D716" s="161"/>
      <c r="E716" s="161"/>
      <c r="F716" s="161"/>
      <c r="G716" s="161"/>
      <c r="H716" s="161"/>
      <c r="I716" s="161"/>
      <c r="J716" s="161"/>
      <c r="K716" s="161"/>
      <c r="L716" s="161"/>
      <c r="M716" s="161"/>
      <c r="N716" s="161"/>
      <c r="O716" s="161"/>
      <c r="P716" s="161"/>
      <c r="Q716" s="161"/>
      <c r="R716" s="161"/>
      <c r="S716" s="161"/>
      <c r="T716" s="161"/>
      <c r="U716" s="161"/>
      <c r="V716" s="161"/>
      <c r="W716" s="161"/>
      <c r="X716" s="161"/>
      <c r="Y716" s="161"/>
      <c r="Z716" s="161"/>
      <c r="AA716" s="161"/>
    </row>
    <row r="717" spans="1:27" ht="12" customHeight="1" x14ac:dyDescent="0.25">
      <c r="A717" s="161"/>
      <c r="B717" s="161"/>
      <c r="C717" s="161"/>
      <c r="D717" s="161"/>
      <c r="E717" s="161"/>
      <c r="F717" s="161"/>
      <c r="G717" s="161"/>
      <c r="H717" s="161"/>
      <c r="I717" s="161"/>
      <c r="J717" s="161"/>
      <c r="K717" s="161"/>
      <c r="L717" s="161"/>
      <c r="M717" s="161"/>
      <c r="N717" s="161"/>
      <c r="O717" s="161"/>
      <c r="P717" s="161"/>
      <c r="Q717" s="161"/>
      <c r="R717" s="161"/>
      <c r="S717" s="161"/>
      <c r="T717" s="161"/>
      <c r="U717" s="161"/>
      <c r="V717" s="161"/>
      <c r="W717" s="161"/>
      <c r="X717" s="161"/>
      <c r="Y717" s="161"/>
      <c r="Z717" s="161"/>
      <c r="AA717" s="161"/>
    </row>
    <row r="718" spans="1:27" ht="12" customHeight="1" x14ac:dyDescent="0.25">
      <c r="A718" s="161"/>
      <c r="B718" s="161"/>
      <c r="C718" s="161"/>
      <c r="D718" s="161"/>
      <c r="E718" s="161"/>
      <c r="F718" s="161"/>
      <c r="G718" s="161"/>
      <c r="H718" s="161"/>
      <c r="I718" s="161"/>
      <c r="J718" s="161"/>
      <c r="K718" s="161"/>
      <c r="L718" s="161"/>
      <c r="M718" s="161"/>
      <c r="N718" s="161"/>
      <c r="O718" s="161"/>
      <c r="P718" s="161"/>
      <c r="Q718" s="161"/>
      <c r="R718" s="161"/>
      <c r="S718" s="161"/>
      <c r="T718" s="161"/>
      <c r="U718" s="161"/>
      <c r="V718" s="161"/>
      <c r="W718" s="161"/>
      <c r="X718" s="161"/>
      <c r="Y718" s="161"/>
      <c r="Z718" s="161"/>
      <c r="AA718" s="161"/>
    </row>
    <row r="719" spans="1:27" ht="12" customHeight="1" x14ac:dyDescent="0.25">
      <c r="A719" s="161"/>
      <c r="B719" s="161"/>
      <c r="C719" s="161"/>
      <c r="D719" s="161"/>
      <c r="E719" s="161"/>
      <c r="F719" s="161"/>
      <c r="G719" s="161"/>
      <c r="H719" s="161"/>
      <c r="I719" s="161"/>
      <c r="J719" s="161"/>
      <c r="K719" s="161"/>
      <c r="L719" s="161"/>
      <c r="M719" s="161"/>
      <c r="N719" s="161"/>
      <c r="O719" s="161"/>
      <c r="P719" s="161"/>
      <c r="Q719" s="161"/>
      <c r="R719" s="161"/>
      <c r="S719" s="161"/>
      <c r="T719" s="161"/>
      <c r="U719" s="161"/>
      <c r="V719" s="161"/>
      <c r="W719" s="161"/>
      <c r="X719" s="161"/>
      <c r="Y719" s="161"/>
      <c r="Z719" s="161"/>
      <c r="AA719" s="161"/>
    </row>
    <row r="720" spans="1:27" ht="12" customHeight="1" x14ac:dyDescent="0.25">
      <c r="A720" s="161"/>
      <c r="B720" s="161"/>
      <c r="C720" s="161"/>
      <c r="D720" s="161"/>
      <c r="E720" s="161"/>
      <c r="F720" s="161"/>
      <c r="G720" s="161"/>
      <c r="H720" s="161"/>
      <c r="I720" s="161"/>
      <c r="J720" s="161"/>
      <c r="K720" s="161"/>
      <c r="L720" s="161"/>
      <c r="M720" s="161"/>
      <c r="N720" s="161"/>
      <c r="O720" s="161"/>
      <c r="P720" s="161"/>
      <c r="Q720" s="161"/>
      <c r="R720" s="161"/>
      <c r="S720" s="161"/>
      <c r="T720" s="161"/>
      <c r="U720" s="161"/>
      <c r="V720" s="161"/>
      <c r="W720" s="161"/>
      <c r="X720" s="161"/>
      <c r="Y720" s="161"/>
      <c r="Z720" s="161"/>
      <c r="AA720" s="161"/>
    </row>
    <row r="721" spans="1:27" ht="12" customHeight="1" x14ac:dyDescent="0.25">
      <c r="A721" s="161"/>
      <c r="B721" s="161"/>
      <c r="C721" s="161"/>
      <c r="D721" s="161"/>
      <c r="E721" s="161"/>
      <c r="F721" s="161"/>
      <c r="G721" s="161"/>
      <c r="H721" s="161"/>
      <c r="I721" s="161"/>
      <c r="J721" s="161"/>
      <c r="K721" s="161"/>
      <c r="L721" s="161"/>
      <c r="M721" s="161"/>
      <c r="N721" s="161"/>
      <c r="O721" s="161"/>
      <c r="P721" s="161"/>
      <c r="Q721" s="161"/>
      <c r="R721" s="161"/>
      <c r="S721" s="161"/>
      <c r="T721" s="161"/>
      <c r="U721" s="161"/>
      <c r="V721" s="161"/>
      <c r="W721" s="161"/>
      <c r="X721" s="161"/>
      <c r="Y721" s="161"/>
      <c r="Z721" s="161"/>
      <c r="AA721" s="161"/>
    </row>
    <row r="722" spans="1:27" ht="12" customHeight="1" x14ac:dyDescent="0.25">
      <c r="A722" s="161"/>
      <c r="B722" s="161"/>
      <c r="C722" s="161"/>
      <c r="D722" s="161"/>
      <c r="E722" s="161"/>
      <c r="F722" s="161"/>
      <c r="G722" s="161"/>
      <c r="H722" s="161"/>
      <c r="I722" s="161"/>
      <c r="J722" s="161"/>
      <c r="K722" s="161"/>
      <c r="L722" s="161"/>
      <c r="M722" s="161"/>
      <c r="N722" s="161"/>
      <c r="O722" s="161"/>
      <c r="P722" s="161"/>
      <c r="Q722" s="161"/>
      <c r="R722" s="161"/>
      <c r="S722" s="161"/>
      <c r="T722" s="161"/>
      <c r="U722" s="161"/>
      <c r="V722" s="161"/>
      <c r="W722" s="161"/>
      <c r="X722" s="161"/>
      <c r="Y722" s="161"/>
      <c r="Z722" s="161"/>
      <c r="AA722" s="161"/>
    </row>
    <row r="723" spans="1:27" ht="12" customHeight="1" x14ac:dyDescent="0.25">
      <c r="A723" s="161"/>
      <c r="B723" s="161"/>
      <c r="C723" s="161"/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61"/>
      <c r="Q723" s="161"/>
      <c r="R723" s="161"/>
      <c r="S723" s="161"/>
      <c r="T723" s="161"/>
      <c r="U723" s="161"/>
      <c r="V723" s="161"/>
      <c r="W723" s="161"/>
      <c r="X723" s="161"/>
      <c r="Y723" s="161"/>
      <c r="Z723" s="161"/>
      <c r="AA723" s="161"/>
    </row>
    <row r="724" spans="1:27" ht="12" customHeight="1" x14ac:dyDescent="0.25">
      <c r="A724" s="161"/>
      <c r="B724" s="161"/>
      <c r="C724" s="161"/>
      <c r="D724" s="161"/>
      <c r="E724" s="161"/>
      <c r="F724" s="161"/>
      <c r="G724" s="161"/>
      <c r="H724" s="161"/>
      <c r="I724" s="161"/>
      <c r="J724" s="161"/>
      <c r="K724" s="161"/>
      <c r="L724" s="161"/>
      <c r="M724" s="161"/>
      <c r="N724" s="161"/>
      <c r="O724" s="161"/>
      <c r="P724" s="161"/>
      <c r="Q724" s="161"/>
      <c r="R724" s="161"/>
      <c r="S724" s="161"/>
      <c r="T724" s="161"/>
      <c r="U724" s="161"/>
      <c r="V724" s="161"/>
      <c r="W724" s="161"/>
      <c r="X724" s="161"/>
      <c r="Y724" s="161"/>
      <c r="Z724" s="161"/>
      <c r="AA724" s="161"/>
    </row>
    <row r="725" spans="1:27" ht="12" customHeight="1" x14ac:dyDescent="0.25">
      <c r="A725" s="161"/>
      <c r="B725" s="161"/>
      <c r="C725" s="161"/>
      <c r="D725" s="161"/>
      <c r="E725" s="161"/>
      <c r="F725" s="161"/>
      <c r="G725" s="161"/>
      <c r="H725" s="161"/>
      <c r="I725" s="161"/>
      <c r="J725" s="161"/>
      <c r="K725" s="161"/>
      <c r="L725" s="161"/>
      <c r="M725" s="161"/>
      <c r="N725" s="161"/>
      <c r="O725" s="161"/>
      <c r="P725" s="161"/>
      <c r="Q725" s="161"/>
      <c r="R725" s="161"/>
      <c r="S725" s="161"/>
      <c r="T725" s="161"/>
      <c r="U725" s="161"/>
      <c r="V725" s="161"/>
      <c r="W725" s="161"/>
      <c r="X725" s="161"/>
      <c r="Y725" s="161"/>
      <c r="Z725" s="161"/>
      <c r="AA725" s="161"/>
    </row>
    <row r="726" spans="1:27" ht="12" customHeight="1" x14ac:dyDescent="0.25">
      <c r="A726" s="161"/>
      <c r="B726" s="161"/>
      <c r="C726" s="161"/>
      <c r="D726" s="161"/>
      <c r="E726" s="161"/>
      <c r="F726" s="161"/>
      <c r="G726" s="161"/>
      <c r="H726" s="161"/>
      <c r="I726" s="161"/>
      <c r="J726" s="161"/>
      <c r="K726" s="161"/>
      <c r="L726" s="161"/>
      <c r="M726" s="161"/>
      <c r="N726" s="161"/>
      <c r="O726" s="161"/>
      <c r="P726" s="161"/>
      <c r="Q726" s="161"/>
      <c r="R726" s="161"/>
      <c r="S726" s="161"/>
      <c r="T726" s="161"/>
      <c r="U726" s="161"/>
      <c r="V726" s="161"/>
      <c r="W726" s="161"/>
      <c r="X726" s="161"/>
      <c r="Y726" s="161"/>
      <c r="Z726" s="161"/>
      <c r="AA726" s="161"/>
    </row>
    <row r="727" spans="1:27" ht="12" customHeight="1" x14ac:dyDescent="0.25">
      <c r="A727" s="161"/>
      <c r="B727" s="161"/>
      <c r="C727" s="161"/>
      <c r="D727" s="161"/>
      <c r="E727" s="161"/>
      <c r="F727" s="161"/>
      <c r="G727" s="161"/>
      <c r="H727" s="161"/>
      <c r="I727" s="161"/>
      <c r="J727" s="161"/>
      <c r="K727" s="161"/>
      <c r="L727" s="161"/>
      <c r="M727" s="161"/>
      <c r="N727" s="161"/>
      <c r="O727" s="161"/>
      <c r="P727" s="161"/>
      <c r="Q727" s="161"/>
      <c r="R727" s="161"/>
      <c r="S727" s="161"/>
      <c r="T727" s="161"/>
      <c r="U727" s="161"/>
      <c r="V727" s="161"/>
      <c r="W727" s="161"/>
      <c r="X727" s="161"/>
      <c r="Y727" s="161"/>
      <c r="Z727" s="161"/>
      <c r="AA727" s="161"/>
    </row>
    <row r="728" spans="1:27" ht="12" customHeight="1" x14ac:dyDescent="0.25">
      <c r="A728" s="161"/>
      <c r="B728" s="161"/>
      <c r="C728" s="161"/>
      <c r="D728" s="161"/>
      <c r="E728" s="161"/>
      <c r="F728" s="161"/>
      <c r="G728" s="161"/>
      <c r="H728" s="161"/>
      <c r="I728" s="161"/>
      <c r="J728" s="161"/>
      <c r="K728" s="161"/>
      <c r="L728" s="161"/>
      <c r="M728" s="161"/>
      <c r="N728" s="161"/>
      <c r="O728" s="161"/>
      <c r="P728" s="161"/>
      <c r="Q728" s="161"/>
      <c r="R728" s="161"/>
      <c r="S728" s="161"/>
      <c r="T728" s="161"/>
      <c r="U728" s="161"/>
      <c r="V728" s="161"/>
      <c r="W728" s="161"/>
      <c r="X728" s="161"/>
      <c r="Y728" s="161"/>
      <c r="Z728" s="161"/>
      <c r="AA728" s="161"/>
    </row>
    <row r="729" spans="1:27" ht="12" customHeight="1" x14ac:dyDescent="0.25">
      <c r="A729" s="161"/>
      <c r="B729" s="161"/>
      <c r="C729" s="161"/>
      <c r="D729" s="161"/>
      <c r="E729" s="161"/>
      <c r="F729" s="161"/>
      <c r="G729" s="161"/>
      <c r="H729" s="161"/>
      <c r="I729" s="161"/>
      <c r="J729" s="161"/>
      <c r="K729" s="161"/>
      <c r="L729" s="161"/>
      <c r="M729" s="161"/>
      <c r="N729" s="161"/>
      <c r="O729" s="161"/>
      <c r="P729" s="161"/>
      <c r="Q729" s="161"/>
      <c r="R729" s="161"/>
      <c r="S729" s="161"/>
      <c r="T729" s="161"/>
      <c r="U729" s="161"/>
      <c r="V729" s="161"/>
      <c r="W729" s="161"/>
      <c r="X729" s="161"/>
      <c r="Y729" s="161"/>
      <c r="Z729" s="161"/>
      <c r="AA729" s="161"/>
    </row>
    <row r="730" spans="1:27" ht="12" customHeight="1" x14ac:dyDescent="0.25">
      <c r="A730" s="161"/>
      <c r="B730" s="161"/>
      <c r="C730" s="161"/>
      <c r="D730" s="161"/>
      <c r="E730" s="161"/>
      <c r="F730" s="161"/>
      <c r="G730" s="161"/>
      <c r="H730" s="161"/>
      <c r="I730" s="161"/>
      <c r="J730" s="161"/>
      <c r="K730" s="161"/>
      <c r="L730" s="161"/>
      <c r="M730" s="161"/>
      <c r="N730" s="161"/>
      <c r="O730" s="161"/>
      <c r="P730" s="161"/>
      <c r="Q730" s="161"/>
      <c r="R730" s="161"/>
      <c r="S730" s="161"/>
      <c r="T730" s="161"/>
      <c r="U730" s="161"/>
      <c r="V730" s="161"/>
      <c r="W730" s="161"/>
      <c r="X730" s="161"/>
      <c r="Y730" s="161"/>
      <c r="Z730" s="161"/>
      <c r="AA730" s="161"/>
    </row>
    <row r="731" spans="1:27" ht="12" customHeight="1" x14ac:dyDescent="0.25">
      <c r="A731" s="161"/>
      <c r="B731" s="161"/>
      <c r="C731" s="161"/>
      <c r="D731" s="161"/>
      <c r="E731" s="161"/>
      <c r="F731" s="161"/>
      <c r="G731" s="161"/>
      <c r="H731" s="161"/>
      <c r="I731" s="161"/>
      <c r="J731" s="161"/>
      <c r="K731" s="161"/>
      <c r="L731" s="161"/>
      <c r="M731" s="161"/>
      <c r="N731" s="161"/>
      <c r="O731" s="161"/>
      <c r="P731" s="161"/>
      <c r="Q731" s="161"/>
      <c r="R731" s="161"/>
      <c r="S731" s="161"/>
      <c r="T731" s="161"/>
      <c r="U731" s="161"/>
      <c r="V731" s="161"/>
      <c r="W731" s="161"/>
      <c r="X731" s="161"/>
      <c r="Y731" s="161"/>
      <c r="Z731" s="161"/>
      <c r="AA731" s="161"/>
    </row>
    <row r="732" spans="1:27" ht="12" customHeight="1" x14ac:dyDescent="0.25">
      <c r="A732" s="161"/>
      <c r="B732" s="161"/>
      <c r="C732" s="161"/>
      <c r="D732" s="161"/>
      <c r="E732" s="161"/>
      <c r="F732" s="161"/>
      <c r="G732" s="161"/>
      <c r="H732" s="161"/>
      <c r="I732" s="161"/>
      <c r="J732" s="161"/>
      <c r="K732" s="161"/>
      <c r="L732" s="161"/>
      <c r="M732" s="161"/>
      <c r="N732" s="161"/>
      <c r="O732" s="161"/>
      <c r="P732" s="161"/>
      <c r="Q732" s="161"/>
      <c r="R732" s="161"/>
      <c r="S732" s="161"/>
      <c r="T732" s="161"/>
      <c r="U732" s="161"/>
      <c r="V732" s="161"/>
      <c r="W732" s="161"/>
      <c r="X732" s="161"/>
      <c r="Y732" s="161"/>
      <c r="Z732" s="161"/>
      <c r="AA732" s="161"/>
    </row>
    <row r="733" spans="1:27" ht="12" customHeight="1" x14ac:dyDescent="0.25">
      <c r="A733" s="161"/>
      <c r="B733" s="161"/>
      <c r="C733" s="161"/>
      <c r="D733" s="161"/>
      <c r="E733" s="161"/>
      <c r="F733" s="161"/>
      <c r="G733" s="161"/>
      <c r="H733" s="161"/>
      <c r="I733" s="161"/>
      <c r="J733" s="161"/>
      <c r="K733" s="161"/>
      <c r="L733" s="161"/>
      <c r="M733" s="161"/>
      <c r="N733" s="161"/>
      <c r="O733" s="161"/>
      <c r="P733" s="161"/>
      <c r="Q733" s="161"/>
      <c r="R733" s="161"/>
      <c r="S733" s="161"/>
      <c r="T733" s="161"/>
      <c r="U733" s="161"/>
      <c r="V733" s="161"/>
      <c r="W733" s="161"/>
      <c r="X733" s="161"/>
      <c r="Y733" s="161"/>
      <c r="Z733" s="161"/>
      <c r="AA733" s="161"/>
    </row>
    <row r="734" spans="1:27" ht="12" customHeight="1" x14ac:dyDescent="0.25">
      <c r="A734" s="161"/>
      <c r="B734" s="161"/>
      <c r="C734" s="161"/>
      <c r="D734" s="161"/>
      <c r="E734" s="161"/>
      <c r="F734" s="161"/>
      <c r="G734" s="161"/>
      <c r="H734" s="161"/>
      <c r="I734" s="161"/>
      <c r="J734" s="161"/>
      <c r="K734" s="161"/>
      <c r="L734" s="161"/>
      <c r="M734" s="161"/>
      <c r="N734" s="161"/>
      <c r="O734" s="161"/>
      <c r="P734" s="161"/>
      <c r="Q734" s="161"/>
      <c r="R734" s="161"/>
      <c r="S734" s="161"/>
      <c r="T734" s="161"/>
      <c r="U734" s="161"/>
      <c r="V734" s="161"/>
      <c r="W734" s="161"/>
      <c r="X734" s="161"/>
      <c r="Y734" s="161"/>
      <c r="Z734" s="161"/>
      <c r="AA734" s="161"/>
    </row>
    <row r="735" spans="1:27" ht="12" customHeight="1" x14ac:dyDescent="0.25">
      <c r="A735" s="161"/>
      <c r="B735" s="161"/>
      <c r="C735" s="161"/>
      <c r="D735" s="161"/>
      <c r="E735" s="161"/>
      <c r="F735" s="161"/>
      <c r="G735" s="161"/>
      <c r="H735" s="161"/>
      <c r="I735" s="161"/>
      <c r="J735" s="161"/>
      <c r="K735" s="161"/>
      <c r="L735" s="161"/>
      <c r="M735" s="161"/>
      <c r="N735" s="161"/>
      <c r="O735" s="161"/>
      <c r="P735" s="161"/>
      <c r="Q735" s="161"/>
      <c r="R735" s="161"/>
      <c r="S735" s="161"/>
      <c r="T735" s="161"/>
      <c r="U735" s="161"/>
      <c r="V735" s="161"/>
      <c r="W735" s="161"/>
      <c r="X735" s="161"/>
      <c r="Y735" s="161"/>
      <c r="Z735" s="161"/>
      <c r="AA735" s="161"/>
    </row>
    <row r="736" spans="1:27" ht="12" customHeight="1" x14ac:dyDescent="0.25">
      <c r="A736" s="161"/>
      <c r="B736" s="161"/>
      <c r="C736" s="161"/>
      <c r="D736" s="161"/>
      <c r="E736" s="161"/>
      <c r="F736" s="161"/>
      <c r="G736" s="161"/>
      <c r="H736" s="161"/>
      <c r="I736" s="161"/>
      <c r="J736" s="161"/>
      <c r="K736" s="161"/>
      <c r="L736" s="161"/>
      <c r="M736" s="161"/>
      <c r="N736" s="161"/>
      <c r="O736" s="161"/>
      <c r="P736" s="161"/>
      <c r="Q736" s="161"/>
      <c r="R736" s="161"/>
      <c r="S736" s="161"/>
      <c r="T736" s="161"/>
      <c r="U736" s="161"/>
      <c r="V736" s="161"/>
      <c r="W736" s="161"/>
      <c r="X736" s="161"/>
      <c r="Y736" s="161"/>
      <c r="Z736" s="161"/>
      <c r="AA736" s="161"/>
    </row>
    <row r="737" spans="1:27" ht="12" customHeight="1" x14ac:dyDescent="0.25">
      <c r="A737" s="161"/>
      <c r="B737" s="161"/>
      <c r="C737" s="161"/>
      <c r="D737" s="161"/>
      <c r="E737" s="161"/>
      <c r="F737" s="161"/>
      <c r="G737" s="161"/>
      <c r="H737" s="161"/>
      <c r="I737" s="161"/>
      <c r="J737" s="161"/>
      <c r="K737" s="161"/>
      <c r="L737" s="161"/>
      <c r="M737" s="161"/>
      <c r="N737" s="161"/>
      <c r="O737" s="161"/>
      <c r="P737" s="161"/>
      <c r="Q737" s="161"/>
      <c r="R737" s="161"/>
      <c r="S737" s="161"/>
      <c r="T737" s="161"/>
      <c r="U737" s="161"/>
      <c r="V737" s="161"/>
      <c r="W737" s="161"/>
      <c r="X737" s="161"/>
      <c r="Y737" s="161"/>
      <c r="Z737" s="161"/>
      <c r="AA737" s="161"/>
    </row>
    <row r="738" spans="1:27" ht="12" customHeight="1" x14ac:dyDescent="0.25">
      <c r="A738" s="161"/>
      <c r="B738" s="161"/>
      <c r="C738" s="161"/>
      <c r="D738" s="161"/>
      <c r="E738" s="161"/>
      <c r="F738" s="161"/>
      <c r="G738" s="161"/>
      <c r="H738" s="161"/>
      <c r="I738" s="161"/>
      <c r="J738" s="161"/>
      <c r="K738" s="161"/>
      <c r="L738" s="161"/>
      <c r="M738" s="161"/>
      <c r="N738" s="161"/>
      <c r="O738" s="161"/>
      <c r="P738" s="161"/>
      <c r="Q738" s="161"/>
      <c r="R738" s="161"/>
      <c r="S738" s="161"/>
      <c r="T738" s="161"/>
      <c r="U738" s="161"/>
      <c r="V738" s="161"/>
      <c r="W738" s="161"/>
      <c r="X738" s="161"/>
      <c r="Y738" s="161"/>
      <c r="Z738" s="161"/>
      <c r="AA738" s="161"/>
    </row>
    <row r="739" spans="1:27" ht="12" customHeight="1" x14ac:dyDescent="0.25">
      <c r="A739" s="161"/>
      <c r="B739" s="161"/>
      <c r="C739" s="161"/>
      <c r="D739" s="161"/>
      <c r="E739" s="161"/>
      <c r="F739" s="161"/>
      <c r="G739" s="161"/>
      <c r="H739" s="161"/>
      <c r="I739" s="161"/>
      <c r="J739" s="161"/>
      <c r="K739" s="161"/>
      <c r="L739" s="161"/>
      <c r="M739" s="161"/>
      <c r="N739" s="161"/>
      <c r="O739" s="161"/>
      <c r="P739" s="161"/>
      <c r="Q739" s="161"/>
      <c r="R739" s="161"/>
      <c r="S739" s="161"/>
      <c r="T739" s="161"/>
      <c r="U739" s="161"/>
      <c r="V739" s="161"/>
      <c r="W739" s="161"/>
      <c r="X739" s="161"/>
      <c r="Y739" s="161"/>
      <c r="Z739" s="161"/>
      <c r="AA739" s="161"/>
    </row>
    <row r="740" spans="1:27" ht="12" customHeight="1" x14ac:dyDescent="0.25">
      <c r="A740" s="161"/>
      <c r="B740" s="161"/>
      <c r="C740" s="161"/>
      <c r="D740" s="161"/>
      <c r="E740" s="161"/>
      <c r="F740" s="161"/>
      <c r="G740" s="161"/>
      <c r="H740" s="161"/>
      <c r="I740" s="161"/>
      <c r="J740" s="161"/>
      <c r="K740" s="161"/>
      <c r="L740" s="161"/>
      <c r="M740" s="161"/>
      <c r="N740" s="161"/>
      <c r="O740" s="161"/>
      <c r="P740" s="161"/>
      <c r="Q740" s="161"/>
      <c r="R740" s="161"/>
      <c r="S740" s="161"/>
      <c r="T740" s="161"/>
      <c r="U740" s="161"/>
      <c r="V740" s="161"/>
      <c r="W740" s="161"/>
      <c r="X740" s="161"/>
      <c r="Y740" s="161"/>
      <c r="Z740" s="161"/>
      <c r="AA740" s="161"/>
    </row>
    <row r="741" spans="1:27" ht="12" customHeight="1" x14ac:dyDescent="0.25">
      <c r="A741" s="161"/>
      <c r="B741" s="161"/>
      <c r="C741" s="161"/>
      <c r="D741" s="161"/>
      <c r="E741" s="161"/>
      <c r="F741" s="161"/>
      <c r="G741" s="161"/>
      <c r="H741" s="161"/>
      <c r="I741" s="161"/>
      <c r="J741" s="161"/>
      <c r="K741" s="161"/>
      <c r="L741" s="161"/>
      <c r="M741" s="161"/>
      <c r="N741" s="161"/>
      <c r="O741" s="161"/>
      <c r="P741" s="161"/>
      <c r="Q741" s="161"/>
      <c r="R741" s="161"/>
      <c r="S741" s="161"/>
      <c r="T741" s="161"/>
      <c r="U741" s="161"/>
      <c r="V741" s="161"/>
      <c r="W741" s="161"/>
      <c r="X741" s="161"/>
      <c r="Y741" s="161"/>
      <c r="Z741" s="161"/>
      <c r="AA741" s="161"/>
    </row>
    <row r="742" spans="1:27" ht="12" customHeight="1" x14ac:dyDescent="0.25">
      <c r="A742" s="161"/>
      <c r="B742" s="161"/>
      <c r="C742" s="161"/>
      <c r="D742" s="161"/>
      <c r="E742" s="161"/>
      <c r="F742" s="161"/>
      <c r="G742" s="161"/>
      <c r="H742" s="161"/>
      <c r="I742" s="161"/>
      <c r="J742" s="161"/>
      <c r="K742" s="161"/>
      <c r="L742" s="161"/>
      <c r="M742" s="161"/>
      <c r="N742" s="161"/>
      <c r="O742" s="161"/>
      <c r="P742" s="161"/>
      <c r="Q742" s="161"/>
      <c r="R742" s="161"/>
      <c r="S742" s="161"/>
      <c r="T742" s="161"/>
      <c r="U742" s="161"/>
      <c r="V742" s="161"/>
      <c r="W742" s="161"/>
      <c r="X742" s="161"/>
      <c r="Y742" s="161"/>
      <c r="Z742" s="161"/>
      <c r="AA742" s="161"/>
    </row>
    <row r="743" spans="1:27" ht="12" customHeight="1" x14ac:dyDescent="0.25">
      <c r="A743" s="161"/>
      <c r="B743" s="161"/>
      <c r="C743" s="161"/>
      <c r="D743" s="161"/>
      <c r="E743" s="161"/>
      <c r="F743" s="161"/>
      <c r="G743" s="161"/>
      <c r="H743" s="161"/>
      <c r="I743" s="161"/>
      <c r="J743" s="161"/>
      <c r="K743" s="161"/>
      <c r="L743" s="161"/>
      <c r="M743" s="161"/>
      <c r="N743" s="161"/>
      <c r="O743" s="161"/>
      <c r="P743" s="161"/>
      <c r="Q743" s="161"/>
      <c r="R743" s="161"/>
      <c r="S743" s="161"/>
      <c r="T743" s="161"/>
      <c r="U743" s="161"/>
      <c r="V743" s="161"/>
      <c r="W743" s="161"/>
      <c r="X743" s="161"/>
      <c r="Y743" s="161"/>
      <c r="Z743" s="161"/>
      <c r="AA743" s="161"/>
    </row>
    <row r="744" spans="1:27" ht="12" customHeight="1" x14ac:dyDescent="0.25">
      <c r="A744" s="161"/>
      <c r="B744" s="161"/>
      <c r="C744" s="161"/>
      <c r="D744" s="161"/>
      <c r="E744" s="161"/>
      <c r="F744" s="161"/>
      <c r="G744" s="161"/>
      <c r="H744" s="161"/>
      <c r="I744" s="161"/>
      <c r="J744" s="161"/>
      <c r="K744" s="161"/>
      <c r="L744" s="161"/>
      <c r="M744" s="161"/>
      <c r="N744" s="161"/>
      <c r="O744" s="161"/>
      <c r="P744" s="161"/>
      <c r="Q744" s="161"/>
      <c r="R744" s="161"/>
      <c r="S744" s="161"/>
      <c r="T744" s="161"/>
      <c r="U744" s="161"/>
      <c r="V744" s="161"/>
      <c r="W744" s="161"/>
      <c r="X744" s="161"/>
      <c r="Y744" s="161"/>
      <c r="Z744" s="161"/>
      <c r="AA744" s="161"/>
    </row>
    <row r="745" spans="1:27" ht="12" customHeight="1" x14ac:dyDescent="0.25">
      <c r="A745" s="161"/>
      <c r="B745" s="161"/>
      <c r="C745" s="161"/>
      <c r="D745" s="161"/>
      <c r="E745" s="161"/>
      <c r="F745" s="161"/>
      <c r="G745" s="161"/>
      <c r="H745" s="161"/>
      <c r="I745" s="161"/>
      <c r="J745" s="161"/>
      <c r="K745" s="161"/>
      <c r="L745" s="161"/>
      <c r="M745" s="161"/>
      <c r="N745" s="161"/>
      <c r="O745" s="161"/>
      <c r="P745" s="161"/>
      <c r="Q745" s="161"/>
      <c r="R745" s="161"/>
      <c r="S745" s="161"/>
      <c r="T745" s="161"/>
      <c r="U745" s="161"/>
      <c r="V745" s="161"/>
      <c r="W745" s="161"/>
      <c r="X745" s="161"/>
      <c r="Y745" s="161"/>
      <c r="Z745" s="161"/>
      <c r="AA745" s="161"/>
    </row>
    <row r="746" spans="1:27" ht="12" customHeight="1" x14ac:dyDescent="0.25">
      <c r="A746" s="161"/>
      <c r="B746" s="161"/>
      <c r="C746" s="161"/>
      <c r="D746" s="161"/>
      <c r="E746" s="161"/>
      <c r="F746" s="161"/>
      <c r="G746" s="161"/>
      <c r="H746" s="161"/>
      <c r="I746" s="161"/>
      <c r="J746" s="161"/>
      <c r="K746" s="161"/>
      <c r="L746" s="161"/>
      <c r="M746" s="161"/>
      <c r="N746" s="161"/>
      <c r="O746" s="161"/>
      <c r="P746" s="161"/>
      <c r="Q746" s="161"/>
      <c r="R746" s="161"/>
      <c r="S746" s="161"/>
      <c r="T746" s="161"/>
      <c r="U746" s="161"/>
      <c r="V746" s="161"/>
      <c r="W746" s="161"/>
      <c r="X746" s="161"/>
      <c r="Y746" s="161"/>
      <c r="Z746" s="161"/>
      <c r="AA746" s="161"/>
    </row>
    <row r="747" spans="1:27" ht="12" customHeight="1" x14ac:dyDescent="0.25">
      <c r="A747" s="161"/>
      <c r="B747" s="161"/>
      <c r="C747" s="161"/>
      <c r="D747" s="161"/>
      <c r="E747" s="161"/>
      <c r="F747" s="161"/>
      <c r="G747" s="161"/>
      <c r="H747" s="161"/>
      <c r="I747" s="161"/>
      <c r="J747" s="161"/>
      <c r="K747" s="161"/>
      <c r="L747" s="161"/>
      <c r="M747" s="161"/>
      <c r="N747" s="161"/>
      <c r="O747" s="161"/>
      <c r="P747" s="161"/>
      <c r="Q747" s="161"/>
      <c r="R747" s="161"/>
      <c r="S747" s="161"/>
      <c r="T747" s="161"/>
      <c r="U747" s="161"/>
      <c r="V747" s="161"/>
      <c r="W747" s="161"/>
      <c r="X747" s="161"/>
      <c r="Y747" s="161"/>
      <c r="Z747" s="161"/>
      <c r="AA747" s="161"/>
    </row>
    <row r="748" spans="1:27" ht="12" customHeight="1" x14ac:dyDescent="0.25">
      <c r="A748" s="161"/>
      <c r="B748" s="161"/>
      <c r="C748" s="161"/>
      <c r="D748" s="161"/>
      <c r="E748" s="161"/>
      <c r="F748" s="161"/>
      <c r="G748" s="161"/>
      <c r="H748" s="161"/>
      <c r="I748" s="161"/>
      <c r="J748" s="161"/>
      <c r="K748" s="161"/>
      <c r="L748" s="161"/>
      <c r="M748" s="161"/>
      <c r="N748" s="161"/>
      <c r="O748" s="161"/>
      <c r="P748" s="161"/>
      <c r="Q748" s="161"/>
      <c r="R748" s="161"/>
      <c r="S748" s="161"/>
      <c r="T748" s="161"/>
      <c r="U748" s="161"/>
      <c r="V748" s="161"/>
      <c r="W748" s="161"/>
      <c r="X748" s="161"/>
      <c r="Y748" s="161"/>
      <c r="Z748" s="161"/>
      <c r="AA748" s="161"/>
    </row>
    <row r="749" spans="1:27" ht="12" customHeight="1" x14ac:dyDescent="0.25">
      <c r="A749" s="161"/>
      <c r="B749" s="161"/>
      <c r="C749" s="161"/>
      <c r="D749" s="161"/>
      <c r="E749" s="161"/>
      <c r="F749" s="161"/>
      <c r="G749" s="161"/>
      <c r="H749" s="161"/>
      <c r="I749" s="161"/>
      <c r="J749" s="161"/>
      <c r="K749" s="161"/>
      <c r="L749" s="161"/>
      <c r="M749" s="161"/>
      <c r="N749" s="161"/>
      <c r="O749" s="161"/>
      <c r="P749" s="161"/>
      <c r="Q749" s="161"/>
      <c r="R749" s="161"/>
      <c r="S749" s="161"/>
      <c r="T749" s="161"/>
      <c r="U749" s="161"/>
      <c r="V749" s="161"/>
      <c r="W749" s="161"/>
      <c r="X749" s="161"/>
      <c r="Y749" s="161"/>
      <c r="Z749" s="161"/>
      <c r="AA749" s="161"/>
    </row>
    <row r="750" spans="1:27" ht="12" customHeight="1" x14ac:dyDescent="0.25">
      <c r="A750" s="161"/>
      <c r="B750" s="161"/>
      <c r="C750" s="161"/>
      <c r="D750" s="161"/>
      <c r="E750" s="161"/>
      <c r="F750" s="161"/>
      <c r="G750" s="161"/>
      <c r="H750" s="161"/>
      <c r="I750" s="161"/>
      <c r="J750" s="161"/>
      <c r="K750" s="161"/>
      <c r="L750" s="161"/>
      <c r="M750" s="161"/>
      <c r="N750" s="161"/>
      <c r="O750" s="161"/>
      <c r="P750" s="161"/>
      <c r="Q750" s="161"/>
      <c r="R750" s="161"/>
      <c r="S750" s="161"/>
      <c r="T750" s="161"/>
      <c r="U750" s="161"/>
      <c r="V750" s="161"/>
      <c r="W750" s="161"/>
      <c r="X750" s="161"/>
      <c r="Y750" s="161"/>
      <c r="Z750" s="161"/>
      <c r="AA750" s="161"/>
    </row>
    <row r="751" spans="1:27" ht="12" customHeight="1" x14ac:dyDescent="0.25">
      <c r="A751" s="161"/>
      <c r="B751" s="161"/>
      <c r="C751" s="161"/>
      <c r="D751" s="161"/>
      <c r="E751" s="161"/>
      <c r="F751" s="161"/>
      <c r="G751" s="161"/>
      <c r="H751" s="161"/>
      <c r="I751" s="161"/>
      <c r="J751" s="161"/>
      <c r="K751" s="161"/>
      <c r="L751" s="161"/>
      <c r="M751" s="161"/>
      <c r="N751" s="161"/>
      <c r="O751" s="161"/>
      <c r="P751" s="161"/>
      <c r="Q751" s="161"/>
      <c r="R751" s="161"/>
      <c r="S751" s="161"/>
      <c r="T751" s="161"/>
      <c r="U751" s="161"/>
      <c r="V751" s="161"/>
      <c r="W751" s="161"/>
      <c r="X751" s="161"/>
      <c r="Y751" s="161"/>
      <c r="Z751" s="161"/>
      <c r="AA751" s="161"/>
    </row>
    <row r="752" spans="1:27" ht="12" customHeight="1" x14ac:dyDescent="0.25">
      <c r="A752" s="161"/>
      <c r="B752" s="161"/>
      <c r="C752" s="161"/>
      <c r="D752" s="161"/>
      <c r="E752" s="161"/>
      <c r="F752" s="161"/>
      <c r="G752" s="161"/>
      <c r="H752" s="161"/>
      <c r="I752" s="161"/>
      <c r="J752" s="161"/>
      <c r="K752" s="161"/>
      <c r="L752" s="161"/>
      <c r="M752" s="161"/>
      <c r="N752" s="161"/>
      <c r="O752" s="161"/>
      <c r="P752" s="161"/>
      <c r="Q752" s="161"/>
      <c r="R752" s="161"/>
      <c r="S752" s="161"/>
      <c r="T752" s="161"/>
      <c r="U752" s="161"/>
      <c r="V752" s="161"/>
      <c r="W752" s="161"/>
      <c r="X752" s="161"/>
      <c r="Y752" s="161"/>
      <c r="Z752" s="161"/>
      <c r="AA752" s="161"/>
    </row>
    <row r="753" spans="1:27" ht="12" customHeight="1" x14ac:dyDescent="0.25">
      <c r="A753" s="161"/>
      <c r="B753" s="161"/>
      <c r="C753" s="161"/>
      <c r="D753" s="161"/>
      <c r="E753" s="161"/>
      <c r="F753" s="161"/>
      <c r="G753" s="161"/>
      <c r="H753" s="161"/>
      <c r="I753" s="161"/>
      <c r="J753" s="161"/>
      <c r="K753" s="161"/>
      <c r="L753" s="161"/>
      <c r="M753" s="161"/>
      <c r="N753" s="161"/>
      <c r="O753" s="161"/>
      <c r="P753" s="161"/>
      <c r="Q753" s="161"/>
      <c r="R753" s="161"/>
      <c r="S753" s="161"/>
      <c r="T753" s="161"/>
      <c r="U753" s="161"/>
      <c r="V753" s="161"/>
      <c r="W753" s="161"/>
      <c r="X753" s="161"/>
      <c r="Y753" s="161"/>
      <c r="Z753" s="161"/>
      <c r="AA753" s="161"/>
    </row>
    <row r="754" spans="1:27" ht="12" customHeight="1" x14ac:dyDescent="0.25">
      <c r="A754" s="161"/>
      <c r="B754" s="161"/>
      <c r="C754" s="161"/>
      <c r="D754" s="161"/>
      <c r="E754" s="161"/>
      <c r="F754" s="161"/>
      <c r="G754" s="161"/>
      <c r="H754" s="161"/>
      <c r="I754" s="161"/>
      <c r="J754" s="161"/>
      <c r="K754" s="161"/>
      <c r="L754" s="161"/>
      <c r="M754" s="161"/>
      <c r="N754" s="161"/>
      <c r="O754" s="161"/>
      <c r="P754" s="161"/>
      <c r="Q754" s="161"/>
      <c r="R754" s="161"/>
      <c r="S754" s="161"/>
      <c r="T754" s="161"/>
      <c r="U754" s="161"/>
      <c r="V754" s="161"/>
      <c r="W754" s="161"/>
      <c r="X754" s="161"/>
      <c r="Y754" s="161"/>
      <c r="Z754" s="161"/>
      <c r="AA754" s="161"/>
    </row>
    <row r="755" spans="1:27" ht="12" customHeight="1" x14ac:dyDescent="0.25">
      <c r="A755" s="161"/>
      <c r="B755" s="161"/>
      <c r="C755" s="161"/>
      <c r="D755" s="161"/>
      <c r="E755" s="161"/>
      <c r="F755" s="161"/>
      <c r="G755" s="161"/>
      <c r="H755" s="161"/>
      <c r="I755" s="161"/>
      <c r="J755" s="161"/>
      <c r="K755" s="161"/>
      <c r="L755" s="161"/>
      <c r="M755" s="161"/>
      <c r="N755" s="161"/>
      <c r="O755" s="161"/>
      <c r="P755" s="161"/>
      <c r="Q755" s="161"/>
      <c r="R755" s="161"/>
      <c r="S755" s="161"/>
      <c r="T755" s="161"/>
      <c r="U755" s="161"/>
      <c r="V755" s="161"/>
      <c r="W755" s="161"/>
      <c r="X755" s="161"/>
      <c r="Y755" s="161"/>
      <c r="Z755" s="161"/>
      <c r="AA755" s="161"/>
    </row>
    <row r="756" spans="1:27" ht="12" customHeight="1" x14ac:dyDescent="0.25">
      <c r="A756" s="161"/>
      <c r="B756" s="161"/>
      <c r="C756" s="161"/>
      <c r="D756" s="161"/>
      <c r="E756" s="161"/>
      <c r="F756" s="161"/>
      <c r="G756" s="161"/>
      <c r="H756" s="161"/>
      <c r="I756" s="161"/>
      <c r="J756" s="161"/>
      <c r="K756" s="161"/>
      <c r="L756" s="161"/>
      <c r="M756" s="161"/>
      <c r="N756" s="161"/>
      <c r="O756" s="161"/>
      <c r="P756" s="161"/>
      <c r="Q756" s="161"/>
      <c r="R756" s="161"/>
      <c r="S756" s="161"/>
      <c r="T756" s="161"/>
      <c r="U756" s="161"/>
      <c r="V756" s="161"/>
      <c r="W756" s="161"/>
      <c r="X756" s="161"/>
      <c r="Y756" s="161"/>
      <c r="Z756" s="161"/>
      <c r="AA756" s="161"/>
    </row>
    <row r="757" spans="1:27" ht="12" customHeight="1" x14ac:dyDescent="0.25">
      <c r="A757" s="161"/>
      <c r="B757" s="161"/>
      <c r="C757" s="161"/>
      <c r="D757" s="161"/>
      <c r="E757" s="161"/>
      <c r="F757" s="161"/>
      <c r="G757" s="161"/>
      <c r="H757" s="161"/>
      <c r="I757" s="161"/>
      <c r="J757" s="161"/>
      <c r="K757" s="161"/>
      <c r="L757" s="161"/>
      <c r="M757" s="161"/>
      <c r="N757" s="161"/>
      <c r="O757" s="161"/>
      <c r="P757" s="161"/>
      <c r="Q757" s="161"/>
      <c r="R757" s="161"/>
      <c r="S757" s="161"/>
      <c r="T757" s="161"/>
      <c r="U757" s="161"/>
      <c r="V757" s="161"/>
      <c r="W757" s="161"/>
      <c r="X757" s="161"/>
      <c r="Y757" s="161"/>
      <c r="Z757" s="161"/>
      <c r="AA757" s="161"/>
    </row>
    <row r="758" spans="1:27" ht="12" customHeight="1" x14ac:dyDescent="0.25">
      <c r="A758" s="161"/>
      <c r="B758" s="161"/>
      <c r="C758" s="161"/>
      <c r="D758" s="161"/>
      <c r="E758" s="161"/>
      <c r="F758" s="161"/>
      <c r="G758" s="161"/>
      <c r="H758" s="161"/>
      <c r="I758" s="161"/>
      <c r="J758" s="161"/>
      <c r="K758" s="161"/>
      <c r="L758" s="161"/>
      <c r="M758" s="161"/>
      <c r="N758" s="161"/>
      <c r="O758" s="161"/>
      <c r="P758" s="161"/>
      <c r="Q758" s="161"/>
      <c r="R758" s="161"/>
      <c r="S758" s="161"/>
      <c r="T758" s="161"/>
      <c r="U758" s="161"/>
      <c r="V758" s="161"/>
      <c r="W758" s="161"/>
      <c r="X758" s="161"/>
      <c r="Y758" s="161"/>
      <c r="Z758" s="161"/>
      <c r="AA758" s="161"/>
    </row>
    <row r="759" spans="1:27" ht="12" customHeight="1" x14ac:dyDescent="0.25">
      <c r="A759" s="161"/>
      <c r="B759" s="161"/>
      <c r="C759" s="161"/>
      <c r="D759" s="161"/>
      <c r="E759" s="161"/>
      <c r="F759" s="161"/>
      <c r="G759" s="161"/>
      <c r="H759" s="161"/>
      <c r="I759" s="161"/>
      <c r="J759" s="161"/>
      <c r="K759" s="161"/>
      <c r="L759" s="161"/>
      <c r="M759" s="161"/>
      <c r="N759" s="161"/>
      <c r="O759" s="161"/>
      <c r="P759" s="161"/>
      <c r="Q759" s="161"/>
      <c r="R759" s="161"/>
      <c r="S759" s="161"/>
      <c r="T759" s="161"/>
      <c r="U759" s="161"/>
      <c r="V759" s="161"/>
      <c r="W759" s="161"/>
      <c r="X759" s="161"/>
      <c r="Y759" s="161"/>
      <c r="Z759" s="161"/>
      <c r="AA759" s="161"/>
    </row>
    <row r="760" spans="1:27" ht="12" customHeight="1" x14ac:dyDescent="0.25">
      <c r="A760" s="161"/>
      <c r="B760" s="161"/>
      <c r="C760" s="161"/>
      <c r="D760" s="161"/>
      <c r="E760" s="161"/>
      <c r="F760" s="161"/>
      <c r="G760" s="161"/>
      <c r="H760" s="161"/>
      <c r="I760" s="161"/>
      <c r="J760" s="161"/>
      <c r="K760" s="161"/>
      <c r="L760" s="161"/>
      <c r="M760" s="161"/>
      <c r="N760" s="161"/>
      <c r="O760" s="161"/>
      <c r="P760" s="161"/>
      <c r="Q760" s="161"/>
      <c r="R760" s="161"/>
      <c r="S760" s="161"/>
      <c r="T760" s="161"/>
      <c r="U760" s="161"/>
      <c r="V760" s="161"/>
      <c r="W760" s="161"/>
      <c r="X760" s="161"/>
      <c r="Y760" s="161"/>
      <c r="Z760" s="161"/>
      <c r="AA760" s="161"/>
    </row>
    <row r="761" spans="1:27" ht="12" customHeight="1" x14ac:dyDescent="0.25">
      <c r="A761" s="161"/>
      <c r="B761" s="161"/>
      <c r="C761" s="161"/>
      <c r="D761" s="161"/>
      <c r="E761" s="161"/>
      <c r="F761" s="161"/>
      <c r="G761" s="161"/>
      <c r="H761" s="161"/>
      <c r="I761" s="161"/>
      <c r="J761" s="161"/>
      <c r="K761" s="161"/>
      <c r="L761" s="161"/>
      <c r="M761" s="161"/>
      <c r="N761" s="161"/>
      <c r="O761" s="161"/>
      <c r="P761" s="161"/>
      <c r="Q761" s="161"/>
      <c r="R761" s="161"/>
      <c r="S761" s="161"/>
      <c r="T761" s="161"/>
      <c r="U761" s="161"/>
      <c r="V761" s="161"/>
      <c r="W761" s="161"/>
      <c r="X761" s="161"/>
      <c r="Y761" s="161"/>
      <c r="Z761" s="161"/>
      <c r="AA761" s="161"/>
    </row>
    <row r="762" spans="1:27" ht="12" customHeight="1" x14ac:dyDescent="0.25">
      <c r="A762" s="161"/>
      <c r="B762" s="161"/>
      <c r="C762" s="161"/>
      <c r="D762" s="161"/>
      <c r="E762" s="161"/>
      <c r="F762" s="161"/>
      <c r="G762" s="161"/>
      <c r="H762" s="161"/>
      <c r="I762" s="161"/>
      <c r="J762" s="161"/>
      <c r="K762" s="161"/>
      <c r="L762" s="161"/>
      <c r="M762" s="161"/>
      <c r="N762" s="161"/>
      <c r="O762" s="161"/>
      <c r="P762" s="161"/>
      <c r="Q762" s="161"/>
      <c r="R762" s="161"/>
      <c r="S762" s="161"/>
      <c r="T762" s="161"/>
      <c r="U762" s="161"/>
      <c r="V762" s="161"/>
      <c r="W762" s="161"/>
      <c r="X762" s="161"/>
      <c r="Y762" s="161"/>
      <c r="Z762" s="161"/>
      <c r="AA762" s="161"/>
    </row>
    <row r="763" spans="1:27" ht="12" customHeight="1" x14ac:dyDescent="0.25">
      <c r="A763" s="161"/>
      <c r="B763" s="161"/>
      <c r="C763" s="161"/>
      <c r="D763" s="161"/>
      <c r="E763" s="161"/>
      <c r="F763" s="161"/>
      <c r="G763" s="161"/>
      <c r="H763" s="161"/>
      <c r="I763" s="161"/>
      <c r="J763" s="161"/>
      <c r="K763" s="161"/>
      <c r="L763" s="161"/>
      <c r="M763" s="161"/>
      <c r="N763" s="161"/>
      <c r="O763" s="161"/>
      <c r="P763" s="161"/>
      <c r="Q763" s="161"/>
      <c r="R763" s="161"/>
      <c r="S763" s="161"/>
      <c r="T763" s="161"/>
      <c r="U763" s="161"/>
      <c r="V763" s="161"/>
      <c r="W763" s="161"/>
      <c r="X763" s="161"/>
      <c r="Y763" s="161"/>
      <c r="Z763" s="161"/>
      <c r="AA763" s="161"/>
    </row>
    <row r="764" spans="1:27" ht="12" customHeight="1" x14ac:dyDescent="0.25">
      <c r="A764" s="161"/>
      <c r="B764" s="161"/>
      <c r="C764" s="161"/>
      <c r="D764" s="161"/>
      <c r="E764" s="161"/>
      <c r="F764" s="161"/>
      <c r="G764" s="161"/>
      <c r="H764" s="161"/>
      <c r="I764" s="161"/>
      <c r="J764" s="161"/>
      <c r="K764" s="161"/>
      <c r="L764" s="161"/>
      <c r="M764" s="161"/>
      <c r="N764" s="161"/>
      <c r="O764" s="161"/>
      <c r="P764" s="161"/>
      <c r="Q764" s="161"/>
      <c r="R764" s="161"/>
      <c r="S764" s="161"/>
      <c r="T764" s="161"/>
      <c r="U764" s="161"/>
      <c r="V764" s="161"/>
      <c r="W764" s="161"/>
      <c r="X764" s="161"/>
      <c r="Y764" s="161"/>
      <c r="Z764" s="161"/>
      <c r="AA764" s="161"/>
    </row>
    <row r="765" spans="1:27" ht="12" customHeight="1" x14ac:dyDescent="0.25">
      <c r="A765" s="161"/>
      <c r="B765" s="161"/>
      <c r="C765" s="161"/>
      <c r="D765" s="161"/>
      <c r="E765" s="161"/>
      <c r="F765" s="161"/>
      <c r="G765" s="161"/>
      <c r="H765" s="161"/>
      <c r="I765" s="161"/>
      <c r="J765" s="161"/>
      <c r="K765" s="161"/>
      <c r="L765" s="161"/>
      <c r="M765" s="161"/>
      <c r="N765" s="161"/>
      <c r="O765" s="161"/>
      <c r="P765" s="161"/>
      <c r="Q765" s="161"/>
      <c r="R765" s="161"/>
      <c r="S765" s="161"/>
      <c r="T765" s="161"/>
      <c r="U765" s="161"/>
      <c r="V765" s="161"/>
      <c r="W765" s="161"/>
      <c r="X765" s="161"/>
      <c r="Y765" s="161"/>
      <c r="Z765" s="161"/>
      <c r="AA765" s="161"/>
    </row>
    <row r="766" spans="1:27" ht="12" customHeight="1" x14ac:dyDescent="0.25">
      <c r="A766" s="161"/>
      <c r="B766" s="161"/>
      <c r="C766" s="161"/>
      <c r="D766" s="161"/>
      <c r="E766" s="161"/>
      <c r="F766" s="161"/>
      <c r="G766" s="161"/>
      <c r="H766" s="161"/>
      <c r="I766" s="161"/>
      <c r="J766" s="161"/>
      <c r="K766" s="161"/>
      <c r="L766" s="161"/>
      <c r="M766" s="161"/>
      <c r="N766" s="161"/>
      <c r="O766" s="161"/>
      <c r="P766" s="161"/>
      <c r="Q766" s="161"/>
      <c r="R766" s="161"/>
      <c r="S766" s="161"/>
      <c r="T766" s="161"/>
      <c r="U766" s="161"/>
      <c r="V766" s="161"/>
      <c r="W766" s="161"/>
      <c r="X766" s="161"/>
      <c r="Y766" s="161"/>
      <c r="Z766" s="161"/>
      <c r="AA766" s="161"/>
    </row>
    <row r="767" spans="1:27" ht="12" customHeight="1" x14ac:dyDescent="0.25">
      <c r="A767" s="161"/>
      <c r="B767" s="161"/>
      <c r="C767" s="161"/>
      <c r="D767" s="161"/>
      <c r="E767" s="161"/>
      <c r="F767" s="161"/>
      <c r="G767" s="161"/>
      <c r="H767" s="161"/>
      <c r="I767" s="161"/>
      <c r="J767" s="161"/>
      <c r="K767" s="161"/>
      <c r="L767" s="161"/>
      <c r="M767" s="161"/>
      <c r="N767" s="161"/>
      <c r="O767" s="161"/>
      <c r="P767" s="161"/>
      <c r="Q767" s="161"/>
      <c r="R767" s="161"/>
      <c r="S767" s="161"/>
      <c r="T767" s="161"/>
      <c r="U767" s="161"/>
      <c r="V767" s="161"/>
      <c r="W767" s="161"/>
      <c r="X767" s="161"/>
      <c r="Y767" s="161"/>
      <c r="Z767" s="161"/>
      <c r="AA767" s="161"/>
    </row>
    <row r="768" spans="1:27" ht="12" customHeight="1" x14ac:dyDescent="0.25">
      <c r="A768" s="161"/>
      <c r="B768" s="161"/>
      <c r="C768" s="161"/>
      <c r="D768" s="161"/>
      <c r="E768" s="161"/>
      <c r="F768" s="161"/>
      <c r="G768" s="161"/>
      <c r="H768" s="161"/>
      <c r="I768" s="161"/>
      <c r="J768" s="161"/>
      <c r="K768" s="161"/>
      <c r="L768" s="161"/>
      <c r="M768" s="161"/>
      <c r="N768" s="161"/>
      <c r="O768" s="161"/>
      <c r="P768" s="161"/>
      <c r="Q768" s="161"/>
      <c r="R768" s="161"/>
      <c r="S768" s="161"/>
      <c r="T768" s="161"/>
      <c r="U768" s="161"/>
      <c r="V768" s="161"/>
      <c r="W768" s="161"/>
      <c r="X768" s="161"/>
      <c r="Y768" s="161"/>
      <c r="Z768" s="161"/>
      <c r="AA768" s="161"/>
    </row>
    <row r="769" spans="1:27" ht="12" customHeight="1" x14ac:dyDescent="0.25">
      <c r="A769" s="161"/>
      <c r="B769" s="161"/>
      <c r="C769" s="161"/>
      <c r="D769" s="161"/>
      <c r="E769" s="161"/>
      <c r="F769" s="161"/>
      <c r="G769" s="161"/>
      <c r="H769" s="161"/>
      <c r="I769" s="161"/>
      <c r="J769" s="161"/>
      <c r="K769" s="161"/>
      <c r="L769" s="161"/>
      <c r="M769" s="161"/>
      <c r="N769" s="161"/>
      <c r="O769" s="161"/>
      <c r="P769" s="161"/>
      <c r="Q769" s="161"/>
      <c r="R769" s="161"/>
      <c r="S769" s="161"/>
      <c r="T769" s="161"/>
      <c r="U769" s="161"/>
      <c r="V769" s="161"/>
      <c r="W769" s="161"/>
      <c r="X769" s="161"/>
      <c r="Y769" s="161"/>
      <c r="Z769" s="161"/>
      <c r="AA769" s="161"/>
    </row>
    <row r="770" spans="1:27" ht="12" customHeight="1" x14ac:dyDescent="0.25">
      <c r="A770" s="161"/>
      <c r="B770" s="161"/>
      <c r="C770" s="161"/>
      <c r="D770" s="161"/>
      <c r="E770" s="161"/>
      <c r="F770" s="161"/>
      <c r="G770" s="161"/>
      <c r="H770" s="161"/>
      <c r="I770" s="161"/>
      <c r="J770" s="161"/>
      <c r="K770" s="161"/>
      <c r="L770" s="161"/>
      <c r="M770" s="161"/>
      <c r="N770" s="161"/>
      <c r="O770" s="161"/>
      <c r="P770" s="161"/>
      <c r="Q770" s="161"/>
      <c r="R770" s="161"/>
      <c r="S770" s="161"/>
      <c r="T770" s="161"/>
      <c r="U770" s="161"/>
      <c r="V770" s="161"/>
      <c r="W770" s="161"/>
      <c r="X770" s="161"/>
      <c r="Y770" s="161"/>
      <c r="Z770" s="161"/>
      <c r="AA770" s="161"/>
    </row>
    <row r="771" spans="1:27" ht="12" customHeight="1" x14ac:dyDescent="0.25">
      <c r="A771" s="161"/>
      <c r="B771" s="161"/>
      <c r="C771" s="161"/>
      <c r="D771" s="161"/>
      <c r="E771" s="161"/>
      <c r="F771" s="161"/>
      <c r="G771" s="161"/>
      <c r="H771" s="161"/>
      <c r="I771" s="161"/>
      <c r="J771" s="161"/>
      <c r="K771" s="161"/>
      <c r="L771" s="161"/>
      <c r="M771" s="161"/>
      <c r="N771" s="161"/>
      <c r="O771" s="161"/>
      <c r="P771" s="161"/>
      <c r="Q771" s="161"/>
      <c r="R771" s="161"/>
      <c r="S771" s="161"/>
      <c r="T771" s="161"/>
      <c r="U771" s="161"/>
      <c r="V771" s="161"/>
      <c r="W771" s="161"/>
      <c r="X771" s="161"/>
      <c r="Y771" s="161"/>
      <c r="Z771" s="161"/>
      <c r="AA771" s="161"/>
    </row>
    <row r="772" spans="1:27" ht="12" customHeight="1" x14ac:dyDescent="0.25">
      <c r="A772" s="161"/>
      <c r="B772" s="161"/>
      <c r="C772" s="161"/>
      <c r="D772" s="161"/>
      <c r="E772" s="161"/>
      <c r="F772" s="161"/>
      <c r="G772" s="161"/>
      <c r="H772" s="161"/>
      <c r="I772" s="161"/>
      <c r="J772" s="161"/>
      <c r="K772" s="161"/>
      <c r="L772" s="161"/>
      <c r="M772" s="161"/>
      <c r="N772" s="161"/>
      <c r="O772" s="161"/>
      <c r="P772" s="161"/>
      <c r="Q772" s="161"/>
      <c r="R772" s="161"/>
      <c r="S772" s="161"/>
      <c r="T772" s="161"/>
      <c r="U772" s="161"/>
      <c r="V772" s="161"/>
      <c r="W772" s="161"/>
      <c r="X772" s="161"/>
      <c r="Y772" s="161"/>
      <c r="Z772" s="161"/>
      <c r="AA772" s="161"/>
    </row>
    <row r="773" spans="1:27" ht="12" customHeight="1" x14ac:dyDescent="0.25">
      <c r="A773" s="161"/>
      <c r="B773" s="161"/>
      <c r="C773" s="161"/>
      <c r="D773" s="161"/>
      <c r="E773" s="161"/>
      <c r="F773" s="161"/>
      <c r="G773" s="161"/>
      <c r="H773" s="161"/>
      <c r="I773" s="161"/>
      <c r="J773" s="161"/>
      <c r="K773" s="161"/>
      <c r="L773" s="161"/>
      <c r="M773" s="161"/>
      <c r="N773" s="161"/>
      <c r="O773" s="161"/>
      <c r="P773" s="161"/>
      <c r="Q773" s="161"/>
      <c r="R773" s="161"/>
      <c r="S773" s="161"/>
      <c r="T773" s="161"/>
      <c r="U773" s="161"/>
      <c r="V773" s="161"/>
      <c r="W773" s="161"/>
      <c r="X773" s="161"/>
      <c r="Y773" s="161"/>
      <c r="Z773" s="161"/>
      <c r="AA773" s="161"/>
    </row>
    <row r="774" spans="1:27" ht="12" customHeight="1" x14ac:dyDescent="0.25">
      <c r="A774" s="161"/>
      <c r="B774" s="161"/>
      <c r="C774" s="161"/>
      <c r="D774" s="161"/>
      <c r="E774" s="161"/>
      <c r="F774" s="161"/>
      <c r="G774" s="161"/>
      <c r="H774" s="161"/>
      <c r="I774" s="161"/>
      <c r="J774" s="161"/>
      <c r="K774" s="161"/>
      <c r="L774" s="161"/>
      <c r="M774" s="161"/>
      <c r="N774" s="161"/>
      <c r="O774" s="161"/>
      <c r="P774" s="161"/>
      <c r="Q774" s="161"/>
      <c r="R774" s="161"/>
      <c r="S774" s="161"/>
      <c r="T774" s="161"/>
      <c r="U774" s="161"/>
      <c r="V774" s="161"/>
      <c r="W774" s="161"/>
      <c r="X774" s="161"/>
      <c r="Y774" s="161"/>
      <c r="Z774" s="161"/>
      <c r="AA774" s="161"/>
    </row>
    <row r="775" spans="1:27" ht="12" customHeight="1" x14ac:dyDescent="0.25">
      <c r="A775" s="161"/>
      <c r="B775" s="161"/>
      <c r="C775" s="161"/>
      <c r="D775" s="161"/>
      <c r="E775" s="161"/>
      <c r="F775" s="161"/>
      <c r="G775" s="161"/>
      <c r="H775" s="161"/>
      <c r="I775" s="161"/>
      <c r="J775" s="161"/>
      <c r="K775" s="161"/>
      <c r="L775" s="161"/>
      <c r="M775" s="161"/>
      <c r="N775" s="161"/>
      <c r="O775" s="161"/>
      <c r="P775" s="161"/>
      <c r="Q775" s="161"/>
      <c r="R775" s="161"/>
      <c r="S775" s="161"/>
      <c r="T775" s="161"/>
      <c r="U775" s="161"/>
      <c r="V775" s="161"/>
      <c r="W775" s="161"/>
      <c r="X775" s="161"/>
      <c r="Y775" s="161"/>
      <c r="Z775" s="161"/>
      <c r="AA775" s="161"/>
    </row>
    <row r="776" spans="1:27" ht="12" customHeight="1" x14ac:dyDescent="0.25">
      <c r="A776" s="161"/>
      <c r="B776" s="161"/>
      <c r="C776" s="161"/>
      <c r="D776" s="161"/>
      <c r="E776" s="161"/>
      <c r="F776" s="161"/>
      <c r="G776" s="161"/>
      <c r="H776" s="161"/>
      <c r="I776" s="161"/>
      <c r="J776" s="161"/>
      <c r="K776" s="161"/>
      <c r="L776" s="161"/>
      <c r="M776" s="161"/>
      <c r="N776" s="161"/>
      <c r="O776" s="161"/>
      <c r="P776" s="161"/>
      <c r="Q776" s="161"/>
      <c r="R776" s="161"/>
      <c r="S776" s="161"/>
      <c r="T776" s="161"/>
      <c r="U776" s="161"/>
      <c r="V776" s="161"/>
      <c r="W776" s="161"/>
      <c r="X776" s="161"/>
      <c r="Y776" s="161"/>
      <c r="Z776" s="161"/>
      <c r="AA776" s="161"/>
    </row>
    <row r="777" spans="1:27" ht="12" customHeight="1" x14ac:dyDescent="0.25">
      <c r="A777" s="161"/>
      <c r="B777" s="161"/>
      <c r="C777" s="161"/>
      <c r="D777" s="161"/>
      <c r="E777" s="161"/>
      <c r="F777" s="161"/>
      <c r="G777" s="161"/>
      <c r="H777" s="161"/>
      <c r="I777" s="161"/>
      <c r="J777" s="161"/>
      <c r="K777" s="161"/>
      <c r="L777" s="161"/>
      <c r="M777" s="161"/>
      <c r="N777" s="161"/>
      <c r="O777" s="161"/>
      <c r="P777" s="161"/>
      <c r="Q777" s="161"/>
      <c r="R777" s="161"/>
      <c r="S777" s="161"/>
      <c r="T777" s="161"/>
      <c r="U777" s="161"/>
      <c r="V777" s="161"/>
      <c r="W777" s="161"/>
      <c r="X777" s="161"/>
      <c r="Y777" s="161"/>
      <c r="Z777" s="161"/>
      <c r="AA777" s="161"/>
    </row>
    <row r="778" spans="1:27" ht="12" customHeight="1" x14ac:dyDescent="0.25">
      <c r="A778" s="161"/>
      <c r="B778" s="161"/>
      <c r="C778" s="161"/>
      <c r="D778" s="161"/>
      <c r="E778" s="161"/>
      <c r="F778" s="161"/>
      <c r="G778" s="161"/>
      <c r="H778" s="161"/>
      <c r="I778" s="161"/>
      <c r="J778" s="161"/>
      <c r="K778" s="161"/>
      <c r="L778" s="161"/>
      <c r="M778" s="161"/>
      <c r="N778" s="161"/>
      <c r="O778" s="161"/>
      <c r="P778" s="161"/>
      <c r="Q778" s="161"/>
      <c r="R778" s="161"/>
      <c r="S778" s="161"/>
      <c r="T778" s="161"/>
      <c r="U778" s="161"/>
      <c r="V778" s="161"/>
      <c r="W778" s="161"/>
      <c r="X778" s="161"/>
      <c r="Y778" s="161"/>
      <c r="Z778" s="161"/>
      <c r="AA778" s="161"/>
    </row>
    <row r="779" spans="1:27" ht="12" customHeight="1" x14ac:dyDescent="0.25">
      <c r="A779" s="161"/>
      <c r="B779" s="161"/>
      <c r="C779" s="161"/>
      <c r="D779" s="161"/>
      <c r="E779" s="161"/>
      <c r="F779" s="161"/>
      <c r="G779" s="161"/>
      <c r="H779" s="161"/>
      <c r="I779" s="161"/>
      <c r="J779" s="161"/>
      <c r="K779" s="161"/>
      <c r="L779" s="161"/>
      <c r="M779" s="161"/>
      <c r="N779" s="161"/>
      <c r="O779" s="161"/>
      <c r="P779" s="161"/>
      <c r="Q779" s="161"/>
      <c r="R779" s="161"/>
      <c r="S779" s="161"/>
      <c r="T779" s="161"/>
      <c r="U779" s="161"/>
      <c r="V779" s="161"/>
      <c r="W779" s="161"/>
      <c r="X779" s="161"/>
      <c r="Y779" s="161"/>
      <c r="Z779" s="161"/>
      <c r="AA779" s="161"/>
    </row>
    <row r="780" spans="1:27" ht="12" customHeight="1" x14ac:dyDescent="0.25">
      <c r="A780" s="161"/>
      <c r="B780" s="161"/>
      <c r="C780" s="161"/>
      <c r="D780" s="161"/>
      <c r="E780" s="161"/>
      <c r="F780" s="161"/>
      <c r="G780" s="161"/>
      <c r="H780" s="161"/>
      <c r="I780" s="161"/>
      <c r="J780" s="161"/>
      <c r="K780" s="161"/>
      <c r="L780" s="161"/>
      <c r="M780" s="161"/>
      <c r="N780" s="161"/>
      <c r="O780" s="161"/>
      <c r="P780" s="161"/>
      <c r="Q780" s="161"/>
      <c r="R780" s="161"/>
      <c r="S780" s="161"/>
      <c r="T780" s="161"/>
      <c r="U780" s="161"/>
      <c r="V780" s="161"/>
      <c r="W780" s="161"/>
      <c r="X780" s="161"/>
      <c r="Y780" s="161"/>
      <c r="Z780" s="161"/>
      <c r="AA780" s="161"/>
    </row>
    <row r="781" spans="1:27" ht="12" customHeight="1" x14ac:dyDescent="0.25">
      <c r="A781" s="161"/>
      <c r="B781" s="161"/>
      <c r="C781" s="161"/>
      <c r="D781" s="161"/>
      <c r="E781" s="161"/>
      <c r="F781" s="161"/>
      <c r="G781" s="161"/>
      <c r="H781" s="161"/>
      <c r="I781" s="161"/>
      <c r="J781" s="161"/>
      <c r="K781" s="161"/>
      <c r="L781" s="161"/>
      <c r="M781" s="161"/>
      <c r="N781" s="161"/>
      <c r="O781" s="161"/>
      <c r="P781" s="161"/>
      <c r="Q781" s="161"/>
      <c r="R781" s="161"/>
      <c r="S781" s="161"/>
      <c r="T781" s="161"/>
      <c r="U781" s="161"/>
      <c r="V781" s="161"/>
      <c r="W781" s="161"/>
      <c r="X781" s="161"/>
      <c r="Y781" s="161"/>
      <c r="Z781" s="161"/>
      <c r="AA781" s="161"/>
    </row>
    <row r="782" spans="1:27" ht="12" customHeight="1" x14ac:dyDescent="0.25">
      <c r="A782" s="161"/>
      <c r="B782" s="161"/>
      <c r="C782" s="161"/>
      <c r="D782" s="161"/>
      <c r="E782" s="161"/>
      <c r="F782" s="161"/>
      <c r="G782" s="161"/>
      <c r="H782" s="161"/>
      <c r="I782" s="161"/>
      <c r="J782" s="161"/>
      <c r="K782" s="161"/>
      <c r="L782" s="161"/>
      <c r="M782" s="161"/>
      <c r="N782" s="161"/>
      <c r="O782" s="161"/>
      <c r="P782" s="161"/>
      <c r="Q782" s="161"/>
      <c r="R782" s="161"/>
      <c r="S782" s="161"/>
      <c r="T782" s="161"/>
      <c r="U782" s="161"/>
      <c r="V782" s="161"/>
      <c r="W782" s="161"/>
      <c r="X782" s="161"/>
      <c r="Y782" s="161"/>
      <c r="Z782" s="161"/>
      <c r="AA782" s="161"/>
    </row>
    <row r="783" spans="1:27" ht="12" customHeight="1" x14ac:dyDescent="0.25">
      <c r="A783" s="161"/>
      <c r="B783" s="161"/>
      <c r="C783" s="161"/>
      <c r="D783" s="161"/>
      <c r="E783" s="161"/>
      <c r="F783" s="161"/>
      <c r="G783" s="161"/>
      <c r="H783" s="161"/>
      <c r="I783" s="161"/>
      <c r="J783" s="161"/>
      <c r="K783" s="161"/>
      <c r="L783" s="161"/>
      <c r="M783" s="161"/>
      <c r="N783" s="161"/>
      <c r="O783" s="161"/>
      <c r="P783" s="161"/>
      <c r="Q783" s="161"/>
      <c r="R783" s="161"/>
      <c r="S783" s="161"/>
      <c r="T783" s="161"/>
      <c r="U783" s="161"/>
      <c r="V783" s="161"/>
      <c r="W783" s="161"/>
      <c r="X783" s="161"/>
      <c r="Y783" s="161"/>
      <c r="Z783" s="161"/>
      <c r="AA783" s="161"/>
    </row>
    <row r="784" spans="1:27" ht="12" customHeight="1" x14ac:dyDescent="0.25">
      <c r="A784" s="161"/>
      <c r="B784" s="161"/>
      <c r="C784" s="161"/>
      <c r="D784" s="161"/>
      <c r="E784" s="161"/>
      <c r="F784" s="161"/>
      <c r="G784" s="161"/>
      <c r="H784" s="161"/>
      <c r="I784" s="161"/>
      <c r="J784" s="161"/>
      <c r="K784" s="161"/>
      <c r="L784" s="161"/>
      <c r="M784" s="161"/>
      <c r="N784" s="161"/>
      <c r="O784" s="161"/>
      <c r="P784" s="161"/>
      <c r="Q784" s="161"/>
      <c r="R784" s="161"/>
      <c r="S784" s="161"/>
      <c r="T784" s="161"/>
      <c r="U784" s="161"/>
      <c r="V784" s="161"/>
      <c r="W784" s="161"/>
      <c r="X784" s="161"/>
      <c r="Y784" s="161"/>
      <c r="Z784" s="161"/>
      <c r="AA784" s="161"/>
    </row>
    <row r="785" spans="1:27" ht="12" customHeight="1" x14ac:dyDescent="0.25">
      <c r="A785" s="161"/>
      <c r="B785" s="161"/>
      <c r="C785" s="161"/>
      <c r="D785" s="161"/>
      <c r="E785" s="161"/>
      <c r="F785" s="161"/>
      <c r="G785" s="161"/>
      <c r="H785" s="161"/>
      <c r="I785" s="161"/>
      <c r="J785" s="161"/>
      <c r="K785" s="161"/>
      <c r="L785" s="161"/>
      <c r="M785" s="161"/>
      <c r="N785" s="161"/>
      <c r="O785" s="161"/>
      <c r="P785" s="161"/>
      <c r="Q785" s="161"/>
      <c r="R785" s="161"/>
      <c r="S785" s="161"/>
      <c r="T785" s="161"/>
      <c r="U785" s="161"/>
      <c r="V785" s="161"/>
      <c r="W785" s="161"/>
      <c r="X785" s="161"/>
      <c r="Y785" s="161"/>
      <c r="Z785" s="161"/>
      <c r="AA785" s="161"/>
    </row>
    <row r="786" spans="1:27" ht="12" customHeight="1" x14ac:dyDescent="0.25">
      <c r="A786" s="161"/>
      <c r="B786" s="161"/>
      <c r="C786" s="161"/>
      <c r="D786" s="161"/>
      <c r="E786" s="161"/>
      <c r="F786" s="161"/>
      <c r="G786" s="161"/>
      <c r="H786" s="161"/>
      <c r="I786" s="161"/>
      <c r="J786" s="161"/>
      <c r="K786" s="161"/>
      <c r="L786" s="161"/>
      <c r="M786" s="161"/>
      <c r="N786" s="161"/>
      <c r="O786" s="161"/>
      <c r="P786" s="161"/>
      <c r="Q786" s="161"/>
      <c r="R786" s="161"/>
      <c r="S786" s="161"/>
      <c r="T786" s="161"/>
      <c r="U786" s="161"/>
      <c r="V786" s="161"/>
      <c r="W786" s="161"/>
      <c r="X786" s="161"/>
      <c r="Y786" s="161"/>
      <c r="Z786" s="161"/>
      <c r="AA786" s="161"/>
    </row>
    <row r="787" spans="1:27" ht="12" customHeight="1" x14ac:dyDescent="0.25">
      <c r="A787" s="161"/>
      <c r="B787" s="161"/>
      <c r="C787" s="161"/>
      <c r="D787" s="161"/>
      <c r="E787" s="161"/>
      <c r="F787" s="161"/>
      <c r="G787" s="161"/>
      <c r="H787" s="161"/>
      <c r="I787" s="161"/>
      <c r="J787" s="161"/>
      <c r="K787" s="161"/>
      <c r="L787" s="161"/>
      <c r="M787" s="161"/>
      <c r="N787" s="161"/>
      <c r="O787" s="161"/>
      <c r="P787" s="161"/>
      <c r="Q787" s="161"/>
      <c r="R787" s="161"/>
      <c r="S787" s="161"/>
      <c r="T787" s="161"/>
      <c r="U787" s="161"/>
      <c r="V787" s="161"/>
      <c r="W787" s="161"/>
      <c r="X787" s="161"/>
      <c r="Y787" s="161"/>
      <c r="Z787" s="161"/>
      <c r="AA787" s="161"/>
    </row>
    <row r="788" spans="1:27" ht="12" customHeight="1" x14ac:dyDescent="0.25">
      <c r="A788" s="161"/>
      <c r="B788" s="161"/>
      <c r="C788" s="161"/>
      <c r="D788" s="161"/>
      <c r="E788" s="161"/>
      <c r="F788" s="161"/>
      <c r="G788" s="161"/>
      <c r="H788" s="161"/>
      <c r="I788" s="161"/>
      <c r="J788" s="161"/>
      <c r="K788" s="161"/>
      <c r="L788" s="161"/>
      <c r="M788" s="161"/>
      <c r="N788" s="161"/>
      <c r="O788" s="161"/>
      <c r="P788" s="161"/>
      <c r="Q788" s="161"/>
      <c r="R788" s="161"/>
      <c r="S788" s="161"/>
      <c r="T788" s="161"/>
      <c r="U788" s="161"/>
      <c r="V788" s="161"/>
      <c r="W788" s="161"/>
      <c r="X788" s="161"/>
      <c r="Y788" s="161"/>
      <c r="Z788" s="161"/>
      <c r="AA788" s="161"/>
    </row>
    <row r="789" spans="1:27" ht="12" customHeight="1" x14ac:dyDescent="0.25">
      <c r="A789" s="161"/>
      <c r="B789" s="161"/>
      <c r="C789" s="161"/>
      <c r="D789" s="161"/>
      <c r="E789" s="161"/>
      <c r="F789" s="161"/>
      <c r="G789" s="161"/>
      <c r="H789" s="161"/>
      <c r="I789" s="161"/>
      <c r="J789" s="161"/>
      <c r="K789" s="161"/>
      <c r="L789" s="161"/>
      <c r="M789" s="161"/>
      <c r="N789" s="161"/>
      <c r="O789" s="161"/>
      <c r="P789" s="161"/>
      <c r="Q789" s="161"/>
      <c r="R789" s="161"/>
      <c r="S789" s="161"/>
      <c r="T789" s="161"/>
      <c r="U789" s="161"/>
      <c r="V789" s="161"/>
      <c r="W789" s="161"/>
      <c r="X789" s="161"/>
      <c r="Y789" s="161"/>
      <c r="Z789" s="161"/>
      <c r="AA789" s="161"/>
    </row>
    <row r="790" spans="1:27" ht="12" customHeight="1" x14ac:dyDescent="0.25">
      <c r="A790" s="161"/>
      <c r="B790" s="161"/>
      <c r="C790" s="161"/>
      <c r="D790" s="161"/>
      <c r="E790" s="161"/>
      <c r="F790" s="161"/>
      <c r="G790" s="161"/>
      <c r="H790" s="161"/>
      <c r="I790" s="161"/>
      <c r="J790" s="161"/>
      <c r="K790" s="161"/>
      <c r="L790" s="161"/>
      <c r="M790" s="161"/>
      <c r="N790" s="161"/>
      <c r="O790" s="161"/>
      <c r="P790" s="161"/>
      <c r="Q790" s="161"/>
      <c r="R790" s="161"/>
      <c r="S790" s="161"/>
      <c r="T790" s="161"/>
      <c r="U790" s="161"/>
      <c r="V790" s="161"/>
      <c r="W790" s="161"/>
      <c r="X790" s="161"/>
      <c r="Y790" s="161"/>
      <c r="Z790" s="161"/>
      <c r="AA790" s="161"/>
    </row>
    <row r="791" spans="1:27" ht="12" customHeight="1" x14ac:dyDescent="0.25">
      <c r="A791" s="161"/>
      <c r="B791" s="161"/>
      <c r="C791" s="161"/>
      <c r="D791" s="161"/>
      <c r="E791" s="161"/>
      <c r="F791" s="161"/>
      <c r="G791" s="161"/>
      <c r="H791" s="161"/>
      <c r="I791" s="161"/>
      <c r="J791" s="161"/>
      <c r="K791" s="161"/>
      <c r="L791" s="161"/>
      <c r="M791" s="161"/>
      <c r="N791" s="161"/>
      <c r="O791" s="161"/>
      <c r="P791" s="161"/>
      <c r="Q791" s="161"/>
      <c r="R791" s="161"/>
      <c r="S791" s="161"/>
      <c r="T791" s="161"/>
      <c r="U791" s="161"/>
      <c r="V791" s="161"/>
      <c r="W791" s="161"/>
      <c r="X791" s="161"/>
      <c r="Y791" s="161"/>
      <c r="Z791" s="161"/>
      <c r="AA791" s="161"/>
    </row>
    <row r="792" spans="1:27" ht="12" customHeight="1" x14ac:dyDescent="0.25">
      <c r="A792" s="161"/>
      <c r="B792" s="161"/>
      <c r="C792" s="161"/>
      <c r="D792" s="161"/>
      <c r="E792" s="161"/>
      <c r="F792" s="161"/>
      <c r="G792" s="161"/>
      <c r="H792" s="161"/>
      <c r="I792" s="161"/>
      <c r="J792" s="161"/>
      <c r="K792" s="161"/>
      <c r="L792" s="161"/>
      <c r="M792" s="161"/>
      <c r="N792" s="161"/>
      <c r="O792" s="161"/>
      <c r="P792" s="161"/>
      <c r="Q792" s="161"/>
      <c r="R792" s="161"/>
      <c r="S792" s="161"/>
      <c r="T792" s="161"/>
      <c r="U792" s="161"/>
      <c r="V792" s="161"/>
      <c r="W792" s="161"/>
      <c r="X792" s="161"/>
      <c r="Y792" s="161"/>
      <c r="Z792" s="161"/>
      <c r="AA792" s="161"/>
    </row>
    <row r="793" spans="1:27" ht="12" customHeight="1" x14ac:dyDescent="0.25">
      <c r="A793" s="161"/>
      <c r="B793" s="161"/>
      <c r="C793" s="161"/>
      <c r="D793" s="161"/>
      <c r="E793" s="161"/>
      <c r="F793" s="161"/>
      <c r="G793" s="161"/>
      <c r="H793" s="161"/>
      <c r="I793" s="161"/>
      <c r="J793" s="161"/>
      <c r="K793" s="161"/>
      <c r="L793" s="161"/>
      <c r="M793" s="161"/>
      <c r="N793" s="161"/>
      <c r="O793" s="161"/>
      <c r="P793" s="161"/>
      <c r="Q793" s="161"/>
      <c r="R793" s="161"/>
      <c r="S793" s="161"/>
      <c r="T793" s="161"/>
      <c r="U793" s="161"/>
      <c r="V793" s="161"/>
      <c r="W793" s="161"/>
      <c r="X793" s="161"/>
      <c r="Y793" s="161"/>
      <c r="Z793" s="161"/>
      <c r="AA793" s="161"/>
    </row>
    <row r="794" spans="1:27" ht="12" customHeight="1" x14ac:dyDescent="0.25">
      <c r="A794" s="161"/>
      <c r="B794" s="161"/>
      <c r="C794" s="161"/>
      <c r="D794" s="161"/>
      <c r="E794" s="161"/>
      <c r="F794" s="161"/>
      <c r="G794" s="161"/>
      <c r="H794" s="161"/>
      <c r="I794" s="161"/>
      <c r="J794" s="161"/>
      <c r="K794" s="161"/>
      <c r="L794" s="161"/>
      <c r="M794" s="161"/>
      <c r="N794" s="161"/>
      <c r="O794" s="161"/>
      <c r="P794" s="161"/>
      <c r="Q794" s="161"/>
      <c r="R794" s="161"/>
      <c r="S794" s="161"/>
      <c r="T794" s="161"/>
      <c r="U794" s="161"/>
      <c r="V794" s="161"/>
      <c r="W794" s="161"/>
      <c r="X794" s="161"/>
      <c r="Y794" s="161"/>
      <c r="Z794" s="161"/>
      <c r="AA794" s="161"/>
    </row>
    <row r="795" spans="1:27" ht="12" customHeight="1" x14ac:dyDescent="0.25">
      <c r="A795" s="161"/>
      <c r="B795" s="161"/>
      <c r="C795" s="161"/>
      <c r="D795" s="161"/>
      <c r="E795" s="161"/>
      <c r="F795" s="161"/>
      <c r="G795" s="161"/>
      <c r="H795" s="161"/>
      <c r="I795" s="161"/>
      <c r="J795" s="161"/>
      <c r="K795" s="161"/>
      <c r="L795" s="161"/>
      <c r="M795" s="161"/>
      <c r="N795" s="161"/>
      <c r="O795" s="161"/>
      <c r="P795" s="161"/>
      <c r="Q795" s="161"/>
      <c r="R795" s="161"/>
      <c r="S795" s="161"/>
      <c r="T795" s="161"/>
      <c r="U795" s="161"/>
      <c r="V795" s="161"/>
      <c r="W795" s="161"/>
      <c r="X795" s="161"/>
      <c r="Y795" s="161"/>
      <c r="Z795" s="161"/>
      <c r="AA795" s="161"/>
    </row>
    <row r="796" spans="1:27" ht="12" customHeight="1" x14ac:dyDescent="0.25">
      <c r="A796" s="161"/>
      <c r="B796" s="161"/>
      <c r="C796" s="161"/>
      <c r="D796" s="161"/>
      <c r="E796" s="161"/>
      <c r="F796" s="161"/>
      <c r="G796" s="161"/>
      <c r="H796" s="161"/>
      <c r="I796" s="161"/>
      <c r="J796" s="161"/>
      <c r="K796" s="161"/>
      <c r="L796" s="161"/>
      <c r="M796" s="161"/>
      <c r="N796" s="161"/>
      <c r="O796" s="161"/>
      <c r="P796" s="161"/>
      <c r="Q796" s="161"/>
      <c r="R796" s="161"/>
      <c r="S796" s="161"/>
      <c r="T796" s="161"/>
      <c r="U796" s="161"/>
      <c r="V796" s="161"/>
      <c r="W796" s="161"/>
      <c r="X796" s="161"/>
      <c r="Y796" s="161"/>
      <c r="Z796" s="161"/>
      <c r="AA796" s="161"/>
    </row>
    <row r="797" spans="1:27" ht="12" customHeight="1" x14ac:dyDescent="0.25">
      <c r="A797" s="161"/>
      <c r="B797" s="161"/>
      <c r="C797" s="161"/>
      <c r="D797" s="161"/>
      <c r="E797" s="161"/>
      <c r="F797" s="161"/>
      <c r="G797" s="161"/>
      <c r="H797" s="161"/>
      <c r="I797" s="161"/>
      <c r="J797" s="161"/>
      <c r="K797" s="161"/>
      <c r="L797" s="161"/>
      <c r="M797" s="161"/>
      <c r="N797" s="161"/>
      <c r="O797" s="161"/>
      <c r="P797" s="161"/>
      <c r="Q797" s="161"/>
      <c r="R797" s="161"/>
      <c r="S797" s="161"/>
      <c r="T797" s="161"/>
      <c r="U797" s="161"/>
      <c r="V797" s="161"/>
      <c r="W797" s="161"/>
      <c r="X797" s="161"/>
      <c r="Y797" s="161"/>
      <c r="Z797" s="161"/>
      <c r="AA797" s="161"/>
    </row>
    <row r="798" spans="1:27" ht="12" customHeight="1" x14ac:dyDescent="0.25">
      <c r="A798" s="161"/>
      <c r="B798" s="161"/>
      <c r="C798" s="161"/>
      <c r="D798" s="161"/>
      <c r="E798" s="161"/>
      <c r="F798" s="161"/>
      <c r="G798" s="161"/>
      <c r="H798" s="161"/>
      <c r="I798" s="161"/>
      <c r="J798" s="161"/>
      <c r="K798" s="161"/>
      <c r="L798" s="161"/>
      <c r="M798" s="161"/>
      <c r="N798" s="161"/>
      <c r="O798" s="161"/>
      <c r="P798" s="161"/>
      <c r="Q798" s="161"/>
      <c r="R798" s="161"/>
      <c r="S798" s="161"/>
      <c r="T798" s="161"/>
      <c r="U798" s="161"/>
      <c r="V798" s="161"/>
      <c r="W798" s="161"/>
      <c r="X798" s="161"/>
      <c r="Y798" s="161"/>
      <c r="Z798" s="161"/>
      <c r="AA798" s="161"/>
    </row>
    <row r="799" spans="1:27" ht="12" customHeight="1" x14ac:dyDescent="0.25">
      <c r="A799" s="161"/>
      <c r="B799" s="161"/>
      <c r="C799" s="161"/>
      <c r="D799" s="161"/>
      <c r="E799" s="161"/>
      <c r="F799" s="161"/>
      <c r="G799" s="161"/>
      <c r="H799" s="161"/>
      <c r="I799" s="161"/>
      <c r="J799" s="161"/>
      <c r="K799" s="161"/>
      <c r="L799" s="161"/>
      <c r="M799" s="161"/>
      <c r="N799" s="161"/>
      <c r="O799" s="161"/>
      <c r="P799" s="161"/>
      <c r="Q799" s="161"/>
      <c r="R799" s="161"/>
      <c r="S799" s="161"/>
      <c r="T799" s="161"/>
      <c r="U799" s="161"/>
      <c r="V799" s="161"/>
      <c r="W799" s="161"/>
      <c r="X799" s="161"/>
      <c r="Y799" s="161"/>
      <c r="Z799" s="161"/>
      <c r="AA799" s="161"/>
    </row>
    <row r="800" spans="1:27" ht="12" customHeight="1" x14ac:dyDescent="0.25">
      <c r="A800" s="161"/>
      <c r="B800" s="161"/>
      <c r="C800" s="161"/>
      <c r="D800" s="161"/>
      <c r="E800" s="161"/>
      <c r="F800" s="161"/>
      <c r="G800" s="161"/>
      <c r="H800" s="161"/>
      <c r="I800" s="161"/>
      <c r="J800" s="161"/>
      <c r="K800" s="161"/>
      <c r="L800" s="161"/>
      <c r="M800" s="161"/>
      <c r="N800" s="161"/>
      <c r="O800" s="161"/>
      <c r="P800" s="161"/>
      <c r="Q800" s="161"/>
      <c r="R800" s="161"/>
      <c r="S800" s="161"/>
      <c r="T800" s="161"/>
      <c r="U800" s="161"/>
      <c r="V800" s="161"/>
      <c r="W800" s="161"/>
      <c r="X800" s="161"/>
      <c r="Y800" s="161"/>
      <c r="Z800" s="161"/>
      <c r="AA800" s="161"/>
    </row>
    <row r="801" spans="1:27" ht="12" customHeight="1" x14ac:dyDescent="0.25">
      <c r="A801" s="161"/>
      <c r="B801" s="161"/>
      <c r="C801" s="161"/>
      <c r="D801" s="161"/>
      <c r="E801" s="161"/>
      <c r="F801" s="161"/>
      <c r="G801" s="161"/>
      <c r="H801" s="161"/>
      <c r="I801" s="161"/>
      <c r="J801" s="161"/>
      <c r="K801" s="161"/>
      <c r="L801" s="161"/>
      <c r="M801" s="161"/>
      <c r="N801" s="161"/>
      <c r="O801" s="161"/>
      <c r="P801" s="161"/>
      <c r="Q801" s="161"/>
      <c r="R801" s="161"/>
      <c r="S801" s="161"/>
      <c r="T801" s="161"/>
      <c r="U801" s="161"/>
      <c r="V801" s="161"/>
      <c r="W801" s="161"/>
      <c r="X801" s="161"/>
      <c r="Y801" s="161"/>
      <c r="Z801" s="161"/>
      <c r="AA801" s="161"/>
    </row>
    <row r="802" spans="1:27" ht="12" customHeight="1" x14ac:dyDescent="0.25">
      <c r="A802" s="161"/>
      <c r="B802" s="161"/>
      <c r="C802" s="161"/>
      <c r="D802" s="161"/>
      <c r="E802" s="161"/>
      <c r="F802" s="161"/>
      <c r="G802" s="161"/>
      <c r="H802" s="161"/>
      <c r="I802" s="161"/>
      <c r="J802" s="161"/>
      <c r="K802" s="161"/>
      <c r="L802" s="161"/>
      <c r="M802" s="161"/>
      <c r="N802" s="161"/>
      <c r="O802" s="161"/>
      <c r="P802" s="161"/>
      <c r="Q802" s="161"/>
      <c r="R802" s="161"/>
      <c r="S802" s="161"/>
      <c r="T802" s="161"/>
      <c r="U802" s="161"/>
      <c r="V802" s="161"/>
      <c r="W802" s="161"/>
      <c r="X802" s="161"/>
      <c r="Y802" s="161"/>
      <c r="Z802" s="161"/>
      <c r="AA802" s="161"/>
    </row>
    <row r="803" spans="1:27" ht="12" customHeight="1" x14ac:dyDescent="0.25">
      <c r="A803" s="161"/>
      <c r="B803" s="161"/>
      <c r="C803" s="161"/>
      <c r="D803" s="161"/>
      <c r="E803" s="161"/>
      <c r="F803" s="161"/>
      <c r="G803" s="161"/>
      <c r="H803" s="161"/>
      <c r="I803" s="161"/>
      <c r="J803" s="161"/>
      <c r="K803" s="161"/>
      <c r="L803" s="161"/>
      <c r="M803" s="161"/>
      <c r="N803" s="161"/>
      <c r="O803" s="161"/>
      <c r="P803" s="161"/>
      <c r="Q803" s="161"/>
      <c r="R803" s="161"/>
      <c r="S803" s="161"/>
      <c r="T803" s="161"/>
      <c r="U803" s="161"/>
      <c r="V803" s="161"/>
      <c r="W803" s="161"/>
      <c r="X803" s="161"/>
      <c r="Y803" s="161"/>
      <c r="Z803" s="161"/>
      <c r="AA803" s="161"/>
    </row>
    <row r="804" spans="1:27" ht="12" customHeight="1" x14ac:dyDescent="0.25">
      <c r="A804" s="161"/>
      <c r="B804" s="161"/>
      <c r="C804" s="161"/>
      <c r="D804" s="161"/>
      <c r="E804" s="161"/>
      <c r="F804" s="161"/>
      <c r="G804" s="161"/>
      <c r="H804" s="161"/>
      <c r="I804" s="161"/>
      <c r="J804" s="161"/>
      <c r="K804" s="161"/>
      <c r="L804" s="161"/>
      <c r="M804" s="161"/>
      <c r="N804" s="161"/>
      <c r="O804" s="161"/>
      <c r="P804" s="161"/>
      <c r="Q804" s="161"/>
      <c r="R804" s="161"/>
      <c r="S804" s="161"/>
      <c r="T804" s="161"/>
      <c r="U804" s="161"/>
      <c r="V804" s="161"/>
      <c r="W804" s="161"/>
      <c r="X804" s="161"/>
      <c r="Y804" s="161"/>
      <c r="Z804" s="161"/>
      <c r="AA804" s="161"/>
    </row>
    <row r="805" spans="1:27" ht="12" customHeight="1" x14ac:dyDescent="0.25">
      <c r="A805" s="161"/>
      <c r="B805" s="161"/>
      <c r="C805" s="161"/>
      <c r="D805" s="161"/>
      <c r="E805" s="161"/>
      <c r="F805" s="161"/>
      <c r="G805" s="161"/>
      <c r="H805" s="161"/>
      <c r="I805" s="161"/>
      <c r="J805" s="161"/>
      <c r="K805" s="161"/>
      <c r="L805" s="161"/>
      <c r="M805" s="161"/>
      <c r="N805" s="161"/>
      <c r="O805" s="161"/>
      <c r="P805" s="161"/>
      <c r="Q805" s="161"/>
      <c r="R805" s="161"/>
      <c r="S805" s="161"/>
      <c r="T805" s="161"/>
      <c r="U805" s="161"/>
      <c r="V805" s="161"/>
      <c r="W805" s="161"/>
      <c r="X805" s="161"/>
      <c r="Y805" s="161"/>
      <c r="Z805" s="161"/>
      <c r="AA805" s="161"/>
    </row>
    <row r="806" spans="1:27" ht="12" customHeight="1" x14ac:dyDescent="0.25">
      <c r="A806" s="161"/>
      <c r="B806" s="161"/>
      <c r="C806" s="161"/>
      <c r="D806" s="161"/>
      <c r="E806" s="161"/>
      <c r="F806" s="161"/>
      <c r="G806" s="161"/>
      <c r="H806" s="161"/>
      <c r="I806" s="161"/>
      <c r="J806" s="161"/>
      <c r="K806" s="161"/>
      <c r="L806" s="161"/>
      <c r="M806" s="161"/>
      <c r="N806" s="161"/>
      <c r="O806" s="161"/>
      <c r="P806" s="161"/>
      <c r="Q806" s="161"/>
      <c r="R806" s="161"/>
      <c r="S806" s="161"/>
      <c r="T806" s="161"/>
      <c r="U806" s="161"/>
      <c r="V806" s="161"/>
      <c r="W806" s="161"/>
      <c r="X806" s="161"/>
      <c r="Y806" s="161"/>
      <c r="Z806" s="161"/>
      <c r="AA806" s="161"/>
    </row>
    <row r="807" spans="1:27" ht="12" customHeight="1" x14ac:dyDescent="0.25">
      <c r="A807" s="161"/>
      <c r="B807" s="161"/>
      <c r="C807" s="161"/>
      <c r="D807" s="161"/>
      <c r="E807" s="161"/>
      <c r="F807" s="161"/>
      <c r="G807" s="161"/>
      <c r="H807" s="161"/>
      <c r="I807" s="161"/>
      <c r="J807" s="161"/>
      <c r="K807" s="161"/>
      <c r="L807" s="161"/>
      <c r="M807" s="161"/>
      <c r="N807" s="161"/>
      <c r="O807" s="161"/>
      <c r="P807" s="161"/>
      <c r="Q807" s="161"/>
      <c r="R807" s="161"/>
      <c r="S807" s="161"/>
      <c r="T807" s="161"/>
      <c r="U807" s="161"/>
      <c r="V807" s="161"/>
      <c r="W807" s="161"/>
      <c r="X807" s="161"/>
      <c r="Y807" s="161"/>
      <c r="Z807" s="161"/>
      <c r="AA807" s="161"/>
    </row>
    <row r="808" spans="1:27" ht="12" customHeight="1" x14ac:dyDescent="0.25">
      <c r="A808" s="161"/>
      <c r="B808" s="161"/>
      <c r="C808" s="161"/>
      <c r="D808" s="161"/>
      <c r="E808" s="161"/>
      <c r="F808" s="161"/>
      <c r="G808" s="161"/>
      <c r="H808" s="161"/>
      <c r="I808" s="161"/>
      <c r="J808" s="161"/>
      <c r="K808" s="161"/>
      <c r="L808" s="161"/>
      <c r="M808" s="161"/>
      <c r="N808" s="161"/>
      <c r="O808" s="161"/>
      <c r="P808" s="161"/>
      <c r="Q808" s="161"/>
      <c r="R808" s="161"/>
      <c r="S808" s="161"/>
      <c r="T808" s="161"/>
      <c r="U808" s="161"/>
      <c r="V808" s="161"/>
      <c r="W808" s="161"/>
      <c r="X808" s="161"/>
      <c r="Y808" s="161"/>
      <c r="Z808" s="161"/>
      <c r="AA808" s="161"/>
    </row>
    <row r="809" spans="1:27" ht="12" customHeight="1" x14ac:dyDescent="0.25">
      <c r="A809" s="161"/>
      <c r="B809" s="161"/>
      <c r="C809" s="161"/>
      <c r="D809" s="161"/>
      <c r="E809" s="161"/>
      <c r="F809" s="161"/>
      <c r="G809" s="161"/>
      <c r="H809" s="161"/>
      <c r="I809" s="161"/>
      <c r="J809" s="161"/>
      <c r="K809" s="161"/>
      <c r="L809" s="161"/>
      <c r="M809" s="161"/>
      <c r="N809" s="161"/>
      <c r="O809" s="161"/>
      <c r="P809" s="161"/>
      <c r="Q809" s="161"/>
      <c r="R809" s="161"/>
      <c r="S809" s="161"/>
      <c r="T809" s="161"/>
      <c r="U809" s="161"/>
      <c r="V809" s="161"/>
      <c r="W809" s="161"/>
      <c r="X809" s="161"/>
      <c r="Y809" s="161"/>
      <c r="Z809" s="161"/>
      <c r="AA809" s="161"/>
    </row>
    <row r="810" spans="1:27" ht="12" customHeight="1" x14ac:dyDescent="0.25">
      <c r="A810" s="161"/>
      <c r="B810" s="161"/>
      <c r="C810" s="161"/>
      <c r="D810" s="161"/>
      <c r="E810" s="161"/>
      <c r="F810" s="161"/>
      <c r="G810" s="161"/>
      <c r="H810" s="161"/>
      <c r="I810" s="161"/>
      <c r="J810" s="161"/>
      <c r="K810" s="161"/>
      <c r="L810" s="161"/>
      <c r="M810" s="161"/>
      <c r="N810" s="161"/>
      <c r="O810" s="161"/>
      <c r="P810" s="161"/>
      <c r="Q810" s="161"/>
      <c r="R810" s="161"/>
      <c r="S810" s="161"/>
      <c r="T810" s="161"/>
      <c r="U810" s="161"/>
      <c r="V810" s="161"/>
      <c r="W810" s="161"/>
      <c r="X810" s="161"/>
      <c r="Y810" s="161"/>
      <c r="Z810" s="161"/>
      <c r="AA810" s="161"/>
    </row>
    <row r="811" spans="1:27" ht="12" customHeight="1" x14ac:dyDescent="0.25">
      <c r="A811" s="161"/>
      <c r="B811" s="161"/>
      <c r="C811" s="161"/>
      <c r="D811" s="161"/>
      <c r="E811" s="161"/>
      <c r="F811" s="161"/>
      <c r="G811" s="161"/>
      <c r="H811" s="161"/>
      <c r="I811" s="161"/>
      <c r="J811" s="161"/>
      <c r="K811" s="161"/>
      <c r="L811" s="161"/>
      <c r="M811" s="161"/>
      <c r="N811" s="161"/>
      <c r="O811" s="161"/>
      <c r="P811" s="161"/>
      <c r="Q811" s="161"/>
      <c r="R811" s="161"/>
      <c r="S811" s="161"/>
      <c r="T811" s="161"/>
      <c r="U811" s="161"/>
      <c r="V811" s="161"/>
      <c r="W811" s="161"/>
      <c r="X811" s="161"/>
      <c r="Y811" s="161"/>
      <c r="Z811" s="161"/>
      <c r="AA811" s="161"/>
    </row>
    <row r="812" spans="1:27" ht="12" customHeight="1" x14ac:dyDescent="0.25">
      <c r="A812" s="161"/>
      <c r="B812" s="161"/>
      <c r="C812" s="161"/>
      <c r="D812" s="161"/>
      <c r="E812" s="161"/>
      <c r="F812" s="161"/>
      <c r="G812" s="161"/>
      <c r="H812" s="161"/>
      <c r="I812" s="161"/>
      <c r="J812" s="161"/>
      <c r="K812" s="161"/>
      <c r="L812" s="161"/>
      <c r="M812" s="161"/>
      <c r="N812" s="161"/>
      <c r="O812" s="161"/>
      <c r="P812" s="161"/>
      <c r="Q812" s="161"/>
      <c r="R812" s="161"/>
      <c r="S812" s="161"/>
      <c r="T812" s="161"/>
      <c r="U812" s="161"/>
      <c r="V812" s="161"/>
      <c r="W812" s="161"/>
      <c r="X812" s="161"/>
      <c r="Y812" s="161"/>
      <c r="Z812" s="161"/>
      <c r="AA812" s="161"/>
    </row>
    <row r="813" spans="1:27" ht="12" customHeight="1" x14ac:dyDescent="0.25">
      <c r="A813" s="161"/>
      <c r="B813" s="161"/>
      <c r="C813" s="161"/>
      <c r="D813" s="161"/>
      <c r="E813" s="161"/>
      <c r="F813" s="161"/>
      <c r="G813" s="161"/>
      <c r="H813" s="161"/>
      <c r="I813" s="161"/>
      <c r="J813" s="161"/>
      <c r="K813" s="161"/>
      <c r="L813" s="161"/>
      <c r="M813" s="161"/>
      <c r="N813" s="161"/>
      <c r="O813" s="161"/>
      <c r="P813" s="161"/>
      <c r="Q813" s="161"/>
      <c r="R813" s="161"/>
      <c r="S813" s="161"/>
      <c r="T813" s="161"/>
      <c r="U813" s="161"/>
      <c r="V813" s="161"/>
      <c r="W813" s="161"/>
      <c r="X813" s="161"/>
      <c r="Y813" s="161"/>
      <c r="Z813" s="161"/>
      <c r="AA813" s="161"/>
    </row>
    <row r="814" spans="1:27" ht="12" customHeight="1" x14ac:dyDescent="0.25">
      <c r="A814" s="161"/>
      <c r="B814" s="161"/>
      <c r="C814" s="161"/>
      <c r="D814" s="161"/>
      <c r="E814" s="161"/>
      <c r="F814" s="161"/>
      <c r="G814" s="161"/>
      <c r="H814" s="161"/>
      <c r="I814" s="161"/>
      <c r="J814" s="161"/>
      <c r="K814" s="161"/>
      <c r="L814" s="161"/>
      <c r="M814" s="161"/>
      <c r="N814" s="161"/>
      <c r="O814" s="161"/>
      <c r="P814" s="161"/>
      <c r="Q814" s="161"/>
      <c r="R814" s="161"/>
      <c r="S814" s="161"/>
      <c r="T814" s="161"/>
      <c r="U814" s="161"/>
      <c r="V814" s="161"/>
      <c r="W814" s="161"/>
      <c r="X814" s="161"/>
      <c r="Y814" s="161"/>
      <c r="Z814" s="161"/>
      <c r="AA814" s="161"/>
    </row>
    <row r="815" spans="1:27" ht="12" customHeight="1" x14ac:dyDescent="0.25">
      <c r="A815" s="161"/>
      <c r="B815" s="161"/>
      <c r="C815" s="161"/>
      <c r="D815" s="161"/>
      <c r="E815" s="161"/>
      <c r="F815" s="161"/>
      <c r="G815" s="161"/>
      <c r="H815" s="161"/>
      <c r="I815" s="161"/>
      <c r="J815" s="161"/>
      <c r="K815" s="161"/>
      <c r="L815" s="161"/>
      <c r="M815" s="161"/>
      <c r="N815" s="161"/>
      <c r="O815" s="161"/>
      <c r="P815" s="161"/>
      <c r="Q815" s="161"/>
      <c r="R815" s="161"/>
      <c r="S815" s="161"/>
      <c r="T815" s="161"/>
      <c r="U815" s="161"/>
      <c r="V815" s="161"/>
      <c r="W815" s="161"/>
      <c r="X815" s="161"/>
      <c r="Y815" s="161"/>
      <c r="Z815" s="161"/>
      <c r="AA815" s="161"/>
    </row>
    <row r="816" spans="1:27" ht="12" customHeight="1" x14ac:dyDescent="0.25">
      <c r="A816" s="161"/>
      <c r="B816" s="161"/>
      <c r="C816" s="161"/>
      <c r="D816" s="161"/>
      <c r="E816" s="161"/>
      <c r="F816" s="161"/>
      <c r="G816" s="161"/>
      <c r="H816" s="161"/>
      <c r="I816" s="161"/>
      <c r="J816" s="161"/>
      <c r="K816" s="161"/>
      <c r="L816" s="161"/>
      <c r="M816" s="161"/>
      <c r="N816" s="161"/>
      <c r="O816" s="161"/>
      <c r="P816" s="161"/>
      <c r="Q816" s="161"/>
      <c r="R816" s="161"/>
      <c r="S816" s="161"/>
      <c r="T816" s="161"/>
      <c r="U816" s="161"/>
      <c r="V816" s="161"/>
      <c r="W816" s="161"/>
      <c r="X816" s="161"/>
      <c r="Y816" s="161"/>
      <c r="Z816" s="161"/>
      <c r="AA816" s="161"/>
    </row>
    <row r="817" spans="1:27" ht="12" customHeight="1" x14ac:dyDescent="0.25">
      <c r="A817" s="161"/>
      <c r="B817" s="161"/>
      <c r="C817" s="161"/>
      <c r="D817" s="161"/>
      <c r="E817" s="161"/>
      <c r="F817" s="161"/>
      <c r="G817" s="161"/>
      <c r="H817" s="161"/>
      <c r="I817" s="161"/>
      <c r="J817" s="161"/>
      <c r="K817" s="161"/>
      <c r="L817" s="161"/>
      <c r="M817" s="161"/>
      <c r="N817" s="161"/>
      <c r="O817" s="161"/>
      <c r="P817" s="161"/>
      <c r="Q817" s="161"/>
      <c r="R817" s="161"/>
      <c r="S817" s="161"/>
      <c r="T817" s="161"/>
      <c r="U817" s="161"/>
      <c r="V817" s="161"/>
      <c r="W817" s="161"/>
      <c r="X817" s="161"/>
      <c r="Y817" s="161"/>
      <c r="Z817" s="161"/>
      <c r="AA817" s="161"/>
    </row>
    <row r="818" spans="1:27" ht="12" customHeight="1" x14ac:dyDescent="0.25">
      <c r="A818" s="161"/>
      <c r="B818" s="161"/>
      <c r="C818" s="161"/>
      <c r="D818" s="161"/>
      <c r="E818" s="161"/>
      <c r="F818" s="161"/>
      <c r="G818" s="161"/>
      <c r="H818" s="161"/>
      <c r="I818" s="161"/>
      <c r="J818" s="161"/>
      <c r="K818" s="161"/>
      <c r="L818" s="161"/>
      <c r="M818" s="161"/>
      <c r="N818" s="161"/>
      <c r="O818" s="161"/>
      <c r="P818" s="161"/>
      <c r="Q818" s="161"/>
      <c r="R818" s="161"/>
      <c r="S818" s="161"/>
      <c r="T818" s="161"/>
      <c r="U818" s="161"/>
      <c r="V818" s="161"/>
      <c r="W818" s="161"/>
      <c r="X818" s="161"/>
      <c r="Y818" s="161"/>
      <c r="Z818" s="161"/>
      <c r="AA818" s="161"/>
    </row>
    <row r="819" spans="1:27" ht="12" customHeight="1" x14ac:dyDescent="0.25">
      <c r="A819" s="161"/>
      <c r="B819" s="161"/>
      <c r="C819" s="161"/>
      <c r="D819" s="161"/>
      <c r="E819" s="161"/>
      <c r="F819" s="161"/>
      <c r="G819" s="161"/>
      <c r="H819" s="161"/>
      <c r="I819" s="161"/>
      <c r="J819" s="161"/>
      <c r="K819" s="161"/>
      <c r="L819" s="161"/>
      <c r="M819" s="161"/>
      <c r="N819" s="161"/>
      <c r="O819" s="161"/>
      <c r="P819" s="161"/>
      <c r="Q819" s="161"/>
      <c r="R819" s="161"/>
      <c r="S819" s="161"/>
      <c r="T819" s="161"/>
      <c r="U819" s="161"/>
      <c r="V819" s="161"/>
      <c r="W819" s="161"/>
      <c r="X819" s="161"/>
      <c r="Y819" s="161"/>
      <c r="Z819" s="161"/>
      <c r="AA819" s="161"/>
    </row>
    <row r="820" spans="1:27" ht="12" customHeight="1" x14ac:dyDescent="0.25">
      <c r="A820" s="161"/>
      <c r="B820" s="161"/>
      <c r="C820" s="161"/>
      <c r="D820" s="161"/>
      <c r="E820" s="161"/>
      <c r="F820" s="161"/>
      <c r="G820" s="161"/>
      <c r="H820" s="161"/>
      <c r="I820" s="161"/>
      <c r="J820" s="161"/>
      <c r="K820" s="161"/>
      <c r="L820" s="161"/>
      <c r="M820" s="161"/>
      <c r="N820" s="161"/>
      <c r="O820" s="161"/>
      <c r="P820" s="161"/>
      <c r="Q820" s="161"/>
      <c r="R820" s="161"/>
      <c r="S820" s="161"/>
      <c r="T820" s="161"/>
      <c r="U820" s="161"/>
      <c r="V820" s="161"/>
      <c r="W820" s="161"/>
      <c r="X820" s="161"/>
      <c r="Y820" s="161"/>
      <c r="Z820" s="161"/>
      <c r="AA820" s="161"/>
    </row>
    <row r="821" spans="1:27" ht="12" customHeight="1" x14ac:dyDescent="0.25">
      <c r="A821" s="161"/>
      <c r="B821" s="161"/>
      <c r="C821" s="161"/>
      <c r="D821" s="161"/>
      <c r="E821" s="161"/>
      <c r="F821" s="161"/>
      <c r="G821" s="161"/>
      <c r="H821" s="161"/>
      <c r="I821" s="161"/>
      <c r="J821" s="161"/>
      <c r="K821" s="161"/>
      <c r="L821" s="161"/>
      <c r="M821" s="161"/>
      <c r="N821" s="161"/>
      <c r="O821" s="161"/>
      <c r="P821" s="161"/>
      <c r="Q821" s="161"/>
      <c r="R821" s="161"/>
      <c r="S821" s="161"/>
      <c r="T821" s="161"/>
      <c r="U821" s="161"/>
      <c r="V821" s="161"/>
      <c r="W821" s="161"/>
      <c r="X821" s="161"/>
      <c r="Y821" s="161"/>
      <c r="Z821" s="161"/>
      <c r="AA821" s="161"/>
    </row>
    <row r="822" spans="1:27" ht="12" customHeight="1" x14ac:dyDescent="0.25">
      <c r="A822" s="161"/>
      <c r="B822" s="161"/>
      <c r="C822" s="161"/>
      <c r="D822" s="161"/>
      <c r="E822" s="161"/>
      <c r="F822" s="161"/>
      <c r="G822" s="161"/>
      <c r="H822" s="161"/>
      <c r="I822" s="161"/>
      <c r="J822" s="161"/>
      <c r="K822" s="161"/>
      <c r="L822" s="161"/>
      <c r="M822" s="161"/>
      <c r="N822" s="161"/>
      <c r="O822" s="161"/>
      <c r="P822" s="161"/>
      <c r="Q822" s="161"/>
      <c r="R822" s="161"/>
      <c r="S822" s="161"/>
      <c r="T822" s="161"/>
      <c r="U822" s="161"/>
      <c r="V822" s="161"/>
      <c r="W822" s="161"/>
      <c r="X822" s="161"/>
      <c r="Y822" s="161"/>
      <c r="Z822" s="161"/>
      <c r="AA822" s="161"/>
    </row>
    <row r="823" spans="1:27" ht="12" customHeight="1" x14ac:dyDescent="0.25">
      <c r="A823" s="161"/>
      <c r="B823" s="161"/>
      <c r="C823" s="161"/>
      <c r="D823" s="161"/>
      <c r="E823" s="161"/>
      <c r="F823" s="161"/>
      <c r="G823" s="161"/>
      <c r="H823" s="161"/>
      <c r="I823" s="161"/>
      <c r="J823" s="161"/>
      <c r="K823" s="161"/>
      <c r="L823" s="161"/>
      <c r="M823" s="161"/>
      <c r="N823" s="161"/>
      <c r="O823" s="161"/>
      <c r="P823" s="161"/>
      <c r="Q823" s="161"/>
      <c r="R823" s="161"/>
      <c r="S823" s="161"/>
      <c r="T823" s="161"/>
      <c r="U823" s="161"/>
      <c r="V823" s="161"/>
      <c r="W823" s="161"/>
      <c r="X823" s="161"/>
      <c r="Y823" s="161"/>
      <c r="Z823" s="161"/>
      <c r="AA823" s="161"/>
    </row>
    <row r="824" spans="1:27" ht="12" customHeight="1" x14ac:dyDescent="0.25">
      <c r="A824" s="161"/>
      <c r="B824" s="161"/>
      <c r="C824" s="161"/>
      <c r="D824" s="161"/>
      <c r="E824" s="161"/>
      <c r="F824" s="161"/>
      <c r="G824" s="161"/>
      <c r="H824" s="161"/>
      <c r="I824" s="161"/>
      <c r="J824" s="161"/>
      <c r="K824" s="161"/>
      <c r="L824" s="161"/>
      <c r="M824" s="161"/>
      <c r="N824" s="161"/>
      <c r="O824" s="161"/>
      <c r="P824" s="161"/>
      <c r="Q824" s="161"/>
      <c r="R824" s="161"/>
      <c r="S824" s="161"/>
      <c r="T824" s="161"/>
      <c r="U824" s="161"/>
      <c r="V824" s="161"/>
      <c r="W824" s="161"/>
      <c r="X824" s="161"/>
      <c r="Y824" s="161"/>
      <c r="Z824" s="161"/>
      <c r="AA824" s="161"/>
    </row>
    <row r="825" spans="1:27" ht="12" customHeight="1" x14ac:dyDescent="0.25">
      <c r="A825" s="161"/>
      <c r="B825" s="161"/>
      <c r="C825" s="161"/>
      <c r="D825" s="161"/>
      <c r="E825" s="161"/>
      <c r="F825" s="161"/>
      <c r="G825" s="161"/>
      <c r="H825" s="161"/>
      <c r="I825" s="161"/>
      <c r="J825" s="161"/>
      <c r="K825" s="161"/>
      <c r="L825" s="161"/>
      <c r="M825" s="161"/>
      <c r="N825" s="161"/>
      <c r="O825" s="161"/>
      <c r="P825" s="161"/>
      <c r="Q825" s="161"/>
      <c r="R825" s="161"/>
      <c r="S825" s="161"/>
      <c r="T825" s="161"/>
      <c r="U825" s="161"/>
      <c r="V825" s="161"/>
      <c r="W825" s="161"/>
      <c r="X825" s="161"/>
      <c r="Y825" s="161"/>
      <c r="Z825" s="161"/>
      <c r="AA825" s="161"/>
    </row>
    <row r="826" spans="1:27" ht="12" customHeight="1" x14ac:dyDescent="0.25">
      <c r="A826" s="161"/>
      <c r="B826" s="161"/>
      <c r="C826" s="161"/>
      <c r="D826" s="161"/>
      <c r="E826" s="161"/>
      <c r="F826" s="161"/>
      <c r="G826" s="161"/>
      <c r="H826" s="161"/>
      <c r="I826" s="161"/>
      <c r="J826" s="161"/>
      <c r="K826" s="161"/>
      <c r="L826" s="161"/>
      <c r="M826" s="161"/>
      <c r="N826" s="161"/>
      <c r="O826" s="161"/>
      <c r="P826" s="161"/>
      <c r="Q826" s="161"/>
      <c r="R826" s="161"/>
      <c r="S826" s="161"/>
      <c r="T826" s="161"/>
      <c r="U826" s="161"/>
      <c r="V826" s="161"/>
      <c r="W826" s="161"/>
      <c r="X826" s="161"/>
      <c r="Y826" s="161"/>
      <c r="Z826" s="161"/>
      <c r="AA826" s="161"/>
    </row>
    <row r="827" spans="1:27" ht="12" customHeight="1" x14ac:dyDescent="0.25">
      <c r="A827" s="161"/>
      <c r="B827" s="161"/>
      <c r="C827" s="161"/>
      <c r="D827" s="161"/>
      <c r="E827" s="161"/>
      <c r="F827" s="161"/>
      <c r="G827" s="161"/>
      <c r="H827" s="161"/>
      <c r="I827" s="161"/>
      <c r="J827" s="161"/>
      <c r="K827" s="161"/>
      <c r="L827" s="161"/>
      <c r="M827" s="161"/>
      <c r="N827" s="161"/>
      <c r="O827" s="161"/>
      <c r="P827" s="161"/>
      <c r="Q827" s="161"/>
      <c r="R827" s="161"/>
      <c r="S827" s="161"/>
      <c r="T827" s="161"/>
      <c r="U827" s="161"/>
      <c r="V827" s="161"/>
      <c r="W827" s="161"/>
      <c r="X827" s="161"/>
      <c r="Y827" s="161"/>
      <c r="Z827" s="161"/>
      <c r="AA827" s="161"/>
    </row>
    <row r="828" spans="1:27" ht="12" customHeight="1" x14ac:dyDescent="0.25">
      <c r="A828" s="161"/>
      <c r="B828" s="161"/>
      <c r="C828" s="161"/>
      <c r="D828" s="161"/>
      <c r="E828" s="161"/>
      <c r="F828" s="161"/>
      <c r="G828" s="161"/>
      <c r="H828" s="161"/>
      <c r="I828" s="161"/>
      <c r="J828" s="161"/>
      <c r="K828" s="161"/>
      <c r="L828" s="161"/>
      <c r="M828" s="161"/>
      <c r="N828" s="161"/>
      <c r="O828" s="161"/>
      <c r="P828" s="161"/>
      <c r="Q828" s="161"/>
      <c r="R828" s="161"/>
      <c r="S828" s="161"/>
      <c r="T828" s="161"/>
      <c r="U828" s="161"/>
      <c r="V828" s="161"/>
      <c r="W828" s="161"/>
      <c r="X828" s="161"/>
      <c r="Y828" s="161"/>
      <c r="Z828" s="161"/>
      <c r="AA828" s="161"/>
    </row>
    <row r="829" spans="1:27" ht="12" customHeight="1" x14ac:dyDescent="0.25">
      <c r="A829" s="161"/>
      <c r="B829" s="161"/>
      <c r="C829" s="161"/>
      <c r="D829" s="161"/>
      <c r="E829" s="161"/>
      <c r="F829" s="161"/>
      <c r="G829" s="161"/>
      <c r="H829" s="161"/>
      <c r="I829" s="161"/>
      <c r="J829" s="161"/>
      <c r="K829" s="161"/>
      <c r="L829" s="161"/>
      <c r="M829" s="161"/>
      <c r="N829" s="161"/>
      <c r="O829" s="161"/>
      <c r="P829" s="161"/>
      <c r="Q829" s="161"/>
      <c r="R829" s="161"/>
      <c r="S829" s="161"/>
      <c r="T829" s="161"/>
      <c r="U829" s="161"/>
      <c r="V829" s="161"/>
      <c r="W829" s="161"/>
      <c r="X829" s="161"/>
      <c r="Y829" s="161"/>
      <c r="Z829" s="161"/>
      <c r="AA829" s="161"/>
    </row>
    <row r="830" spans="1:27" ht="12" customHeight="1" x14ac:dyDescent="0.25">
      <c r="A830" s="161"/>
      <c r="B830" s="161"/>
      <c r="C830" s="161"/>
      <c r="D830" s="161"/>
      <c r="E830" s="161"/>
      <c r="F830" s="161"/>
      <c r="G830" s="161"/>
      <c r="H830" s="161"/>
      <c r="I830" s="161"/>
      <c r="J830" s="161"/>
      <c r="K830" s="161"/>
      <c r="L830" s="161"/>
      <c r="M830" s="161"/>
      <c r="N830" s="161"/>
      <c r="O830" s="161"/>
      <c r="P830" s="161"/>
      <c r="Q830" s="161"/>
      <c r="R830" s="161"/>
      <c r="S830" s="161"/>
      <c r="T830" s="161"/>
      <c r="U830" s="161"/>
      <c r="V830" s="161"/>
      <c r="W830" s="161"/>
      <c r="X830" s="161"/>
      <c r="Y830" s="161"/>
      <c r="Z830" s="161"/>
      <c r="AA830" s="161"/>
    </row>
    <row r="831" spans="1:27" ht="12" customHeight="1" x14ac:dyDescent="0.25">
      <c r="A831" s="161"/>
      <c r="B831" s="161"/>
      <c r="C831" s="161"/>
      <c r="D831" s="161"/>
      <c r="E831" s="161"/>
      <c r="F831" s="161"/>
      <c r="G831" s="161"/>
      <c r="H831" s="161"/>
      <c r="I831" s="161"/>
      <c r="J831" s="161"/>
      <c r="K831" s="161"/>
      <c r="L831" s="161"/>
      <c r="M831" s="161"/>
      <c r="N831" s="161"/>
      <c r="O831" s="161"/>
      <c r="P831" s="161"/>
      <c r="Q831" s="161"/>
      <c r="R831" s="161"/>
      <c r="S831" s="161"/>
      <c r="T831" s="161"/>
      <c r="U831" s="161"/>
      <c r="V831" s="161"/>
      <c r="W831" s="161"/>
      <c r="X831" s="161"/>
      <c r="Y831" s="161"/>
      <c r="Z831" s="161"/>
      <c r="AA831" s="161"/>
    </row>
    <row r="832" spans="1:27" ht="12" customHeight="1" x14ac:dyDescent="0.25">
      <c r="A832" s="161"/>
      <c r="B832" s="161"/>
      <c r="C832" s="161"/>
      <c r="D832" s="161"/>
      <c r="E832" s="161"/>
      <c r="F832" s="161"/>
      <c r="G832" s="161"/>
      <c r="H832" s="161"/>
      <c r="I832" s="161"/>
      <c r="J832" s="161"/>
      <c r="K832" s="161"/>
      <c r="L832" s="161"/>
      <c r="M832" s="161"/>
      <c r="N832" s="161"/>
      <c r="O832" s="161"/>
      <c r="P832" s="161"/>
      <c r="Q832" s="161"/>
      <c r="R832" s="161"/>
      <c r="S832" s="161"/>
      <c r="T832" s="161"/>
      <c r="U832" s="161"/>
      <c r="V832" s="161"/>
      <c r="W832" s="161"/>
      <c r="X832" s="161"/>
      <c r="Y832" s="161"/>
      <c r="Z832" s="161"/>
      <c r="AA832" s="161"/>
    </row>
    <row r="833" spans="1:27" ht="12" customHeight="1" x14ac:dyDescent="0.25">
      <c r="A833" s="161"/>
      <c r="B833" s="161"/>
      <c r="C833" s="161"/>
      <c r="D833" s="161"/>
      <c r="E833" s="161"/>
      <c r="F833" s="161"/>
      <c r="G833" s="161"/>
      <c r="H833" s="161"/>
      <c r="I833" s="161"/>
      <c r="J833" s="161"/>
      <c r="K833" s="161"/>
      <c r="L833" s="161"/>
      <c r="M833" s="161"/>
      <c r="N833" s="161"/>
      <c r="O833" s="161"/>
      <c r="P833" s="161"/>
      <c r="Q833" s="161"/>
      <c r="R833" s="161"/>
      <c r="S833" s="161"/>
      <c r="T833" s="161"/>
      <c r="U833" s="161"/>
      <c r="V833" s="161"/>
      <c r="W833" s="161"/>
      <c r="X833" s="161"/>
      <c r="Y833" s="161"/>
      <c r="Z833" s="161"/>
      <c r="AA833" s="161"/>
    </row>
    <row r="834" spans="1:27" ht="12" customHeight="1" x14ac:dyDescent="0.25">
      <c r="A834" s="161"/>
      <c r="B834" s="161"/>
      <c r="C834" s="161"/>
      <c r="D834" s="161"/>
      <c r="E834" s="161"/>
      <c r="F834" s="161"/>
      <c r="G834" s="161"/>
      <c r="H834" s="161"/>
      <c r="I834" s="161"/>
      <c r="J834" s="161"/>
      <c r="K834" s="161"/>
      <c r="L834" s="161"/>
      <c r="M834" s="161"/>
      <c r="N834" s="161"/>
      <c r="O834" s="161"/>
      <c r="P834" s="161"/>
      <c r="Q834" s="161"/>
      <c r="R834" s="161"/>
      <c r="S834" s="161"/>
      <c r="T834" s="161"/>
      <c r="U834" s="161"/>
      <c r="V834" s="161"/>
      <c r="W834" s="161"/>
      <c r="X834" s="161"/>
      <c r="Y834" s="161"/>
      <c r="Z834" s="161"/>
      <c r="AA834" s="161"/>
    </row>
    <row r="835" spans="1:27" ht="12" customHeight="1" x14ac:dyDescent="0.25">
      <c r="A835" s="161"/>
      <c r="B835" s="161"/>
      <c r="C835" s="161"/>
      <c r="D835" s="161"/>
      <c r="E835" s="161"/>
      <c r="F835" s="161"/>
      <c r="G835" s="161"/>
      <c r="H835" s="161"/>
      <c r="I835" s="161"/>
      <c r="J835" s="161"/>
      <c r="K835" s="161"/>
      <c r="L835" s="161"/>
      <c r="M835" s="161"/>
      <c r="N835" s="161"/>
      <c r="O835" s="161"/>
      <c r="P835" s="161"/>
      <c r="Q835" s="161"/>
      <c r="R835" s="161"/>
      <c r="S835" s="161"/>
      <c r="T835" s="161"/>
      <c r="U835" s="161"/>
      <c r="V835" s="161"/>
      <c r="W835" s="161"/>
      <c r="X835" s="161"/>
      <c r="Y835" s="161"/>
      <c r="Z835" s="161"/>
      <c r="AA835" s="161"/>
    </row>
    <row r="836" spans="1:27" ht="12" customHeight="1" x14ac:dyDescent="0.25">
      <c r="A836" s="161"/>
      <c r="B836" s="161"/>
      <c r="C836" s="161"/>
      <c r="D836" s="161"/>
      <c r="E836" s="161"/>
      <c r="F836" s="161"/>
      <c r="G836" s="161"/>
      <c r="H836" s="161"/>
      <c r="I836" s="161"/>
      <c r="J836" s="161"/>
      <c r="K836" s="161"/>
      <c r="L836" s="161"/>
      <c r="M836" s="161"/>
      <c r="N836" s="161"/>
      <c r="O836" s="161"/>
      <c r="P836" s="161"/>
      <c r="Q836" s="161"/>
      <c r="R836" s="161"/>
      <c r="S836" s="161"/>
      <c r="T836" s="161"/>
      <c r="U836" s="161"/>
      <c r="V836" s="161"/>
      <c r="W836" s="161"/>
      <c r="X836" s="161"/>
      <c r="Y836" s="161"/>
      <c r="Z836" s="161"/>
      <c r="AA836" s="161"/>
    </row>
    <row r="837" spans="1:27" ht="12" customHeight="1" x14ac:dyDescent="0.25">
      <c r="A837" s="161"/>
      <c r="B837" s="161"/>
      <c r="C837" s="161"/>
      <c r="D837" s="161"/>
      <c r="E837" s="161"/>
      <c r="F837" s="161"/>
      <c r="G837" s="161"/>
      <c r="H837" s="161"/>
      <c r="I837" s="161"/>
      <c r="J837" s="161"/>
      <c r="K837" s="161"/>
      <c r="L837" s="161"/>
      <c r="M837" s="161"/>
      <c r="N837" s="161"/>
      <c r="O837" s="161"/>
      <c r="P837" s="161"/>
      <c r="Q837" s="161"/>
      <c r="R837" s="161"/>
      <c r="S837" s="161"/>
      <c r="T837" s="161"/>
      <c r="U837" s="161"/>
      <c r="V837" s="161"/>
      <c r="W837" s="161"/>
      <c r="X837" s="161"/>
      <c r="Y837" s="161"/>
      <c r="Z837" s="161"/>
      <c r="AA837" s="161"/>
    </row>
    <row r="838" spans="1:27" ht="12" customHeight="1" x14ac:dyDescent="0.25">
      <c r="A838" s="161"/>
      <c r="B838" s="161"/>
      <c r="C838" s="161"/>
      <c r="D838" s="161"/>
      <c r="E838" s="161"/>
      <c r="F838" s="161"/>
      <c r="G838" s="161"/>
      <c r="H838" s="161"/>
      <c r="I838" s="161"/>
      <c r="J838" s="161"/>
      <c r="K838" s="161"/>
      <c r="L838" s="161"/>
      <c r="M838" s="161"/>
      <c r="N838" s="161"/>
      <c r="O838" s="161"/>
      <c r="P838" s="161"/>
      <c r="Q838" s="161"/>
      <c r="R838" s="161"/>
      <c r="S838" s="161"/>
      <c r="T838" s="161"/>
      <c r="U838" s="161"/>
      <c r="V838" s="161"/>
      <c r="W838" s="161"/>
      <c r="X838" s="161"/>
      <c r="Y838" s="161"/>
      <c r="Z838" s="161"/>
      <c r="AA838" s="161"/>
    </row>
    <row r="839" spans="1:27" ht="12" customHeight="1" x14ac:dyDescent="0.25">
      <c r="A839" s="161"/>
      <c r="B839" s="161"/>
      <c r="C839" s="161"/>
      <c r="D839" s="161"/>
      <c r="E839" s="161"/>
      <c r="F839" s="161"/>
      <c r="G839" s="161"/>
      <c r="H839" s="161"/>
      <c r="I839" s="161"/>
      <c r="J839" s="161"/>
      <c r="K839" s="161"/>
      <c r="L839" s="161"/>
      <c r="M839" s="161"/>
      <c r="N839" s="161"/>
      <c r="O839" s="161"/>
      <c r="P839" s="161"/>
      <c r="Q839" s="161"/>
      <c r="R839" s="161"/>
      <c r="S839" s="161"/>
      <c r="T839" s="161"/>
      <c r="U839" s="161"/>
      <c r="V839" s="161"/>
      <c r="W839" s="161"/>
      <c r="X839" s="161"/>
      <c r="Y839" s="161"/>
      <c r="Z839" s="161"/>
      <c r="AA839" s="161"/>
    </row>
    <row r="840" spans="1:27" ht="12" customHeight="1" x14ac:dyDescent="0.25">
      <c r="A840" s="161"/>
      <c r="B840" s="161"/>
      <c r="C840" s="161"/>
      <c r="D840" s="161"/>
      <c r="E840" s="161"/>
      <c r="F840" s="161"/>
      <c r="G840" s="161"/>
      <c r="H840" s="161"/>
      <c r="I840" s="161"/>
      <c r="J840" s="161"/>
      <c r="K840" s="161"/>
      <c r="L840" s="161"/>
      <c r="M840" s="161"/>
      <c r="N840" s="161"/>
      <c r="O840" s="161"/>
      <c r="P840" s="161"/>
      <c r="Q840" s="161"/>
      <c r="R840" s="161"/>
      <c r="S840" s="161"/>
      <c r="T840" s="161"/>
      <c r="U840" s="161"/>
      <c r="V840" s="161"/>
      <c r="W840" s="161"/>
      <c r="X840" s="161"/>
      <c r="Y840" s="161"/>
      <c r="Z840" s="161"/>
      <c r="AA840" s="161"/>
    </row>
    <row r="841" spans="1:27" ht="12" customHeight="1" x14ac:dyDescent="0.25">
      <c r="A841" s="161"/>
      <c r="B841" s="161"/>
      <c r="C841" s="161"/>
      <c r="D841" s="161"/>
      <c r="E841" s="161"/>
      <c r="F841" s="161"/>
      <c r="G841" s="161"/>
      <c r="H841" s="161"/>
      <c r="I841" s="161"/>
      <c r="J841" s="161"/>
      <c r="K841" s="161"/>
      <c r="L841" s="161"/>
      <c r="M841" s="161"/>
      <c r="N841" s="161"/>
      <c r="O841" s="161"/>
      <c r="P841" s="161"/>
      <c r="Q841" s="161"/>
      <c r="R841" s="161"/>
      <c r="S841" s="161"/>
      <c r="T841" s="161"/>
      <c r="U841" s="161"/>
      <c r="V841" s="161"/>
      <c r="W841" s="161"/>
      <c r="X841" s="161"/>
      <c r="Y841" s="161"/>
      <c r="Z841" s="161"/>
      <c r="AA841" s="161"/>
    </row>
    <row r="842" spans="1:27" ht="12" customHeight="1" x14ac:dyDescent="0.25">
      <c r="A842" s="161"/>
      <c r="B842" s="161"/>
      <c r="C842" s="161"/>
      <c r="D842" s="161"/>
      <c r="E842" s="161"/>
      <c r="F842" s="161"/>
      <c r="G842" s="161"/>
      <c r="H842" s="161"/>
      <c r="I842" s="161"/>
      <c r="J842" s="161"/>
      <c r="K842" s="161"/>
      <c r="L842" s="161"/>
      <c r="M842" s="161"/>
      <c r="N842" s="161"/>
      <c r="O842" s="161"/>
      <c r="P842" s="161"/>
      <c r="Q842" s="161"/>
      <c r="R842" s="161"/>
      <c r="S842" s="161"/>
      <c r="T842" s="161"/>
      <c r="U842" s="161"/>
      <c r="V842" s="161"/>
      <c r="W842" s="161"/>
      <c r="X842" s="161"/>
      <c r="Y842" s="161"/>
      <c r="Z842" s="161"/>
      <c r="AA842" s="161"/>
    </row>
    <row r="843" spans="1:27" ht="12" customHeight="1" x14ac:dyDescent="0.25">
      <c r="A843" s="161"/>
      <c r="B843" s="161"/>
      <c r="C843" s="161"/>
      <c r="D843" s="161"/>
      <c r="E843" s="161"/>
      <c r="F843" s="161"/>
      <c r="G843" s="161"/>
      <c r="H843" s="161"/>
      <c r="I843" s="161"/>
      <c r="J843" s="161"/>
      <c r="K843" s="161"/>
      <c r="L843" s="161"/>
      <c r="M843" s="161"/>
      <c r="N843" s="161"/>
      <c r="O843" s="161"/>
      <c r="P843" s="161"/>
      <c r="Q843" s="161"/>
      <c r="R843" s="161"/>
      <c r="S843" s="161"/>
      <c r="T843" s="161"/>
      <c r="U843" s="161"/>
      <c r="V843" s="161"/>
      <c r="W843" s="161"/>
      <c r="X843" s="161"/>
      <c r="Y843" s="161"/>
      <c r="Z843" s="161"/>
      <c r="AA843" s="161"/>
    </row>
    <row r="844" spans="1:27" ht="12" customHeight="1" x14ac:dyDescent="0.25">
      <c r="A844" s="161"/>
      <c r="B844" s="161"/>
      <c r="C844" s="161"/>
      <c r="D844" s="161"/>
      <c r="E844" s="161"/>
      <c r="F844" s="161"/>
      <c r="G844" s="161"/>
      <c r="H844" s="161"/>
      <c r="I844" s="161"/>
      <c r="J844" s="161"/>
      <c r="K844" s="161"/>
      <c r="L844" s="161"/>
      <c r="M844" s="161"/>
      <c r="N844" s="161"/>
      <c r="O844" s="161"/>
      <c r="P844" s="161"/>
      <c r="Q844" s="161"/>
      <c r="R844" s="161"/>
      <c r="S844" s="161"/>
      <c r="T844" s="161"/>
      <c r="U844" s="161"/>
      <c r="V844" s="161"/>
      <c r="W844" s="161"/>
      <c r="X844" s="161"/>
      <c r="Y844" s="161"/>
      <c r="Z844" s="161"/>
      <c r="AA844" s="161"/>
    </row>
    <row r="845" spans="1:27" ht="12" customHeight="1" x14ac:dyDescent="0.25">
      <c r="A845" s="161"/>
      <c r="B845" s="161"/>
      <c r="C845" s="161"/>
      <c r="D845" s="161"/>
      <c r="E845" s="161"/>
      <c r="F845" s="161"/>
      <c r="G845" s="161"/>
      <c r="H845" s="161"/>
      <c r="I845" s="161"/>
      <c r="J845" s="161"/>
      <c r="K845" s="161"/>
      <c r="L845" s="161"/>
      <c r="M845" s="161"/>
      <c r="N845" s="161"/>
      <c r="O845" s="161"/>
      <c r="P845" s="161"/>
      <c r="Q845" s="161"/>
      <c r="R845" s="161"/>
      <c r="S845" s="161"/>
      <c r="T845" s="161"/>
      <c r="U845" s="161"/>
      <c r="V845" s="161"/>
      <c r="W845" s="161"/>
      <c r="X845" s="161"/>
      <c r="Y845" s="161"/>
      <c r="Z845" s="161"/>
      <c r="AA845" s="161"/>
    </row>
    <row r="846" spans="1:27" ht="12" customHeight="1" x14ac:dyDescent="0.25">
      <c r="A846" s="161"/>
      <c r="B846" s="161"/>
      <c r="C846" s="161"/>
      <c r="D846" s="161"/>
      <c r="E846" s="161"/>
      <c r="F846" s="161"/>
      <c r="G846" s="161"/>
      <c r="H846" s="161"/>
      <c r="I846" s="161"/>
      <c r="J846" s="161"/>
      <c r="K846" s="161"/>
      <c r="L846" s="161"/>
      <c r="M846" s="161"/>
      <c r="N846" s="161"/>
      <c r="O846" s="161"/>
      <c r="P846" s="161"/>
      <c r="Q846" s="161"/>
      <c r="R846" s="161"/>
      <c r="S846" s="161"/>
      <c r="T846" s="161"/>
      <c r="U846" s="161"/>
      <c r="V846" s="161"/>
      <c r="W846" s="161"/>
      <c r="X846" s="161"/>
      <c r="Y846" s="161"/>
      <c r="Z846" s="161"/>
      <c r="AA846" s="161"/>
    </row>
    <row r="847" spans="1:27" ht="12" customHeight="1" x14ac:dyDescent="0.25">
      <c r="A847" s="161"/>
      <c r="B847" s="161"/>
      <c r="C847" s="161"/>
      <c r="D847" s="161"/>
      <c r="E847" s="161"/>
      <c r="F847" s="161"/>
      <c r="G847" s="161"/>
      <c r="H847" s="161"/>
      <c r="I847" s="161"/>
      <c r="J847" s="161"/>
      <c r="K847" s="161"/>
      <c r="L847" s="161"/>
      <c r="M847" s="161"/>
      <c r="N847" s="161"/>
      <c r="O847" s="161"/>
      <c r="P847" s="161"/>
      <c r="Q847" s="161"/>
      <c r="R847" s="161"/>
      <c r="S847" s="161"/>
      <c r="T847" s="161"/>
      <c r="U847" s="161"/>
      <c r="V847" s="161"/>
      <c r="W847" s="161"/>
      <c r="X847" s="161"/>
      <c r="Y847" s="161"/>
      <c r="Z847" s="161"/>
      <c r="AA847" s="161"/>
    </row>
    <row r="848" spans="1:27" ht="12" customHeight="1" x14ac:dyDescent="0.25">
      <c r="A848" s="161"/>
      <c r="B848" s="161"/>
      <c r="C848" s="161"/>
      <c r="D848" s="161"/>
      <c r="E848" s="161"/>
      <c r="F848" s="161"/>
      <c r="G848" s="161"/>
      <c r="H848" s="161"/>
      <c r="I848" s="161"/>
      <c r="J848" s="161"/>
      <c r="K848" s="161"/>
      <c r="L848" s="161"/>
      <c r="M848" s="161"/>
      <c r="N848" s="161"/>
      <c r="O848" s="161"/>
      <c r="P848" s="161"/>
      <c r="Q848" s="161"/>
      <c r="R848" s="161"/>
      <c r="S848" s="161"/>
      <c r="T848" s="161"/>
      <c r="U848" s="161"/>
      <c r="V848" s="161"/>
      <c r="W848" s="161"/>
      <c r="X848" s="161"/>
      <c r="Y848" s="161"/>
      <c r="Z848" s="161"/>
      <c r="AA848" s="161"/>
    </row>
    <row r="849" spans="1:27" ht="12" customHeight="1" x14ac:dyDescent="0.25">
      <c r="A849" s="161"/>
      <c r="B849" s="161"/>
      <c r="C849" s="161"/>
      <c r="D849" s="161"/>
      <c r="E849" s="161"/>
      <c r="F849" s="161"/>
      <c r="G849" s="161"/>
      <c r="H849" s="161"/>
      <c r="I849" s="161"/>
      <c r="J849" s="161"/>
      <c r="K849" s="161"/>
      <c r="L849" s="161"/>
      <c r="M849" s="161"/>
      <c r="N849" s="161"/>
      <c r="O849" s="161"/>
      <c r="P849" s="161"/>
      <c r="Q849" s="161"/>
      <c r="R849" s="161"/>
      <c r="S849" s="161"/>
      <c r="T849" s="161"/>
      <c r="U849" s="161"/>
      <c r="V849" s="161"/>
      <c r="W849" s="161"/>
      <c r="X849" s="161"/>
      <c r="Y849" s="161"/>
      <c r="Z849" s="161"/>
      <c r="AA849" s="161"/>
    </row>
    <row r="850" spans="1:27" ht="12" customHeight="1" x14ac:dyDescent="0.25">
      <c r="A850" s="161"/>
      <c r="B850" s="161"/>
      <c r="C850" s="161"/>
      <c r="D850" s="161"/>
      <c r="E850" s="161"/>
      <c r="F850" s="161"/>
      <c r="G850" s="161"/>
      <c r="H850" s="161"/>
      <c r="I850" s="161"/>
      <c r="J850" s="161"/>
      <c r="K850" s="161"/>
      <c r="L850" s="161"/>
      <c r="M850" s="161"/>
      <c r="N850" s="161"/>
      <c r="O850" s="161"/>
      <c r="P850" s="161"/>
      <c r="Q850" s="161"/>
      <c r="R850" s="161"/>
      <c r="S850" s="161"/>
      <c r="T850" s="161"/>
      <c r="U850" s="161"/>
      <c r="V850" s="161"/>
      <c r="W850" s="161"/>
      <c r="X850" s="161"/>
      <c r="Y850" s="161"/>
      <c r="Z850" s="161"/>
      <c r="AA850" s="161"/>
    </row>
    <row r="851" spans="1:27" ht="12" customHeight="1" x14ac:dyDescent="0.25">
      <c r="A851" s="161"/>
      <c r="B851" s="161"/>
      <c r="C851" s="161"/>
      <c r="D851" s="161"/>
      <c r="E851" s="161"/>
      <c r="F851" s="161"/>
      <c r="G851" s="161"/>
      <c r="H851" s="161"/>
      <c r="I851" s="161"/>
      <c r="J851" s="161"/>
      <c r="K851" s="161"/>
      <c r="L851" s="161"/>
      <c r="M851" s="161"/>
      <c r="N851" s="161"/>
      <c r="O851" s="161"/>
      <c r="P851" s="161"/>
      <c r="Q851" s="161"/>
      <c r="R851" s="161"/>
      <c r="S851" s="161"/>
      <c r="T851" s="161"/>
      <c r="U851" s="161"/>
      <c r="V851" s="161"/>
      <c r="W851" s="161"/>
      <c r="X851" s="161"/>
      <c r="Y851" s="161"/>
      <c r="Z851" s="161"/>
      <c r="AA851" s="161"/>
    </row>
    <row r="852" spans="1:27" ht="12" customHeight="1" x14ac:dyDescent="0.25">
      <c r="A852" s="161"/>
      <c r="B852" s="161"/>
      <c r="C852" s="161"/>
      <c r="D852" s="161"/>
      <c r="E852" s="161"/>
      <c r="F852" s="161"/>
      <c r="G852" s="161"/>
      <c r="H852" s="161"/>
      <c r="I852" s="161"/>
      <c r="J852" s="161"/>
      <c r="K852" s="161"/>
      <c r="L852" s="161"/>
      <c r="M852" s="161"/>
      <c r="N852" s="161"/>
      <c r="O852" s="161"/>
      <c r="P852" s="161"/>
      <c r="Q852" s="161"/>
      <c r="R852" s="161"/>
      <c r="S852" s="161"/>
      <c r="T852" s="161"/>
      <c r="U852" s="161"/>
      <c r="V852" s="161"/>
      <c r="W852" s="161"/>
      <c r="X852" s="161"/>
      <c r="Y852" s="161"/>
      <c r="Z852" s="161"/>
      <c r="AA852" s="161"/>
    </row>
    <row r="853" spans="1:27" ht="12" customHeight="1" x14ac:dyDescent="0.25">
      <c r="A853" s="161"/>
      <c r="B853" s="161"/>
      <c r="C853" s="161"/>
      <c r="D853" s="161"/>
      <c r="E853" s="161"/>
      <c r="F853" s="161"/>
      <c r="G853" s="161"/>
      <c r="H853" s="161"/>
      <c r="I853" s="161"/>
      <c r="J853" s="161"/>
      <c r="K853" s="161"/>
      <c r="L853" s="161"/>
      <c r="M853" s="161"/>
      <c r="N853" s="161"/>
      <c r="O853" s="161"/>
      <c r="P853" s="161"/>
      <c r="Q853" s="161"/>
      <c r="R853" s="161"/>
      <c r="S853" s="161"/>
      <c r="T853" s="161"/>
      <c r="U853" s="161"/>
      <c r="V853" s="161"/>
      <c r="W853" s="161"/>
      <c r="X853" s="161"/>
      <c r="Y853" s="161"/>
      <c r="Z853" s="161"/>
      <c r="AA853" s="161"/>
    </row>
    <row r="854" spans="1:27" ht="12" customHeight="1" x14ac:dyDescent="0.25">
      <c r="A854" s="161"/>
      <c r="B854" s="161"/>
      <c r="C854" s="161"/>
      <c r="D854" s="161"/>
      <c r="E854" s="161"/>
      <c r="F854" s="161"/>
      <c r="G854" s="161"/>
      <c r="H854" s="161"/>
      <c r="I854" s="161"/>
      <c r="J854" s="161"/>
      <c r="K854" s="161"/>
      <c r="L854" s="161"/>
      <c r="M854" s="161"/>
      <c r="N854" s="161"/>
      <c r="O854" s="161"/>
      <c r="P854" s="161"/>
      <c r="Q854" s="161"/>
      <c r="R854" s="161"/>
      <c r="S854" s="161"/>
      <c r="T854" s="161"/>
      <c r="U854" s="161"/>
      <c r="V854" s="161"/>
      <c r="W854" s="161"/>
      <c r="X854" s="161"/>
      <c r="Y854" s="161"/>
      <c r="Z854" s="161"/>
      <c r="AA854" s="161"/>
    </row>
    <row r="855" spans="1:27" ht="12" customHeight="1" x14ac:dyDescent="0.25">
      <c r="A855" s="161"/>
      <c r="B855" s="161"/>
      <c r="C855" s="161"/>
      <c r="D855" s="161"/>
      <c r="E855" s="161"/>
      <c r="F855" s="161"/>
      <c r="G855" s="161"/>
      <c r="H855" s="161"/>
      <c r="I855" s="161"/>
      <c r="J855" s="161"/>
      <c r="K855" s="161"/>
      <c r="L855" s="161"/>
      <c r="M855" s="161"/>
      <c r="N855" s="161"/>
      <c r="O855" s="161"/>
      <c r="P855" s="161"/>
      <c r="Q855" s="161"/>
      <c r="R855" s="161"/>
      <c r="S855" s="161"/>
      <c r="T855" s="161"/>
      <c r="U855" s="161"/>
      <c r="V855" s="161"/>
      <c r="W855" s="161"/>
      <c r="X855" s="161"/>
      <c r="Y855" s="161"/>
      <c r="Z855" s="161"/>
      <c r="AA855" s="161"/>
    </row>
    <row r="856" spans="1:27" ht="12" customHeight="1" x14ac:dyDescent="0.25">
      <c r="A856" s="161"/>
      <c r="B856" s="161"/>
      <c r="C856" s="161"/>
      <c r="D856" s="161"/>
      <c r="E856" s="161"/>
      <c r="F856" s="161"/>
      <c r="G856" s="161"/>
      <c r="H856" s="161"/>
      <c r="I856" s="161"/>
      <c r="J856" s="161"/>
      <c r="K856" s="161"/>
      <c r="L856" s="161"/>
      <c r="M856" s="161"/>
      <c r="N856" s="161"/>
      <c r="O856" s="161"/>
      <c r="P856" s="161"/>
      <c r="Q856" s="161"/>
      <c r="R856" s="161"/>
      <c r="S856" s="161"/>
      <c r="T856" s="161"/>
      <c r="U856" s="161"/>
      <c r="V856" s="161"/>
      <c r="W856" s="161"/>
      <c r="X856" s="161"/>
      <c r="Y856" s="161"/>
      <c r="Z856" s="161"/>
      <c r="AA856" s="161"/>
    </row>
    <row r="857" spans="1:27" ht="12" customHeight="1" x14ac:dyDescent="0.25">
      <c r="A857" s="161"/>
      <c r="B857" s="161"/>
      <c r="C857" s="161"/>
      <c r="D857" s="161"/>
      <c r="E857" s="161"/>
      <c r="F857" s="161"/>
      <c r="G857" s="161"/>
      <c r="H857" s="161"/>
      <c r="I857" s="161"/>
      <c r="J857" s="161"/>
      <c r="K857" s="161"/>
      <c r="L857" s="161"/>
      <c r="M857" s="161"/>
      <c r="N857" s="161"/>
      <c r="O857" s="161"/>
      <c r="P857" s="161"/>
      <c r="Q857" s="161"/>
      <c r="R857" s="161"/>
      <c r="S857" s="161"/>
      <c r="T857" s="161"/>
      <c r="U857" s="161"/>
      <c r="V857" s="161"/>
      <c r="W857" s="161"/>
      <c r="X857" s="161"/>
      <c r="Y857" s="161"/>
      <c r="Z857" s="161"/>
      <c r="AA857" s="161"/>
    </row>
    <row r="858" spans="1:27" ht="12" customHeight="1" x14ac:dyDescent="0.25">
      <c r="A858" s="161"/>
      <c r="B858" s="161"/>
      <c r="C858" s="161"/>
      <c r="D858" s="161"/>
      <c r="E858" s="161"/>
      <c r="F858" s="161"/>
      <c r="G858" s="161"/>
      <c r="H858" s="161"/>
      <c r="I858" s="161"/>
      <c r="J858" s="161"/>
      <c r="K858" s="161"/>
      <c r="L858" s="161"/>
      <c r="M858" s="161"/>
      <c r="N858" s="161"/>
      <c r="O858" s="161"/>
      <c r="P858" s="161"/>
      <c r="Q858" s="161"/>
      <c r="R858" s="161"/>
      <c r="S858" s="161"/>
      <c r="T858" s="161"/>
      <c r="U858" s="161"/>
      <c r="V858" s="161"/>
      <c r="W858" s="161"/>
      <c r="X858" s="161"/>
      <c r="Y858" s="161"/>
      <c r="Z858" s="161"/>
      <c r="AA858" s="161"/>
    </row>
    <row r="859" spans="1:27" ht="12" customHeight="1" x14ac:dyDescent="0.25">
      <c r="A859" s="161"/>
      <c r="B859" s="161"/>
      <c r="C859" s="161"/>
      <c r="D859" s="161"/>
      <c r="E859" s="161"/>
      <c r="F859" s="161"/>
      <c r="G859" s="161"/>
      <c r="H859" s="161"/>
      <c r="I859" s="161"/>
      <c r="J859" s="161"/>
      <c r="K859" s="161"/>
      <c r="L859" s="161"/>
      <c r="M859" s="161"/>
      <c r="N859" s="161"/>
      <c r="O859" s="161"/>
      <c r="P859" s="161"/>
      <c r="Q859" s="161"/>
      <c r="R859" s="161"/>
      <c r="S859" s="161"/>
      <c r="T859" s="161"/>
      <c r="U859" s="161"/>
      <c r="V859" s="161"/>
      <c r="W859" s="161"/>
      <c r="X859" s="161"/>
      <c r="Y859" s="161"/>
      <c r="Z859" s="161"/>
      <c r="AA859" s="161"/>
    </row>
    <row r="860" spans="1:27" ht="12" customHeight="1" x14ac:dyDescent="0.25">
      <c r="A860" s="161"/>
      <c r="B860" s="161"/>
      <c r="C860" s="161"/>
      <c r="D860" s="161"/>
      <c r="E860" s="161"/>
      <c r="F860" s="161"/>
      <c r="G860" s="161"/>
      <c r="H860" s="161"/>
      <c r="I860" s="161"/>
      <c r="J860" s="161"/>
      <c r="K860" s="161"/>
      <c r="L860" s="161"/>
      <c r="M860" s="161"/>
      <c r="N860" s="161"/>
      <c r="O860" s="161"/>
      <c r="P860" s="161"/>
      <c r="Q860" s="161"/>
      <c r="R860" s="161"/>
      <c r="S860" s="161"/>
      <c r="T860" s="161"/>
      <c r="U860" s="161"/>
      <c r="V860" s="161"/>
      <c r="W860" s="161"/>
      <c r="X860" s="161"/>
      <c r="Y860" s="161"/>
      <c r="Z860" s="161"/>
      <c r="AA860" s="161"/>
    </row>
    <row r="861" spans="1:27" ht="12" customHeight="1" x14ac:dyDescent="0.25">
      <c r="A861" s="161"/>
      <c r="B861" s="161"/>
      <c r="C861" s="161"/>
      <c r="D861" s="161"/>
      <c r="E861" s="161"/>
      <c r="F861" s="161"/>
      <c r="G861" s="161"/>
      <c r="H861" s="161"/>
      <c r="I861" s="161"/>
      <c r="J861" s="161"/>
      <c r="K861" s="161"/>
      <c r="L861" s="161"/>
      <c r="M861" s="161"/>
      <c r="N861" s="161"/>
      <c r="O861" s="161"/>
      <c r="P861" s="161"/>
      <c r="Q861" s="161"/>
      <c r="R861" s="161"/>
      <c r="S861" s="161"/>
      <c r="T861" s="161"/>
      <c r="U861" s="161"/>
      <c r="V861" s="161"/>
      <c r="W861" s="161"/>
      <c r="X861" s="161"/>
      <c r="Y861" s="161"/>
      <c r="Z861" s="161"/>
      <c r="AA861" s="161"/>
    </row>
    <row r="862" spans="1:27" ht="12" customHeight="1" x14ac:dyDescent="0.25">
      <c r="A862" s="161"/>
      <c r="B862" s="161"/>
      <c r="C862" s="161"/>
      <c r="D862" s="161"/>
      <c r="E862" s="161"/>
      <c r="F862" s="161"/>
      <c r="G862" s="161"/>
      <c r="H862" s="161"/>
      <c r="I862" s="161"/>
      <c r="J862" s="161"/>
      <c r="K862" s="161"/>
      <c r="L862" s="161"/>
      <c r="M862" s="161"/>
      <c r="N862" s="161"/>
      <c r="O862" s="161"/>
      <c r="P862" s="161"/>
      <c r="Q862" s="161"/>
      <c r="R862" s="161"/>
      <c r="S862" s="161"/>
      <c r="T862" s="161"/>
      <c r="U862" s="161"/>
      <c r="V862" s="161"/>
      <c r="W862" s="161"/>
      <c r="X862" s="161"/>
      <c r="Y862" s="161"/>
      <c r="Z862" s="161"/>
      <c r="AA862" s="161"/>
    </row>
    <row r="863" spans="1:27" ht="12" customHeight="1" x14ac:dyDescent="0.25">
      <c r="A863" s="161"/>
      <c r="B863" s="161"/>
      <c r="C863" s="161"/>
      <c r="D863" s="161"/>
      <c r="E863" s="161"/>
      <c r="F863" s="161"/>
      <c r="G863" s="161"/>
      <c r="H863" s="161"/>
      <c r="I863" s="161"/>
      <c r="J863" s="161"/>
      <c r="K863" s="161"/>
      <c r="L863" s="161"/>
      <c r="M863" s="161"/>
      <c r="N863" s="161"/>
      <c r="O863" s="161"/>
      <c r="P863" s="161"/>
      <c r="Q863" s="161"/>
      <c r="R863" s="161"/>
      <c r="S863" s="161"/>
      <c r="T863" s="161"/>
      <c r="U863" s="161"/>
      <c r="V863" s="161"/>
      <c r="W863" s="161"/>
      <c r="X863" s="161"/>
      <c r="Y863" s="161"/>
      <c r="Z863" s="161"/>
      <c r="AA863" s="161"/>
    </row>
    <row r="864" spans="1:27" ht="12" customHeight="1" x14ac:dyDescent="0.25">
      <c r="A864" s="161"/>
      <c r="B864" s="161"/>
      <c r="C864" s="161"/>
      <c r="D864" s="161"/>
      <c r="E864" s="161"/>
      <c r="F864" s="161"/>
      <c r="G864" s="161"/>
      <c r="H864" s="161"/>
      <c r="I864" s="161"/>
      <c r="J864" s="161"/>
      <c r="K864" s="161"/>
      <c r="L864" s="161"/>
      <c r="M864" s="161"/>
      <c r="N864" s="161"/>
      <c r="O864" s="161"/>
      <c r="P864" s="161"/>
      <c r="Q864" s="161"/>
      <c r="R864" s="161"/>
      <c r="S864" s="161"/>
      <c r="T864" s="161"/>
      <c r="U864" s="161"/>
      <c r="V864" s="161"/>
      <c r="W864" s="161"/>
      <c r="X864" s="161"/>
      <c r="Y864" s="161"/>
      <c r="Z864" s="161"/>
      <c r="AA864" s="161"/>
    </row>
    <row r="865" spans="1:27" ht="12" customHeight="1" x14ac:dyDescent="0.25">
      <c r="A865" s="161"/>
      <c r="B865" s="161"/>
      <c r="C865" s="161"/>
      <c r="D865" s="161"/>
      <c r="E865" s="161"/>
      <c r="F865" s="161"/>
      <c r="G865" s="161"/>
      <c r="H865" s="161"/>
      <c r="I865" s="161"/>
      <c r="J865" s="161"/>
      <c r="K865" s="161"/>
      <c r="L865" s="161"/>
      <c r="M865" s="161"/>
      <c r="N865" s="161"/>
      <c r="O865" s="161"/>
      <c r="P865" s="161"/>
      <c r="Q865" s="161"/>
      <c r="R865" s="161"/>
      <c r="S865" s="161"/>
      <c r="T865" s="161"/>
      <c r="U865" s="161"/>
      <c r="V865" s="161"/>
      <c r="W865" s="161"/>
      <c r="X865" s="161"/>
      <c r="Y865" s="161"/>
      <c r="Z865" s="161"/>
      <c r="AA865" s="161"/>
    </row>
    <row r="866" spans="1:27" ht="12" customHeight="1" x14ac:dyDescent="0.25">
      <c r="A866" s="161"/>
      <c r="B866" s="161"/>
      <c r="C866" s="161"/>
      <c r="D866" s="161"/>
      <c r="E866" s="161"/>
      <c r="F866" s="161"/>
      <c r="G866" s="161"/>
      <c r="H866" s="161"/>
      <c r="I866" s="161"/>
      <c r="J866" s="161"/>
      <c r="K866" s="161"/>
      <c r="L866" s="161"/>
      <c r="M866" s="161"/>
      <c r="N866" s="161"/>
      <c r="O866" s="161"/>
      <c r="P866" s="161"/>
      <c r="Q866" s="161"/>
      <c r="R866" s="161"/>
      <c r="S866" s="161"/>
      <c r="T866" s="161"/>
      <c r="U866" s="161"/>
      <c r="V866" s="161"/>
      <c r="W866" s="161"/>
      <c r="X866" s="161"/>
      <c r="Y866" s="161"/>
      <c r="Z866" s="161"/>
      <c r="AA866" s="161"/>
    </row>
    <row r="867" spans="1:27" ht="12" customHeight="1" x14ac:dyDescent="0.25">
      <c r="A867" s="161"/>
      <c r="B867" s="161"/>
      <c r="C867" s="161"/>
      <c r="D867" s="161"/>
      <c r="E867" s="161"/>
      <c r="F867" s="161"/>
      <c r="G867" s="161"/>
      <c r="H867" s="161"/>
      <c r="I867" s="161"/>
      <c r="J867" s="161"/>
      <c r="K867" s="161"/>
      <c r="L867" s="161"/>
      <c r="M867" s="161"/>
      <c r="N867" s="161"/>
      <c r="O867" s="161"/>
      <c r="P867" s="161"/>
      <c r="Q867" s="161"/>
      <c r="R867" s="161"/>
      <c r="S867" s="161"/>
      <c r="T867" s="161"/>
      <c r="U867" s="161"/>
      <c r="V867" s="161"/>
      <c r="W867" s="161"/>
      <c r="X867" s="161"/>
      <c r="Y867" s="161"/>
      <c r="Z867" s="161"/>
      <c r="AA867" s="161"/>
    </row>
    <row r="868" spans="1:27" ht="12" customHeight="1" x14ac:dyDescent="0.25">
      <c r="A868" s="161"/>
      <c r="B868" s="161"/>
      <c r="C868" s="161"/>
      <c r="D868" s="161"/>
      <c r="E868" s="161"/>
      <c r="F868" s="161"/>
      <c r="G868" s="161"/>
      <c r="H868" s="161"/>
      <c r="I868" s="161"/>
      <c r="J868" s="161"/>
      <c r="K868" s="161"/>
      <c r="L868" s="161"/>
      <c r="M868" s="161"/>
      <c r="N868" s="161"/>
      <c r="O868" s="161"/>
      <c r="P868" s="161"/>
      <c r="Q868" s="161"/>
      <c r="R868" s="161"/>
      <c r="S868" s="161"/>
      <c r="T868" s="161"/>
      <c r="U868" s="161"/>
      <c r="V868" s="161"/>
      <c r="W868" s="161"/>
      <c r="X868" s="161"/>
      <c r="Y868" s="161"/>
      <c r="Z868" s="161"/>
      <c r="AA868" s="161"/>
    </row>
    <row r="869" spans="1:27" ht="12" customHeight="1" x14ac:dyDescent="0.25">
      <c r="A869" s="161"/>
      <c r="B869" s="161"/>
      <c r="C869" s="161"/>
      <c r="D869" s="161"/>
      <c r="E869" s="161"/>
      <c r="F869" s="161"/>
      <c r="G869" s="161"/>
      <c r="H869" s="161"/>
      <c r="I869" s="161"/>
      <c r="J869" s="161"/>
      <c r="K869" s="161"/>
      <c r="L869" s="161"/>
      <c r="M869" s="161"/>
      <c r="N869" s="161"/>
      <c r="O869" s="161"/>
      <c r="P869" s="161"/>
      <c r="Q869" s="161"/>
      <c r="R869" s="161"/>
      <c r="S869" s="161"/>
      <c r="T869" s="161"/>
      <c r="U869" s="161"/>
      <c r="V869" s="161"/>
      <c r="W869" s="161"/>
      <c r="X869" s="161"/>
      <c r="Y869" s="161"/>
      <c r="Z869" s="161"/>
      <c r="AA869" s="161"/>
    </row>
    <row r="870" spans="1:27" ht="12" customHeight="1" x14ac:dyDescent="0.25">
      <c r="A870" s="161"/>
      <c r="B870" s="161"/>
      <c r="C870" s="161"/>
      <c r="D870" s="161"/>
      <c r="E870" s="161"/>
      <c r="F870" s="161"/>
      <c r="G870" s="161"/>
      <c r="H870" s="161"/>
      <c r="I870" s="161"/>
      <c r="J870" s="161"/>
      <c r="K870" s="161"/>
      <c r="L870" s="161"/>
      <c r="M870" s="161"/>
      <c r="N870" s="161"/>
      <c r="O870" s="161"/>
      <c r="P870" s="161"/>
      <c r="Q870" s="161"/>
      <c r="R870" s="161"/>
      <c r="S870" s="161"/>
      <c r="T870" s="161"/>
      <c r="U870" s="161"/>
      <c r="V870" s="161"/>
      <c r="W870" s="161"/>
      <c r="X870" s="161"/>
      <c r="Y870" s="161"/>
      <c r="Z870" s="161"/>
      <c r="AA870" s="161"/>
    </row>
    <row r="871" spans="1:27" ht="12" customHeight="1" x14ac:dyDescent="0.25">
      <c r="A871" s="161"/>
      <c r="B871" s="161"/>
      <c r="C871" s="161"/>
      <c r="D871" s="161"/>
      <c r="E871" s="161"/>
      <c r="F871" s="161"/>
      <c r="G871" s="161"/>
      <c r="H871" s="161"/>
      <c r="I871" s="161"/>
      <c r="J871" s="161"/>
      <c r="K871" s="161"/>
      <c r="L871" s="161"/>
      <c r="M871" s="161"/>
      <c r="N871" s="161"/>
      <c r="O871" s="161"/>
      <c r="P871" s="161"/>
      <c r="Q871" s="161"/>
      <c r="R871" s="161"/>
      <c r="S871" s="161"/>
      <c r="T871" s="161"/>
      <c r="U871" s="161"/>
      <c r="V871" s="161"/>
      <c r="W871" s="161"/>
      <c r="X871" s="161"/>
      <c r="Y871" s="161"/>
      <c r="Z871" s="161"/>
      <c r="AA871" s="161"/>
    </row>
    <row r="872" spans="1:27" ht="12" customHeight="1" x14ac:dyDescent="0.25">
      <c r="A872" s="161"/>
      <c r="B872" s="161"/>
      <c r="C872" s="161"/>
      <c r="D872" s="161"/>
      <c r="E872" s="161"/>
      <c r="F872" s="161"/>
      <c r="G872" s="161"/>
      <c r="H872" s="161"/>
      <c r="I872" s="161"/>
      <c r="J872" s="161"/>
      <c r="K872" s="161"/>
      <c r="L872" s="161"/>
      <c r="M872" s="161"/>
      <c r="N872" s="161"/>
      <c r="O872" s="161"/>
      <c r="P872" s="161"/>
      <c r="Q872" s="161"/>
      <c r="R872" s="161"/>
      <c r="S872" s="161"/>
      <c r="T872" s="161"/>
      <c r="U872" s="161"/>
      <c r="V872" s="161"/>
      <c r="W872" s="161"/>
      <c r="X872" s="161"/>
      <c r="Y872" s="161"/>
      <c r="Z872" s="161"/>
      <c r="AA872" s="161"/>
    </row>
    <row r="873" spans="1:27" ht="12" customHeight="1" x14ac:dyDescent="0.25">
      <c r="A873" s="161"/>
      <c r="B873" s="161"/>
      <c r="C873" s="161"/>
      <c r="D873" s="161"/>
      <c r="E873" s="161"/>
      <c r="F873" s="161"/>
      <c r="G873" s="161"/>
      <c r="H873" s="161"/>
      <c r="I873" s="161"/>
      <c r="J873" s="161"/>
      <c r="K873" s="161"/>
      <c r="L873" s="161"/>
      <c r="M873" s="161"/>
      <c r="N873" s="161"/>
      <c r="O873" s="161"/>
      <c r="P873" s="161"/>
      <c r="Q873" s="161"/>
      <c r="R873" s="161"/>
      <c r="S873" s="161"/>
      <c r="T873" s="161"/>
      <c r="U873" s="161"/>
      <c r="V873" s="161"/>
      <c r="W873" s="161"/>
      <c r="X873" s="161"/>
      <c r="Y873" s="161"/>
      <c r="Z873" s="161"/>
      <c r="AA873" s="161"/>
    </row>
    <row r="874" spans="1:27" ht="12" customHeight="1" x14ac:dyDescent="0.25">
      <c r="A874" s="161"/>
      <c r="B874" s="161"/>
      <c r="C874" s="161"/>
      <c r="D874" s="161"/>
      <c r="E874" s="161"/>
      <c r="F874" s="161"/>
      <c r="G874" s="161"/>
      <c r="H874" s="161"/>
      <c r="I874" s="161"/>
      <c r="J874" s="161"/>
      <c r="K874" s="161"/>
      <c r="L874" s="161"/>
      <c r="M874" s="161"/>
      <c r="N874" s="161"/>
      <c r="O874" s="161"/>
      <c r="P874" s="161"/>
      <c r="Q874" s="161"/>
      <c r="R874" s="161"/>
      <c r="S874" s="161"/>
      <c r="T874" s="161"/>
      <c r="U874" s="161"/>
      <c r="V874" s="161"/>
      <c r="W874" s="161"/>
      <c r="X874" s="161"/>
      <c r="Y874" s="161"/>
      <c r="Z874" s="161"/>
      <c r="AA874" s="161"/>
    </row>
    <row r="875" spans="1:27" ht="12" customHeight="1" x14ac:dyDescent="0.25">
      <c r="A875" s="161"/>
      <c r="B875" s="161"/>
      <c r="C875" s="161"/>
      <c r="D875" s="161"/>
      <c r="E875" s="161"/>
      <c r="F875" s="161"/>
      <c r="G875" s="161"/>
      <c r="H875" s="161"/>
      <c r="I875" s="161"/>
      <c r="J875" s="161"/>
      <c r="K875" s="161"/>
      <c r="L875" s="161"/>
      <c r="M875" s="161"/>
      <c r="N875" s="161"/>
      <c r="O875" s="161"/>
      <c r="P875" s="161"/>
      <c r="Q875" s="161"/>
      <c r="R875" s="161"/>
      <c r="S875" s="161"/>
      <c r="T875" s="161"/>
      <c r="U875" s="161"/>
      <c r="V875" s="161"/>
      <c r="W875" s="161"/>
      <c r="X875" s="161"/>
      <c r="Y875" s="161"/>
      <c r="Z875" s="161"/>
      <c r="AA875" s="161"/>
    </row>
    <row r="876" spans="1:27" ht="12" customHeight="1" x14ac:dyDescent="0.25">
      <c r="A876" s="161"/>
      <c r="B876" s="161"/>
      <c r="C876" s="161"/>
      <c r="D876" s="161"/>
      <c r="E876" s="161"/>
      <c r="F876" s="161"/>
      <c r="G876" s="161"/>
      <c r="H876" s="161"/>
      <c r="I876" s="161"/>
      <c r="J876" s="161"/>
      <c r="K876" s="161"/>
      <c r="L876" s="161"/>
      <c r="M876" s="161"/>
      <c r="N876" s="161"/>
      <c r="O876" s="161"/>
      <c r="P876" s="161"/>
      <c r="Q876" s="161"/>
      <c r="R876" s="161"/>
      <c r="S876" s="161"/>
      <c r="T876" s="161"/>
      <c r="U876" s="161"/>
      <c r="V876" s="161"/>
      <c r="W876" s="161"/>
      <c r="X876" s="161"/>
      <c r="Y876" s="161"/>
      <c r="Z876" s="161"/>
      <c r="AA876" s="161"/>
    </row>
    <row r="877" spans="1:27" ht="12" customHeight="1" x14ac:dyDescent="0.25">
      <c r="A877" s="161"/>
      <c r="B877" s="161"/>
      <c r="C877" s="161"/>
      <c r="D877" s="161"/>
      <c r="E877" s="161"/>
      <c r="F877" s="161"/>
      <c r="G877" s="161"/>
      <c r="H877" s="161"/>
      <c r="I877" s="161"/>
      <c r="J877" s="161"/>
      <c r="K877" s="161"/>
      <c r="L877" s="161"/>
      <c r="M877" s="161"/>
      <c r="N877" s="161"/>
      <c r="O877" s="161"/>
      <c r="P877" s="161"/>
      <c r="Q877" s="161"/>
      <c r="R877" s="161"/>
      <c r="S877" s="161"/>
      <c r="T877" s="161"/>
      <c r="U877" s="161"/>
      <c r="V877" s="161"/>
      <c r="W877" s="161"/>
      <c r="X877" s="161"/>
      <c r="Y877" s="161"/>
      <c r="Z877" s="161"/>
      <c r="AA877" s="161"/>
    </row>
    <row r="878" spans="1:27" ht="12" customHeight="1" x14ac:dyDescent="0.25">
      <c r="A878" s="161"/>
      <c r="B878" s="161"/>
      <c r="C878" s="161"/>
      <c r="D878" s="161"/>
      <c r="E878" s="161"/>
      <c r="F878" s="161"/>
      <c r="G878" s="161"/>
      <c r="H878" s="161"/>
      <c r="I878" s="161"/>
      <c r="J878" s="161"/>
      <c r="K878" s="161"/>
      <c r="L878" s="161"/>
      <c r="M878" s="161"/>
      <c r="N878" s="161"/>
      <c r="O878" s="161"/>
      <c r="P878" s="161"/>
      <c r="Q878" s="161"/>
      <c r="R878" s="161"/>
      <c r="S878" s="161"/>
      <c r="T878" s="161"/>
      <c r="U878" s="161"/>
      <c r="V878" s="161"/>
      <c r="W878" s="161"/>
      <c r="X878" s="161"/>
      <c r="Y878" s="161"/>
      <c r="Z878" s="161"/>
      <c r="AA878" s="161"/>
    </row>
    <row r="879" spans="1:27" ht="12" customHeight="1" x14ac:dyDescent="0.25">
      <c r="A879" s="161"/>
      <c r="B879" s="161"/>
      <c r="C879" s="161"/>
      <c r="D879" s="161"/>
      <c r="E879" s="161"/>
      <c r="F879" s="161"/>
      <c r="G879" s="161"/>
      <c r="H879" s="161"/>
      <c r="I879" s="161"/>
      <c r="J879" s="161"/>
      <c r="K879" s="161"/>
      <c r="L879" s="161"/>
      <c r="M879" s="161"/>
      <c r="N879" s="161"/>
      <c r="O879" s="161"/>
      <c r="P879" s="161"/>
      <c r="Q879" s="161"/>
      <c r="R879" s="161"/>
      <c r="S879" s="161"/>
      <c r="T879" s="161"/>
      <c r="U879" s="161"/>
      <c r="V879" s="161"/>
      <c r="W879" s="161"/>
      <c r="X879" s="161"/>
      <c r="Y879" s="161"/>
      <c r="Z879" s="161"/>
      <c r="AA879" s="161"/>
    </row>
    <row r="880" spans="1:27" ht="12" customHeight="1" x14ac:dyDescent="0.25">
      <c r="A880" s="161"/>
      <c r="B880" s="161"/>
      <c r="C880" s="161"/>
      <c r="D880" s="161"/>
      <c r="E880" s="161"/>
      <c r="F880" s="161"/>
      <c r="G880" s="161"/>
      <c r="H880" s="161"/>
      <c r="I880" s="161"/>
      <c r="J880" s="161"/>
      <c r="K880" s="161"/>
      <c r="L880" s="161"/>
      <c r="M880" s="161"/>
      <c r="N880" s="161"/>
      <c r="O880" s="161"/>
      <c r="P880" s="161"/>
      <c r="Q880" s="161"/>
      <c r="R880" s="161"/>
      <c r="S880" s="161"/>
      <c r="T880" s="161"/>
      <c r="U880" s="161"/>
      <c r="V880" s="161"/>
      <c r="W880" s="161"/>
      <c r="X880" s="161"/>
      <c r="Y880" s="161"/>
      <c r="Z880" s="161"/>
      <c r="AA880" s="161"/>
    </row>
    <row r="881" spans="1:27" ht="12" customHeight="1" x14ac:dyDescent="0.25">
      <c r="A881" s="161"/>
      <c r="B881" s="161"/>
      <c r="C881" s="161"/>
      <c r="D881" s="161"/>
      <c r="E881" s="161"/>
      <c r="F881" s="161"/>
      <c r="G881" s="161"/>
      <c r="H881" s="161"/>
      <c r="I881" s="161"/>
      <c r="J881" s="161"/>
      <c r="K881" s="161"/>
      <c r="L881" s="161"/>
      <c r="M881" s="161"/>
      <c r="N881" s="161"/>
      <c r="O881" s="161"/>
      <c r="P881" s="161"/>
      <c r="Q881" s="161"/>
      <c r="R881" s="161"/>
      <c r="S881" s="161"/>
      <c r="T881" s="161"/>
      <c r="U881" s="161"/>
      <c r="V881" s="161"/>
      <c r="W881" s="161"/>
      <c r="X881" s="161"/>
      <c r="Y881" s="161"/>
      <c r="Z881" s="161"/>
      <c r="AA881" s="161"/>
    </row>
    <row r="882" spans="1:27" ht="12" customHeight="1" x14ac:dyDescent="0.25">
      <c r="A882" s="161"/>
      <c r="B882" s="161"/>
      <c r="C882" s="161"/>
      <c r="D882" s="161"/>
      <c r="E882" s="161"/>
      <c r="F882" s="161"/>
      <c r="G882" s="161"/>
      <c r="H882" s="161"/>
      <c r="I882" s="161"/>
      <c r="J882" s="161"/>
      <c r="K882" s="161"/>
      <c r="L882" s="161"/>
      <c r="M882" s="161"/>
      <c r="N882" s="161"/>
      <c r="O882" s="161"/>
      <c r="P882" s="161"/>
      <c r="Q882" s="161"/>
      <c r="R882" s="161"/>
      <c r="S882" s="161"/>
      <c r="T882" s="161"/>
      <c r="U882" s="161"/>
      <c r="V882" s="161"/>
      <c r="W882" s="161"/>
      <c r="X882" s="161"/>
      <c r="Y882" s="161"/>
      <c r="Z882" s="161"/>
      <c r="AA882" s="161"/>
    </row>
    <row r="883" spans="1:27" ht="12" customHeight="1" x14ac:dyDescent="0.25">
      <c r="A883" s="161"/>
      <c r="B883" s="161"/>
      <c r="C883" s="161"/>
      <c r="D883" s="161"/>
      <c r="E883" s="161"/>
      <c r="F883" s="161"/>
      <c r="G883" s="161"/>
      <c r="H883" s="161"/>
      <c r="I883" s="161"/>
      <c r="J883" s="161"/>
      <c r="K883" s="161"/>
      <c r="L883" s="161"/>
      <c r="M883" s="161"/>
      <c r="N883" s="161"/>
      <c r="O883" s="161"/>
      <c r="P883" s="161"/>
      <c r="Q883" s="161"/>
      <c r="R883" s="161"/>
      <c r="S883" s="161"/>
      <c r="T883" s="161"/>
      <c r="U883" s="161"/>
      <c r="V883" s="161"/>
      <c r="W883" s="161"/>
      <c r="X883" s="161"/>
      <c r="Y883" s="161"/>
      <c r="Z883" s="161"/>
      <c r="AA883" s="161"/>
    </row>
    <row r="884" spans="1:27" ht="12" customHeight="1" x14ac:dyDescent="0.25">
      <c r="A884" s="161"/>
      <c r="B884" s="161"/>
      <c r="C884" s="161"/>
      <c r="D884" s="161"/>
      <c r="E884" s="161"/>
      <c r="F884" s="161"/>
      <c r="G884" s="161"/>
      <c r="H884" s="161"/>
      <c r="I884" s="161"/>
      <c r="J884" s="161"/>
      <c r="K884" s="161"/>
      <c r="L884" s="161"/>
      <c r="M884" s="161"/>
      <c r="N884" s="161"/>
      <c r="O884" s="161"/>
      <c r="P884" s="161"/>
      <c r="Q884" s="161"/>
      <c r="R884" s="161"/>
      <c r="S884" s="161"/>
      <c r="T884" s="161"/>
      <c r="U884" s="161"/>
      <c r="V884" s="161"/>
      <c r="W884" s="161"/>
      <c r="X884" s="161"/>
      <c r="Y884" s="161"/>
      <c r="Z884" s="161"/>
      <c r="AA884" s="161"/>
    </row>
    <row r="885" spans="1:27" ht="12" customHeight="1" x14ac:dyDescent="0.25">
      <c r="A885" s="161"/>
      <c r="B885" s="161"/>
      <c r="C885" s="161"/>
      <c r="D885" s="161"/>
      <c r="E885" s="161"/>
      <c r="F885" s="161"/>
      <c r="G885" s="161"/>
      <c r="H885" s="161"/>
      <c r="I885" s="161"/>
      <c r="J885" s="161"/>
      <c r="K885" s="161"/>
      <c r="L885" s="161"/>
      <c r="M885" s="161"/>
      <c r="N885" s="161"/>
      <c r="O885" s="161"/>
      <c r="P885" s="161"/>
      <c r="Q885" s="161"/>
      <c r="R885" s="161"/>
      <c r="S885" s="161"/>
      <c r="T885" s="161"/>
      <c r="U885" s="161"/>
      <c r="V885" s="161"/>
      <c r="W885" s="161"/>
      <c r="X885" s="161"/>
      <c r="Y885" s="161"/>
      <c r="Z885" s="161"/>
      <c r="AA885" s="161"/>
    </row>
    <row r="886" spans="1:27" ht="12" customHeight="1" x14ac:dyDescent="0.25">
      <c r="A886" s="161"/>
      <c r="B886" s="161"/>
      <c r="C886" s="161"/>
      <c r="D886" s="161"/>
      <c r="E886" s="161"/>
      <c r="F886" s="161"/>
      <c r="G886" s="161"/>
      <c r="H886" s="161"/>
      <c r="I886" s="161"/>
      <c r="J886" s="161"/>
      <c r="K886" s="161"/>
      <c r="L886" s="161"/>
      <c r="M886" s="161"/>
      <c r="N886" s="161"/>
      <c r="O886" s="161"/>
      <c r="P886" s="161"/>
      <c r="Q886" s="161"/>
      <c r="R886" s="161"/>
      <c r="S886" s="161"/>
      <c r="T886" s="161"/>
      <c r="U886" s="161"/>
      <c r="V886" s="161"/>
      <c r="W886" s="161"/>
      <c r="X886" s="161"/>
      <c r="Y886" s="161"/>
      <c r="Z886" s="161"/>
      <c r="AA886" s="161"/>
    </row>
    <row r="887" spans="1:27" ht="12" customHeight="1" x14ac:dyDescent="0.25">
      <c r="A887" s="161"/>
      <c r="B887" s="161"/>
      <c r="C887" s="161"/>
      <c r="D887" s="161"/>
      <c r="E887" s="161"/>
      <c r="F887" s="161"/>
      <c r="G887" s="161"/>
      <c r="H887" s="161"/>
      <c r="I887" s="161"/>
      <c r="J887" s="161"/>
      <c r="K887" s="161"/>
      <c r="L887" s="161"/>
      <c r="M887" s="161"/>
      <c r="N887" s="161"/>
      <c r="O887" s="161"/>
      <c r="P887" s="161"/>
      <c r="Q887" s="161"/>
      <c r="R887" s="161"/>
      <c r="S887" s="161"/>
      <c r="T887" s="161"/>
      <c r="U887" s="161"/>
      <c r="V887" s="161"/>
      <c r="W887" s="161"/>
      <c r="X887" s="161"/>
      <c r="Y887" s="161"/>
      <c r="Z887" s="161"/>
      <c r="AA887" s="161"/>
    </row>
    <row r="888" spans="1:27" ht="12" customHeight="1" x14ac:dyDescent="0.25">
      <c r="A888" s="161"/>
      <c r="B888" s="161"/>
      <c r="C888" s="161"/>
      <c r="D888" s="161"/>
      <c r="E888" s="161"/>
      <c r="F888" s="161"/>
      <c r="G888" s="161"/>
      <c r="H888" s="161"/>
      <c r="I888" s="161"/>
      <c r="J888" s="161"/>
      <c r="K888" s="161"/>
      <c r="L888" s="161"/>
      <c r="M888" s="161"/>
      <c r="N888" s="161"/>
      <c r="O888" s="161"/>
      <c r="P888" s="161"/>
      <c r="Q888" s="161"/>
      <c r="R888" s="161"/>
      <c r="S888" s="161"/>
      <c r="T888" s="161"/>
      <c r="U888" s="161"/>
      <c r="V888" s="161"/>
      <c r="W888" s="161"/>
      <c r="X888" s="161"/>
      <c r="Y888" s="161"/>
      <c r="Z888" s="161"/>
      <c r="AA888" s="161"/>
    </row>
    <row r="889" spans="1:27" ht="12" customHeight="1" x14ac:dyDescent="0.25">
      <c r="A889" s="161"/>
      <c r="B889" s="161"/>
      <c r="C889" s="161"/>
      <c r="D889" s="161"/>
      <c r="E889" s="161"/>
      <c r="F889" s="161"/>
      <c r="G889" s="161"/>
      <c r="H889" s="161"/>
      <c r="I889" s="161"/>
      <c r="J889" s="161"/>
      <c r="K889" s="161"/>
      <c r="L889" s="161"/>
      <c r="M889" s="161"/>
      <c r="N889" s="161"/>
      <c r="O889" s="161"/>
      <c r="P889" s="161"/>
      <c r="Q889" s="161"/>
      <c r="R889" s="161"/>
      <c r="S889" s="161"/>
      <c r="T889" s="161"/>
      <c r="U889" s="161"/>
      <c r="V889" s="161"/>
      <c r="W889" s="161"/>
      <c r="X889" s="161"/>
      <c r="Y889" s="161"/>
      <c r="Z889" s="161"/>
      <c r="AA889" s="161"/>
    </row>
    <row r="890" spans="1:27" ht="12" customHeight="1" x14ac:dyDescent="0.25">
      <c r="A890" s="161"/>
      <c r="B890" s="161"/>
      <c r="C890" s="161"/>
      <c r="D890" s="161"/>
      <c r="E890" s="161"/>
      <c r="F890" s="161"/>
      <c r="G890" s="161"/>
      <c r="H890" s="161"/>
      <c r="I890" s="161"/>
      <c r="J890" s="161"/>
      <c r="K890" s="161"/>
      <c r="L890" s="161"/>
      <c r="M890" s="161"/>
      <c r="N890" s="161"/>
      <c r="O890" s="161"/>
      <c r="P890" s="161"/>
      <c r="Q890" s="161"/>
      <c r="R890" s="161"/>
      <c r="S890" s="161"/>
      <c r="T890" s="161"/>
      <c r="U890" s="161"/>
      <c r="V890" s="161"/>
      <c r="W890" s="161"/>
      <c r="X890" s="161"/>
      <c r="Y890" s="161"/>
      <c r="Z890" s="161"/>
      <c r="AA890" s="161"/>
    </row>
    <row r="891" spans="1:27" ht="12" customHeight="1" x14ac:dyDescent="0.25">
      <c r="A891" s="161"/>
      <c r="B891" s="161"/>
      <c r="C891" s="161"/>
      <c r="D891" s="161"/>
      <c r="E891" s="161"/>
      <c r="F891" s="161"/>
      <c r="G891" s="161"/>
      <c r="H891" s="161"/>
      <c r="I891" s="161"/>
      <c r="J891" s="161"/>
      <c r="K891" s="161"/>
      <c r="L891" s="161"/>
      <c r="M891" s="161"/>
      <c r="N891" s="161"/>
      <c r="O891" s="161"/>
      <c r="P891" s="161"/>
      <c r="Q891" s="161"/>
      <c r="R891" s="161"/>
      <c r="S891" s="161"/>
      <c r="T891" s="161"/>
      <c r="U891" s="161"/>
      <c r="V891" s="161"/>
      <c r="W891" s="161"/>
      <c r="X891" s="161"/>
      <c r="Y891" s="161"/>
      <c r="Z891" s="161"/>
      <c r="AA891" s="161"/>
    </row>
    <row r="892" spans="1:27" ht="12" customHeight="1" x14ac:dyDescent="0.25">
      <c r="A892" s="161"/>
      <c r="B892" s="161"/>
      <c r="C892" s="161"/>
      <c r="D892" s="161"/>
      <c r="E892" s="161"/>
      <c r="F892" s="161"/>
      <c r="G892" s="161"/>
      <c r="H892" s="161"/>
      <c r="I892" s="161"/>
      <c r="J892" s="161"/>
      <c r="K892" s="161"/>
      <c r="L892" s="161"/>
      <c r="M892" s="161"/>
      <c r="N892" s="161"/>
      <c r="O892" s="161"/>
      <c r="P892" s="161"/>
      <c r="Q892" s="161"/>
      <c r="R892" s="161"/>
      <c r="S892" s="161"/>
      <c r="T892" s="161"/>
      <c r="U892" s="161"/>
      <c r="V892" s="161"/>
      <c r="W892" s="161"/>
      <c r="X892" s="161"/>
      <c r="Y892" s="161"/>
      <c r="Z892" s="161"/>
      <c r="AA892" s="161"/>
    </row>
    <row r="893" spans="1:27" ht="12" customHeight="1" x14ac:dyDescent="0.25">
      <c r="A893" s="161"/>
      <c r="B893" s="161"/>
      <c r="C893" s="161"/>
      <c r="D893" s="161"/>
      <c r="E893" s="161"/>
      <c r="F893" s="161"/>
      <c r="G893" s="161"/>
      <c r="H893" s="161"/>
      <c r="I893" s="161"/>
      <c r="J893" s="161"/>
      <c r="K893" s="161"/>
      <c r="L893" s="161"/>
      <c r="M893" s="161"/>
      <c r="N893" s="161"/>
      <c r="O893" s="161"/>
      <c r="P893" s="161"/>
      <c r="Q893" s="161"/>
      <c r="R893" s="161"/>
      <c r="S893" s="161"/>
      <c r="T893" s="161"/>
      <c r="U893" s="161"/>
      <c r="V893" s="161"/>
      <c r="W893" s="161"/>
      <c r="X893" s="161"/>
      <c r="Y893" s="161"/>
      <c r="Z893" s="161"/>
      <c r="AA893" s="161"/>
    </row>
    <row r="894" spans="1:27" ht="12" customHeight="1" x14ac:dyDescent="0.25">
      <c r="A894" s="161"/>
      <c r="B894" s="161"/>
      <c r="C894" s="161"/>
      <c r="D894" s="161"/>
      <c r="E894" s="161"/>
      <c r="F894" s="161"/>
      <c r="G894" s="161"/>
      <c r="H894" s="161"/>
      <c r="I894" s="161"/>
      <c r="J894" s="161"/>
      <c r="K894" s="161"/>
      <c r="L894" s="161"/>
      <c r="M894" s="161"/>
      <c r="N894" s="161"/>
      <c r="O894" s="161"/>
      <c r="P894" s="161"/>
      <c r="Q894" s="161"/>
      <c r="R894" s="161"/>
      <c r="S894" s="161"/>
      <c r="T894" s="161"/>
      <c r="U894" s="161"/>
      <c r="V894" s="161"/>
      <c r="W894" s="161"/>
      <c r="X894" s="161"/>
      <c r="Y894" s="161"/>
      <c r="Z894" s="161"/>
      <c r="AA894" s="161"/>
    </row>
    <row r="895" spans="1:27" ht="12" customHeight="1" x14ac:dyDescent="0.25">
      <c r="A895" s="161"/>
      <c r="B895" s="161"/>
      <c r="C895" s="161"/>
      <c r="D895" s="161"/>
      <c r="E895" s="161"/>
      <c r="F895" s="161"/>
      <c r="G895" s="161"/>
      <c r="H895" s="161"/>
      <c r="I895" s="161"/>
      <c r="J895" s="161"/>
      <c r="K895" s="161"/>
      <c r="L895" s="161"/>
      <c r="M895" s="161"/>
      <c r="N895" s="161"/>
      <c r="O895" s="161"/>
      <c r="P895" s="161"/>
      <c r="Q895" s="161"/>
      <c r="R895" s="161"/>
      <c r="S895" s="161"/>
      <c r="T895" s="161"/>
      <c r="U895" s="161"/>
      <c r="V895" s="161"/>
      <c r="W895" s="161"/>
      <c r="X895" s="161"/>
      <c r="Y895" s="161"/>
      <c r="Z895" s="161"/>
      <c r="AA895" s="161"/>
    </row>
    <row r="896" spans="1:27" ht="12" customHeight="1" x14ac:dyDescent="0.25">
      <c r="A896" s="161"/>
      <c r="B896" s="161"/>
      <c r="C896" s="161"/>
      <c r="D896" s="161"/>
      <c r="E896" s="161"/>
      <c r="F896" s="161"/>
      <c r="G896" s="161"/>
      <c r="H896" s="161"/>
      <c r="I896" s="161"/>
      <c r="J896" s="161"/>
      <c r="K896" s="161"/>
      <c r="L896" s="161"/>
      <c r="M896" s="161"/>
      <c r="N896" s="161"/>
      <c r="O896" s="161"/>
      <c r="P896" s="161"/>
      <c r="Q896" s="161"/>
      <c r="R896" s="161"/>
      <c r="S896" s="161"/>
      <c r="T896" s="161"/>
      <c r="U896" s="161"/>
      <c r="V896" s="161"/>
      <c r="W896" s="161"/>
      <c r="X896" s="161"/>
      <c r="Y896" s="161"/>
      <c r="Z896" s="161"/>
      <c r="AA896" s="161"/>
    </row>
    <row r="897" spans="1:27" ht="12" customHeight="1" x14ac:dyDescent="0.25">
      <c r="A897" s="161"/>
      <c r="B897" s="161"/>
      <c r="C897" s="161"/>
      <c r="D897" s="161"/>
      <c r="E897" s="161"/>
      <c r="F897" s="161"/>
      <c r="G897" s="161"/>
      <c r="H897" s="161"/>
      <c r="I897" s="161"/>
      <c r="J897" s="161"/>
      <c r="K897" s="161"/>
      <c r="L897" s="161"/>
      <c r="M897" s="161"/>
      <c r="N897" s="161"/>
      <c r="O897" s="161"/>
      <c r="P897" s="161"/>
      <c r="Q897" s="161"/>
      <c r="R897" s="161"/>
      <c r="S897" s="161"/>
      <c r="T897" s="161"/>
      <c r="U897" s="161"/>
      <c r="V897" s="161"/>
      <c r="W897" s="161"/>
      <c r="X897" s="161"/>
      <c r="Y897" s="161"/>
      <c r="Z897" s="161"/>
      <c r="AA897" s="161"/>
    </row>
    <row r="898" spans="1:27" ht="12" customHeight="1" x14ac:dyDescent="0.25">
      <c r="A898" s="161"/>
      <c r="B898" s="161"/>
      <c r="C898" s="161"/>
      <c r="D898" s="161"/>
      <c r="E898" s="161"/>
      <c r="F898" s="161"/>
      <c r="G898" s="161"/>
      <c r="H898" s="161"/>
      <c r="I898" s="161"/>
      <c r="J898" s="161"/>
      <c r="K898" s="161"/>
      <c r="L898" s="161"/>
      <c r="M898" s="161"/>
      <c r="N898" s="161"/>
      <c r="O898" s="161"/>
      <c r="P898" s="161"/>
      <c r="Q898" s="161"/>
      <c r="R898" s="161"/>
      <c r="S898" s="161"/>
      <c r="T898" s="161"/>
      <c r="U898" s="161"/>
      <c r="V898" s="161"/>
      <c r="W898" s="161"/>
      <c r="X898" s="161"/>
      <c r="Y898" s="161"/>
      <c r="Z898" s="161"/>
      <c r="AA898" s="161"/>
    </row>
    <row r="899" spans="1:27" ht="12" customHeight="1" x14ac:dyDescent="0.25">
      <c r="A899" s="161"/>
      <c r="B899" s="161"/>
      <c r="C899" s="161"/>
      <c r="D899" s="161"/>
      <c r="E899" s="161"/>
      <c r="F899" s="161"/>
      <c r="G899" s="161"/>
      <c r="H899" s="161"/>
      <c r="I899" s="161"/>
      <c r="J899" s="161"/>
      <c r="K899" s="161"/>
      <c r="L899" s="161"/>
      <c r="M899" s="161"/>
      <c r="N899" s="161"/>
      <c r="O899" s="161"/>
      <c r="P899" s="161"/>
      <c r="Q899" s="161"/>
      <c r="R899" s="161"/>
      <c r="S899" s="161"/>
      <c r="T899" s="161"/>
      <c r="U899" s="161"/>
      <c r="V899" s="161"/>
      <c r="W899" s="161"/>
      <c r="X899" s="161"/>
      <c r="Y899" s="161"/>
      <c r="Z899" s="161"/>
      <c r="AA899" s="161"/>
    </row>
    <row r="900" spans="1:27" ht="12" customHeight="1" x14ac:dyDescent="0.25">
      <c r="A900" s="161"/>
      <c r="B900" s="161"/>
      <c r="C900" s="161"/>
      <c r="D900" s="161"/>
      <c r="E900" s="161"/>
      <c r="F900" s="161"/>
      <c r="G900" s="161"/>
      <c r="H900" s="161"/>
      <c r="I900" s="161"/>
      <c r="J900" s="161"/>
      <c r="K900" s="161"/>
      <c r="L900" s="161"/>
      <c r="M900" s="161"/>
      <c r="N900" s="161"/>
      <c r="O900" s="161"/>
      <c r="P900" s="161"/>
      <c r="Q900" s="161"/>
      <c r="R900" s="161"/>
      <c r="S900" s="161"/>
      <c r="T900" s="161"/>
      <c r="U900" s="161"/>
      <c r="V900" s="161"/>
      <c r="W900" s="161"/>
      <c r="X900" s="161"/>
      <c r="Y900" s="161"/>
      <c r="Z900" s="161"/>
      <c r="AA900" s="161"/>
    </row>
    <row r="901" spans="1:27" ht="12" customHeight="1" x14ac:dyDescent="0.25">
      <c r="A901" s="161"/>
      <c r="B901" s="161"/>
      <c r="C901" s="161"/>
      <c r="D901" s="161"/>
      <c r="E901" s="161"/>
      <c r="F901" s="161"/>
      <c r="G901" s="161"/>
      <c r="H901" s="161"/>
      <c r="I901" s="161"/>
      <c r="J901" s="161"/>
      <c r="K901" s="161"/>
      <c r="L901" s="161"/>
      <c r="M901" s="161"/>
      <c r="N901" s="161"/>
      <c r="O901" s="161"/>
      <c r="P901" s="161"/>
      <c r="Q901" s="161"/>
      <c r="R901" s="161"/>
      <c r="S901" s="161"/>
      <c r="T901" s="161"/>
      <c r="U901" s="161"/>
      <c r="V901" s="161"/>
      <c r="W901" s="161"/>
      <c r="X901" s="161"/>
      <c r="Y901" s="161"/>
      <c r="Z901" s="161"/>
      <c r="AA901" s="161"/>
    </row>
    <row r="902" spans="1:27" ht="12" customHeight="1" x14ac:dyDescent="0.25">
      <c r="A902" s="161"/>
      <c r="B902" s="161"/>
      <c r="C902" s="161"/>
      <c r="D902" s="161"/>
      <c r="E902" s="161"/>
      <c r="F902" s="161"/>
      <c r="G902" s="161"/>
      <c r="H902" s="161"/>
      <c r="I902" s="161"/>
      <c r="J902" s="161"/>
      <c r="K902" s="161"/>
      <c r="L902" s="161"/>
      <c r="M902" s="161"/>
      <c r="N902" s="161"/>
      <c r="O902" s="161"/>
      <c r="P902" s="161"/>
      <c r="Q902" s="161"/>
      <c r="R902" s="161"/>
      <c r="S902" s="161"/>
      <c r="T902" s="161"/>
      <c r="U902" s="161"/>
      <c r="V902" s="161"/>
      <c r="W902" s="161"/>
      <c r="X902" s="161"/>
      <c r="Y902" s="161"/>
      <c r="Z902" s="161"/>
      <c r="AA902" s="161"/>
    </row>
    <row r="903" spans="1:27" ht="12" customHeight="1" x14ac:dyDescent="0.25">
      <c r="A903" s="161"/>
      <c r="B903" s="161"/>
      <c r="C903" s="161"/>
      <c r="D903" s="161"/>
      <c r="E903" s="161"/>
      <c r="F903" s="161"/>
      <c r="G903" s="161"/>
      <c r="H903" s="161"/>
      <c r="I903" s="161"/>
      <c r="J903" s="161"/>
      <c r="K903" s="161"/>
      <c r="L903" s="161"/>
      <c r="M903" s="161"/>
      <c r="N903" s="161"/>
      <c r="O903" s="161"/>
      <c r="P903" s="161"/>
      <c r="Q903" s="161"/>
      <c r="R903" s="161"/>
      <c r="S903" s="161"/>
      <c r="T903" s="161"/>
      <c r="U903" s="161"/>
      <c r="V903" s="161"/>
      <c r="W903" s="161"/>
      <c r="X903" s="161"/>
      <c r="Y903" s="161"/>
      <c r="Z903" s="161"/>
      <c r="AA903" s="161"/>
    </row>
    <row r="904" spans="1:27" ht="12" customHeight="1" x14ac:dyDescent="0.25">
      <c r="A904" s="161"/>
      <c r="B904" s="161"/>
      <c r="C904" s="161"/>
      <c r="D904" s="161"/>
      <c r="E904" s="161"/>
      <c r="F904" s="161"/>
      <c r="G904" s="161"/>
      <c r="H904" s="161"/>
      <c r="I904" s="161"/>
      <c r="J904" s="161"/>
      <c r="K904" s="161"/>
      <c r="L904" s="161"/>
      <c r="M904" s="161"/>
      <c r="N904" s="161"/>
      <c r="O904" s="161"/>
      <c r="P904" s="161"/>
      <c r="Q904" s="161"/>
      <c r="R904" s="161"/>
      <c r="S904" s="161"/>
      <c r="T904" s="161"/>
      <c r="U904" s="161"/>
      <c r="V904" s="161"/>
      <c r="W904" s="161"/>
      <c r="X904" s="161"/>
      <c r="Y904" s="161"/>
      <c r="Z904" s="161"/>
      <c r="AA904" s="161"/>
    </row>
    <row r="905" spans="1:27" ht="12" customHeight="1" x14ac:dyDescent="0.25">
      <c r="A905" s="161"/>
      <c r="B905" s="161"/>
      <c r="C905" s="161"/>
      <c r="D905" s="161"/>
      <c r="E905" s="161"/>
      <c r="F905" s="161"/>
      <c r="G905" s="161"/>
      <c r="H905" s="161"/>
      <c r="I905" s="161"/>
      <c r="J905" s="161"/>
      <c r="K905" s="161"/>
      <c r="L905" s="161"/>
      <c r="M905" s="161"/>
      <c r="N905" s="161"/>
      <c r="O905" s="161"/>
      <c r="P905" s="161"/>
      <c r="Q905" s="161"/>
      <c r="R905" s="161"/>
      <c r="S905" s="161"/>
      <c r="T905" s="161"/>
      <c r="U905" s="161"/>
      <c r="V905" s="161"/>
      <c r="W905" s="161"/>
      <c r="X905" s="161"/>
      <c r="Y905" s="161"/>
      <c r="Z905" s="161"/>
      <c r="AA905" s="161"/>
    </row>
    <row r="906" spans="1:27" ht="12" customHeight="1" x14ac:dyDescent="0.25">
      <c r="A906" s="161"/>
      <c r="B906" s="161"/>
      <c r="C906" s="161"/>
      <c r="D906" s="161"/>
      <c r="E906" s="161"/>
      <c r="F906" s="161"/>
      <c r="G906" s="161"/>
      <c r="H906" s="161"/>
      <c r="I906" s="161"/>
      <c r="J906" s="161"/>
      <c r="K906" s="161"/>
      <c r="L906" s="161"/>
      <c r="M906" s="161"/>
      <c r="N906" s="161"/>
      <c r="O906" s="161"/>
      <c r="P906" s="161"/>
      <c r="Q906" s="161"/>
      <c r="R906" s="161"/>
      <c r="S906" s="161"/>
      <c r="T906" s="161"/>
      <c r="U906" s="161"/>
      <c r="V906" s="161"/>
      <c r="W906" s="161"/>
      <c r="X906" s="161"/>
      <c r="Y906" s="161"/>
      <c r="Z906" s="161"/>
      <c r="AA906" s="161"/>
    </row>
    <row r="907" spans="1:27" ht="12" customHeight="1" x14ac:dyDescent="0.25">
      <c r="A907" s="161"/>
      <c r="B907" s="161"/>
      <c r="C907" s="161"/>
      <c r="D907" s="161"/>
      <c r="E907" s="161"/>
      <c r="F907" s="161"/>
      <c r="G907" s="161"/>
      <c r="H907" s="161"/>
      <c r="I907" s="161"/>
      <c r="J907" s="161"/>
      <c r="K907" s="161"/>
      <c r="L907" s="161"/>
      <c r="M907" s="161"/>
      <c r="N907" s="161"/>
      <c r="O907" s="161"/>
      <c r="P907" s="161"/>
      <c r="Q907" s="161"/>
      <c r="R907" s="161"/>
      <c r="S907" s="161"/>
      <c r="T907" s="161"/>
      <c r="U907" s="161"/>
      <c r="V907" s="161"/>
      <c r="W907" s="161"/>
      <c r="X907" s="161"/>
      <c r="Y907" s="161"/>
      <c r="Z907" s="161"/>
      <c r="AA907" s="161"/>
    </row>
    <row r="908" spans="1:27" ht="12" customHeight="1" x14ac:dyDescent="0.25">
      <c r="A908" s="161"/>
      <c r="B908" s="161"/>
      <c r="C908" s="161"/>
      <c r="D908" s="161"/>
      <c r="E908" s="161"/>
      <c r="F908" s="161"/>
      <c r="G908" s="161"/>
      <c r="H908" s="161"/>
      <c r="I908" s="161"/>
      <c r="J908" s="161"/>
      <c r="K908" s="161"/>
      <c r="L908" s="161"/>
      <c r="M908" s="161"/>
      <c r="N908" s="161"/>
      <c r="O908" s="161"/>
      <c r="P908" s="161"/>
      <c r="Q908" s="161"/>
      <c r="R908" s="161"/>
      <c r="S908" s="161"/>
      <c r="T908" s="161"/>
      <c r="U908" s="161"/>
      <c r="V908" s="161"/>
      <c r="W908" s="161"/>
      <c r="X908" s="161"/>
      <c r="Y908" s="161"/>
      <c r="Z908" s="161"/>
      <c r="AA908" s="161"/>
    </row>
    <row r="909" spans="1:27" ht="12" customHeight="1" x14ac:dyDescent="0.25">
      <c r="A909" s="161"/>
      <c r="B909" s="161"/>
      <c r="C909" s="161"/>
      <c r="D909" s="161"/>
      <c r="E909" s="161"/>
      <c r="F909" s="161"/>
      <c r="G909" s="161"/>
      <c r="H909" s="161"/>
      <c r="I909" s="161"/>
      <c r="J909" s="161"/>
      <c r="K909" s="161"/>
      <c r="L909" s="161"/>
      <c r="M909" s="161"/>
      <c r="N909" s="161"/>
      <c r="O909" s="161"/>
      <c r="P909" s="161"/>
      <c r="Q909" s="161"/>
      <c r="R909" s="161"/>
      <c r="S909" s="161"/>
      <c r="T909" s="161"/>
      <c r="U909" s="161"/>
      <c r="V909" s="161"/>
      <c r="W909" s="161"/>
      <c r="X909" s="161"/>
      <c r="Y909" s="161"/>
      <c r="Z909" s="161"/>
      <c r="AA909" s="161"/>
    </row>
    <row r="910" spans="1:27" ht="12" customHeight="1" x14ac:dyDescent="0.25">
      <c r="A910" s="161"/>
      <c r="B910" s="161"/>
      <c r="C910" s="161"/>
      <c r="D910" s="161"/>
      <c r="E910" s="161"/>
      <c r="F910" s="161"/>
      <c r="G910" s="161"/>
      <c r="H910" s="161"/>
      <c r="I910" s="161"/>
      <c r="J910" s="161"/>
      <c r="K910" s="161"/>
      <c r="L910" s="161"/>
      <c r="M910" s="161"/>
      <c r="N910" s="161"/>
      <c r="O910" s="161"/>
      <c r="P910" s="161"/>
      <c r="Q910" s="161"/>
      <c r="R910" s="161"/>
      <c r="S910" s="161"/>
      <c r="T910" s="161"/>
      <c r="U910" s="161"/>
      <c r="V910" s="161"/>
      <c r="W910" s="161"/>
      <c r="X910" s="161"/>
      <c r="Y910" s="161"/>
      <c r="Z910" s="161"/>
      <c r="AA910" s="161"/>
    </row>
    <row r="911" spans="1:27" ht="12" customHeight="1" x14ac:dyDescent="0.25">
      <c r="A911" s="161"/>
      <c r="B911" s="161"/>
      <c r="C911" s="161"/>
      <c r="D911" s="161"/>
      <c r="E911" s="161"/>
      <c r="F911" s="161"/>
      <c r="G911" s="161"/>
      <c r="H911" s="161"/>
      <c r="I911" s="161"/>
      <c r="J911" s="161"/>
      <c r="K911" s="161"/>
      <c r="L911" s="161"/>
      <c r="M911" s="161"/>
      <c r="N911" s="161"/>
      <c r="O911" s="161"/>
      <c r="P911" s="161"/>
      <c r="Q911" s="161"/>
      <c r="R911" s="161"/>
      <c r="S911" s="161"/>
      <c r="T911" s="161"/>
      <c r="U911" s="161"/>
      <c r="V911" s="161"/>
      <c r="W911" s="161"/>
      <c r="X911" s="161"/>
      <c r="Y911" s="161"/>
      <c r="Z911" s="161"/>
      <c r="AA911" s="161"/>
    </row>
    <row r="912" spans="1:27" ht="12" customHeight="1" x14ac:dyDescent="0.25">
      <c r="A912" s="161"/>
      <c r="B912" s="161"/>
      <c r="C912" s="161"/>
      <c r="D912" s="161"/>
      <c r="E912" s="161"/>
      <c r="F912" s="161"/>
      <c r="G912" s="161"/>
      <c r="H912" s="161"/>
      <c r="I912" s="161"/>
      <c r="J912" s="161"/>
      <c r="K912" s="161"/>
      <c r="L912" s="161"/>
      <c r="M912" s="161"/>
      <c r="N912" s="161"/>
      <c r="O912" s="161"/>
      <c r="P912" s="161"/>
      <c r="Q912" s="161"/>
      <c r="R912" s="161"/>
      <c r="S912" s="161"/>
      <c r="T912" s="161"/>
      <c r="U912" s="161"/>
      <c r="V912" s="161"/>
      <c r="W912" s="161"/>
      <c r="X912" s="161"/>
      <c r="Y912" s="161"/>
      <c r="Z912" s="161"/>
      <c r="AA912" s="161"/>
    </row>
    <row r="913" spans="1:27" ht="12" customHeight="1" x14ac:dyDescent="0.25">
      <c r="A913" s="161"/>
      <c r="B913" s="161"/>
      <c r="C913" s="161"/>
      <c r="D913" s="161"/>
      <c r="E913" s="161"/>
      <c r="F913" s="161"/>
      <c r="G913" s="161"/>
      <c r="H913" s="161"/>
      <c r="I913" s="161"/>
      <c r="J913" s="161"/>
      <c r="K913" s="161"/>
      <c r="L913" s="161"/>
      <c r="M913" s="161"/>
      <c r="N913" s="161"/>
      <c r="O913" s="161"/>
      <c r="P913" s="161"/>
      <c r="Q913" s="161"/>
      <c r="R913" s="161"/>
      <c r="S913" s="161"/>
      <c r="T913" s="161"/>
      <c r="U913" s="161"/>
      <c r="V913" s="161"/>
      <c r="W913" s="161"/>
      <c r="X913" s="161"/>
      <c r="Y913" s="161"/>
      <c r="Z913" s="161"/>
      <c r="AA913" s="161"/>
    </row>
    <row r="914" spans="1:27" ht="12" customHeight="1" x14ac:dyDescent="0.25">
      <c r="A914" s="161"/>
      <c r="B914" s="161"/>
      <c r="C914" s="161"/>
      <c r="D914" s="161"/>
      <c r="E914" s="161"/>
      <c r="F914" s="161"/>
      <c r="G914" s="161"/>
      <c r="H914" s="161"/>
      <c r="I914" s="161"/>
      <c r="J914" s="161"/>
      <c r="K914" s="161"/>
      <c r="L914" s="161"/>
      <c r="M914" s="161"/>
      <c r="N914" s="161"/>
      <c r="O914" s="161"/>
      <c r="P914" s="161"/>
      <c r="Q914" s="161"/>
      <c r="R914" s="161"/>
      <c r="S914" s="161"/>
      <c r="T914" s="161"/>
      <c r="U914" s="161"/>
      <c r="V914" s="161"/>
      <c r="W914" s="161"/>
      <c r="X914" s="161"/>
      <c r="Y914" s="161"/>
      <c r="Z914" s="161"/>
      <c r="AA914" s="161"/>
    </row>
    <row r="915" spans="1:27" ht="12" customHeight="1" x14ac:dyDescent="0.25">
      <c r="A915" s="161"/>
      <c r="B915" s="161"/>
      <c r="C915" s="161"/>
      <c r="D915" s="161"/>
      <c r="E915" s="161"/>
      <c r="F915" s="161"/>
      <c r="G915" s="161"/>
      <c r="H915" s="161"/>
      <c r="I915" s="161"/>
      <c r="J915" s="161"/>
      <c r="K915" s="161"/>
      <c r="L915" s="161"/>
      <c r="M915" s="161"/>
      <c r="N915" s="161"/>
      <c r="O915" s="161"/>
      <c r="P915" s="161"/>
      <c r="Q915" s="161"/>
      <c r="R915" s="161"/>
      <c r="S915" s="161"/>
      <c r="T915" s="161"/>
      <c r="U915" s="161"/>
      <c r="V915" s="161"/>
      <c r="W915" s="161"/>
      <c r="X915" s="161"/>
      <c r="Y915" s="161"/>
      <c r="Z915" s="161"/>
      <c r="AA915" s="161"/>
    </row>
    <row r="916" spans="1:27" ht="12" customHeight="1" x14ac:dyDescent="0.25">
      <c r="A916" s="161"/>
      <c r="B916" s="161"/>
      <c r="C916" s="161"/>
      <c r="D916" s="161"/>
      <c r="E916" s="161"/>
      <c r="F916" s="161"/>
      <c r="G916" s="161"/>
      <c r="H916" s="161"/>
      <c r="I916" s="161"/>
      <c r="J916" s="161"/>
      <c r="K916" s="161"/>
      <c r="L916" s="161"/>
      <c r="M916" s="161"/>
      <c r="N916" s="161"/>
      <c r="O916" s="161"/>
      <c r="P916" s="161"/>
      <c r="Q916" s="161"/>
      <c r="R916" s="161"/>
      <c r="S916" s="161"/>
      <c r="T916" s="161"/>
      <c r="U916" s="161"/>
      <c r="V916" s="161"/>
      <c r="W916" s="161"/>
      <c r="X916" s="161"/>
      <c r="Y916" s="161"/>
      <c r="Z916" s="161"/>
      <c r="AA916" s="161"/>
    </row>
    <row r="917" spans="1:27" ht="12" customHeight="1" x14ac:dyDescent="0.25">
      <c r="A917" s="161"/>
      <c r="B917" s="161"/>
      <c r="C917" s="161"/>
      <c r="D917" s="161"/>
      <c r="E917" s="161"/>
      <c r="F917" s="161"/>
      <c r="G917" s="161"/>
      <c r="H917" s="161"/>
      <c r="I917" s="161"/>
      <c r="J917" s="161"/>
      <c r="K917" s="161"/>
      <c r="L917" s="161"/>
      <c r="M917" s="161"/>
      <c r="N917" s="161"/>
      <c r="O917" s="161"/>
      <c r="P917" s="161"/>
      <c r="Q917" s="161"/>
      <c r="R917" s="161"/>
      <c r="S917" s="161"/>
      <c r="T917" s="161"/>
      <c r="U917" s="161"/>
      <c r="V917" s="161"/>
      <c r="W917" s="161"/>
      <c r="X917" s="161"/>
      <c r="Y917" s="161"/>
      <c r="Z917" s="161"/>
      <c r="AA917" s="161"/>
    </row>
    <row r="918" spans="1:27" ht="12" customHeight="1" x14ac:dyDescent="0.25">
      <c r="A918" s="161"/>
      <c r="B918" s="161"/>
      <c r="C918" s="161"/>
      <c r="D918" s="161"/>
      <c r="E918" s="161"/>
      <c r="F918" s="161"/>
      <c r="G918" s="161"/>
      <c r="H918" s="161"/>
      <c r="I918" s="161"/>
      <c r="J918" s="161"/>
      <c r="K918" s="161"/>
      <c r="L918" s="161"/>
      <c r="M918" s="161"/>
      <c r="N918" s="161"/>
      <c r="O918" s="161"/>
      <c r="P918" s="161"/>
      <c r="Q918" s="161"/>
      <c r="R918" s="161"/>
      <c r="S918" s="161"/>
      <c r="T918" s="161"/>
      <c r="U918" s="161"/>
      <c r="V918" s="161"/>
      <c r="W918" s="161"/>
      <c r="X918" s="161"/>
      <c r="Y918" s="161"/>
      <c r="Z918" s="161"/>
      <c r="AA918" s="161"/>
    </row>
    <row r="919" spans="1:27" ht="12" customHeight="1" x14ac:dyDescent="0.25">
      <c r="A919" s="161"/>
      <c r="B919" s="161"/>
      <c r="C919" s="161"/>
      <c r="D919" s="161"/>
      <c r="E919" s="161"/>
      <c r="F919" s="161"/>
      <c r="G919" s="161"/>
      <c r="H919" s="161"/>
      <c r="I919" s="161"/>
      <c r="J919" s="161"/>
      <c r="K919" s="161"/>
      <c r="L919" s="161"/>
      <c r="M919" s="161"/>
      <c r="N919" s="161"/>
      <c r="O919" s="161"/>
      <c r="P919" s="161"/>
      <c r="Q919" s="161"/>
      <c r="R919" s="161"/>
      <c r="S919" s="161"/>
      <c r="T919" s="161"/>
      <c r="U919" s="161"/>
      <c r="V919" s="161"/>
      <c r="W919" s="161"/>
      <c r="X919" s="161"/>
      <c r="Y919" s="161"/>
      <c r="Z919" s="161"/>
      <c r="AA919" s="161"/>
    </row>
    <row r="920" spans="1:27" ht="12" customHeight="1" x14ac:dyDescent="0.25">
      <c r="A920" s="161"/>
      <c r="B920" s="161"/>
      <c r="C920" s="161"/>
      <c r="D920" s="161"/>
      <c r="E920" s="161"/>
      <c r="F920" s="161"/>
      <c r="G920" s="161"/>
      <c r="H920" s="161"/>
      <c r="I920" s="161"/>
      <c r="J920" s="161"/>
      <c r="K920" s="161"/>
      <c r="L920" s="161"/>
      <c r="M920" s="161"/>
      <c r="N920" s="161"/>
      <c r="O920" s="161"/>
      <c r="P920" s="161"/>
      <c r="Q920" s="161"/>
      <c r="R920" s="161"/>
      <c r="S920" s="161"/>
      <c r="T920" s="161"/>
      <c r="U920" s="161"/>
      <c r="V920" s="161"/>
      <c r="W920" s="161"/>
      <c r="X920" s="161"/>
      <c r="Y920" s="161"/>
      <c r="Z920" s="161"/>
      <c r="AA920" s="161"/>
    </row>
    <row r="921" spans="1:27" ht="12" customHeight="1" x14ac:dyDescent="0.25">
      <c r="A921" s="161"/>
      <c r="B921" s="161"/>
      <c r="C921" s="161"/>
      <c r="D921" s="161"/>
      <c r="E921" s="161"/>
      <c r="F921" s="161"/>
      <c r="G921" s="161"/>
      <c r="H921" s="161"/>
      <c r="I921" s="161"/>
      <c r="J921" s="161"/>
      <c r="K921" s="161"/>
      <c r="L921" s="161"/>
      <c r="M921" s="161"/>
      <c r="N921" s="161"/>
      <c r="O921" s="161"/>
      <c r="P921" s="161"/>
      <c r="Q921" s="161"/>
      <c r="R921" s="161"/>
      <c r="S921" s="161"/>
      <c r="T921" s="161"/>
      <c r="U921" s="161"/>
      <c r="V921" s="161"/>
      <c r="W921" s="161"/>
      <c r="X921" s="161"/>
      <c r="Y921" s="161"/>
      <c r="Z921" s="161"/>
      <c r="AA921" s="161"/>
    </row>
    <row r="922" spans="1:27" ht="12" customHeight="1" x14ac:dyDescent="0.25">
      <c r="A922" s="161"/>
      <c r="B922" s="161"/>
      <c r="C922" s="161"/>
      <c r="D922" s="161"/>
      <c r="E922" s="161"/>
      <c r="F922" s="161"/>
      <c r="G922" s="161"/>
      <c r="H922" s="161"/>
      <c r="I922" s="161"/>
      <c r="J922" s="161"/>
      <c r="K922" s="161"/>
      <c r="L922" s="161"/>
      <c r="M922" s="161"/>
      <c r="N922" s="161"/>
      <c r="O922" s="161"/>
      <c r="P922" s="161"/>
      <c r="Q922" s="161"/>
      <c r="R922" s="161"/>
      <c r="S922" s="161"/>
      <c r="T922" s="161"/>
      <c r="U922" s="161"/>
      <c r="V922" s="161"/>
      <c r="W922" s="161"/>
      <c r="X922" s="161"/>
      <c r="Y922" s="161"/>
      <c r="Z922" s="161"/>
      <c r="AA922" s="161"/>
    </row>
    <row r="923" spans="1:27" ht="12" customHeight="1" x14ac:dyDescent="0.25">
      <c r="A923" s="161"/>
      <c r="B923" s="161"/>
      <c r="C923" s="161"/>
      <c r="D923" s="161"/>
      <c r="E923" s="161"/>
      <c r="F923" s="161"/>
      <c r="G923" s="161"/>
      <c r="H923" s="161"/>
      <c r="I923" s="161"/>
      <c r="J923" s="161"/>
      <c r="K923" s="161"/>
      <c r="L923" s="161"/>
      <c r="M923" s="161"/>
      <c r="N923" s="161"/>
      <c r="O923" s="161"/>
      <c r="P923" s="161"/>
      <c r="Q923" s="161"/>
      <c r="R923" s="161"/>
      <c r="S923" s="161"/>
      <c r="T923" s="161"/>
      <c r="U923" s="161"/>
      <c r="V923" s="161"/>
      <c r="W923" s="161"/>
      <c r="X923" s="161"/>
      <c r="Y923" s="161"/>
      <c r="Z923" s="161"/>
      <c r="AA923" s="161"/>
    </row>
    <row r="924" spans="1:27" ht="12" customHeight="1" x14ac:dyDescent="0.25">
      <c r="A924" s="161"/>
      <c r="B924" s="161"/>
      <c r="C924" s="161"/>
      <c r="D924" s="161"/>
      <c r="E924" s="161"/>
      <c r="F924" s="161"/>
      <c r="G924" s="161"/>
      <c r="H924" s="161"/>
      <c r="I924" s="161"/>
      <c r="J924" s="161"/>
      <c r="K924" s="161"/>
      <c r="L924" s="161"/>
      <c r="M924" s="161"/>
      <c r="N924" s="161"/>
      <c r="O924" s="161"/>
      <c r="P924" s="161"/>
      <c r="Q924" s="161"/>
      <c r="R924" s="161"/>
      <c r="S924" s="161"/>
      <c r="T924" s="161"/>
      <c r="U924" s="161"/>
      <c r="V924" s="161"/>
      <c r="W924" s="161"/>
      <c r="X924" s="161"/>
      <c r="Y924" s="161"/>
      <c r="Z924" s="161"/>
      <c r="AA924" s="161"/>
    </row>
    <row r="925" spans="1:27" ht="12" customHeight="1" x14ac:dyDescent="0.25">
      <c r="A925" s="161"/>
      <c r="B925" s="161"/>
      <c r="C925" s="161"/>
      <c r="D925" s="161"/>
      <c r="E925" s="161"/>
      <c r="F925" s="161"/>
      <c r="G925" s="161"/>
      <c r="H925" s="161"/>
      <c r="I925" s="161"/>
      <c r="J925" s="161"/>
      <c r="K925" s="161"/>
      <c r="L925" s="161"/>
      <c r="M925" s="161"/>
      <c r="N925" s="161"/>
      <c r="O925" s="161"/>
      <c r="P925" s="161"/>
      <c r="Q925" s="161"/>
      <c r="R925" s="161"/>
      <c r="S925" s="161"/>
      <c r="T925" s="161"/>
      <c r="U925" s="161"/>
      <c r="V925" s="161"/>
      <c r="W925" s="161"/>
      <c r="X925" s="161"/>
      <c r="Y925" s="161"/>
      <c r="Z925" s="161"/>
      <c r="AA925" s="161"/>
    </row>
    <row r="926" spans="1:27" ht="12" customHeight="1" x14ac:dyDescent="0.25">
      <c r="A926" s="161"/>
      <c r="B926" s="161"/>
      <c r="C926" s="161"/>
      <c r="D926" s="161"/>
      <c r="E926" s="161"/>
      <c r="F926" s="161"/>
      <c r="G926" s="161"/>
      <c r="H926" s="161"/>
      <c r="I926" s="161"/>
      <c r="J926" s="161"/>
      <c r="K926" s="161"/>
      <c r="L926" s="161"/>
      <c r="M926" s="161"/>
      <c r="N926" s="161"/>
      <c r="O926" s="161"/>
      <c r="P926" s="161"/>
      <c r="Q926" s="161"/>
      <c r="R926" s="161"/>
      <c r="S926" s="161"/>
      <c r="T926" s="161"/>
      <c r="U926" s="161"/>
      <c r="V926" s="161"/>
      <c r="W926" s="161"/>
      <c r="X926" s="161"/>
      <c r="Y926" s="161"/>
      <c r="Z926" s="161"/>
      <c r="AA926" s="161"/>
    </row>
    <row r="927" spans="1:27" ht="12" customHeight="1" x14ac:dyDescent="0.25">
      <c r="A927" s="161"/>
      <c r="B927" s="161"/>
      <c r="C927" s="161"/>
      <c r="D927" s="161"/>
      <c r="E927" s="161"/>
      <c r="F927" s="161"/>
      <c r="G927" s="161"/>
      <c r="H927" s="161"/>
      <c r="I927" s="161"/>
      <c r="J927" s="161"/>
      <c r="K927" s="161"/>
      <c r="L927" s="161"/>
      <c r="M927" s="161"/>
      <c r="N927" s="161"/>
      <c r="O927" s="161"/>
      <c r="P927" s="161"/>
      <c r="Q927" s="161"/>
      <c r="R927" s="161"/>
      <c r="S927" s="161"/>
      <c r="T927" s="161"/>
      <c r="U927" s="161"/>
      <c r="V927" s="161"/>
      <c r="W927" s="161"/>
      <c r="X927" s="161"/>
      <c r="Y927" s="161"/>
      <c r="Z927" s="161"/>
      <c r="AA927" s="161"/>
    </row>
    <row r="928" spans="1:27" ht="12" customHeight="1" x14ac:dyDescent="0.25">
      <c r="A928" s="161"/>
      <c r="B928" s="161"/>
      <c r="C928" s="161"/>
      <c r="D928" s="161"/>
      <c r="E928" s="161"/>
      <c r="F928" s="161"/>
      <c r="G928" s="161"/>
      <c r="H928" s="161"/>
      <c r="I928" s="161"/>
      <c r="J928" s="161"/>
      <c r="K928" s="161"/>
      <c r="L928" s="161"/>
      <c r="M928" s="161"/>
      <c r="N928" s="161"/>
      <c r="O928" s="161"/>
      <c r="P928" s="161"/>
      <c r="Q928" s="161"/>
      <c r="R928" s="161"/>
      <c r="S928" s="161"/>
      <c r="T928" s="161"/>
      <c r="U928" s="161"/>
      <c r="V928" s="161"/>
      <c r="W928" s="161"/>
      <c r="X928" s="161"/>
      <c r="Y928" s="161"/>
      <c r="Z928" s="161"/>
      <c r="AA928" s="161"/>
    </row>
    <row r="929" spans="1:27" ht="12" customHeight="1" x14ac:dyDescent="0.25">
      <c r="A929" s="161"/>
      <c r="B929" s="161"/>
      <c r="C929" s="161"/>
      <c r="D929" s="161"/>
      <c r="E929" s="161"/>
      <c r="F929" s="161"/>
      <c r="G929" s="161"/>
      <c r="H929" s="161"/>
      <c r="I929" s="161"/>
      <c r="J929" s="161"/>
      <c r="K929" s="161"/>
      <c r="L929" s="161"/>
      <c r="M929" s="161"/>
      <c r="N929" s="161"/>
      <c r="O929" s="161"/>
      <c r="P929" s="161"/>
      <c r="Q929" s="161"/>
      <c r="R929" s="161"/>
      <c r="S929" s="161"/>
      <c r="T929" s="161"/>
      <c r="U929" s="161"/>
      <c r="V929" s="161"/>
      <c r="W929" s="161"/>
      <c r="X929" s="161"/>
      <c r="Y929" s="161"/>
      <c r="Z929" s="161"/>
      <c r="AA929" s="161"/>
    </row>
    <row r="930" spans="1:27" ht="12" customHeight="1" x14ac:dyDescent="0.25">
      <c r="A930" s="161"/>
      <c r="B930" s="161"/>
      <c r="C930" s="161"/>
      <c r="D930" s="161"/>
      <c r="E930" s="161"/>
      <c r="F930" s="161"/>
      <c r="G930" s="161"/>
      <c r="H930" s="161"/>
      <c r="I930" s="161"/>
      <c r="J930" s="161"/>
      <c r="K930" s="161"/>
      <c r="L930" s="161"/>
      <c r="M930" s="161"/>
      <c r="N930" s="161"/>
      <c r="O930" s="161"/>
      <c r="P930" s="161"/>
      <c r="Q930" s="161"/>
      <c r="R930" s="161"/>
      <c r="S930" s="161"/>
      <c r="T930" s="161"/>
      <c r="U930" s="161"/>
      <c r="V930" s="161"/>
      <c r="W930" s="161"/>
      <c r="X930" s="161"/>
      <c r="Y930" s="161"/>
      <c r="Z930" s="161"/>
      <c r="AA930" s="161"/>
    </row>
    <row r="931" spans="1:27" ht="12" customHeight="1" x14ac:dyDescent="0.25">
      <c r="A931" s="161"/>
      <c r="B931" s="161"/>
      <c r="C931" s="161"/>
      <c r="D931" s="161"/>
      <c r="E931" s="161"/>
      <c r="F931" s="161"/>
      <c r="G931" s="161"/>
      <c r="H931" s="161"/>
      <c r="I931" s="161"/>
      <c r="J931" s="161"/>
      <c r="K931" s="161"/>
      <c r="L931" s="161"/>
      <c r="M931" s="161"/>
      <c r="N931" s="161"/>
      <c r="O931" s="161"/>
      <c r="P931" s="161"/>
      <c r="Q931" s="161"/>
      <c r="R931" s="161"/>
      <c r="S931" s="161"/>
      <c r="T931" s="161"/>
      <c r="U931" s="161"/>
      <c r="V931" s="161"/>
      <c r="W931" s="161"/>
      <c r="X931" s="161"/>
      <c r="Y931" s="161"/>
      <c r="Z931" s="161"/>
      <c r="AA931" s="161"/>
    </row>
    <row r="932" spans="1:27" ht="12" customHeight="1" x14ac:dyDescent="0.25">
      <c r="A932" s="161"/>
      <c r="B932" s="161"/>
      <c r="C932" s="161"/>
      <c r="D932" s="161"/>
      <c r="E932" s="161"/>
      <c r="F932" s="161"/>
      <c r="G932" s="161"/>
      <c r="H932" s="161"/>
      <c r="I932" s="161"/>
      <c r="J932" s="161"/>
      <c r="K932" s="161"/>
      <c r="L932" s="161"/>
      <c r="M932" s="161"/>
      <c r="N932" s="161"/>
      <c r="O932" s="161"/>
      <c r="P932" s="161"/>
      <c r="Q932" s="161"/>
      <c r="R932" s="161"/>
      <c r="S932" s="161"/>
      <c r="T932" s="161"/>
      <c r="U932" s="161"/>
      <c r="V932" s="161"/>
      <c r="W932" s="161"/>
      <c r="X932" s="161"/>
      <c r="Y932" s="161"/>
      <c r="Z932" s="161"/>
      <c r="AA932" s="161"/>
    </row>
    <row r="933" spans="1:27" ht="12" customHeight="1" x14ac:dyDescent="0.25">
      <c r="A933" s="161"/>
      <c r="B933" s="161"/>
      <c r="C933" s="161"/>
      <c r="D933" s="161"/>
      <c r="E933" s="161"/>
      <c r="F933" s="161"/>
      <c r="G933" s="161"/>
      <c r="H933" s="161"/>
      <c r="I933" s="161"/>
      <c r="J933" s="161"/>
      <c r="K933" s="161"/>
      <c r="L933" s="161"/>
      <c r="M933" s="161"/>
      <c r="N933" s="161"/>
      <c r="O933" s="161"/>
      <c r="P933" s="161"/>
      <c r="Q933" s="161"/>
      <c r="R933" s="161"/>
      <c r="S933" s="161"/>
      <c r="T933" s="161"/>
      <c r="U933" s="161"/>
      <c r="V933" s="161"/>
      <c r="W933" s="161"/>
      <c r="X933" s="161"/>
      <c r="Y933" s="161"/>
      <c r="Z933" s="161"/>
      <c r="AA933" s="161"/>
    </row>
    <row r="934" spans="1:27" ht="12" customHeight="1" x14ac:dyDescent="0.25">
      <c r="A934" s="161"/>
      <c r="B934" s="161"/>
      <c r="C934" s="161"/>
      <c r="D934" s="161"/>
      <c r="E934" s="161"/>
      <c r="F934" s="161"/>
      <c r="G934" s="161"/>
      <c r="H934" s="161"/>
      <c r="I934" s="161"/>
      <c r="J934" s="161"/>
      <c r="K934" s="161"/>
      <c r="L934" s="161"/>
      <c r="M934" s="161"/>
      <c r="N934" s="161"/>
      <c r="O934" s="161"/>
      <c r="P934" s="161"/>
      <c r="Q934" s="161"/>
      <c r="R934" s="161"/>
      <c r="S934" s="161"/>
      <c r="T934" s="161"/>
      <c r="U934" s="161"/>
      <c r="V934" s="161"/>
      <c r="W934" s="161"/>
      <c r="X934" s="161"/>
      <c r="Y934" s="161"/>
      <c r="Z934" s="161"/>
      <c r="AA934" s="161"/>
    </row>
    <row r="935" spans="1:27" ht="12" customHeight="1" x14ac:dyDescent="0.25">
      <c r="A935" s="161"/>
      <c r="B935" s="161"/>
      <c r="C935" s="161"/>
      <c r="D935" s="161"/>
      <c r="E935" s="161"/>
      <c r="F935" s="161"/>
      <c r="G935" s="161"/>
      <c r="H935" s="161"/>
      <c r="I935" s="161"/>
      <c r="J935" s="161"/>
      <c r="K935" s="161"/>
      <c r="L935" s="161"/>
      <c r="M935" s="161"/>
      <c r="N935" s="161"/>
      <c r="O935" s="161"/>
      <c r="P935" s="161"/>
      <c r="Q935" s="161"/>
      <c r="R935" s="161"/>
      <c r="S935" s="161"/>
      <c r="T935" s="161"/>
      <c r="U935" s="161"/>
      <c r="V935" s="161"/>
      <c r="W935" s="161"/>
      <c r="X935" s="161"/>
      <c r="Y935" s="161"/>
      <c r="Z935" s="161"/>
      <c r="AA935" s="161"/>
    </row>
    <row r="936" spans="1:27" ht="12" customHeight="1" x14ac:dyDescent="0.25">
      <c r="A936" s="161"/>
      <c r="B936" s="161"/>
      <c r="C936" s="161"/>
      <c r="D936" s="161"/>
      <c r="E936" s="161"/>
      <c r="F936" s="161"/>
      <c r="G936" s="161"/>
      <c r="H936" s="161"/>
      <c r="I936" s="161"/>
      <c r="J936" s="161"/>
      <c r="K936" s="161"/>
      <c r="L936" s="161"/>
      <c r="M936" s="161"/>
      <c r="N936" s="161"/>
      <c r="O936" s="161"/>
      <c r="P936" s="161"/>
      <c r="Q936" s="161"/>
      <c r="R936" s="161"/>
      <c r="S936" s="161"/>
      <c r="T936" s="161"/>
      <c r="U936" s="161"/>
      <c r="V936" s="161"/>
      <c r="W936" s="161"/>
      <c r="X936" s="161"/>
      <c r="Y936" s="161"/>
      <c r="Z936" s="161"/>
      <c r="AA936" s="161"/>
    </row>
    <row r="937" spans="1:27" ht="12" customHeight="1" x14ac:dyDescent="0.25">
      <c r="A937" s="161"/>
      <c r="B937" s="161"/>
      <c r="C937" s="161"/>
      <c r="D937" s="161"/>
      <c r="E937" s="161"/>
      <c r="F937" s="161"/>
      <c r="G937" s="161"/>
      <c r="H937" s="161"/>
      <c r="I937" s="161"/>
      <c r="J937" s="161"/>
      <c r="K937" s="161"/>
      <c r="L937" s="161"/>
      <c r="M937" s="161"/>
      <c r="N937" s="161"/>
      <c r="O937" s="161"/>
      <c r="P937" s="161"/>
      <c r="Q937" s="161"/>
      <c r="R937" s="161"/>
      <c r="S937" s="161"/>
      <c r="T937" s="161"/>
      <c r="U937" s="161"/>
      <c r="V937" s="161"/>
      <c r="W937" s="161"/>
      <c r="X937" s="161"/>
      <c r="Y937" s="161"/>
      <c r="Z937" s="161"/>
      <c r="AA937" s="161"/>
    </row>
    <row r="938" spans="1:27" ht="12" customHeight="1" x14ac:dyDescent="0.25">
      <c r="A938" s="161"/>
      <c r="B938" s="161"/>
      <c r="C938" s="161"/>
      <c r="D938" s="161"/>
      <c r="E938" s="161"/>
      <c r="F938" s="161"/>
      <c r="G938" s="161"/>
      <c r="H938" s="161"/>
      <c r="I938" s="161"/>
      <c r="J938" s="161"/>
      <c r="K938" s="161"/>
      <c r="L938" s="161"/>
      <c r="M938" s="161"/>
      <c r="N938" s="161"/>
      <c r="O938" s="161"/>
      <c r="P938" s="161"/>
      <c r="Q938" s="161"/>
      <c r="R938" s="161"/>
      <c r="S938" s="161"/>
      <c r="T938" s="161"/>
      <c r="U938" s="161"/>
      <c r="V938" s="161"/>
      <c r="W938" s="161"/>
      <c r="X938" s="161"/>
      <c r="Y938" s="161"/>
      <c r="Z938" s="161"/>
      <c r="AA938" s="161"/>
    </row>
    <row r="939" spans="1:27" ht="12" customHeight="1" x14ac:dyDescent="0.25">
      <c r="A939" s="161"/>
      <c r="B939" s="161"/>
      <c r="C939" s="161"/>
      <c r="D939" s="161"/>
      <c r="E939" s="161"/>
      <c r="F939" s="161"/>
      <c r="G939" s="161"/>
      <c r="H939" s="161"/>
      <c r="I939" s="161"/>
      <c r="J939" s="161"/>
      <c r="K939" s="161"/>
      <c r="L939" s="161"/>
      <c r="M939" s="161"/>
      <c r="N939" s="161"/>
      <c r="O939" s="161"/>
      <c r="P939" s="161"/>
      <c r="Q939" s="161"/>
      <c r="R939" s="161"/>
      <c r="S939" s="161"/>
      <c r="T939" s="161"/>
      <c r="U939" s="161"/>
      <c r="V939" s="161"/>
      <c r="W939" s="161"/>
      <c r="X939" s="161"/>
      <c r="Y939" s="161"/>
      <c r="Z939" s="161"/>
      <c r="AA939" s="161"/>
    </row>
    <row r="940" spans="1:27" ht="12" customHeight="1" x14ac:dyDescent="0.25">
      <c r="A940" s="161"/>
      <c r="B940" s="161"/>
      <c r="C940" s="161"/>
      <c r="D940" s="161"/>
      <c r="E940" s="161"/>
      <c r="F940" s="161"/>
      <c r="G940" s="161"/>
      <c r="H940" s="161"/>
      <c r="I940" s="161"/>
      <c r="J940" s="161"/>
      <c r="K940" s="161"/>
      <c r="L940" s="161"/>
      <c r="M940" s="161"/>
      <c r="N940" s="161"/>
      <c r="O940" s="161"/>
      <c r="P940" s="161"/>
      <c r="Q940" s="161"/>
      <c r="R940" s="161"/>
      <c r="S940" s="161"/>
      <c r="T940" s="161"/>
      <c r="U940" s="161"/>
      <c r="V940" s="161"/>
      <c r="W940" s="161"/>
      <c r="X940" s="161"/>
      <c r="Y940" s="161"/>
      <c r="Z940" s="161"/>
      <c r="AA940" s="161"/>
    </row>
    <row r="941" spans="1:27" ht="12" customHeight="1" x14ac:dyDescent="0.25">
      <c r="A941" s="161"/>
      <c r="B941" s="161"/>
      <c r="C941" s="161"/>
      <c r="D941" s="161"/>
      <c r="E941" s="161"/>
      <c r="F941" s="161"/>
      <c r="G941" s="161"/>
      <c r="H941" s="161"/>
      <c r="I941" s="161"/>
      <c r="J941" s="161"/>
      <c r="K941" s="161"/>
      <c r="L941" s="161"/>
      <c r="M941" s="161"/>
      <c r="N941" s="161"/>
      <c r="O941" s="161"/>
      <c r="P941" s="161"/>
      <c r="Q941" s="161"/>
      <c r="R941" s="161"/>
      <c r="S941" s="161"/>
      <c r="T941" s="161"/>
      <c r="U941" s="161"/>
      <c r="V941" s="161"/>
      <c r="W941" s="161"/>
      <c r="X941" s="161"/>
      <c r="Y941" s="161"/>
      <c r="Z941" s="161"/>
      <c r="AA941" s="161"/>
    </row>
    <row r="942" spans="1:27" ht="12" customHeight="1" x14ac:dyDescent="0.25">
      <c r="A942" s="161"/>
      <c r="B942" s="161"/>
      <c r="C942" s="161"/>
      <c r="D942" s="161"/>
      <c r="E942" s="161"/>
      <c r="F942" s="161"/>
      <c r="G942" s="161"/>
      <c r="H942" s="161"/>
      <c r="I942" s="161"/>
      <c r="J942" s="161"/>
      <c r="K942" s="161"/>
      <c r="L942" s="161"/>
      <c r="M942" s="161"/>
      <c r="N942" s="161"/>
      <c r="O942" s="161"/>
      <c r="P942" s="161"/>
      <c r="Q942" s="161"/>
      <c r="R942" s="161"/>
      <c r="S942" s="161"/>
      <c r="T942" s="161"/>
      <c r="U942" s="161"/>
      <c r="V942" s="161"/>
      <c r="W942" s="161"/>
      <c r="X942" s="161"/>
      <c r="Y942" s="161"/>
      <c r="Z942" s="161"/>
      <c r="AA942" s="161"/>
    </row>
    <row r="943" spans="1:27" ht="12" customHeight="1" x14ac:dyDescent="0.25">
      <c r="A943" s="161"/>
      <c r="B943" s="161"/>
      <c r="C943" s="161"/>
      <c r="D943" s="161"/>
      <c r="E943" s="161"/>
      <c r="F943" s="161"/>
      <c r="G943" s="161"/>
      <c r="H943" s="161"/>
      <c r="I943" s="161"/>
      <c r="J943" s="161"/>
      <c r="K943" s="161"/>
      <c r="L943" s="161"/>
      <c r="M943" s="161"/>
      <c r="N943" s="161"/>
      <c r="O943" s="161"/>
      <c r="P943" s="161"/>
      <c r="Q943" s="161"/>
      <c r="R943" s="161"/>
      <c r="S943" s="161"/>
      <c r="T943" s="161"/>
      <c r="U943" s="161"/>
      <c r="V943" s="161"/>
      <c r="W943" s="161"/>
      <c r="X943" s="161"/>
      <c r="Y943" s="161"/>
      <c r="Z943" s="161"/>
      <c r="AA943" s="161"/>
    </row>
    <row r="944" spans="1:27" ht="12" customHeight="1" x14ac:dyDescent="0.25">
      <c r="A944" s="161"/>
      <c r="B944" s="161"/>
      <c r="C944" s="161"/>
      <c r="D944" s="161"/>
      <c r="E944" s="161"/>
      <c r="F944" s="161"/>
      <c r="G944" s="161"/>
      <c r="H944" s="161"/>
      <c r="I944" s="161"/>
      <c r="J944" s="161"/>
      <c r="K944" s="161"/>
      <c r="L944" s="161"/>
      <c r="M944" s="161"/>
      <c r="N944" s="161"/>
      <c r="O944" s="161"/>
      <c r="P944" s="161"/>
      <c r="Q944" s="161"/>
      <c r="R944" s="161"/>
      <c r="S944" s="161"/>
      <c r="T944" s="161"/>
      <c r="U944" s="161"/>
      <c r="V944" s="161"/>
      <c r="W944" s="161"/>
      <c r="X944" s="161"/>
      <c r="Y944" s="161"/>
      <c r="Z944" s="161"/>
      <c r="AA944" s="161"/>
    </row>
    <row r="945" spans="1:27" ht="12" customHeight="1" x14ac:dyDescent="0.25">
      <c r="A945" s="161"/>
      <c r="B945" s="161"/>
      <c r="C945" s="161"/>
      <c r="D945" s="161"/>
      <c r="E945" s="161"/>
      <c r="F945" s="161"/>
      <c r="G945" s="161"/>
      <c r="H945" s="161"/>
      <c r="I945" s="161"/>
      <c r="J945" s="161"/>
      <c r="K945" s="161"/>
      <c r="L945" s="161"/>
      <c r="M945" s="161"/>
      <c r="N945" s="161"/>
      <c r="O945" s="161"/>
      <c r="P945" s="161"/>
      <c r="Q945" s="161"/>
      <c r="R945" s="161"/>
      <c r="S945" s="161"/>
      <c r="T945" s="161"/>
      <c r="U945" s="161"/>
      <c r="V945" s="161"/>
      <c r="W945" s="161"/>
      <c r="X945" s="161"/>
      <c r="Y945" s="161"/>
      <c r="Z945" s="161"/>
      <c r="AA945" s="161"/>
    </row>
    <row r="946" spans="1:27" ht="12" customHeight="1" x14ac:dyDescent="0.25">
      <c r="A946" s="161"/>
      <c r="B946" s="161"/>
      <c r="C946" s="161"/>
      <c r="D946" s="161"/>
      <c r="E946" s="161"/>
      <c r="F946" s="161"/>
      <c r="G946" s="161"/>
      <c r="H946" s="161"/>
      <c r="I946" s="161"/>
      <c r="J946" s="161"/>
      <c r="K946" s="161"/>
      <c r="L946" s="161"/>
      <c r="M946" s="161"/>
      <c r="N946" s="161"/>
      <c r="O946" s="161"/>
      <c r="P946" s="161"/>
      <c r="Q946" s="161"/>
      <c r="R946" s="161"/>
      <c r="S946" s="161"/>
      <c r="T946" s="161"/>
      <c r="U946" s="161"/>
      <c r="V946" s="161"/>
      <c r="W946" s="161"/>
      <c r="X946" s="161"/>
      <c r="Y946" s="161"/>
      <c r="Z946" s="161"/>
      <c r="AA946" s="161"/>
    </row>
    <row r="947" spans="1:27" ht="12" customHeight="1" x14ac:dyDescent="0.25">
      <c r="A947" s="161"/>
      <c r="B947" s="161"/>
      <c r="C947" s="161"/>
      <c r="D947" s="161"/>
      <c r="E947" s="161"/>
      <c r="F947" s="161"/>
      <c r="G947" s="161"/>
      <c r="H947" s="161"/>
      <c r="I947" s="161"/>
      <c r="J947" s="161"/>
      <c r="K947" s="161"/>
      <c r="L947" s="161"/>
      <c r="M947" s="161"/>
      <c r="N947" s="161"/>
      <c r="O947" s="161"/>
      <c r="P947" s="161"/>
      <c r="Q947" s="161"/>
      <c r="R947" s="161"/>
      <c r="S947" s="161"/>
      <c r="T947" s="161"/>
      <c r="U947" s="161"/>
      <c r="V947" s="161"/>
      <c r="W947" s="161"/>
      <c r="X947" s="161"/>
      <c r="Y947" s="161"/>
      <c r="Z947" s="161"/>
      <c r="AA947" s="161"/>
    </row>
    <row r="948" spans="1:27" ht="12" customHeight="1" x14ac:dyDescent="0.25">
      <c r="A948" s="161"/>
      <c r="B948" s="161"/>
      <c r="C948" s="161"/>
      <c r="D948" s="161"/>
      <c r="E948" s="161"/>
      <c r="F948" s="161"/>
      <c r="G948" s="161"/>
      <c r="H948" s="161"/>
      <c r="I948" s="161"/>
      <c r="J948" s="161"/>
      <c r="K948" s="161"/>
      <c r="L948" s="161"/>
      <c r="M948" s="161"/>
      <c r="N948" s="161"/>
      <c r="O948" s="161"/>
      <c r="P948" s="161"/>
      <c r="Q948" s="161"/>
      <c r="R948" s="161"/>
      <c r="S948" s="161"/>
      <c r="T948" s="161"/>
      <c r="U948" s="161"/>
      <c r="V948" s="161"/>
      <c r="W948" s="161"/>
      <c r="X948" s="161"/>
      <c r="Y948" s="161"/>
      <c r="Z948" s="161"/>
      <c r="AA948" s="161"/>
    </row>
    <row r="949" spans="1:27" ht="12" customHeight="1" x14ac:dyDescent="0.25">
      <c r="A949" s="161"/>
      <c r="B949" s="161"/>
      <c r="C949" s="161"/>
      <c r="D949" s="161"/>
      <c r="E949" s="161"/>
      <c r="F949" s="161"/>
      <c r="G949" s="161"/>
      <c r="H949" s="161"/>
      <c r="I949" s="161"/>
      <c r="J949" s="161"/>
      <c r="K949" s="161"/>
      <c r="L949" s="161"/>
      <c r="M949" s="161"/>
      <c r="N949" s="161"/>
      <c r="O949" s="161"/>
      <c r="P949" s="161"/>
      <c r="Q949" s="161"/>
      <c r="R949" s="161"/>
      <c r="S949" s="161"/>
      <c r="T949" s="161"/>
      <c r="U949" s="161"/>
      <c r="V949" s="161"/>
      <c r="W949" s="161"/>
      <c r="X949" s="161"/>
      <c r="Y949" s="161"/>
      <c r="Z949" s="161"/>
      <c r="AA949" s="161"/>
    </row>
    <row r="950" spans="1:27" ht="12" customHeight="1" x14ac:dyDescent="0.25">
      <c r="A950" s="161"/>
      <c r="B950" s="161"/>
      <c r="C950" s="161"/>
      <c r="D950" s="161"/>
      <c r="E950" s="161"/>
      <c r="F950" s="161"/>
      <c r="G950" s="161"/>
      <c r="H950" s="161"/>
      <c r="I950" s="161"/>
      <c r="J950" s="161"/>
      <c r="K950" s="161"/>
      <c r="L950" s="161"/>
      <c r="M950" s="161"/>
      <c r="N950" s="161"/>
      <c r="O950" s="161"/>
      <c r="P950" s="161"/>
      <c r="Q950" s="161"/>
      <c r="R950" s="161"/>
      <c r="S950" s="161"/>
      <c r="T950" s="161"/>
      <c r="U950" s="161"/>
      <c r="V950" s="161"/>
      <c r="W950" s="161"/>
      <c r="X950" s="161"/>
      <c r="Y950" s="161"/>
      <c r="Z950" s="161"/>
      <c r="AA950" s="161"/>
    </row>
    <row r="951" spans="1:27" ht="12" customHeight="1" x14ac:dyDescent="0.25">
      <c r="A951" s="161"/>
      <c r="B951" s="161"/>
      <c r="C951" s="161"/>
      <c r="D951" s="161"/>
      <c r="E951" s="161"/>
      <c r="F951" s="161"/>
      <c r="G951" s="161"/>
      <c r="H951" s="161"/>
      <c r="I951" s="161"/>
      <c r="J951" s="161"/>
      <c r="K951" s="161"/>
      <c r="L951" s="161"/>
      <c r="M951" s="161"/>
      <c r="N951" s="161"/>
      <c r="O951" s="161"/>
      <c r="P951" s="161"/>
      <c r="Q951" s="161"/>
      <c r="R951" s="161"/>
      <c r="S951" s="161"/>
      <c r="T951" s="161"/>
      <c r="U951" s="161"/>
      <c r="V951" s="161"/>
      <c r="W951" s="161"/>
      <c r="X951" s="161"/>
      <c r="Y951" s="161"/>
      <c r="Z951" s="161"/>
      <c r="AA951" s="161"/>
    </row>
    <row r="952" spans="1:27" ht="12" customHeight="1" x14ac:dyDescent="0.25">
      <c r="A952" s="161"/>
      <c r="B952" s="161"/>
      <c r="C952" s="161"/>
      <c r="D952" s="161"/>
      <c r="E952" s="161"/>
      <c r="F952" s="161"/>
      <c r="G952" s="161"/>
      <c r="H952" s="161"/>
      <c r="I952" s="161"/>
      <c r="J952" s="161"/>
      <c r="K952" s="161"/>
      <c r="L952" s="161"/>
      <c r="M952" s="161"/>
      <c r="N952" s="161"/>
      <c r="O952" s="161"/>
      <c r="P952" s="161"/>
      <c r="Q952" s="161"/>
      <c r="R952" s="161"/>
      <c r="S952" s="161"/>
      <c r="T952" s="161"/>
      <c r="U952" s="161"/>
      <c r="V952" s="161"/>
      <c r="W952" s="161"/>
      <c r="X952" s="161"/>
      <c r="Y952" s="161"/>
      <c r="Z952" s="161"/>
      <c r="AA952" s="161"/>
    </row>
    <row r="953" spans="1:27" ht="12" customHeight="1" x14ac:dyDescent="0.25">
      <c r="A953" s="161"/>
      <c r="B953" s="161"/>
      <c r="C953" s="161"/>
      <c r="D953" s="161"/>
      <c r="E953" s="161"/>
      <c r="F953" s="161"/>
      <c r="G953" s="161"/>
      <c r="H953" s="161"/>
      <c r="I953" s="161"/>
      <c r="J953" s="161"/>
      <c r="K953" s="161"/>
      <c r="L953" s="161"/>
      <c r="M953" s="161"/>
      <c r="N953" s="161"/>
      <c r="O953" s="161"/>
      <c r="P953" s="161"/>
      <c r="Q953" s="161"/>
      <c r="R953" s="161"/>
      <c r="S953" s="161"/>
      <c r="T953" s="161"/>
      <c r="U953" s="161"/>
      <c r="V953" s="161"/>
      <c r="W953" s="161"/>
      <c r="X953" s="161"/>
      <c r="Y953" s="161"/>
      <c r="Z953" s="161"/>
      <c r="AA953" s="161"/>
    </row>
    <row r="954" spans="1:27" ht="12" customHeight="1" x14ac:dyDescent="0.25">
      <c r="A954" s="161"/>
      <c r="B954" s="161"/>
      <c r="C954" s="161"/>
      <c r="D954" s="161"/>
      <c r="E954" s="161"/>
      <c r="F954" s="161"/>
      <c r="G954" s="161"/>
      <c r="H954" s="161"/>
      <c r="I954" s="161"/>
      <c r="J954" s="161"/>
      <c r="K954" s="161"/>
      <c r="L954" s="161"/>
      <c r="M954" s="161"/>
      <c r="N954" s="161"/>
      <c r="O954" s="161"/>
      <c r="P954" s="161"/>
      <c r="Q954" s="161"/>
      <c r="R954" s="161"/>
      <c r="S954" s="161"/>
      <c r="T954" s="161"/>
      <c r="U954" s="161"/>
      <c r="V954" s="161"/>
      <c r="W954" s="161"/>
      <c r="X954" s="161"/>
      <c r="Y954" s="161"/>
      <c r="Z954" s="161"/>
      <c r="AA954" s="161"/>
    </row>
    <row r="955" spans="1:27" ht="12" customHeight="1" x14ac:dyDescent="0.25">
      <c r="A955" s="161"/>
      <c r="B955" s="161"/>
      <c r="C955" s="161"/>
      <c r="D955" s="161"/>
      <c r="E955" s="161"/>
      <c r="F955" s="161"/>
      <c r="G955" s="161"/>
      <c r="H955" s="161"/>
      <c r="I955" s="161"/>
      <c r="J955" s="161"/>
      <c r="K955" s="161"/>
      <c r="L955" s="161"/>
      <c r="M955" s="161"/>
      <c r="N955" s="161"/>
      <c r="O955" s="161"/>
      <c r="P955" s="161"/>
      <c r="Q955" s="161"/>
      <c r="R955" s="161"/>
      <c r="S955" s="161"/>
      <c r="T955" s="161"/>
      <c r="U955" s="161"/>
      <c r="V955" s="161"/>
      <c r="W955" s="161"/>
      <c r="X955" s="161"/>
      <c r="Y955" s="161"/>
      <c r="Z955" s="161"/>
      <c r="AA955" s="161"/>
    </row>
    <row r="956" spans="1:27" ht="12" customHeight="1" x14ac:dyDescent="0.25">
      <c r="A956" s="161"/>
      <c r="B956" s="161"/>
      <c r="C956" s="161"/>
      <c r="D956" s="161"/>
      <c r="E956" s="161"/>
      <c r="F956" s="161"/>
      <c r="G956" s="161"/>
      <c r="H956" s="161"/>
      <c r="I956" s="161"/>
      <c r="J956" s="161"/>
      <c r="K956" s="161"/>
      <c r="L956" s="161"/>
      <c r="M956" s="161"/>
      <c r="N956" s="161"/>
      <c r="O956" s="161"/>
      <c r="P956" s="161"/>
      <c r="Q956" s="161"/>
      <c r="R956" s="161"/>
      <c r="S956" s="161"/>
      <c r="T956" s="161"/>
      <c r="U956" s="161"/>
      <c r="V956" s="161"/>
      <c r="W956" s="161"/>
      <c r="X956" s="161"/>
      <c r="Y956" s="161"/>
      <c r="Z956" s="161"/>
      <c r="AA956" s="161"/>
    </row>
    <row r="957" spans="1:27" ht="12" customHeight="1" x14ac:dyDescent="0.25">
      <c r="A957" s="161"/>
      <c r="B957" s="161"/>
      <c r="C957" s="161"/>
      <c r="D957" s="161"/>
      <c r="E957" s="161"/>
      <c r="F957" s="161"/>
      <c r="G957" s="161"/>
      <c r="H957" s="161"/>
      <c r="I957" s="161"/>
      <c r="J957" s="161"/>
      <c r="K957" s="161"/>
      <c r="L957" s="161"/>
      <c r="M957" s="161"/>
      <c r="N957" s="161"/>
      <c r="O957" s="161"/>
      <c r="P957" s="161"/>
      <c r="Q957" s="161"/>
      <c r="R957" s="161"/>
      <c r="S957" s="161"/>
      <c r="T957" s="161"/>
      <c r="U957" s="161"/>
      <c r="V957" s="161"/>
      <c r="W957" s="161"/>
      <c r="X957" s="161"/>
      <c r="Y957" s="161"/>
      <c r="Z957" s="161"/>
      <c r="AA957" s="161"/>
    </row>
    <row r="958" spans="1:27" ht="12" customHeight="1" x14ac:dyDescent="0.25">
      <c r="A958" s="161"/>
      <c r="B958" s="161"/>
      <c r="C958" s="161"/>
      <c r="D958" s="161"/>
      <c r="E958" s="161"/>
      <c r="F958" s="161"/>
      <c r="G958" s="161"/>
      <c r="H958" s="161"/>
      <c r="I958" s="161"/>
      <c r="J958" s="161"/>
      <c r="K958" s="161"/>
      <c r="L958" s="161"/>
      <c r="M958" s="161"/>
      <c r="N958" s="161"/>
      <c r="O958" s="161"/>
      <c r="P958" s="161"/>
      <c r="Q958" s="161"/>
      <c r="R958" s="161"/>
      <c r="S958" s="161"/>
      <c r="T958" s="161"/>
      <c r="U958" s="161"/>
      <c r="V958" s="161"/>
      <c r="W958" s="161"/>
      <c r="X958" s="161"/>
      <c r="Y958" s="161"/>
      <c r="Z958" s="161"/>
      <c r="AA958" s="161"/>
    </row>
    <row r="959" spans="1:27" ht="12" customHeight="1" x14ac:dyDescent="0.25">
      <c r="A959" s="161"/>
      <c r="B959" s="161"/>
      <c r="C959" s="161"/>
      <c r="D959" s="161"/>
      <c r="E959" s="161"/>
      <c r="F959" s="161"/>
      <c r="G959" s="161"/>
      <c r="H959" s="161"/>
      <c r="I959" s="161"/>
      <c r="J959" s="161"/>
      <c r="K959" s="161"/>
      <c r="L959" s="161"/>
      <c r="M959" s="161"/>
      <c r="N959" s="161"/>
      <c r="O959" s="161"/>
      <c r="P959" s="161"/>
      <c r="Q959" s="161"/>
      <c r="R959" s="161"/>
      <c r="S959" s="161"/>
      <c r="T959" s="161"/>
      <c r="U959" s="161"/>
      <c r="V959" s="161"/>
      <c r="W959" s="161"/>
      <c r="X959" s="161"/>
      <c r="Y959" s="161"/>
      <c r="Z959" s="161"/>
      <c r="AA959" s="161"/>
    </row>
    <row r="960" spans="1:27" ht="12" customHeight="1" x14ac:dyDescent="0.25">
      <c r="A960" s="161"/>
      <c r="B960" s="161"/>
      <c r="C960" s="161"/>
      <c r="D960" s="161"/>
      <c r="E960" s="161"/>
      <c r="F960" s="161"/>
      <c r="G960" s="161"/>
      <c r="H960" s="161"/>
      <c r="I960" s="161"/>
      <c r="J960" s="161"/>
      <c r="K960" s="161"/>
      <c r="L960" s="161"/>
      <c r="M960" s="161"/>
      <c r="N960" s="161"/>
      <c r="O960" s="161"/>
      <c r="P960" s="161"/>
      <c r="Q960" s="161"/>
      <c r="R960" s="161"/>
      <c r="S960" s="161"/>
      <c r="T960" s="161"/>
      <c r="U960" s="161"/>
      <c r="V960" s="161"/>
      <c r="W960" s="161"/>
      <c r="X960" s="161"/>
      <c r="Y960" s="161"/>
      <c r="Z960" s="161"/>
      <c r="AA960" s="161"/>
    </row>
    <row r="961" spans="1:27" ht="12" customHeight="1" x14ac:dyDescent="0.25">
      <c r="A961" s="161"/>
      <c r="B961" s="161"/>
      <c r="C961" s="161"/>
      <c r="D961" s="161"/>
      <c r="E961" s="161"/>
      <c r="F961" s="161"/>
      <c r="G961" s="161"/>
      <c r="H961" s="161"/>
      <c r="I961" s="161"/>
      <c r="J961" s="161"/>
      <c r="K961" s="161"/>
      <c r="L961" s="161"/>
      <c r="M961" s="161"/>
      <c r="N961" s="161"/>
      <c r="O961" s="161"/>
      <c r="P961" s="161"/>
      <c r="Q961" s="161"/>
      <c r="R961" s="161"/>
      <c r="S961" s="161"/>
      <c r="T961" s="161"/>
      <c r="U961" s="161"/>
      <c r="V961" s="161"/>
      <c r="W961" s="161"/>
      <c r="X961" s="161"/>
      <c r="Y961" s="161"/>
      <c r="Z961" s="161"/>
      <c r="AA961" s="161"/>
    </row>
    <row r="962" spans="1:27" ht="12" customHeight="1" x14ac:dyDescent="0.25">
      <c r="A962" s="161"/>
      <c r="B962" s="161"/>
      <c r="C962" s="161"/>
      <c r="D962" s="161"/>
      <c r="E962" s="161"/>
      <c r="F962" s="161"/>
      <c r="G962" s="161"/>
      <c r="H962" s="161"/>
      <c r="I962" s="161"/>
      <c r="J962" s="161"/>
      <c r="K962" s="161"/>
      <c r="L962" s="161"/>
      <c r="M962" s="161"/>
      <c r="N962" s="161"/>
      <c r="O962" s="161"/>
      <c r="P962" s="161"/>
      <c r="Q962" s="161"/>
      <c r="R962" s="161"/>
      <c r="S962" s="161"/>
      <c r="T962" s="161"/>
      <c r="U962" s="161"/>
      <c r="V962" s="161"/>
      <c r="W962" s="161"/>
      <c r="X962" s="161"/>
      <c r="Y962" s="161"/>
      <c r="Z962" s="161"/>
      <c r="AA962" s="161"/>
    </row>
    <row r="963" spans="1:27" ht="12" customHeight="1" x14ac:dyDescent="0.25">
      <c r="A963" s="161"/>
      <c r="B963" s="161"/>
      <c r="C963" s="161"/>
      <c r="D963" s="161"/>
      <c r="E963" s="161"/>
      <c r="F963" s="161"/>
      <c r="G963" s="161"/>
      <c r="H963" s="161"/>
      <c r="I963" s="161"/>
      <c r="J963" s="161"/>
      <c r="K963" s="161"/>
      <c r="L963" s="161"/>
      <c r="M963" s="161"/>
      <c r="N963" s="161"/>
      <c r="O963" s="161"/>
      <c r="P963" s="161"/>
      <c r="Q963" s="161"/>
      <c r="R963" s="161"/>
      <c r="S963" s="161"/>
      <c r="T963" s="161"/>
      <c r="U963" s="161"/>
      <c r="V963" s="161"/>
      <c r="W963" s="161"/>
      <c r="X963" s="161"/>
      <c r="Y963" s="161"/>
      <c r="Z963" s="161"/>
      <c r="AA963" s="161"/>
    </row>
    <row r="964" spans="1:27" ht="12" customHeight="1" x14ac:dyDescent="0.25">
      <c r="A964" s="161"/>
      <c r="B964" s="161"/>
      <c r="C964" s="161"/>
      <c r="D964" s="161"/>
      <c r="E964" s="161"/>
      <c r="F964" s="161"/>
      <c r="G964" s="161"/>
      <c r="H964" s="161"/>
      <c r="I964" s="161"/>
      <c r="J964" s="161"/>
      <c r="K964" s="161"/>
      <c r="L964" s="161"/>
      <c r="M964" s="161"/>
      <c r="N964" s="161"/>
      <c r="O964" s="161"/>
      <c r="P964" s="161"/>
      <c r="Q964" s="161"/>
      <c r="R964" s="161"/>
      <c r="S964" s="161"/>
      <c r="T964" s="161"/>
      <c r="U964" s="161"/>
      <c r="V964" s="161"/>
      <c r="W964" s="161"/>
      <c r="X964" s="161"/>
      <c r="Y964" s="161"/>
      <c r="Z964" s="161"/>
      <c r="AA964" s="161"/>
    </row>
    <row r="965" spans="1:27" ht="12" customHeight="1" x14ac:dyDescent="0.25">
      <c r="A965" s="161"/>
      <c r="B965" s="161"/>
      <c r="C965" s="161"/>
      <c r="D965" s="161"/>
      <c r="E965" s="161"/>
      <c r="F965" s="161"/>
      <c r="G965" s="161"/>
      <c r="H965" s="161"/>
      <c r="I965" s="161"/>
      <c r="J965" s="161"/>
      <c r="K965" s="161"/>
      <c r="L965" s="161"/>
      <c r="M965" s="161"/>
      <c r="N965" s="161"/>
      <c r="O965" s="161"/>
      <c r="P965" s="161"/>
      <c r="Q965" s="161"/>
      <c r="R965" s="161"/>
      <c r="S965" s="161"/>
      <c r="T965" s="161"/>
      <c r="U965" s="161"/>
      <c r="V965" s="161"/>
      <c r="W965" s="161"/>
      <c r="X965" s="161"/>
      <c r="Y965" s="161"/>
      <c r="Z965" s="161"/>
      <c r="AA965" s="161"/>
    </row>
    <row r="966" spans="1:27" ht="12" customHeight="1" x14ac:dyDescent="0.25">
      <c r="A966" s="161"/>
      <c r="B966" s="161"/>
      <c r="C966" s="161"/>
      <c r="D966" s="161"/>
      <c r="E966" s="161"/>
      <c r="F966" s="161"/>
      <c r="G966" s="161"/>
      <c r="H966" s="161"/>
      <c r="I966" s="161"/>
      <c r="J966" s="161"/>
      <c r="K966" s="161"/>
      <c r="L966" s="161"/>
      <c r="M966" s="161"/>
      <c r="N966" s="161"/>
      <c r="O966" s="161"/>
      <c r="P966" s="161"/>
      <c r="Q966" s="161"/>
      <c r="R966" s="161"/>
      <c r="S966" s="161"/>
      <c r="T966" s="161"/>
      <c r="U966" s="161"/>
      <c r="V966" s="161"/>
      <c r="W966" s="161"/>
      <c r="X966" s="161"/>
      <c r="Y966" s="161"/>
      <c r="Z966" s="161"/>
      <c r="AA966" s="161"/>
    </row>
    <row r="967" spans="1:27" ht="12" customHeight="1" x14ac:dyDescent="0.25">
      <c r="A967" s="161"/>
      <c r="B967" s="161"/>
      <c r="C967" s="161"/>
      <c r="D967" s="161"/>
      <c r="E967" s="161"/>
      <c r="F967" s="161"/>
      <c r="G967" s="161"/>
      <c r="H967" s="161"/>
      <c r="I967" s="161"/>
      <c r="J967" s="161"/>
      <c r="K967" s="161"/>
      <c r="L967" s="161"/>
      <c r="M967" s="161"/>
      <c r="N967" s="161"/>
      <c r="O967" s="161"/>
      <c r="P967" s="161"/>
      <c r="Q967" s="161"/>
      <c r="R967" s="161"/>
      <c r="S967" s="161"/>
      <c r="T967" s="161"/>
      <c r="U967" s="161"/>
      <c r="V967" s="161"/>
      <c r="W967" s="161"/>
      <c r="X967" s="161"/>
      <c r="Y967" s="161"/>
      <c r="Z967" s="161"/>
      <c r="AA967" s="161"/>
    </row>
    <row r="968" spans="1:27" ht="12" customHeight="1" x14ac:dyDescent="0.25">
      <c r="A968" s="161"/>
      <c r="B968" s="161"/>
      <c r="C968" s="161"/>
      <c r="D968" s="161"/>
      <c r="E968" s="161"/>
      <c r="F968" s="161"/>
      <c r="G968" s="161"/>
      <c r="H968" s="161"/>
      <c r="I968" s="161"/>
      <c r="J968" s="161"/>
      <c r="K968" s="161"/>
      <c r="L968" s="161"/>
      <c r="M968" s="161"/>
      <c r="N968" s="161"/>
      <c r="O968" s="161"/>
      <c r="P968" s="161"/>
      <c r="Q968" s="161"/>
      <c r="R968" s="161"/>
      <c r="S968" s="161"/>
      <c r="T968" s="161"/>
      <c r="U968" s="161"/>
      <c r="V968" s="161"/>
      <c r="W968" s="161"/>
      <c r="X968" s="161"/>
      <c r="Y968" s="161"/>
      <c r="Z968" s="161"/>
      <c r="AA968" s="161"/>
    </row>
    <row r="969" spans="1:27" ht="12" customHeight="1" x14ac:dyDescent="0.25">
      <c r="A969" s="161"/>
      <c r="B969" s="161"/>
      <c r="C969" s="161"/>
      <c r="D969" s="161"/>
      <c r="E969" s="161"/>
      <c r="F969" s="161"/>
      <c r="G969" s="161"/>
      <c r="H969" s="161"/>
      <c r="I969" s="161"/>
      <c r="J969" s="161"/>
      <c r="K969" s="161"/>
      <c r="L969" s="161"/>
      <c r="M969" s="161"/>
      <c r="N969" s="161"/>
      <c r="O969" s="161"/>
      <c r="P969" s="161"/>
      <c r="Q969" s="161"/>
      <c r="R969" s="161"/>
      <c r="S969" s="161"/>
      <c r="T969" s="161"/>
      <c r="U969" s="161"/>
      <c r="V969" s="161"/>
      <c r="W969" s="161"/>
      <c r="X969" s="161"/>
      <c r="Y969" s="161"/>
      <c r="Z969" s="161"/>
      <c r="AA969" s="161"/>
    </row>
    <row r="970" spans="1:27" ht="12" customHeight="1" x14ac:dyDescent="0.25">
      <c r="A970" s="161"/>
      <c r="B970" s="161"/>
      <c r="C970" s="161"/>
      <c r="D970" s="161"/>
      <c r="E970" s="161"/>
      <c r="F970" s="161"/>
      <c r="G970" s="161"/>
      <c r="H970" s="161"/>
      <c r="I970" s="161"/>
      <c r="J970" s="161"/>
      <c r="K970" s="161"/>
      <c r="L970" s="161"/>
      <c r="M970" s="161"/>
      <c r="N970" s="161"/>
      <c r="O970" s="161"/>
      <c r="P970" s="161"/>
      <c r="Q970" s="161"/>
      <c r="R970" s="161"/>
      <c r="S970" s="161"/>
      <c r="T970" s="161"/>
      <c r="U970" s="161"/>
      <c r="V970" s="161"/>
      <c r="W970" s="161"/>
      <c r="X970" s="161"/>
      <c r="Y970" s="161"/>
      <c r="Z970" s="161"/>
      <c r="AA970" s="161"/>
    </row>
    <row r="971" spans="1:27" ht="12" customHeight="1" x14ac:dyDescent="0.25">
      <c r="A971" s="161"/>
      <c r="B971" s="161"/>
      <c r="C971" s="161"/>
      <c r="D971" s="161"/>
      <c r="E971" s="161"/>
      <c r="F971" s="161"/>
      <c r="G971" s="161"/>
      <c r="H971" s="161"/>
      <c r="I971" s="161"/>
      <c r="J971" s="161"/>
      <c r="K971" s="161"/>
      <c r="L971" s="161"/>
      <c r="M971" s="161"/>
      <c r="N971" s="161"/>
      <c r="O971" s="161"/>
      <c r="P971" s="161"/>
      <c r="Q971" s="161"/>
      <c r="R971" s="161"/>
      <c r="S971" s="161"/>
      <c r="T971" s="161"/>
      <c r="U971" s="161"/>
      <c r="V971" s="161"/>
      <c r="W971" s="161"/>
      <c r="X971" s="161"/>
      <c r="Y971" s="161"/>
      <c r="Z971" s="161"/>
      <c r="AA971" s="161"/>
    </row>
    <row r="972" spans="1:27" ht="12" customHeight="1" x14ac:dyDescent="0.25">
      <c r="A972" s="161"/>
      <c r="B972" s="161"/>
      <c r="C972" s="161"/>
      <c r="D972" s="161"/>
      <c r="E972" s="161"/>
      <c r="F972" s="161"/>
      <c r="G972" s="161"/>
      <c r="H972" s="161"/>
      <c r="I972" s="161"/>
      <c r="J972" s="161"/>
      <c r="K972" s="161"/>
      <c r="L972" s="161"/>
      <c r="M972" s="161"/>
      <c r="N972" s="161"/>
      <c r="O972" s="161"/>
      <c r="P972" s="161"/>
      <c r="Q972" s="161"/>
      <c r="R972" s="161"/>
      <c r="S972" s="161"/>
      <c r="T972" s="161"/>
      <c r="U972" s="161"/>
      <c r="V972" s="161"/>
      <c r="W972" s="161"/>
      <c r="X972" s="161"/>
      <c r="Y972" s="161"/>
      <c r="Z972" s="161"/>
      <c r="AA972" s="161"/>
    </row>
    <row r="973" spans="1:27" ht="12" customHeight="1" x14ac:dyDescent="0.25">
      <c r="A973" s="161"/>
      <c r="B973" s="161"/>
      <c r="C973" s="161"/>
      <c r="D973" s="161"/>
      <c r="E973" s="161"/>
      <c r="F973" s="161"/>
      <c r="G973" s="161"/>
      <c r="H973" s="161"/>
      <c r="I973" s="161"/>
      <c r="J973" s="161"/>
      <c r="K973" s="161"/>
      <c r="L973" s="161"/>
      <c r="M973" s="161"/>
      <c r="N973" s="161"/>
      <c r="O973" s="161"/>
      <c r="P973" s="161"/>
      <c r="Q973" s="161"/>
      <c r="R973" s="161"/>
      <c r="S973" s="161"/>
      <c r="T973" s="161"/>
      <c r="U973" s="161"/>
      <c r="V973" s="161"/>
      <c r="W973" s="161"/>
      <c r="X973" s="161"/>
      <c r="Y973" s="161"/>
      <c r="Z973" s="161"/>
      <c r="AA973" s="161"/>
    </row>
    <row r="974" spans="1:27" ht="12" customHeight="1" x14ac:dyDescent="0.25">
      <c r="A974" s="161"/>
      <c r="B974" s="161"/>
      <c r="C974" s="161"/>
      <c r="D974" s="161"/>
      <c r="E974" s="161"/>
      <c r="F974" s="161"/>
      <c r="G974" s="161"/>
      <c r="H974" s="161"/>
      <c r="I974" s="161"/>
      <c r="J974" s="161"/>
      <c r="K974" s="161"/>
      <c r="L974" s="161"/>
      <c r="M974" s="161"/>
      <c r="N974" s="161"/>
      <c r="O974" s="161"/>
      <c r="P974" s="161"/>
      <c r="Q974" s="161"/>
      <c r="R974" s="161"/>
      <c r="S974" s="161"/>
      <c r="T974" s="161"/>
      <c r="U974" s="161"/>
      <c r="V974" s="161"/>
      <c r="W974" s="161"/>
      <c r="X974" s="161"/>
      <c r="Y974" s="161"/>
      <c r="Z974" s="161"/>
      <c r="AA974" s="161"/>
    </row>
    <row r="975" spans="1:27" ht="12" customHeight="1" x14ac:dyDescent="0.25">
      <c r="A975" s="161"/>
      <c r="B975" s="161"/>
      <c r="C975" s="161"/>
      <c r="D975" s="161"/>
      <c r="E975" s="161"/>
      <c r="F975" s="161"/>
      <c r="G975" s="161"/>
      <c r="H975" s="161"/>
      <c r="I975" s="161"/>
      <c r="J975" s="161"/>
      <c r="K975" s="161"/>
      <c r="L975" s="161"/>
      <c r="M975" s="161"/>
      <c r="N975" s="161"/>
      <c r="O975" s="161"/>
      <c r="P975" s="161"/>
      <c r="Q975" s="161"/>
      <c r="R975" s="161"/>
      <c r="S975" s="161"/>
      <c r="T975" s="161"/>
      <c r="U975" s="161"/>
      <c r="V975" s="161"/>
      <c r="W975" s="161"/>
      <c r="X975" s="161"/>
      <c r="Y975" s="161"/>
      <c r="Z975" s="161"/>
      <c r="AA975" s="161"/>
    </row>
    <row r="976" spans="1:27" ht="12" customHeight="1" x14ac:dyDescent="0.25">
      <c r="A976" s="161"/>
      <c r="B976" s="161"/>
      <c r="C976" s="161"/>
      <c r="D976" s="161"/>
      <c r="E976" s="161"/>
      <c r="F976" s="161"/>
      <c r="G976" s="161"/>
      <c r="H976" s="161"/>
      <c r="I976" s="161"/>
      <c r="J976" s="161"/>
      <c r="K976" s="161"/>
      <c r="L976" s="161"/>
      <c r="M976" s="161"/>
      <c r="N976" s="161"/>
      <c r="O976" s="161"/>
      <c r="P976" s="161"/>
      <c r="Q976" s="161"/>
      <c r="R976" s="161"/>
      <c r="S976" s="161"/>
      <c r="T976" s="161"/>
      <c r="U976" s="161"/>
      <c r="V976" s="161"/>
      <c r="W976" s="161"/>
      <c r="X976" s="161"/>
      <c r="Y976" s="161"/>
      <c r="Z976" s="161"/>
      <c r="AA976" s="161"/>
    </row>
    <row r="977" spans="1:27" ht="12" customHeight="1" x14ac:dyDescent="0.25">
      <c r="A977" s="161"/>
      <c r="B977" s="161"/>
      <c r="C977" s="161"/>
      <c r="D977" s="161"/>
      <c r="E977" s="161"/>
      <c r="F977" s="161"/>
      <c r="G977" s="161"/>
      <c r="H977" s="161"/>
      <c r="I977" s="161"/>
      <c r="J977" s="161"/>
      <c r="K977" s="161"/>
      <c r="L977" s="161"/>
      <c r="M977" s="161"/>
      <c r="N977" s="161"/>
      <c r="O977" s="161"/>
      <c r="P977" s="161"/>
      <c r="Q977" s="161"/>
      <c r="R977" s="161"/>
      <c r="S977" s="161"/>
      <c r="T977" s="161"/>
      <c r="U977" s="161"/>
      <c r="V977" s="161"/>
      <c r="W977" s="161"/>
      <c r="X977" s="161"/>
      <c r="Y977" s="161"/>
      <c r="Z977" s="161"/>
      <c r="AA977" s="161"/>
    </row>
    <row r="978" spans="1:27" ht="12" customHeight="1" x14ac:dyDescent="0.25">
      <c r="A978" s="161"/>
      <c r="B978" s="161"/>
      <c r="C978" s="161"/>
      <c r="D978" s="161"/>
      <c r="E978" s="161"/>
      <c r="F978" s="161"/>
      <c r="G978" s="161"/>
      <c r="H978" s="161"/>
      <c r="I978" s="161"/>
      <c r="J978" s="161"/>
      <c r="K978" s="161"/>
      <c r="L978" s="161"/>
      <c r="M978" s="161"/>
      <c r="N978" s="161"/>
      <c r="O978" s="161"/>
      <c r="P978" s="161"/>
      <c r="Q978" s="161"/>
      <c r="R978" s="161"/>
      <c r="S978" s="161"/>
      <c r="T978" s="161"/>
      <c r="U978" s="161"/>
      <c r="V978" s="161"/>
      <c r="W978" s="161"/>
      <c r="X978" s="161"/>
      <c r="Y978" s="161"/>
      <c r="Z978" s="161"/>
      <c r="AA978" s="161"/>
    </row>
    <row r="979" spans="1:27" ht="12" customHeight="1" x14ac:dyDescent="0.25">
      <c r="A979" s="161"/>
      <c r="B979" s="161"/>
      <c r="C979" s="161"/>
      <c r="D979" s="161"/>
      <c r="E979" s="161"/>
      <c r="F979" s="161"/>
      <c r="G979" s="161"/>
      <c r="H979" s="161"/>
      <c r="I979" s="161"/>
      <c r="J979" s="161"/>
      <c r="K979" s="161"/>
      <c r="L979" s="161"/>
      <c r="M979" s="161"/>
      <c r="N979" s="161"/>
      <c r="O979" s="161"/>
      <c r="P979" s="161"/>
      <c r="Q979" s="161"/>
      <c r="R979" s="161"/>
      <c r="S979" s="161"/>
      <c r="T979" s="161"/>
      <c r="U979" s="161"/>
      <c r="V979" s="161"/>
      <c r="W979" s="161"/>
      <c r="X979" s="161"/>
      <c r="Y979" s="161"/>
      <c r="Z979" s="161"/>
      <c r="AA979" s="161"/>
    </row>
    <row r="980" spans="1:27" ht="12" customHeight="1" x14ac:dyDescent="0.25">
      <c r="A980" s="161"/>
      <c r="B980" s="161"/>
      <c r="C980" s="161"/>
      <c r="D980" s="161"/>
      <c r="E980" s="161"/>
      <c r="F980" s="161"/>
      <c r="G980" s="161"/>
      <c r="H980" s="161"/>
      <c r="I980" s="161"/>
      <c r="J980" s="161"/>
      <c r="K980" s="161"/>
      <c r="L980" s="161"/>
      <c r="M980" s="161"/>
      <c r="N980" s="161"/>
      <c r="O980" s="161"/>
      <c r="P980" s="161"/>
      <c r="Q980" s="161"/>
      <c r="R980" s="161"/>
      <c r="S980" s="161"/>
      <c r="T980" s="161"/>
      <c r="U980" s="161"/>
      <c r="V980" s="161"/>
      <c r="W980" s="161"/>
      <c r="X980" s="161"/>
      <c r="Y980" s="161"/>
      <c r="Z980" s="161"/>
      <c r="AA980" s="161"/>
    </row>
    <row r="981" spans="1:27" ht="12" customHeight="1" x14ac:dyDescent="0.25">
      <c r="A981" s="161"/>
      <c r="B981" s="161"/>
      <c r="C981" s="161"/>
      <c r="D981" s="161"/>
      <c r="E981" s="161"/>
      <c r="F981" s="161"/>
      <c r="G981" s="161"/>
      <c r="H981" s="161"/>
      <c r="I981" s="161"/>
      <c r="J981" s="161"/>
      <c r="K981" s="161"/>
      <c r="L981" s="161"/>
      <c r="M981" s="161"/>
      <c r="N981" s="161"/>
      <c r="O981" s="161"/>
      <c r="P981" s="161"/>
      <c r="Q981" s="161"/>
      <c r="R981" s="161"/>
      <c r="S981" s="161"/>
      <c r="T981" s="161"/>
      <c r="U981" s="161"/>
      <c r="V981" s="161"/>
      <c r="W981" s="161"/>
      <c r="X981" s="161"/>
      <c r="Y981" s="161"/>
      <c r="Z981" s="161"/>
      <c r="AA981" s="161"/>
    </row>
    <row r="982" spans="1:27" ht="12" customHeight="1" x14ac:dyDescent="0.25">
      <c r="A982" s="161"/>
      <c r="B982" s="161"/>
      <c r="C982" s="161"/>
      <c r="D982" s="161"/>
      <c r="E982" s="161"/>
      <c r="F982" s="161"/>
      <c r="G982" s="161"/>
      <c r="H982" s="161"/>
      <c r="I982" s="161"/>
      <c r="J982" s="161"/>
      <c r="K982" s="161"/>
      <c r="L982" s="161"/>
      <c r="M982" s="161"/>
      <c r="N982" s="161"/>
      <c r="O982" s="161"/>
      <c r="P982" s="161"/>
      <c r="Q982" s="161"/>
      <c r="R982" s="161"/>
      <c r="S982" s="161"/>
      <c r="T982" s="161"/>
      <c r="U982" s="161"/>
      <c r="V982" s="161"/>
      <c r="W982" s="161"/>
      <c r="X982" s="161"/>
      <c r="Y982" s="161"/>
      <c r="Z982" s="161"/>
      <c r="AA982" s="161"/>
    </row>
    <row r="983" spans="1:27" ht="12" customHeight="1" x14ac:dyDescent="0.25">
      <c r="A983" s="161"/>
      <c r="B983" s="161"/>
      <c r="C983" s="161"/>
      <c r="D983" s="161"/>
      <c r="E983" s="161"/>
      <c r="F983" s="161"/>
      <c r="G983" s="161"/>
      <c r="H983" s="161"/>
      <c r="I983" s="161"/>
      <c r="J983" s="161"/>
      <c r="K983" s="161"/>
      <c r="L983" s="161"/>
      <c r="M983" s="161"/>
      <c r="N983" s="161"/>
      <c r="O983" s="161"/>
      <c r="P983" s="161"/>
      <c r="Q983" s="161"/>
      <c r="R983" s="161"/>
      <c r="S983" s="161"/>
      <c r="T983" s="161"/>
      <c r="U983" s="161"/>
      <c r="V983" s="161"/>
      <c r="W983" s="161"/>
      <c r="X983" s="161"/>
      <c r="Y983" s="161"/>
      <c r="Z983" s="161"/>
      <c r="AA983" s="161"/>
    </row>
    <row r="984" spans="1:27" ht="12" customHeight="1" x14ac:dyDescent="0.25">
      <c r="A984" s="161"/>
      <c r="B984" s="161"/>
      <c r="C984" s="161"/>
      <c r="D984" s="161"/>
      <c r="E984" s="161"/>
      <c r="F984" s="161"/>
      <c r="G984" s="161"/>
      <c r="H984" s="161"/>
      <c r="I984" s="161"/>
      <c r="J984" s="161"/>
      <c r="K984" s="161"/>
      <c r="L984" s="161"/>
      <c r="M984" s="161"/>
      <c r="N984" s="161"/>
      <c r="O984" s="161"/>
      <c r="P984" s="161"/>
      <c r="Q984" s="161"/>
      <c r="R984" s="161"/>
      <c r="S984" s="161"/>
      <c r="T984" s="161"/>
      <c r="U984" s="161"/>
      <c r="V984" s="161"/>
      <c r="W984" s="161"/>
      <c r="X984" s="161"/>
      <c r="Y984" s="161"/>
      <c r="Z984" s="161"/>
      <c r="AA984" s="161"/>
    </row>
    <row r="985" spans="1:27" ht="12" customHeight="1" x14ac:dyDescent="0.25">
      <c r="A985" s="161"/>
      <c r="B985" s="161"/>
      <c r="C985" s="161"/>
      <c r="D985" s="161"/>
      <c r="E985" s="161"/>
      <c r="F985" s="161"/>
      <c r="G985" s="161"/>
      <c r="H985" s="161"/>
      <c r="I985" s="161"/>
      <c r="J985" s="161"/>
      <c r="K985" s="161"/>
      <c r="L985" s="161"/>
      <c r="M985" s="161"/>
      <c r="N985" s="161"/>
      <c r="O985" s="161"/>
      <c r="P985" s="161"/>
      <c r="Q985" s="161"/>
      <c r="R985" s="161"/>
      <c r="S985" s="161"/>
      <c r="T985" s="161"/>
      <c r="U985" s="161"/>
      <c r="V985" s="161"/>
      <c r="W985" s="161"/>
      <c r="X985" s="161"/>
      <c r="Y985" s="161"/>
      <c r="Z985" s="161"/>
      <c r="AA985" s="161"/>
    </row>
    <row r="986" spans="1:27" ht="12" customHeight="1" x14ac:dyDescent="0.25">
      <c r="A986" s="161"/>
      <c r="B986" s="161"/>
      <c r="C986" s="161"/>
      <c r="D986" s="161"/>
      <c r="E986" s="161"/>
      <c r="F986" s="161"/>
      <c r="G986" s="161"/>
      <c r="H986" s="161"/>
      <c r="I986" s="161"/>
      <c r="J986" s="161"/>
      <c r="K986" s="161"/>
      <c r="L986" s="161"/>
      <c r="M986" s="161"/>
      <c r="N986" s="161"/>
      <c r="O986" s="161"/>
      <c r="P986" s="161"/>
      <c r="Q986" s="161"/>
      <c r="R986" s="161"/>
      <c r="S986" s="161"/>
      <c r="T986" s="161"/>
      <c r="U986" s="161"/>
      <c r="V986" s="161"/>
      <c r="W986" s="161"/>
      <c r="X986" s="161"/>
      <c r="Y986" s="161"/>
      <c r="Z986" s="161"/>
      <c r="AA986" s="161"/>
    </row>
    <row r="987" spans="1:27" ht="12" customHeight="1" x14ac:dyDescent="0.25">
      <c r="A987" s="161"/>
      <c r="B987" s="161"/>
      <c r="C987" s="161"/>
      <c r="D987" s="161"/>
      <c r="E987" s="161"/>
      <c r="F987" s="161"/>
      <c r="G987" s="161"/>
      <c r="H987" s="161"/>
      <c r="I987" s="161"/>
      <c r="J987" s="161"/>
      <c r="K987" s="161"/>
      <c r="L987" s="161"/>
      <c r="M987" s="161"/>
      <c r="N987" s="161"/>
      <c r="O987" s="161"/>
      <c r="P987" s="161"/>
      <c r="Q987" s="161"/>
      <c r="R987" s="161"/>
      <c r="S987" s="161"/>
      <c r="T987" s="161"/>
      <c r="U987" s="161"/>
      <c r="V987" s="161"/>
      <c r="W987" s="161"/>
      <c r="X987" s="161"/>
      <c r="Y987" s="161"/>
      <c r="Z987" s="161"/>
      <c r="AA987" s="161"/>
    </row>
    <row r="988" spans="1:27" ht="12" customHeight="1" x14ac:dyDescent="0.25">
      <c r="A988" s="161"/>
      <c r="B988" s="161"/>
      <c r="C988" s="161"/>
      <c r="D988" s="161"/>
      <c r="E988" s="161"/>
      <c r="F988" s="161"/>
      <c r="G988" s="161"/>
      <c r="H988" s="161"/>
      <c r="I988" s="161"/>
      <c r="J988" s="161"/>
      <c r="K988" s="161"/>
      <c r="L988" s="161"/>
      <c r="M988" s="161"/>
      <c r="N988" s="161"/>
      <c r="O988" s="161"/>
      <c r="P988" s="161"/>
      <c r="Q988" s="161"/>
      <c r="R988" s="161"/>
      <c r="S988" s="161"/>
      <c r="T988" s="161"/>
      <c r="U988" s="161"/>
      <c r="V988" s="161"/>
      <c r="W988" s="161"/>
      <c r="X988" s="161"/>
      <c r="Y988" s="161"/>
      <c r="Z988" s="161"/>
      <c r="AA988" s="161"/>
    </row>
    <row r="989" spans="1:27" ht="12" customHeight="1" x14ac:dyDescent="0.25">
      <c r="A989" s="161"/>
      <c r="B989" s="161"/>
      <c r="C989" s="161"/>
      <c r="D989" s="161"/>
      <c r="E989" s="161"/>
      <c r="F989" s="161"/>
      <c r="G989" s="161"/>
      <c r="H989" s="161"/>
      <c r="I989" s="161"/>
      <c r="J989" s="161"/>
      <c r="K989" s="161"/>
      <c r="L989" s="161"/>
      <c r="M989" s="161"/>
      <c r="N989" s="161"/>
      <c r="O989" s="161"/>
      <c r="P989" s="161"/>
      <c r="Q989" s="161"/>
      <c r="R989" s="161"/>
      <c r="S989" s="161"/>
      <c r="T989" s="161"/>
      <c r="U989" s="161"/>
      <c r="V989" s="161"/>
      <c r="W989" s="161"/>
      <c r="X989" s="161"/>
      <c r="Y989" s="161"/>
      <c r="Z989" s="161"/>
      <c r="AA989" s="161"/>
    </row>
    <row r="990" spans="1:27" ht="12" customHeight="1" x14ac:dyDescent="0.25">
      <c r="A990" s="161"/>
      <c r="B990" s="161"/>
      <c r="C990" s="161"/>
      <c r="D990" s="161"/>
      <c r="E990" s="161"/>
      <c r="F990" s="161"/>
      <c r="G990" s="161"/>
      <c r="H990" s="161"/>
      <c r="I990" s="161"/>
      <c r="J990" s="161"/>
      <c r="K990" s="161"/>
      <c r="L990" s="161"/>
      <c r="M990" s="161"/>
      <c r="N990" s="161"/>
      <c r="O990" s="161"/>
      <c r="P990" s="161"/>
      <c r="Q990" s="161"/>
      <c r="R990" s="161"/>
      <c r="S990" s="161"/>
      <c r="T990" s="161"/>
      <c r="U990" s="161"/>
      <c r="V990" s="161"/>
      <c r="W990" s="161"/>
      <c r="X990" s="161"/>
      <c r="Y990" s="161"/>
      <c r="Z990" s="161"/>
      <c r="AA990" s="161"/>
    </row>
    <row r="991" spans="1:27" ht="12" customHeight="1" x14ac:dyDescent="0.25">
      <c r="A991" s="161"/>
      <c r="B991" s="161"/>
      <c r="C991" s="161"/>
      <c r="D991" s="161"/>
      <c r="E991" s="161"/>
      <c r="F991" s="161"/>
      <c r="G991" s="161"/>
      <c r="H991" s="161"/>
      <c r="I991" s="161"/>
      <c r="J991" s="161"/>
      <c r="K991" s="161"/>
      <c r="L991" s="161"/>
      <c r="M991" s="161"/>
      <c r="N991" s="161"/>
      <c r="O991" s="161"/>
      <c r="P991" s="161"/>
      <c r="Q991" s="161"/>
      <c r="R991" s="161"/>
      <c r="S991" s="161"/>
      <c r="T991" s="161"/>
      <c r="U991" s="161"/>
      <c r="V991" s="161"/>
      <c r="W991" s="161"/>
      <c r="X991" s="161"/>
      <c r="Y991" s="161"/>
      <c r="Z991" s="161"/>
      <c r="AA991" s="161"/>
    </row>
    <row r="992" spans="1:27" ht="12" customHeight="1" x14ac:dyDescent="0.25">
      <c r="A992" s="161"/>
      <c r="B992" s="161"/>
      <c r="C992" s="161"/>
      <c r="D992" s="161"/>
      <c r="E992" s="161"/>
      <c r="F992" s="161"/>
      <c r="G992" s="161"/>
      <c r="H992" s="161"/>
      <c r="I992" s="161"/>
      <c r="J992" s="161"/>
      <c r="K992" s="161"/>
      <c r="L992" s="161"/>
      <c r="M992" s="161"/>
      <c r="N992" s="161"/>
      <c r="O992" s="161"/>
      <c r="P992" s="161"/>
      <c r="Q992" s="161"/>
      <c r="R992" s="161"/>
      <c r="S992" s="161"/>
      <c r="T992" s="161"/>
      <c r="U992" s="161"/>
      <c r="V992" s="161"/>
      <c r="W992" s="161"/>
      <c r="X992" s="161"/>
      <c r="Y992" s="161"/>
      <c r="Z992" s="161"/>
      <c r="AA992" s="161"/>
    </row>
    <row r="993" spans="1:27" ht="12" customHeight="1" x14ac:dyDescent="0.25">
      <c r="A993" s="161"/>
      <c r="B993" s="161"/>
      <c r="C993" s="161"/>
      <c r="D993" s="161"/>
      <c r="E993" s="161"/>
      <c r="F993" s="161"/>
      <c r="G993" s="161"/>
      <c r="H993" s="161"/>
      <c r="I993" s="161"/>
      <c r="J993" s="161"/>
      <c r="K993" s="161"/>
      <c r="L993" s="161"/>
      <c r="M993" s="161"/>
      <c r="N993" s="161"/>
      <c r="O993" s="161"/>
      <c r="P993" s="161"/>
      <c r="Q993" s="161"/>
      <c r="R993" s="161"/>
      <c r="S993" s="161"/>
      <c r="T993" s="161"/>
      <c r="U993" s="161"/>
      <c r="V993" s="161"/>
      <c r="W993" s="161"/>
      <c r="X993" s="161"/>
      <c r="Y993" s="161"/>
      <c r="Z993" s="161"/>
      <c r="AA993" s="161"/>
    </row>
    <row r="994" spans="1:27" ht="12" customHeight="1" x14ac:dyDescent="0.25">
      <c r="A994" s="161"/>
      <c r="B994" s="161"/>
      <c r="C994" s="161"/>
      <c r="D994" s="161"/>
      <c r="E994" s="161"/>
      <c r="F994" s="161"/>
      <c r="G994" s="161"/>
      <c r="H994" s="161"/>
      <c r="I994" s="161"/>
      <c r="J994" s="161"/>
      <c r="K994" s="161"/>
      <c r="L994" s="161"/>
      <c r="M994" s="161"/>
      <c r="N994" s="161"/>
      <c r="O994" s="161"/>
      <c r="P994" s="161"/>
      <c r="Q994" s="161"/>
      <c r="R994" s="161"/>
      <c r="S994" s="161"/>
      <c r="T994" s="161"/>
      <c r="U994" s="161"/>
      <c r="V994" s="161"/>
      <c r="W994" s="161"/>
      <c r="X994" s="161"/>
      <c r="Y994" s="161"/>
      <c r="Z994" s="161"/>
      <c r="AA994" s="161"/>
    </row>
    <row r="995" spans="1:27" ht="12" customHeight="1" x14ac:dyDescent="0.25">
      <c r="A995" s="161"/>
      <c r="B995" s="161"/>
      <c r="C995" s="161"/>
      <c r="D995" s="161"/>
      <c r="E995" s="161"/>
      <c r="F995" s="161"/>
      <c r="G995" s="161"/>
      <c r="H995" s="161"/>
      <c r="I995" s="161"/>
      <c r="J995" s="161"/>
      <c r="K995" s="161"/>
      <c r="L995" s="161"/>
      <c r="M995" s="161"/>
      <c r="N995" s="161"/>
      <c r="O995" s="161"/>
      <c r="P995" s="161"/>
      <c r="Q995" s="161"/>
      <c r="R995" s="161"/>
      <c r="S995" s="161"/>
      <c r="T995" s="161"/>
      <c r="U995" s="161"/>
      <c r="V995" s="161"/>
      <c r="W995" s="161"/>
      <c r="X995" s="161"/>
      <c r="Y995" s="161"/>
      <c r="Z995" s="161"/>
      <c r="AA995" s="161"/>
    </row>
    <row r="996" spans="1:27" ht="12" customHeight="1" x14ac:dyDescent="0.25">
      <c r="A996" s="161"/>
      <c r="B996" s="161"/>
      <c r="C996" s="161"/>
      <c r="D996" s="161"/>
      <c r="E996" s="161"/>
      <c r="F996" s="161"/>
      <c r="G996" s="161"/>
      <c r="H996" s="161"/>
      <c r="I996" s="161"/>
      <c r="J996" s="161"/>
      <c r="K996" s="161"/>
      <c r="L996" s="161"/>
      <c r="M996" s="161"/>
      <c r="N996" s="161"/>
      <c r="O996" s="161"/>
      <c r="P996" s="161"/>
      <c r="Q996" s="161"/>
      <c r="R996" s="161"/>
      <c r="S996" s="161"/>
      <c r="T996" s="161"/>
      <c r="U996" s="161"/>
      <c r="V996" s="161"/>
      <c r="W996" s="161"/>
      <c r="X996" s="161"/>
      <c r="Y996" s="161"/>
      <c r="Z996" s="161"/>
      <c r="AA996" s="161"/>
    </row>
    <row r="997" spans="1:27" ht="12" customHeight="1" x14ac:dyDescent="0.25">
      <c r="A997" s="161"/>
      <c r="B997" s="161"/>
      <c r="C997" s="161"/>
      <c r="D997" s="161"/>
      <c r="E997" s="161"/>
      <c r="F997" s="161"/>
      <c r="G997" s="161"/>
      <c r="H997" s="161"/>
      <c r="I997" s="161"/>
      <c r="J997" s="161"/>
      <c r="K997" s="161"/>
      <c r="L997" s="161"/>
      <c r="M997" s="161"/>
      <c r="N997" s="161"/>
      <c r="O997" s="161"/>
      <c r="P997" s="161"/>
      <c r="Q997" s="161"/>
      <c r="R997" s="161"/>
      <c r="S997" s="161"/>
      <c r="T997" s="161"/>
      <c r="U997" s="161"/>
      <c r="V997" s="161"/>
      <c r="W997" s="161"/>
      <c r="X997" s="161"/>
      <c r="Y997" s="161"/>
      <c r="Z997" s="161"/>
      <c r="AA997" s="161"/>
    </row>
    <row r="998" spans="1:27" ht="12" customHeight="1" x14ac:dyDescent="0.25">
      <c r="A998" s="161"/>
      <c r="B998" s="161"/>
      <c r="C998" s="161"/>
      <c r="D998" s="161"/>
      <c r="E998" s="161"/>
      <c r="F998" s="161"/>
      <c r="G998" s="161"/>
      <c r="H998" s="161"/>
      <c r="I998" s="161"/>
      <c r="J998" s="161"/>
      <c r="K998" s="161"/>
      <c r="L998" s="161"/>
      <c r="M998" s="161"/>
      <c r="N998" s="161"/>
      <c r="O998" s="161"/>
      <c r="P998" s="161"/>
      <c r="Q998" s="161"/>
      <c r="R998" s="161"/>
      <c r="S998" s="161"/>
      <c r="T998" s="161"/>
      <c r="U998" s="161"/>
      <c r="V998" s="161"/>
      <c r="W998" s="161"/>
      <c r="X998" s="161"/>
      <c r="Y998" s="161"/>
      <c r="Z998" s="161"/>
      <c r="AA998" s="161"/>
    </row>
    <row r="999" spans="1:27" ht="12" customHeight="1" x14ac:dyDescent="0.25">
      <c r="A999" s="161"/>
      <c r="B999" s="161"/>
      <c r="C999" s="161"/>
      <c r="D999" s="161"/>
      <c r="E999" s="161"/>
      <c r="F999" s="161"/>
      <c r="G999" s="161"/>
      <c r="H999" s="161"/>
      <c r="I999" s="161"/>
      <c r="J999" s="161"/>
      <c r="K999" s="161"/>
      <c r="L999" s="161"/>
      <c r="M999" s="161"/>
      <c r="N999" s="161"/>
      <c r="O999" s="161"/>
      <c r="P999" s="161"/>
      <c r="Q999" s="161"/>
      <c r="R999" s="161"/>
      <c r="S999" s="161"/>
      <c r="T999" s="161"/>
      <c r="U999" s="161"/>
      <c r="V999" s="161"/>
      <c r="W999" s="161"/>
      <c r="X999" s="161"/>
      <c r="Y999" s="161"/>
      <c r="Z999" s="161"/>
      <c r="AA999" s="161"/>
    </row>
    <row r="1000" spans="1:27" ht="12" customHeight="1" x14ac:dyDescent="0.25">
      <c r="A1000" s="161"/>
      <c r="B1000" s="161"/>
      <c r="C1000" s="161"/>
      <c r="D1000" s="161"/>
      <c r="E1000" s="161"/>
      <c r="F1000" s="161"/>
      <c r="G1000" s="161"/>
      <c r="H1000" s="161"/>
      <c r="I1000" s="161"/>
      <c r="J1000" s="161"/>
      <c r="K1000" s="161"/>
      <c r="L1000" s="161"/>
      <c r="M1000" s="161"/>
      <c r="N1000" s="161"/>
      <c r="O1000" s="161"/>
      <c r="P1000" s="161"/>
      <c r="Q1000" s="161"/>
      <c r="R1000" s="161"/>
      <c r="S1000" s="161"/>
      <c r="T1000" s="161"/>
      <c r="U1000" s="161"/>
      <c r="V1000" s="161"/>
      <c r="W1000" s="161"/>
      <c r="X1000" s="161"/>
      <c r="Y1000" s="161"/>
      <c r="Z1000" s="161"/>
      <c r="AA1000" s="161"/>
    </row>
  </sheetData>
  <sheetProtection formatCells="0" formatColumns="0" formatRows="0" autoFilter="0"/>
  <mergeCells count="28">
    <mergeCell ref="X10:X11"/>
    <mergeCell ref="Y10:Y11"/>
    <mergeCell ref="Z10:Z11"/>
    <mergeCell ref="AA10:AA11"/>
    <mergeCell ref="P10:P11"/>
    <mergeCell ref="Q10:Q11"/>
    <mergeCell ref="R10:R11"/>
    <mergeCell ref="S10:S11"/>
    <mergeCell ref="V10:V11"/>
    <mergeCell ref="W10:W11"/>
    <mergeCell ref="O10:O11"/>
    <mergeCell ref="A10:A12"/>
    <mergeCell ref="B10:B12"/>
    <mergeCell ref="C10:C11"/>
    <mergeCell ref="D10:D11"/>
    <mergeCell ref="H10:H11"/>
    <mergeCell ref="I10:I11"/>
    <mergeCell ref="J10:J11"/>
    <mergeCell ref="K10:K11"/>
    <mergeCell ref="L10:L11"/>
    <mergeCell ref="M10:M11"/>
    <mergeCell ref="N10:N11"/>
    <mergeCell ref="B9:AA9"/>
    <mergeCell ref="A2:W2"/>
    <mergeCell ref="A3:W3"/>
    <mergeCell ref="A4:W4"/>
    <mergeCell ref="B6:C6"/>
    <mergeCell ref="B7:F7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BF242-1AE9-465C-990F-379D5A06D21D}">
  <dimension ref="A1:AB312"/>
  <sheetViews>
    <sheetView zoomScale="90" zoomScaleNormal="90" workbookViewId="0">
      <pane ySplit="12" topLeftCell="A290" activePane="bottomLeft" state="frozen"/>
      <selection activeCell="B1" sqref="B1"/>
      <selection pane="bottomLeft" activeCell="F316" sqref="F316"/>
    </sheetView>
  </sheetViews>
  <sheetFormatPr defaultColWidth="8.7109375" defaultRowHeight="12" x14ac:dyDescent="0.2"/>
  <cols>
    <col min="1" max="1" width="174.5703125" style="596" hidden="1" customWidth="1"/>
    <col min="2" max="2" width="60.140625" style="596" customWidth="1"/>
    <col min="3" max="3" width="17.42578125" style="596" customWidth="1"/>
    <col min="4" max="4" width="18.42578125" style="596" customWidth="1"/>
    <col min="5" max="5" width="19.85546875" style="596" customWidth="1"/>
    <col min="6" max="6" width="16.42578125" style="596" customWidth="1"/>
    <col min="7" max="7" width="15.140625" style="596" customWidth="1"/>
    <col min="8" max="8" width="12.28515625" style="596" customWidth="1"/>
    <col min="9" max="14" width="12.7109375" style="596" bestFit="1" customWidth="1"/>
    <col min="15" max="15" width="12.7109375" style="596" customWidth="1"/>
    <col min="16" max="16" width="12.7109375" style="596" bestFit="1" customWidth="1"/>
    <col min="17" max="17" width="12.85546875" style="596" customWidth="1"/>
    <col min="18" max="18" width="13.85546875" style="596" customWidth="1"/>
    <col min="19" max="19" width="12.5703125" style="596" customWidth="1"/>
    <col min="20" max="20" width="15.7109375" style="596" customWidth="1"/>
    <col min="21" max="21" width="10.5703125" style="596" customWidth="1"/>
    <col min="22" max="22" width="15.140625" style="596" bestFit="1" customWidth="1"/>
    <col min="23" max="23" width="18" style="596" customWidth="1"/>
    <col min="24" max="24" width="15.7109375" style="596" bestFit="1" customWidth="1"/>
    <col min="25" max="25" width="13.5703125" style="596" customWidth="1"/>
    <col min="26" max="26" width="11.85546875" style="596" customWidth="1"/>
    <col min="27" max="27" width="14.5703125" style="596" customWidth="1"/>
    <col min="28" max="16384" width="8.7109375" style="596"/>
  </cols>
  <sheetData>
    <row r="1" spans="1:27" s="588" customFormat="1" x14ac:dyDescent="0.2">
      <c r="A1" s="4"/>
      <c r="B1" s="4"/>
      <c r="C1" s="4"/>
      <c r="D1" s="5"/>
    </row>
    <row r="2" spans="1:27" s="588" customFormat="1" ht="12" customHeight="1" x14ac:dyDescent="0.2">
      <c r="A2" s="540" t="s">
        <v>1094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</row>
    <row r="3" spans="1:27" s="588" customFormat="1" ht="15.6" customHeight="1" x14ac:dyDescent="0.2">
      <c r="A3" s="540" t="s">
        <v>1390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</row>
    <row r="4" spans="1:27" s="588" customFormat="1" ht="15.75" x14ac:dyDescent="0.2">
      <c r="A4" s="541">
        <v>2026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</row>
    <row r="5" spans="1:27" s="588" customFormat="1" ht="15" x14ac:dyDescent="0.2">
      <c r="A5" s="10"/>
      <c r="B5" s="579" t="s">
        <v>1390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7" s="588" customFormat="1" ht="15" x14ac:dyDescent="0.2">
      <c r="A6" s="10"/>
      <c r="B6" s="579" t="s">
        <v>1391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7" s="588" customFormat="1" ht="15.75" customHeight="1" x14ac:dyDescent="0.2">
      <c r="A7" s="10"/>
      <c r="B7" s="580" t="s">
        <v>1392</v>
      </c>
      <c r="C7" s="580"/>
      <c r="D7" s="580"/>
      <c r="E7" s="580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589"/>
      <c r="Y7" s="589"/>
      <c r="Z7" s="589"/>
      <c r="AA7" s="589"/>
    </row>
    <row r="8" spans="1:27" s="588" customForma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AA8" s="590" t="s">
        <v>1</v>
      </c>
    </row>
    <row r="9" spans="1:27" s="588" customFormat="1" x14ac:dyDescent="0.2">
      <c r="A9" s="134"/>
      <c r="B9" s="538" t="s">
        <v>34</v>
      </c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</row>
    <row r="10" spans="1:27" s="588" customFormat="1" ht="24" x14ac:dyDescent="0.2">
      <c r="A10" s="537"/>
      <c r="B10" s="538" t="s">
        <v>1393</v>
      </c>
      <c r="C10" s="538" t="s">
        <v>2</v>
      </c>
      <c r="D10" s="538" t="s">
        <v>3</v>
      </c>
      <c r="E10" s="581" t="s">
        <v>57</v>
      </c>
      <c r="F10" s="581" t="s">
        <v>30</v>
      </c>
      <c r="G10" s="581" t="s">
        <v>58</v>
      </c>
      <c r="H10" s="582" t="s">
        <v>5</v>
      </c>
      <c r="I10" s="582" t="s">
        <v>6</v>
      </c>
      <c r="J10" s="582" t="s">
        <v>7</v>
      </c>
      <c r="K10" s="582" t="s">
        <v>8</v>
      </c>
      <c r="L10" s="582" t="s">
        <v>9</v>
      </c>
      <c r="M10" s="582" t="s">
        <v>10</v>
      </c>
      <c r="N10" s="582" t="s">
        <v>11</v>
      </c>
      <c r="O10" s="582" t="s">
        <v>12</v>
      </c>
      <c r="P10" s="582" t="s">
        <v>13</v>
      </c>
      <c r="Q10" s="582" t="s">
        <v>14</v>
      </c>
      <c r="R10" s="582" t="s">
        <v>15</v>
      </c>
      <c r="S10" s="582" t="s">
        <v>16</v>
      </c>
      <c r="T10" s="581" t="s">
        <v>17</v>
      </c>
      <c r="U10" s="581" t="s">
        <v>18</v>
      </c>
      <c r="V10" s="582" t="s">
        <v>59</v>
      </c>
      <c r="W10" s="582" t="s">
        <v>60</v>
      </c>
      <c r="X10" s="582" t="s">
        <v>32</v>
      </c>
      <c r="Y10" s="582" t="s">
        <v>31</v>
      </c>
      <c r="Z10" s="582" t="s">
        <v>61</v>
      </c>
      <c r="AA10" s="582" t="s">
        <v>62</v>
      </c>
    </row>
    <row r="11" spans="1:27" s="588" customFormat="1" ht="24" x14ac:dyDescent="0.2">
      <c r="A11" s="537"/>
      <c r="B11" s="538"/>
      <c r="C11" s="538"/>
      <c r="D11" s="538"/>
      <c r="E11" s="583" t="s">
        <v>1426</v>
      </c>
      <c r="F11" s="583" t="s">
        <v>1426</v>
      </c>
      <c r="G11" s="583" t="s">
        <v>1426</v>
      </c>
      <c r="H11" s="582"/>
      <c r="I11" s="582"/>
      <c r="J11" s="582"/>
      <c r="K11" s="582"/>
      <c r="L11" s="582"/>
      <c r="M11" s="582"/>
      <c r="N11" s="582"/>
      <c r="O11" s="582"/>
      <c r="P11" s="582"/>
      <c r="Q11" s="582"/>
      <c r="R11" s="582"/>
      <c r="S11" s="582"/>
      <c r="T11" s="583" t="s">
        <v>1426</v>
      </c>
      <c r="U11" s="583" t="s">
        <v>1426</v>
      </c>
      <c r="V11" s="582"/>
      <c r="W11" s="582"/>
      <c r="X11" s="582"/>
      <c r="Y11" s="582"/>
      <c r="Z11" s="582"/>
      <c r="AA11" s="582"/>
    </row>
    <row r="12" spans="1:27" s="588" customFormat="1" x14ac:dyDescent="0.2">
      <c r="A12" s="537"/>
      <c r="B12" s="538"/>
      <c r="C12" s="584" t="s">
        <v>20</v>
      </c>
      <c r="D12" s="584" t="s">
        <v>21</v>
      </c>
      <c r="E12" s="584" t="s">
        <v>22</v>
      </c>
      <c r="F12" s="584" t="s">
        <v>23</v>
      </c>
      <c r="G12" s="584" t="s">
        <v>24</v>
      </c>
      <c r="H12" s="584" t="s">
        <v>63</v>
      </c>
      <c r="I12" s="584" t="s">
        <v>63</v>
      </c>
      <c r="J12" s="584" t="s">
        <v>63</v>
      </c>
      <c r="K12" s="584" t="s">
        <v>63</v>
      </c>
      <c r="L12" s="584" t="s">
        <v>63</v>
      </c>
      <c r="M12" s="584" t="s">
        <v>63</v>
      </c>
      <c r="N12" s="584" t="s">
        <v>63</v>
      </c>
      <c r="O12" s="584" t="s">
        <v>63</v>
      </c>
      <c r="P12" s="584" t="s">
        <v>63</v>
      </c>
      <c r="Q12" s="584" t="s">
        <v>63</v>
      </c>
      <c r="R12" s="584" t="s">
        <v>63</v>
      </c>
      <c r="S12" s="584" t="s">
        <v>63</v>
      </c>
      <c r="T12" s="584" t="s">
        <v>64</v>
      </c>
      <c r="U12" s="584" t="s">
        <v>65</v>
      </c>
      <c r="V12" s="584" t="s">
        <v>66</v>
      </c>
      <c r="W12" s="584" t="s">
        <v>67</v>
      </c>
      <c r="X12" s="584" t="s">
        <v>68</v>
      </c>
      <c r="Y12" s="584" t="s">
        <v>69</v>
      </c>
      <c r="Z12" s="584" t="s">
        <v>70</v>
      </c>
      <c r="AA12" s="584" t="s">
        <v>71</v>
      </c>
    </row>
    <row r="13" spans="1:27" x14ac:dyDescent="0.2">
      <c r="A13" s="591"/>
      <c r="B13" s="592" t="s">
        <v>404</v>
      </c>
      <c r="C13" s="593">
        <v>0</v>
      </c>
      <c r="D13" s="593">
        <v>0</v>
      </c>
      <c r="E13" s="593">
        <v>0</v>
      </c>
      <c r="F13" s="593">
        <v>0</v>
      </c>
      <c r="G13" s="593">
        <v>0</v>
      </c>
      <c r="H13" s="593">
        <v>0</v>
      </c>
      <c r="I13" s="593">
        <v>0</v>
      </c>
      <c r="J13" s="593">
        <v>0</v>
      </c>
      <c r="K13" s="593">
        <v>0</v>
      </c>
      <c r="L13" s="593">
        <v>0</v>
      </c>
      <c r="M13" s="593">
        <v>0</v>
      </c>
      <c r="N13" s="593">
        <v>0</v>
      </c>
      <c r="O13" s="593">
        <v>0</v>
      </c>
      <c r="P13" s="593">
        <v>0</v>
      </c>
      <c r="Q13" s="593">
        <v>0</v>
      </c>
      <c r="R13" s="593">
        <v>0</v>
      </c>
      <c r="S13" s="593">
        <v>0</v>
      </c>
      <c r="T13" s="594">
        <v>0</v>
      </c>
      <c r="U13" s="595" t="e">
        <v>#DIV/0!</v>
      </c>
      <c r="V13" s="594">
        <v>0</v>
      </c>
      <c r="W13" s="594">
        <v>0</v>
      </c>
      <c r="X13" s="594">
        <v>0</v>
      </c>
      <c r="Y13" s="594">
        <v>0</v>
      </c>
      <c r="Z13" s="594">
        <v>0</v>
      </c>
      <c r="AA13" s="594">
        <v>0</v>
      </c>
    </row>
    <row r="14" spans="1:27" s="601" customFormat="1" x14ac:dyDescent="0.2">
      <c r="A14" s="591"/>
      <c r="B14" s="597" t="s">
        <v>405</v>
      </c>
      <c r="C14" s="598">
        <v>0</v>
      </c>
      <c r="D14" s="598">
        <v>0</v>
      </c>
      <c r="E14" s="598">
        <v>0</v>
      </c>
      <c r="F14" s="598">
        <v>0</v>
      </c>
      <c r="G14" s="598">
        <v>0</v>
      </c>
      <c r="H14" s="598">
        <v>0</v>
      </c>
      <c r="I14" s="598">
        <v>0</v>
      </c>
      <c r="J14" s="598">
        <v>0</v>
      </c>
      <c r="K14" s="598">
        <v>0</v>
      </c>
      <c r="L14" s="598">
        <v>0</v>
      </c>
      <c r="M14" s="598">
        <v>0</v>
      </c>
      <c r="N14" s="598">
        <v>0</v>
      </c>
      <c r="O14" s="598">
        <v>0</v>
      </c>
      <c r="P14" s="598">
        <v>0</v>
      </c>
      <c r="Q14" s="598">
        <v>0</v>
      </c>
      <c r="R14" s="598">
        <v>0</v>
      </c>
      <c r="S14" s="598">
        <v>0</v>
      </c>
      <c r="T14" s="599">
        <v>0</v>
      </c>
      <c r="U14" s="600" t="e">
        <v>#DIV/0!</v>
      </c>
      <c r="V14" s="599">
        <v>0</v>
      </c>
      <c r="W14" s="599">
        <v>0</v>
      </c>
      <c r="X14" s="599">
        <v>0</v>
      </c>
      <c r="Y14" s="599">
        <v>0</v>
      </c>
      <c r="Z14" s="599">
        <v>0</v>
      </c>
      <c r="AA14" s="599">
        <v>0</v>
      </c>
    </row>
    <row r="15" spans="1:27" x14ac:dyDescent="0.2">
      <c r="A15" s="591" t="s">
        <v>1120</v>
      </c>
      <c r="B15" s="602" t="s">
        <v>406</v>
      </c>
      <c r="C15" s="585">
        <v>0</v>
      </c>
      <c r="D15" s="585">
        <v>0</v>
      </c>
      <c r="E15" s="585">
        <v>0</v>
      </c>
      <c r="F15" s="585">
        <v>0</v>
      </c>
      <c r="G15" s="585">
        <v>0</v>
      </c>
      <c r="H15" s="585">
        <v>0</v>
      </c>
      <c r="I15" s="585">
        <v>0</v>
      </c>
      <c r="J15" s="585">
        <v>0</v>
      </c>
      <c r="K15" s="585">
        <v>0</v>
      </c>
      <c r="L15" s="585">
        <v>0</v>
      </c>
      <c r="M15" s="585">
        <v>0</v>
      </c>
      <c r="N15" s="585">
        <v>0</v>
      </c>
      <c r="O15" s="585">
        <v>0</v>
      </c>
      <c r="P15" s="585">
        <v>0</v>
      </c>
      <c r="Q15" s="585">
        <v>0</v>
      </c>
      <c r="R15" s="585">
        <v>0</v>
      </c>
      <c r="S15" s="585">
        <v>0</v>
      </c>
      <c r="T15" s="603">
        <v>0</v>
      </c>
      <c r="U15" s="604" t="e">
        <v>#DIV/0!</v>
      </c>
      <c r="V15" s="603">
        <v>0</v>
      </c>
      <c r="W15" s="603">
        <v>0</v>
      </c>
      <c r="X15" s="603">
        <v>0</v>
      </c>
      <c r="Y15" s="603">
        <v>0</v>
      </c>
      <c r="Z15" s="603">
        <v>0</v>
      </c>
      <c r="AA15" s="603">
        <v>0</v>
      </c>
    </row>
    <row r="16" spans="1:27" x14ac:dyDescent="0.2">
      <c r="A16" s="591" t="s">
        <v>1121</v>
      </c>
      <c r="B16" s="602" t="s">
        <v>407</v>
      </c>
      <c r="C16" s="585">
        <v>0</v>
      </c>
      <c r="D16" s="585">
        <v>0</v>
      </c>
      <c r="E16" s="585">
        <v>0</v>
      </c>
      <c r="F16" s="585">
        <v>0</v>
      </c>
      <c r="G16" s="585">
        <v>0</v>
      </c>
      <c r="H16" s="585">
        <v>0</v>
      </c>
      <c r="I16" s="585">
        <v>0</v>
      </c>
      <c r="J16" s="585">
        <v>0</v>
      </c>
      <c r="K16" s="585">
        <v>0</v>
      </c>
      <c r="L16" s="585">
        <v>0</v>
      </c>
      <c r="M16" s="585">
        <v>0</v>
      </c>
      <c r="N16" s="585">
        <v>0</v>
      </c>
      <c r="O16" s="585">
        <v>0</v>
      </c>
      <c r="P16" s="585">
        <v>0</v>
      </c>
      <c r="Q16" s="585">
        <v>0</v>
      </c>
      <c r="R16" s="585">
        <v>0</v>
      </c>
      <c r="S16" s="585">
        <v>0</v>
      </c>
      <c r="T16" s="603">
        <v>0</v>
      </c>
      <c r="U16" s="604" t="e">
        <v>#DIV/0!</v>
      </c>
      <c r="V16" s="603">
        <v>0</v>
      </c>
      <c r="W16" s="603">
        <v>0</v>
      </c>
      <c r="X16" s="603">
        <v>0</v>
      </c>
      <c r="Y16" s="603">
        <v>0</v>
      </c>
      <c r="Z16" s="603">
        <v>0</v>
      </c>
      <c r="AA16" s="603">
        <v>0</v>
      </c>
    </row>
    <row r="17" spans="1:27" x14ac:dyDescent="0.2">
      <c r="A17" s="591" t="s">
        <v>1122</v>
      </c>
      <c r="B17" s="602" t="s">
        <v>408</v>
      </c>
      <c r="C17" s="585">
        <v>0</v>
      </c>
      <c r="D17" s="585">
        <v>0</v>
      </c>
      <c r="E17" s="585">
        <v>0</v>
      </c>
      <c r="F17" s="585">
        <v>0</v>
      </c>
      <c r="G17" s="585">
        <v>0</v>
      </c>
      <c r="H17" s="585">
        <v>0</v>
      </c>
      <c r="I17" s="585">
        <v>0</v>
      </c>
      <c r="J17" s="585">
        <v>0</v>
      </c>
      <c r="K17" s="585">
        <v>0</v>
      </c>
      <c r="L17" s="585">
        <v>0</v>
      </c>
      <c r="M17" s="585">
        <v>0</v>
      </c>
      <c r="N17" s="585">
        <v>0</v>
      </c>
      <c r="O17" s="585">
        <v>0</v>
      </c>
      <c r="P17" s="585">
        <v>0</v>
      </c>
      <c r="Q17" s="585">
        <v>0</v>
      </c>
      <c r="R17" s="585">
        <v>0</v>
      </c>
      <c r="S17" s="585">
        <v>0</v>
      </c>
      <c r="T17" s="603">
        <v>0</v>
      </c>
      <c r="U17" s="604" t="e">
        <v>#DIV/0!</v>
      </c>
      <c r="V17" s="603">
        <v>0</v>
      </c>
      <c r="W17" s="603">
        <v>0</v>
      </c>
      <c r="X17" s="603">
        <v>0</v>
      </c>
      <c r="Y17" s="603">
        <v>0</v>
      </c>
      <c r="Z17" s="603">
        <v>0</v>
      </c>
      <c r="AA17" s="603">
        <v>0</v>
      </c>
    </row>
    <row r="18" spans="1:27" x14ac:dyDescent="0.2">
      <c r="A18" s="591" t="s">
        <v>1123</v>
      </c>
      <c r="B18" s="602" t="s">
        <v>409</v>
      </c>
      <c r="C18" s="585">
        <v>0</v>
      </c>
      <c r="D18" s="585">
        <v>0</v>
      </c>
      <c r="E18" s="585">
        <v>0</v>
      </c>
      <c r="F18" s="585">
        <v>0</v>
      </c>
      <c r="G18" s="585">
        <v>0</v>
      </c>
      <c r="H18" s="585">
        <v>0</v>
      </c>
      <c r="I18" s="585">
        <v>0</v>
      </c>
      <c r="J18" s="585">
        <v>0</v>
      </c>
      <c r="K18" s="585">
        <v>0</v>
      </c>
      <c r="L18" s="585">
        <v>0</v>
      </c>
      <c r="M18" s="585">
        <v>0</v>
      </c>
      <c r="N18" s="585">
        <v>0</v>
      </c>
      <c r="O18" s="585">
        <v>0</v>
      </c>
      <c r="P18" s="585">
        <v>0</v>
      </c>
      <c r="Q18" s="585">
        <v>0</v>
      </c>
      <c r="R18" s="585">
        <v>0</v>
      </c>
      <c r="S18" s="585">
        <v>0</v>
      </c>
      <c r="T18" s="603">
        <v>0</v>
      </c>
      <c r="U18" s="604" t="e">
        <v>#DIV/0!</v>
      </c>
      <c r="V18" s="603">
        <v>0</v>
      </c>
      <c r="W18" s="603">
        <v>0</v>
      </c>
      <c r="X18" s="603">
        <v>0</v>
      </c>
      <c r="Y18" s="603">
        <v>0</v>
      </c>
      <c r="Z18" s="603">
        <v>0</v>
      </c>
      <c r="AA18" s="603">
        <v>0</v>
      </c>
    </row>
    <row r="19" spans="1:27" x14ac:dyDescent="0.2">
      <c r="A19" s="591" t="s">
        <v>1124</v>
      </c>
      <c r="B19" s="602" t="s">
        <v>410</v>
      </c>
      <c r="C19" s="585">
        <v>0</v>
      </c>
      <c r="D19" s="585">
        <v>0</v>
      </c>
      <c r="E19" s="585">
        <v>0</v>
      </c>
      <c r="F19" s="585">
        <v>0</v>
      </c>
      <c r="G19" s="585">
        <v>0</v>
      </c>
      <c r="H19" s="585">
        <v>0</v>
      </c>
      <c r="I19" s="585">
        <v>0</v>
      </c>
      <c r="J19" s="585">
        <v>0</v>
      </c>
      <c r="K19" s="585">
        <v>0</v>
      </c>
      <c r="L19" s="585">
        <v>0</v>
      </c>
      <c r="M19" s="585">
        <v>0</v>
      </c>
      <c r="N19" s="585">
        <v>0</v>
      </c>
      <c r="O19" s="585">
        <v>0</v>
      </c>
      <c r="P19" s="585">
        <v>0</v>
      </c>
      <c r="Q19" s="585">
        <v>0</v>
      </c>
      <c r="R19" s="585">
        <v>0</v>
      </c>
      <c r="S19" s="585">
        <v>0</v>
      </c>
      <c r="T19" s="603">
        <v>0</v>
      </c>
      <c r="U19" s="604" t="e">
        <v>#DIV/0!</v>
      </c>
      <c r="V19" s="603">
        <v>0</v>
      </c>
      <c r="W19" s="603">
        <v>0</v>
      </c>
      <c r="X19" s="603">
        <v>0</v>
      </c>
      <c r="Y19" s="603">
        <v>0</v>
      </c>
      <c r="Z19" s="603">
        <v>0</v>
      </c>
      <c r="AA19" s="603">
        <v>0</v>
      </c>
    </row>
    <row r="20" spans="1:27" x14ac:dyDescent="0.2">
      <c r="A20" s="591" t="s">
        <v>1125</v>
      </c>
      <c r="B20" s="602" t="s">
        <v>411</v>
      </c>
      <c r="C20" s="585">
        <v>0</v>
      </c>
      <c r="D20" s="585">
        <v>0</v>
      </c>
      <c r="E20" s="585">
        <v>0</v>
      </c>
      <c r="F20" s="585">
        <v>0</v>
      </c>
      <c r="G20" s="585">
        <v>0</v>
      </c>
      <c r="H20" s="585">
        <v>0</v>
      </c>
      <c r="I20" s="585">
        <v>0</v>
      </c>
      <c r="J20" s="585">
        <v>0</v>
      </c>
      <c r="K20" s="585">
        <v>0</v>
      </c>
      <c r="L20" s="585">
        <v>0</v>
      </c>
      <c r="M20" s="585">
        <v>0</v>
      </c>
      <c r="N20" s="585">
        <v>0</v>
      </c>
      <c r="O20" s="585">
        <v>0</v>
      </c>
      <c r="P20" s="585">
        <v>0</v>
      </c>
      <c r="Q20" s="585">
        <v>0</v>
      </c>
      <c r="R20" s="585">
        <v>0</v>
      </c>
      <c r="S20" s="585">
        <v>0</v>
      </c>
      <c r="T20" s="603">
        <v>0</v>
      </c>
      <c r="U20" s="604" t="e">
        <v>#DIV/0!</v>
      </c>
      <c r="V20" s="603">
        <v>0</v>
      </c>
      <c r="W20" s="603">
        <v>0</v>
      </c>
      <c r="X20" s="603">
        <v>0</v>
      </c>
      <c r="Y20" s="603">
        <v>0</v>
      </c>
      <c r="Z20" s="603">
        <v>0</v>
      </c>
      <c r="AA20" s="603">
        <v>0</v>
      </c>
    </row>
    <row r="21" spans="1:27" ht="24" x14ac:dyDescent="0.2">
      <c r="A21" s="591" t="s">
        <v>1126</v>
      </c>
      <c r="B21" s="602" t="s">
        <v>412</v>
      </c>
      <c r="C21" s="585">
        <v>0</v>
      </c>
      <c r="D21" s="585">
        <v>0</v>
      </c>
      <c r="E21" s="585">
        <v>0</v>
      </c>
      <c r="F21" s="585">
        <v>0</v>
      </c>
      <c r="G21" s="585">
        <v>0</v>
      </c>
      <c r="H21" s="585">
        <v>0</v>
      </c>
      <c r="I21" s="585">
        <v>0</v>
      </c>
      <c r="J21" s="585">
        <v>0</v>
      </c>
      <c r="K21" s="585">
        <v>0</v>
      </c>
      <c r="L21" s="585">
        <v>0</v>
      </c>
      <c r="M21" s="585">
        <v>0</v>
      </c>
      <c r="N21" s="585">
        <v>0</v>
      </c>
      <c r="O21" s="585">
        <v>0</v>
      </c>
      <c r="P21" s="585">
        <v>0</v>
      </c>
      <c r="Q21" s="585">
        <v>0</v>
      </c>
      <c r="R21" s="585">
        <v>0</v>
      </c>
      <c r="S21" s="585">
        <v>0</v>
      </c>
      <c r="T21" s="603">
        <v>0</v>
      </c>
      <c r="U21" s="604" t="e">
        <v>#DIV/0!</v>
      </c>
      <c r="V21" s="603">
        <v>0</v>
      </c>
      <c r="W21" s="603">
        <v>0</v>
      </c>
      <c r="X21" s="603">
        <v>0</v>
      </c>
      <c r="Y21" s="603">
        <v>0</v>
      </c>
      <c r="Z21" s="603">
        <v>0</v>
      </c>
      <c r="AA21" s="603">
        <v>0</v>
      </c>
    </row>
    <row r="22" spans="1:27" ht="24" x14ac:dyDescent="0.2">
      <c r="A22" s="591" t="s">
        <v>1127</v>
      </c>
      <c r="B22" s="602" t="s">
        <v>413</v>
      </c>
      <c r="C22" s="585">
        <v>0</v>
      </c>
      <c r="D22" s="585">
        <v>0</v>
      </c>
      <c r="E22" s="585">
        <v>0</v>
      </c>
      <c r="F22" s="585">
        <v>0</v>
      </c>
      <c r="G22" s="585">
        <v>0</v>
      </c>
      <c r="H22" s="585">
        <v>0</v>
      </c>
      <c r="I22" s="585">
        <v>0</v>
      </c>
      <c r="J22" s="585">
        <v>0</v>
      </c>
      <c r="K22" s="585">
        <v>0</v>
      </c>
      <c r="L22" s="585">
        <v>0</v>
      </c>
      <c r="M22" s="585">
        <v>0</v>
      </c>
      <c r="N22" s="585">
        <v>0</v>
      </c>
      <c r="O22" s="585">
        <v>0</v>
      </c>
      <c r="P22" s="585">
        <v>0</v>
      </c>
      <c r="Q22" s="585">
        <v>0</v>
      </c>
      <c r="R22" s="585">
        <v>0</v>
      </c>
      <c r="S22" s="585">
        <v>0</v>
      </c>
      <c r="T22" s="603">
        <v>0</v>
      </c>
      <c r="U22" s="604" t="e">
        <v>#DIV/0!</v>
      </c>
      <c r="V22" s="603">
        <v>0</v>
      </c>
      <c r="W22" s="603">
        <v>0</v>
      </c>
      <c r="X22" s="603">
        <v>0</v>
      </c>
      <c r="Y22" s="603">
        <v>0</v>
      </c>
      <c r="Z22" s="603">
        <v>0</v>
      </c>
      <c r="AA22" s="603">
        <v>0</v>
      </c>
    </row>
    <row r="23" spans="1:27" x14ac:dyDescent="0.2">
      <c r="A23" s="591" t="s">
        <v>1128</v>
      </c>
      <c r="B23" s="602" t="s">
        <v>414</v>
      </c>
      <c r="C23" s="585">
        <v>0</v>
      </c>
      <c r="D23" s="585">
        <v>0</v>
      </c>
      <c r="E23" s="585">
        <v>0</v>
      </c>
      <c r="F23" s="585">
        <v>0</v>
      </c>
      <c r="G23" s="585">
        <v>0</v>
      </c>
      <c r="H23" s="585">
        <v>0</v>
      </c>
      <c r="I23" s="585">
        <v>0</v>
      </c>
      <c r="J23" s="585">
        <v>0</v>
      </c>
      <c r="K23" s="585">
        <v>0</v>
      </c>
      <c r="L23" s="585">
        <v>0</v>
      </c>
      <c r="M23" s="585">
        <v>0</v>
      </c>
      <c r="N23" s="585">
        <v>0</v>
      </c>
      <c r="O23" s="585">
        <v>0</v>
      </c>
      <c r="P23" s="585">
        <v>0</v>
      </c>
      <c r="Q23" s="585">
        <v>0</v>
      </c>
      <c r="R23" s="585">
        <v>0</v>
      </c>
      <c r="S23" s="585">
        <v>0</v>
      </c>
      <c r="T23" s="603">
        <v>0</v>
      </c>
      <c r="U23" s="604" t="e">
        <v>#DIV/0!</v>
      </c>
      <c r="V23" s="603">
        <v>0</v>
      </c>
      <c r="W23" s="603">
        <v>0</v>
      </c>
      <c r="X23" s="603">
        <v>0</v>
      </c>
      <c r="Y23" s="603">
        <v>0</v>
      </c>
      <c r="Z23" s="603">
        <v>0</v>
      </c>
      <c r="AA23" s="603">
        <v>0</v>
      </c>
    </row>
    <row r="24" spans="1:27" x14ac:dyDescent="0.2">
      <c r="A24" s="591" t="s">
        <v>1129</v>
      </c>
      <c r="B24" s="602" t="s">
        <v>415</v>
      </c>
      <c r="C24" s="585">
        <v>0</v>
      </c>
      <c r="D24" s="585">
        <v>0</v>
      </c>
      <c r="E24" s="585">
        <v>0</v>
      </c>
      <c r="F24" s="585">
        <v>0</v>
      </c>
      <c r="G24" s="585">
        <v>0</v>
      </c>
      <c r="H24" s="585">
        <v>0</v>
      </c>
      <c r="I24" s="585">
        <v>0</v>
      </c>
      <c r="J24" s="585">
        <v>0</v>
      </c>
      <c r="K24" s="585">
        <v>0</v>
      </c>
      <c r="L24" s="585">
        <v>0</v>
      </c>
      <c r="M24" s="585">
        <v>0</v>
      </c>
      <c r="N24" s="585">
        <v>0</v>
      </c>
      <c r="O24" s="585">
        <v>0</v>
      </c>
      <c r="P24" s="585">
        <v>0</v>
      </c>
      <c r="Q24" s="585">
        <v>0</v>
      </c>
      <c r="R24" s="585">
        <v>0</v>
      </c>
      <c r="S24" s="585">
        <v>0</v>
      </c>
      <c r="T24" s="603">
        <v>0</v>
      </c>
      <c r="U24" s="604" t="e">
        <v>#DIV/0!</v>
      </c>
      <c r="V24" s="603">
        <v>0</v>
      </c>
      <c r="W24" s="603">
        <v>0</v>
      </c>
      <c r="X24" s="603">
        <v>0</v>
      </c>
      <c r="Y24" s="603">
        <v>0</v>
      </c>
      <c r="Z24" s="603">
        <v>0</v>
      </c>
      <c r="AA24" s="603">
        <v>0</v>
      </c>
    </row>
    <row r="25" spans="1:27" x14ac:dyDescent="0.2">
      <c r="A25" s="591" t="s">
        <v>1130</v>
      </c>
      <c r="B25" s="602" t="s">
        <v>416</v>
      </c>
      <c r="C25" s="585">
        <v>0</v>
      </c>
      <c r="D25" s="585">
        <v>0</v>
      </c>
      <c r="E25" s="585">
        <v>0</v>
      </c>
      <c r="F25" s="585">
        <v>0</v>
      </c>
      <c r="G25" s="585">
        <v>0</v>
      </c>
      <c r="H25" s="585">
        <v>0</v>
      </c>
      <c r="I25" s="585">
        <v>0</v>
      </c>
      <c r="J25" s="585">
        <v>0</v>
      </c>
      <c r="K25" s="585">
        <v>0</v>
      </c>
      <c r="L25" s="585">
        <v>0</v>
      </c>
      <c r="M25" s="585">
        <v>0</v>
      </c>
      <c r="N25" s="585">
        <v>0</v>
      </c>
      <c r="O25" s="585">
        <v>0</v>
      </c>
      <c r="P25" s="585">
        <v>0</v>
      </c>
      <c r="Q25" s="585">
        <v>0</v>
      </c>
      <c r="R25" s="585">
        <v>0</v>
      </c>
      <c r="S25" s="585">
        <v>0</v>
      </c>
      <c r="T25" s="603">
        <v>0</v>
      </c>
      <c r="U25" s="604" t="e">
        <v>#DIV/0!</v>
      </c>
      <c r="V25" s="603">
        <v>0</v>
      </c>
      <c r="W25" s="603">
        <v>0</v>
      </c>
      <c r="X25" s="603">
        <v>0</v>
      </c>
      <c r="Y25" s="603">
        <v>0</v>
      </c>
      <c r="Z25" s="603">
        <v>0</v>
      </c>
      <c r="AA25" s="603">
        <v>0</v>
      </c>
    </row>
    <row r="26" spans="1:27" x14ac:dyDescent="0.2">
      <c r="A26" s="591" t="s">
        <v>1131</v>
      </c>
      <c r="B26" s="602" t="s">
        <v>417</v>
      </c>
      <c r="C26" s="585">
        <v>0</v>
      </c>
      <c r="D26" s="585">
        <v>0</v>
      </c>
      <c r="E26" s="585">
        <v>0</v>
      </c>
      <c r="F26" s="585">
        <v>0</v>
      </c>
      <c r="G26" s="585">
        <v>0</v>
      </c>
      <c r="H26" s="585">
        <v>0</v>
      </c>
      <c r="I26" s="585">
        <v>0</v>
      </c>
      <c r="J26" s="585">
        <v>0</v>
      </c>
      <c r="K26" s="585">
        <v>0</v>
      </c>
      <c r="L26" s="585">
        <v>0</v>
      </c>
      <c r="M26" s="585">
        <v>0</v>
      </c>
      <c r="N26" s="585">
        <v>0</v>
      </c>
      <c r="O26" s="585">
        <v>0</v>
      </c>
      <c r="P26" s="585">
        <v>0</v>
      </c>
      <c r="Q26" s="585">
        <v>0</v>
      </c>
      <c r="R26" s="585">
        <v>0</v>
      </c>
      <c r="S26" s="585">
        <v>0</v>
      </c>
      <c r="T26" s="603">
        <v>0</v>
      </c>
      <c r="U26" s="604" t="e">
        <v>#DIV/0!</v>
      </c>
      <c r="V26" s="603">
        <v>0</v>
      </c>
      <c r="W26" s="603">
        <v>0</v>
      </c>
      <c r="X26" s="603">
        <v>0</v>
      </c>
      <c r="Y26" s="603">
        <v>0</v>
      </c>
      <c r="Z26" s="603">
        <v>0</v>
      </c>
      <c r="AA26" s="603">
        <v>0</v>
      </c>
    </row>
    <row r="27" spans="1:27" s="601" customFormat="1" x14ac:dyDescent="0.2">
      <c r="A27" s="591"/>
      <c r="B27" s="597" t="s">
        <v>418</v>
      </c>
      <c r="C27" s="598">
        <v>0</v>
      </c>
      <c r="D27" s="598">
        <v>0</v>
      </c>
      <c r="E27" s="598">
        <v>0</v>
      </c>
      <c r="F27" s="598">
        <v>0</v>
      </c>
      <c r="G27" s="598">
        <v>0</v>
      </c>
      <c r="H27" s="598">
        <v>0</v>
      </c>
      <c r="I27" s="598">
        <v>0</v>
      </c>
      <c r="J27" s="598">
        <v>0</v>
      </c>
      <c r="K27" s="598">
        <v>0</v>
      </c>
      <c r="L27" s="598">
        <v>0</v>
      </c>
      <c r="M27" s="598">
        <v>0</v>
      </c>
      <c r="N27" s="598">
        <v>0</v>
      </c>
      <c r="O27" s="598">
        <v>0</v>
      </c>
      <c r="P27" s="598">
        <v>0</v>
      </c>
      <c r="Q27" s="598">
        <v>0</v>
      </c>
      <c r="R27" s="598">
        <v>0</v>
      </c>
      <c r="S27" s="598">
        <v>0</v>
      </c>
      <c r="T27" s="599">
        <v>0</v>
      </c>
      <c r="U27" s="600" t="e">
        <v>#DIV/0!</v>
      </c>
      <c r="V27" s="599">
        <v>0</v>
      </c>
      <c r="W27" s="599">
        <v>0</v>
      </c>
      <c r="X27" s="599">
        <v>0</v>
      </c>
      <c r="Y27" s="599">
        <v>0</v>
      </c>
      <c r="Z27" s="599">
        <v>0</v>
      </c>
      <c r="AA27" s="599">
        <v>0</v>
      </c>
    </row>
    <row r="28" spans="1:27" x14ac:dyDescent="0.2">
      <c r="A28" s="591" t="s">
        <v>1132</v>
      </c>
      <c r="B28" s="602" t="s">
        <v>419</v>
      </c>
      <c r="C28" s="585">
        <v>0</v>
      </c>
      <c r="D28" s="585">
        <v>0</v>
      </c>
      <c r="E28" s="585">
        <v>0</v>
      </c>
      <c r="F28" s="585">
        <v>0</v>
      </c>
      <c r="G28" s="585">
        <v>0</v>
      </c>
      <c r="H28" s="585">
        <v>0</v>
      </c>
      <c r="I28" s="585">
        <v>0</v>
      </c>
      <c r="J28" s="585">
        <v>0</v>
      </c>
      <c r="K28" s="585">
        <v>0</v>
      </c>
      <c r="L28" s="585">
        <v>0</v>
      </c>
      <c r="M28" s="585">
        <v>0</v>
      </c>
      <c r="N28" s="585">
        <v>0</v>
      </c>
      <c r="O28" s="585">
        <v>0</v>
      </c>
      <c r="P28" s="585">
        <v>0</v>
      </c>
      <c r="Q28" s="585">
        <v>0</v>
      </c>
      <c r="R28" s="585">
        <v>0</v>
      </c>
      <c r="S28" s="585">
        <v>0</v>
      </c>
      <c r="T28" s="603">
        <v>0</v>
      </c>
      <c r="U28" s="604" t="e">
        <v>#DIV/0!</v>
      </c>
      <c r="V28" s="603">
        <v>0</v>
      </c>
      <c r="W28" s="603">
        <v>0</v>
      </c>
      <c r="X28" s="603">
        <v>0</v>
      </c>
      <c r="Y28" s="603">
        <v>0</v>
      </c>
      <c r="Z28" s="603">
        <v>0</v>
      </c>
      <c r="AA28" s="603">
        <v>0</v>
      </c>
    </row>
    <row r="29" spans="1:27" x14ac:dyDescent="0.2">
      <c r="A29" s="591" t="s">
        <v>1133</v>
      </c>
      <c r="B29" s="602" t="s">
        <v>420</v>
      </c>
      <c r="C29" s="585">
        <v>0</v>
      </c>
      <c r="D29" s="585">
        <v>0</v>
      </c>
      <c r="E29" s="585">
        <v>0</v>
      </c>
      <c r="F29" s="585">
        <v>0</v>
      </c>
      <c r="G29" s="585">
        <v>0</v>
      </c>
      <c r="H29" s="585">
        <v>0</v>
      </c>
      <c r="I29" s="585">
        <v>0</v>
      </c>
      <c r="J29" s="585">
        <v>0</v>
      </c>
      <c r="K29" s="585">
        <v>0</v>
      </c>
      <c r="L29" s="585">
        <v>0</v>
      </c>
      <c r="M29" s="585">
        <v>0</v>
      </c>
      <c r="N29" s="585">
        <v>0</v>
      </c>
      <c r="O29" s="585">
        <v>0</v>
      </c>
      <c r="P29" s="585">
        <v>0</v>
      </c>
      <c r="Q29" s="585">
        <v>0</v>
      </c>
      <c r="R29" s="585">
        <v>0</v>
      </c>
      <c r="S29" s="585">
        <v>0</v>
      </c>
      <c r="T29" s="603">
        <v>0</v>
      </c>
      <c r="U29" s="604" t="e">
        <v>#DIV/0!</v>
      </c>
      <c r="V29" s="603">
        <v>0</v>
      </c>
      <c r="W29" s="603">
        <v>0</v>
      </c>
      <c r="X29" s="603">
        <v>0</v>
      </c>
      <c r="Y29" s="603">
        <v>0</v>
      </c>
      <c r="Z29" s="603">
        <v>0</v>
      </c>
      <c r="AA29" s="603">
        <v>0</v>
      </c>
    </row>
    <row r="30" spans="1:27" x14ac:dyDescent="0.2">
      <c r="A30" s="591" t="s">
        <v>1134</v>
      </c>
      <c r="B30" s="602" t="s">
        <v>421</v>
      </c>
      <c r="C30" s="585">
        <v>0</v>
      </c>
      <c r="D30" s="585">
        <v>0</v>
      </c>
      <c r="E30" s="585">
        <v>0</v>
      </c>
      <c r="F30" s="585">
        <v>0</v>
      </c>
      <c r="G30" s="585">
        <v>0</v>
      </c>
      <c r="H30" s="585">
        <v>0</v>
      </c>
      <c r="I30" s="585">
        <v>0</v>
      </c>
      <c r="J30" s="585">
        <v>0</v>
      </c>
      <c r="K30" s="585">
        <v>0</v>
      </c>
      <c r="L30" s="585">
        <v>0</v>
      </c>
      <c r="M30" s="585">
        <v>0</v>
      </c>
      <c r="N30" s="585">
        <v>0</v>
      </c>
      <c r="O30" s="585">
        <v>0</v>
      </c>
      <c r="P30" s="585">
        <v>0</v>
      </c>
      <c r="Q30" s="585">
        <v>0</v>
      </c>
      <c r="R30" s="585">
        <v>0</v>
      </c>
      <c r="S30" s="585">
        <v>0</v>
      </c>
      <c r="T30" s="603">
        <v>0</v>
      </c>
      <c r="U30" s="604" t="e">
        <v>#DIV/0!</v>
      </c>
      <c r="V30" s="603">
        <v>0</v>
      </c>
      <c r="W30" s="603">
        <v>0</v>
      </c>
      <c r="X30" s="603">
        <v>0</v>
      </c>
      <c r="Y30" s="603">
        <v>0</v>
      </c>
      <c r="Z30" s="603">
        <v>0</v>
      </c>
      <c r="AA30" s="603">
        <v>0</v>
      </c>
    </row>
    <row r="31" spans="1:27" x14ac:dyDescent="0.2">
      <c r="A31" s="591" t="s">
        <v>1135</v>
      </c>
      <c r="B31" s="602" t="s">
        <v>422</v>
      </c>
      <c r="C31" s="585">
        <v>0</v>
      </c>
      <c r="D31" s="585">
        <v>0</v>
      </c>
      <c r="E31" s="585">
        <v>0</v>
      </c>
      <c r="F31" s="585">
        <v>0</v>
      </c>
      <c r="G31" s="585">
        <v>0</v>
      </c>
      <c r="H31" s="585">
        <v>0</v>
      </c>
      <c r="I31" s="585">
        <v>0</v>
      </c>
      <c r="J31" s="585">
        <v>0</v>
      </c>
      <c r="K31" s="585">
        <v>0</v>
      </c>
      <c r="L31" s="585">
        <v>0</v>
      </c>
      <c r="M31" s="585">
        <v>0</v>
      </c>
      <c r="N31" s="585">
        <v>0</v>
      </c>
      <c r="O31" s="585">
        <v>0</v>
      </c>
      <c r="P31" s="585">
        <v>0</v>
      </c>
      <c r="Q31" s="585">
        <v>0</v>
      </c>
      <c r="R31" s="585">
        <v>0</v>
      </c>
      <c r="S31" s="585">
        <v>0</v>
      </c>
      <c r="T31" s="603">
        <v>0</v>
      </c>
      <c r="U31" s="604" t="e">
        <v>#DIV/0!</v>
      </c>
      <c r="V31" s="603">
        <v>0</v>
      </c>
      <c r="W31" s="603">
        <v>0</v>
      </c>
      <c r="X31" s="603">
        <v>0</v>
      </c>
      <c r="Y31" s="603">
        <v>0</v>
      </c>
      <c r="Z31" s="603">
        <v>0</v>
      </c>
      <c r="AA31" s="603">
        <v>0</v>
      </c>
    </row>
    <row r="32" spans="1:27" x14ac:dyDescent="0.2">
      <c r="A32" s="591" t="s">
        <v>1136</v>
      </c>
      <c r="B32" s="602" t="s">
        <v>423</v>
      </c>
      <c r="C32" s="585">
        <v>0</v>
      </c>
      <c r="D32" s="585">
        <v>0</v>
      </c>
      <c r="E32" s="585">
        <v>0</v>
      </c>
      <c r="F32" s="585">
        <v>0</v>
      </c>
      <c r="G32" s="585">
        <v>0</v>
      </c>
      <c r="H32" s="585">
        <v>0</v>
      </c>
      <c r="I32" s="585">
        <v>0</v>
      </c>
      <c r="J32" s="585">
        <v>0</v>
      </c>
      <c r="K32" s="585">
        <v>0</v>
      </c>
      <c r="L32" s="585">
        <v>0</v>
      </c>
      <c r="M32" s="585">
        <v>0</v>
      </c>
      <c r="N32" s="585">
        <v>0</v>
      </c>
      <c r="O32" s="585">
        <v>0</v>
      </c>
      <c r="P32" s="585">
        <v>0</v>
      </c>
      <c r="Q32" s="585">
        <v>0</v>
      </c>
      <c r="R32" s="585">
        <v>0</v>
      </c>
      <c r="S32" s="585">
        <v>0</v>
      </c>
      <c r="T32" s="603">
        <v>0</v>
      </c>
      <c r="U32" s="604" t="e">
        <v>#DIV/0!</v>
      </c>
      <c r="V32" s="603">
        <v>0</v>
      </c>
      <c r="W32" s="603">
        <v>0</v>
      </c>
      <c r="X32" s="603">
        <v>0</v>
      </c>
      <c r="Y32" s="603">
        <v>0</v>
      </c>
      <c r="Z32" s="603">
        <v>0</v>
      </c>
      <c r="AA32" s="603">
        <v>0</v>
      </c>
    </row>
    <row r="33" spans="1:27" x14ac:dyDescent="0.2">
      <c r="A33" s="591" t="s">
        <v>1137</v>
      </c>
      <c r="B33" s="602" t="s">
        <v>424</v>
      </c>
      <c r="C33" s="585">
        <v>0</v>
      </c>
      <c r="D33" s="585">
        <v>0</v>
      </c>
      <c r="E33" s="585">
        <v>0</v>
      </c>
      <c r="F33" s="585">
        <v>0</v>
      </c>
      <c r="G33" s="585">
        <v>0</v>
      </c>
      <c r="H33" s="585">
        <v>0</v>
      </c>
      <c r="I33" s="585">
        <v>0</v>
      </c>
      <c r="J33" s="585">
        <v>0</v>
      </c>
      <c r="K33" s="585">
        <v>0</v>
      </c>
      <c r="L33" s="585">
        <v>0</v>
      </c>
      <c r="M33" s="585">
        <v>0</v>
      </c>
      <c r="N33" s="585">
        <v>0</v>
      </c>
      <c r="O33" s="585">
        <v>0</v>
      </c>
      <c r="P33" s="585">
        <v>0</v>
      </c>
      <c r="Q33" s="585">
        <v>0</v>
      </c>
      <c r="R33" s="585">
        <v>0</v>
      </c>
      <c r="S33" s="585">
        <v>0</v>
      </c>
      <c r="T33" s="603">
        <v>0</v>
      </c>
      <c r="U33" s="604" t="e">
        <v>#DIV/0!</v>
      </c>
      <c r="V33" s="603">
        <v>0</v>
      </c>
      <c r="W33" s="603">
        <v>0</v>
      </c>
      <c r="X33" s="603">
        <v>0</v>
      </c>
      <c r="Y33" s="603">
        <v>0</v>
      </c>
      <c r="Z33" s="603">
        <v>0</v>
      </c>
      <c r="AA33" s="603">
        <v>0</v>
      </c>
    </row>
    <row r="34" spans="1:27" x14ac:dyDescent="0.2">
      <c r="A34" s="591" t="s">
        <v>1138</v>
      </c>
      <c r="B34" s="602" t="s">
        <v>425</v>
      </c>
      <c r="C34" s="585">
        <v>0</v>
      </c>
      <c r="D34" s="585">
        <v>0</v>
      </c>
      <c r="E34" s="585">
        <v>0</v>
      </c>
      <c r="F34" s="585">
        <v>0</v>
      </c>
      <c r="G34" s="585">
        <v>0</v>
      </c>
      <c r="H34" s="585">
        <v>0</v>
      </c>
      <c r="I34" s="585">
        <v>0</v>
      </c>
      <c r="J34" s="585">
        <v>0</v>
      </c>
      <c r="K34" s="585">
        <v>0</v>
      </c>
      <c r="L34" s="585">
        <v>0</v>
      </c>
      <c r="M34" s="585">
        <v>0</v>
      </c>
      <c r="N34" s="585">
        <v>0</v>
      </c>
      <c r="O34" s="585">
        <v>0</v>
      </c>
      <c r="P34" s="585">
        <v>0</v>
      </c>
      <c r="Q34" s="585">
        <v>0</v>
      </c>
      <c r="R34" s="585">
        <v>0</v>
      </c>
      <c r="S34" s="585">
        <v>0</v>
      </c>
      <c r="T34" s="603">
        <v>0</v>
      </c>
      <c r="U34" s="604" t="e">
        <v>#DIV/0!</v>
      </c>
      <c r="V34" s="603">
        <v>0</v>
      </c>
      <c r="W34" s="603">
        <v>0</v>
      </c>
      <c r="X34" s="603">
        <v>0</v>
      </c>
      <c r="Y34" s="603">
        <v>0</v>
      </c>
      <c r="Z34" s="603">
        <v>0</v>
      </c>
      <c r="AA34" s="603">
        <v>0</v>
      </c>
    </row>
    <row r="35" spans="1:27" x14ac:dyDescent="0.2">
      <c r="A35" s="591" t="s">
        <v>1139</v>
      </c>
      <c r="B35" s="602" t="s">
        <v>426</v>
      </c>
      <c r="C35" s="585">
        <v>0</v>
      </c>
      <c r="D35" s="585">
        <v>0</v>
      </c>
      <c r="E35" s="585">
        <v>0</v>
      </c>
      <c r="F35" s="585">
        <v>0</v>
      </c>
      <c r="G35" s="585">
        <v>0</v>
      </c>
      <c r="H35" s="585">
        <v>0</v>
      </c>
      <c r="I35" s="585">
        <v>0</v>
      </c>
      <c r="J35" s="585">
        <v>0</v>
      </c>
      <c r="K35" s="585">
        <v>0</v>
      </c>
      <c r="L35" s="585">
        <v>0</v>
      </c>
      <c r="M35" s="585">
        <v>0</v>
      </c>
      <c r="N35" s="585">
        <v>0</v>
      </c>
      <c r="O35" s="585">
        <v>0</v>
      </c>
      <c r="P35" s="585">
        <v>0</v>
      </c>
      <c r="Q35" s="585">
        <v>0</v>
      </c>
      <c r="R35" s="585">
        <v>0</v>
      </c>
      <c r="S35" s="585">
        <v>0</v>
      </c>
      <c r="T35" s="603">
        <v>0</v>
      </c>
      <c r="U35" s="604" t="e">
        <v>#DIV/0!</v>
      </c>
      <c r="V35" s="603">
        <v>0</v>
      </c>
      <c r="W35" s="603">
        <v>0</v>
      </c>
      <c r="X35" s="603">
        <v>0</v>
      </c>
      <c r="Y35" s="603">
        <v>0</v>
      </c>
      <c r="Z35" s="603">
        <v>0</v>
      </c>
      <c r="AA35" s="603">
        <v>0</v>
      </c>
    </row>
    <row r="36" spans="1:27" x14ac:dyDescent="0.2">
      <c r="A36" s="591" t="s">
        <v>1140</v>
      </c>
      <c r="B36" s="602" t="s">
        <v>427</v>
      </c>
      <c r="C36" s="585">
        <v>0</v>
      </c>
      <c r="D36" s="585">
        <v>0</v>
      </c>
      <c r="E36" s="585">
        <v>0</v>
      </c>
      <c r="F36" s="585">
        <v>0</v>
      </c>
      <c r="G36" s="585">
        <v>0</v>
      </c>
      <c r="H36" s="585">
        <v>0</v>
      </c>
      <c r="I36" s="585">
        <v>0</v>
      </c>
      <c r="J36" s="585">
        <v>0</v>
      </c>
      <c r="K36" s="585">
        <v>0</v>
      </c>
      <c r="L36" s="585">
        <v>0</v>
      </c>
      <c r="M36" s="585">
        <v>0</v>
      </c>
      <c r="N36" s="585">
        <v>0</v>
      </c>
      <c r="O36" s="585">
        <v>0</v>
      </c>
      <c r="P36" s="585">
        <v>0</v>
      </c>
      <c r="Q36" s="585">
        <v>0</v>
      </c>
      <c r="R36" s="585">
        <v>0</v>
      </c>
      <c r="S36" s="585">
        <v>0</v>
      </c>
      <c r="T36" s="603">
        <v>0</v>
      </c>
      <c r="U36" s="604" t="e">
        <v>#DIV/0!</v>
      </c>
      <c r="V36" s="603">
        <v>0</v>
      </c>
      <c r="W36" s="603">
        <v>0</v>
      </c>
      <c r="X36" s="603">
        <v>0</v>
      </c>
      <c r="Y36" s="603">
        <v>0</v>
      </c>
      <c r="Z36" s="603">
        <v>0</v>
      </c>
      <c r="AA36" s="603">
        <v>0</v>
      </c>
    </row>
    <row r="37" spans="1:27" s="601" customFormat="1" x14ac:dyDescent="0.2">
      <c r="A37" s="591" t="s">
        <v>1141</v>
      </c>
      <c r="B37" s="597" t="s">
        <v>428</v>
      </c>
      <c r="C37" s="586">
        <v>0</v>
      </c>
      <c r="D37" s="586">
        <v>0</v>
      </c>
      <c r="E37" s="586">
        <v>0</v>
      </c>
      <c r="F37" s="586">
        <v>0</v>
      </c>
      <c r="G37" s="586">
        <v>0</v>
      </c>
      <c r="H37" s="586">
        <v>0</v>
      </c>
      <c r="I37" s="586">
        <v>0</v>
      </c>
      <c r="J37" s="586">
        <v>0</v>
      </c>
      <c r="K37" s="586">
        <v>0</v>
      </c>
      <c r="L37" s="586">
        <v>0</v>
      </c>
      <c r="M37" s="586">
        <v>0</v>
      </c>
      <c r="N37" s="586">
        <v>0</v>
      </c>
      <c r="O37" s="586">
        <v>0</v>
      </c>
      <c r="P37" s="586">
        <v>0</v>
      </c>
      <c r="Q37" s="586">
        <v>0</v>
      </c>
      <c r="R37" s="586">
        <v>0</v>
      </c>
      <c r="S37" s="586">
        <v>0</v>
      </c>
      <c r="T37" s="599">
        <v>0</v>
      </c>
      <c r="U37" s="600" t="e">
        <v>#DIV/0!</v>
      </c>
      <c r="V37" s="599">
        <v>0</v>
      </c>
      <c r="W37" s="599">
        <v>0</v>
      </c>
      <c r="X37" s="599">
        <v>0</v>
      </c>
      <c r="Y37" s="599">
        <v>0</v>
      </c>
      <c r="Z37" s="599">
        <v>0</v>
      </c>
      <c r="AA37" s="599">
        <v>0</v>
      </c>
    </row>
    <row r="38" spans="1:27" s="601" customFormat="1" x14ac:dyDescent="0.2">
      <c r="A38" s="591" t="s">
        <v>1142</v>
      </c>
      <c r="B38" s="597" t="s">
        <v>429</v>
      </c>
      <c r="C38" s="586">
        <v>0</v>
      </c>
      <c r="D38" s="586">
        <v>0</v>
      </c>
      <c r="E38" s="586">
        <v>0</v>
      </c>
      <c r="F38" s="586">
        <v>0</v>
      </c>
      <c r="G38" s="586">
        <v>0</v>
      </c>
      <c r="H38" s="586">
        <v>0</v>
      </c>
      <c r="I38" s="586">
        <v>0</v>
      </c>
      <c r="J38" s="586">
        <v>0</v>
      </c>
      <c r="K38" s="586">
        <v>0</v>
      </c>
      <c r="L38" s="586">
        <v>0</v>
      </c>
      <c r="M38" s="586">
        <v>0</v>
      </c>
      <c r="N38" s="586">
        <v>0</v>
      </c>
      <c r="O38" s="586">
        <v>0</v>
      </c>
      <c r="P38" s="586">
        <v>0</v>
      </c>
      <c r="Q38" s="586">
        <v>0</v>
      </c>
      <c r="R38" s="586">
        <v>0</v>
      </c>
      <c r="S38" s="586">
        <v>0</v>
      </c>
      <c r="T38" s="599">
        <v>0</v>
      </c>
      <c r="U38" s="600" t="e">
        <v>#DIV/0!</v>
      </c>
      <c r="V38" s="599">
        <v>0</v>
      </c>
      <c r="W38" s="599">
        <v>0</v>
      </c>
      <c r="X38" s="599">
        <v>0</v>
      </c>
      <c r="Y38" s="599">
        <v>0</v>
      </c>
      <c r="Z38" s="599">
        <v>0</v>
      </c>
      <c r="AA38" s="599">
        <v>0</v>
      </c>
    </row>
    <row r="39" spans="1:27" s="601" customFormat="1" x14ac:dyDescent="0.2">
      <c r="A39" s="591"/>
      <c r="B39" s="592" t="s">
        <v>430</v>
      </c>
      <c r="C39" s="593">
        <v>188177</v>
      </c>
      <c r="D39" s="593">
        <v>187377</v>
      </c>
      <c r="E39" s="593">
        <v>159307</v>
      </c>
      <c r="F39" s="593">
        <v>103398.51</v>
      </c>
      <c r="G39" s="593">
        <v>90828.329999999987</v>
      </c>
      <c r="H39" s="593">
        <v>0.5</v>
      </c>
      <c r="I39" s="593">
        <v>44190.69</v>
      </c>
      <c r="J39" s="593">
        <v>1094.71</v>
      </c>
      <c r="K39" s="593">
        <v>11912.43</v>
      </c>
      <c r="L39" s="593">
        <v>1044.26</v>
      </c>
      <c r="M39" s="593">
        <v>11098.130000000001</v>
      </c>
      <c r="N39" s="593">
        <v>3970.75</v>
      </c>
      <c r="O39" s="593">
        <v>3506.35</v>
      </c>
      <c r="P39" s="593">
        <v>14010.51</v>
      </c>
      <c r="Q39" s="593">
        <v>0</v>
      </c>
      <c r="R39" s="593">
        <v>0</v>
      </c>
      <c r="S39" s="593">
        <v>0</v>
      </c>
      <c r="T39" s="594">
        <v>90828.33</v>
      </c>
      <c r="U39" s="595">
        <v>0.48473574664980229</v>
      </c>
      <c r="V39" s="594">
        <v>96548.67</v>
      </c>
      <c r="W39" s="594">
        <v>28070</v>
      </c>
      <c r="X39" s="594">
        <v>83978.49</v>
      </c>
      <c r="Y39" s="594">
        <v>55908.490000000005</v>
      </c>
      <c r="Z39" s="594">
        <v>12570.180000000008</v>
      </c>
      <c r="AA39" s="594">
        <v>0</v>
      </c>
    </row>
    <row r="40" spans="1:27" s="601" customFormat="1" x14ac:dyDescent="0.2">
      <c r="A40" s="591" t="s">
        <v>1143</v>
      </c>
      <c r="B40" s="597" t="s">
        <v>431</v>
      </c>
      <c r="C40" s="586">
        <v>0</v>
      </c>
      <c r="D40" s="586">
        <v>0</v>
      </c>
      <c r="E40" s="586">
        <v>0</v>
      </c>
      <c r="F40" s="586">
        <v>0</v>
      </c>
      <c r="G40" s="586">
        <v>0</v>
      </c>
      <c r="H40" s="599">
        <v>0</v>
      </c>
      <c r="I40" s="599">
        <v>0</v>
      </c>
      <c r="J40" s="599">
        <v>0</v>
      </c>
      <c r="K40" s="599">
        <v>0</v>
      </c>
      <c r="L40" s="599">
        <v>0</v>
      </c>
      <c r="M40" s="599">
        <v>0</v>
      </c>
      <c r="N40" s="599">
        <v>0</v>
      </c>
      <c r="O40" s="599">
        <v>0</v>
      </c>
      <c r="P40" s="599">
        <v>0</v>
      </c>
      <c r="Q40" s="599">
        <v>0</v>
      </c>
      <c r="R40" s="599">
        <v>0</v>
      </c>
      <c r="S40" s="599">
        <v>0</v>
      </c>
      <c r="T40" s="599">
        <v>0</v>
      </c>
      <c r="U40" s="600" t="e">
        <v>#DIV/0!</v>
      </c>
      <c r="V40" s="599">
        <v>0</v>
      </c>
      <c r="W40" s="599">
        <v>0</v>
      </c>
      <c r="X40" s="599">
        <v>0</v>
      </c>
      <c r="Y40" s="599">
        <v>0</v>
      </c>
      <c r="Z40" s="599">
        <v>0</v>
      </c>
      <c r="AA40" s="599">
        <v>0</v>
      </c>
    </row>
    <row r="41" spans="1:27" s="601" customFormat="1" x14ac:dyDescent="0.2">
      <c r="A41" s="591" t="s">
        <v>1144</v>
      </c>
      <c r="B41" s="597" t="s">
        <v>432</v>
      </c>
      <c r="C41" s="586">
        <v>0</v>
      </c>
      <c r="D41" s="586">
        <v>0</v>
      </c>
      <c r="E41" s="586">
        <v>0</v>
      </c>
      <c r="F41" s="586">
        <v>0</v>
      </c>
      <c r="G41" s="586">
        <v>0</v>
      </c>
      <c r="H41" s="599">
        <v>0</v>
      </c>
      <c r="I41" s="599">
        <v>0</v>
      </c>
      <c r="J41" s="599">
        <v>0</v>
      </c>
      <c r="K41" s="599">
        <v>0</v>
      </c>
      <c r="L41" s="599">
        <v>0</v>
      </c>
      <c r="M41" s="599">
        <v>0</v>
      </c>
      <c r="N41" s="599">
        <v>0</v>
      </c>
      <c r="O41" s="599">
        <v>0</v>
      </c>
      <c r="P41" s="599">
        <v>0</v>
      </c>
      <c r="Q41" s="599">
        <v>0</v>
      </c>
      <c r="R41" s="599">
        <v>0</v>
      </c>
      <c r="S41" s="599">
        <v>0</v>
      </c>
      <c r="T41" s="599">
        <v>0</v>
      </c>
      <c r="U41" s="600" t="e">
        <v>#DIV/0!</v>
      </c>
      <c r="V41" s="599">
        <v>0</v>
      </c>
      <c r="W41" s="599">
        <v>0</v>
      </c>
      <c r="X41" s="599">
        <v>0</v>
      </c>
      <c r="Y41" s="599">
        <v>0</v>
      </c>
      <c r="Z41" s="599">
        <v>0</v>
      </c>
      <c r="AA41" s="599">
        <v>0</v>
      </c>
    </row>
    <row r="42" spans="1:27" s="601" customFormat="1" x14ac:dyDescent="0.2">
      <c r="A42" s="591"/>
      <c r="B42" s="597" t="s">
        <v>433</v>
      </c>
      <c r="C42" s="598">
        <v>0</v>
      </c>
      <c r="D42" s="598">
        <v>8675</v>
      </c>
      <c r="E42" s="598">
        <v>0</v>
      </c>
      <c r="F42" s="598">
        <v>0</v>
      </c>
      <c r="G42" s="598">
        <v>0</v>
      </c>
      <c r="H42" s="598">
        <v>0</v>
      </c>
      <c r="I42" s="598">
        <v>0</v>
      </c>
      <c r="J42" s="598">
        <v>0</v>
      </c>
      <c r="K42" s="598">
        <v>0</v>
      </c>
      <c r="L42" s="598">
        <v>0</v>
      </c>
      <c r="M42" s="598">
        <v>0</v>
      </c>
      <c r="N42" s="598">
        <v>0</v>
      </c>
      <c r="O42" s="598">
        <v>0</v>
      </c>
      <c r="P42" s="598">
        <v>0</v>
      </c>
      <c r="Q42" s="598">
        <v>0</v>
      </c>
      <c r="R42" s="598">
        <v>0</v>
      </c>
      <c r="S42" s="598">
        <v>0</v>
      </c>
      <c r="T42" s="599">
        <v>0</v>
      </c>
      <c r="U42" s="600">
        <v>0</v>
      </c>
      <c r="V42" s="599">
        <v>8675</v>
      </c>
      <c r="W42" s="599">
        <v>8675</v>
      </c>
      <c r="X42" s="599">
        <v>8675</v>
      </c>
      <c r="Y42" s="599">
        <v>0</v>
      </c>
      <c r="Z42" s="599">
        <v>0</v>
      </c>
      <c r="AA42" s="599">
        <v>0</v>
      </c>
    </row>
    <row r="43" spans="1:27" x14ac:dyDescent="0.2">
      <c r="A43" s="591" t="s">
        <v>1145</v>
      </c>
      <c r="B43" s="602" t="s">
        <v>434</v>
      </c>
      <c r="C43" s="585">
        <v>0</v>
      </c>
      <c r="D43" s="585">
        <v>8675</v>
      </c>
      <c r="E43" s="585">
        <v>0</v>
      </c>
      <c r="F43" s="585">
        <v>0</v>
      </c>
      <c r="G43" s="585">
        <v>0</v>
      </c>
      <c r="H43" s="603">
        <v>0</v>
      </c>
      <c r="I43" s="603">
        <v>0</v>
      </c>
      <c r="J43" s="603">
        <v>0</v>
      </c>
      <c r="K43" s="603">
        <v>0</v>
      </c>
      <c r="L43" s="603">
        <v>0</v>
      </c>
      <c r="M43" s="603">
        <v>0</v>
      </c>
      <c r="N43" s="603">
        <v>0</v>
      </c>
      <c r="O43" s="603">
        <v>0</v>
      </c>
      <c r="P43" s="603">
        <v>0</v>
      </c>
      <c r="Q43" s="603">
        <v>0</v>
      </c>
      <c r="R43" s="603">
        <v>0</v>
      </c>
      <c r="S43" s="603">
        <v>0</v>
      </c>
      <c r="T43" s="603">
        <v>0</v>
      </c>
      <c r="U43" s="604">
        <v>0</v>
      </c>
      <c r="V43" s="603">
        <v>8675</v>
      </c>
      <c r="W43" s="603">
        <v>8675</v>
      </c>
      <c r="X43" s="603">
        <v>8675</v>
      </c>
      <c r="Y43" s="603">
        <v>0</v>
      </c>
      <c r="Z43" s="603">
        <v>0</v>
      </c>
      <c r="AA43" s="603">
        <v>0</v>
      </c>
    </row>
    <row r="44" spans="1:27" x14ac:dyDescent="0.2">
      <c r="A44" s="591" t="s">
        <v>1146</v>
      </c>
      <c r="B44" s="602" t="s">
        <v>435</v>
      </c>
      <c r="C44" s="585">
        <v>0</v>
      </c>
      <c r="D44" s="585">
        <v>0</v>
      </c>
      <c r="E44" s="585">
        <v>0</v>
      </c>
      <c r="F44" s="585">
        <v>0</v>
      </c>
      <c r="G44" s="585">
        <v>0</v>
      </c>
      <c r="H44" s="603">
        <v>0</v>
      </c>
      <c r="I44" s="603">
        <v>0</v>
      </c>
      <c r="J44" s="603">
        <v>0</v>
      </c>
      <c r="K44" s="603">
        <v>0</v>
      </c>
      <c r="L44" s="603">
        <v>0</v>
      </c>
      <c r="M44" s="603">
        <v>0</v>
      </c>
      <c r="N44" s="603">
        <v>0</v>
      </c>
      <c r="O44" s="603">
        <v>0</v>
      </c>
      <c r="P44" s="603">
        <v>0</v>
      </c>
      <c r="Q44" s="603">
        <v>0</v>
      </c>
      <c r="R44" s="603">
        <v>0</v>
      </c>
      <c r="S44" s="603">
        <v>0</v>
      </c>
      <c r="T44" s="603">
        <v>0</v>
      </c>
      <c r="U44" s="604" t="e">
        <v>#DIV/0!</v>
      </c>
      <c r="V44" s="603">
        <v>0</v>
      </c>
      <c r="W44" s="603">
        <v>0</v>
      </c>
      <c r="X44" s="603">
        <v>0</v>
      </c>
      <c r="Y44" s="603">
        <v>0</v>
      </c>
      <c r="Z44" s="603">
        <v>0</v>
      </c>
      <c r="AA44" s="603">
        <v>0</v>
      </c>
    </row>
    <row r="45" spans="1:27" s="601" customFormat="1" x14ac:dyDescent="0.2">
      <c r="A45" s="591"/>
      <c r="B45" s="597" t="s">
        <v>436</v>
      </c>
      <c r="C45" s="598">
        <v>0</v>
      </c>
      <c r="D45" s="598">
        <v>0</v>
      </c>
      <c r="E45" s="598">
        <v>0</v>
      </c>
      <c r="F45" s="598">
        <v>0</v>
      </c>
      <c r="G45" s="598">
        <v>0</v>
      </c>
      <c r="H45" s="598">
        <v>0</v>
      </c>
      <c r="I45" s="598">
        <v>0</v>
      </c>
      <c r="J45" s="598">
        <v>0</v>
      </c>
      <c r="K45" s="598">
        <v>0</v>
      </c>
      <c r="L45" s="598">
        <v>0</v>
      </c>
      <c r="M45" s="598">
        <v>0</v>
      </c>
      <c r="N45" s="598">
        <v>0</v>
      </c>
      <c r="O45" s="598">
        <v>0</v>
      </c>
      <c r="P45" s="598">
        <v>0</v>
      </c>
      <c r="Q45" s="598">
        <v>0</v>
      </c>
      <c r="R45" s="598">
        <v>0</v>
      </c>
      <c r="S45" s="598">
        <v>0</v>
      </c>
      <c r="T45" s="599">
        <v>0</v>
      </c>
      <c r="U45" s="600" t="e">
        <v>#DIV/0!</v>
      </c>
      <c r="V45" s="599">
        <v>0</v>
      </c>
      <c r="W45" s="599">
        <v>0</v>
      </c>
      <c r="X45" s="599">
        <v>0</v>
      </c>
      <c r="Y45" s="599">
        <v>0</v>
      </c>
      <c r="Z45" s="599">
        <v>0</v>
      </c>
      <c r="AA45" s="599">
        <v>0</v>
      </c>
    </row>
    <row r="46" spans="1:27" x14ac:dyDescent="0.2">
      <c r="A46" s="591" t="s">
        <v>1147</v>
      </c>
      <c r="B46" s="602" t="s">
        <v>437</v>
      </c>
      <c r="C46" s="585">
        <v>0</v>
      </c>
      <c r="D46" s="585">
        <v>0</v>
      </c>
      <c r="E46" s="585">
        <v>0</v>
      </c>
      <c r="F46" s="585">
        <v>0</v>
      </c>
      <c r="G46" s="585">
        <v>0</v>
      </c>
      <c r="H46" s="603">
        <v>0</v>
      </c>
      <c r="I46" s="603">
        <v>0</v>
      </c>
      <c r="J46" s="603">
        <v>0</v>
      </c>
      <c r="K46" s="603">
        <v>0</v>
      </c>
      <c r="L46" s="603">
        <v>0</v>
      </c>
      <c r="M46" s="603">
        <v>0</v>
      </c>
      <c r="N46" s="603">
        <v>0</v>
      </c>
      <c r="O46" s="603">
        <v>0</v>
      </c>
      <c r="P46" s="603">
        <v>0</v>
      </c>
      <c r="Q46" s="603">
        <v>0</v>
      </c>
      <c r="R46" s="603">
        <v>0</v>
      </c>
      <c r="S46" s="603">
        <v>0</v>
      </c>
      <c r="T46" s="603">
        <v>0</v>
      </c>
      <c r="U46" s="604" t="e">
        <v>#DIV/0!</v>
      </c>
      <c r="V46" s="603">
        <v>0</v>
      </c>
      <c r="W46" s="603">
        <v>0</v>
      </c>
      <c r="X46" s="603">
        <v>0</v>
      </c>
      <c r="Y46" s="603">
        <v>0</v>
      </c>
      <c r="Z46" s="603">
        <v>0</v>
      </c>
      <c r="AA46" s="603">
        <v>0</v>
      </c>
    </row>
    <row r="47" spans="1:27" x14ac:dyDescent="0.2">
      <c r="A47" s="591" t="s">
        <v>1148</v>
      </c>
      <c r="B47" s="602" t="s">
        <v>438</v>
      </c>
      <c r="C47" s="585">
        <v>0</v>
      </c>
      <c r="D47" s="585">
        <v>0</v>
      </c>
      <c r="E47" s="585">
        <v>0</v>
      </c>
      <c r="F47" s="585">
        <v>0</v>
      </c>
      <c r="G47" s="585">
        <v>0</v>
      </c>
      <c r="H47" s="603">
        <v>0</v>
      </c>
      <c r="I47" s="603">
        <v>0</v>
      </c>
      <c r="J47" s="603">
        <v>0</v>
      </c>
      <c r="K47" s="603">
        <v>0</v>
      </c>
      <c r="L47" s="603">
        <v>0</v>
      </c>
      <c r="M47" s="603">
        <v>0</v>
      </c>
      <c r="N47" s="603">
        <v>0</v>
      </c>
      <c r="O47" s="603">
        <v>0</v>
      </c>
      <c r="P47" s="603">
        <v>0</v>
      </c>
      <c r="Q47" s="603">
        <v>0</v>
      </c>
      <c r="R47" s="603">
        <v>0</v>
      </c>
      <c r="S47" s="603">
        <v>0</v>
      </c>
      <c r="T47" s="603">
        <v>0</v>
      </c>
      <c r="U47" s="604" t="e">
        <v>#DIV/0!</v>
      </c>
      <c r="V47" s="603">
        <v>0</v>
      </c>
      <c r="W47" s="603">
        <v>0</v>
      </c>
      <c r="X47" s="603">
        <v>0</v>
      </c>
      <c r="Y47" s="603">
        <v>0</v>
      </c>
      <c r="Z47" s="603">
        <v>0</v>
      </c>
      <c r="AA47" s="603">
        <v>0</v>
      </c>
    </row>
    <row r="48" spans="1:27" x14ac:dyDescent="0.2">
      <c r="A48" s="591" t="s">
        <v>1149</v>
      </c>
      <c r="B48" s="602" t="s">
        <v>439</v>
      </c>
      <c r="C48" s="585">
        <v>0</v>
      </c>
      <c r="D48" s="585">
        <v>0</v>
      </c>
      <c r="E48" s="585">
        <v>0</v>
      </c>
      <c r="F48" s="585">
        <v>0</v>
      </c>
      <c r="G48" s="585">
        <v>0</v>
      </c>
      <c r="H48" s="603">
        <v>0</v>
      </c>
      <c r="I48" s="603">
        <v>0</v>
      </c>
      <c r="J48" s="603">
        <v>0</v>
      </c>
      <c r="K48" s="603">
        <v>0</v>
      </c>
      <c r="L48" s="603">
        <v>0</v>
      </c>
      <c r="M48" s="603">
        <v>0</v>
      </c>
      <c r="N48" s="603">
        <v>0</v>
      </c>
      <c r="O48" s="603">
        <v>0</v>
      </c>
      <c r="P48" s="603">
        <v>0</v>
      </c>
      <c r="Q48" s="603">
        <v>0</v>
      </c>
      <c r="R48" s="603">
        <v>0</v>
      </c>
      <c r="S48" s="603">
        <v>0</v>
      </c>
      <c r="T48" s="603">
        <v>0</v>
      </c>
      <c r="U48" s="604" t="e">
        <v>#DIV/0!</v>
      </c>
      <c r="V48" s="603">
        <v>0</v>
      </c>
      <c r="W48" s="603">
        <v>0</v>
      </c>
      <c r="X48" s="603">
        <v>0</v>
      </c>
      <c r="Y48" s="603">
        <v>0</v>
      </c>
      <c r="Z48" s="603">
        <v>0</v>
      </c>
      <c r="AA48" s="603">
        <v>0</v>
      </c>
    </row>
    <row r="49" spans="1:28" x14ac:dyDescent="0.2">
      <c r="A49" s="591" t="s">
        <v>1150</v>
      </c>
      <c r="B49" s="602" t="s">
        <v>440</v>
      </c>
      <c r="C49" s="585">
        <v>0</v>
      </c>
      <c r="D49" s="585">
        <v>0</v>
      </c>
      <c r="E49" s="585">
        <v>0</v>
      </c>
      <c r="F49" s="585">
        <v>0</v>
      </c>
      <c r="G49" s="585">
        <v>0</v>
      </c>
      <c r="H49" s="603">
        <v>0</v>
      </c>
      <c r="I49" s="603">
        <v>0</v>
      </c>
      <c r="J49" s="603">
        <v>0</v>
      </c>
      <c r="K49" s="603">
        <v>0</v>
      </c>
      <c r="L49" s="603">
        <v>0</v>
      </c>
      <c r="M49" s="603">
        <v>0</v>
      </c>
      <c r="N49" s="603">
        <v>0</v>
      </c>
      <c r="O49" s="603">
        <v>0</v>
      </c>
      <c r="P49" s="603">
        <v>0</v>
      </c>
      <c r="Q49" s="603">
        <v>0</v>
      </c>
      <c r="R49" s="603">
        <v>0</v>
      </c>
      <c r="S49" s="603">
        <v>0</v>
      </c>
      <c r="T49" s="603">
        <v>0</v>
      </c>
      <c r="U49" s="604" t="e">
        <v>#DIV/0!</v>
      </c>
      <c r="V49" s="603">
        <v>0</v>
      </c>
      <c r="W49" s="603">
        <v>0</v>
      </c>
      <c r="X49" s="603">
        <v>0</v>
      </c>
      <c r="Y49" s="603">
        <v>0</v>
      </c>
      <c r="Z49" s="603">
        <v>0</v>
      </c>
      <c r="AA49" s="603">
        <v>0</v>
      </c>
    </row>
    <row r="50" spans="1:28" s="601" customFormat="1" x14ac:dyDescent="0.2">
      <c r="A50" s="591"/>
      <c r="B50" s="597" t="s">
        <v>441</v>
      </c>
      <c r="C50" s="598">
        <v>3087</v>
      </c>
      <c r="D50" s="598">
        <v>1607</v>
      </c>
      <c r="E50" s="598">
        <v>1607</v>
      </c>
      <c r="F50" s="598">
        <v>1606.2</v>
      </c>
      <c r="G50" s="598">
        <v>1056</v>
      </c>
      <c r="H50" s="598">
        <v>0</v>
      </c>
      <c r="I50" s="598">
        <v>0</v>
      </c>
      <c r="J50" s="598">
        <v>0</v>
      </c>
      <c r="K50" s="598">
        <v>61</v>
      </c>
      <c r="L50" s="598">
        <v>0</v>
      </c>
      <c r="M50" s="598">
        <v>472</v>
      </c>
      <c r="N50" s="598">
        <v>111</v>
      </c>
      <c r="O50" s="598">
        <v>0</v>
      </c>
      <c r="P50" s="598">
        <v>412</v>
      </c>
      <c r="Q50" s="598">
        <v>0</v>
      </c>
      <c r="R50" s="598">
        <v>0</v>
      </c>
      <c r="S50" s="598">
        <v>0</v>
      </c>
      <c r="T50" s="599">
        <v>1056</v>
      </c>
      <c r="U50" s="600">
        <v>0.65712507778469198</v>
      </c>
      <c r="V50" s="599">
        <v>551</v>
      </c>
      <c r="W50" s="599">
        <v>0</v>
      </c>
      <c r="X50" s="599">
        <v>0.79999999999995453</v>
      </c>
      <c r="Y50" s="599">
        <v>0.79999999999995453</v>
      </c>
      <c r="Z50" s="599">
        <v>550.20000000000005</v>
      </c>
      <c r="AA50" s="599">
        <v>0</v>
      </c>
    </row>
    <row r="51" spans="1:28" x14ac:dyDescent="0.2">
      <c r="A51" s="591" t="s">
        <v>1151</v>
      </c>
      <c r="B51" s="602" t="s">
        <v>442</v>
      </c>
      <c r="C51" s="585">
        <v>1480</v>
      </c>
      <c r="D51" s="585">
        <v>0</v>
      </c>
      <c r="E51" s="585">
        <v>0</v>
      </c>
      <c r="F51" s="585">
        <v>0</v>
      </c>
      <c r="G51" s="585">
        <v>0</v>
      </c>
      <c r="H51" s="603">
        <v>0</v>
      </c>
      <c r="I51" s="603">
        <v>0</v>
      </c>
      <c r="J51" s="603">
        <v>0</v>
      </c>
      <c r="K51" s="603">
        <v>0</v>
      </c>
      <c r="L51" s="603">
        <v>0</v>
      </c>
      <c r="M51" s="603">
        <v>0</v>
      </c>
      <c r="N51" s="603">
        <v>0</v>
      </c>
      <c r="O51" s="603">
        <v>0</v>
      </c>
      <c r="P51" s="603">
        <v>0</v>
      </c>
      <c r="Q51" s="603">
        <v>0</v>
      </c>
      <c r="R51" s="603">
        <v>0</v>
      </c>
      <c r="S51" s="603">
        <v>0</v>
      </c>
      <c r="T51" s="603">
        <v>0</v>
      </c>
      <c r="U51" s="604" t="e">
        <v>#DIV/0!</v>
      </c>
      <c r="V51" s="603">
        <v>0</v>
      </c>
      <c r="W51" s="603">
        <v>0</v>
      </c>
      <c r="X51" s="603">
        <v>0</v>
      </c>
      <c r="Y51" s="603">
        <v>0</v>
      </c>
      <c r="Z51" s="603">
        <v>0</v>
      </c>
      <c r="AA51" s="603">
        <v>0</v>
      </c>
    </row>
    <row r="52" spans="1:28" x14ac:dyDescent="0.2">
      <c r="A52" s="591" t="s">
        <v>1152</v>
      </c>
      <c r="B52" s="602" t="s">
        <v>443</v>
      </c>
      <c r="C52" s="585">
        <v>1080</v>
      </c>
      <c r="D52" s="585">
        <v>1080</v>
      </c>
      <c r="E52" s="585">
        <v>1080</v>
      </c>
      <c r="F52" s="585">
        <v>1080</v>
      </c>
      <c r="G52" s="585">
        <v>840</v>
      </c>
      <c r="H52" s="603">
        <v>0</v>
      </c>
      <c r="I52" s="603">
        <v>0</v>
      </c>
      <c r="J52" s="603">
        <v>0</v>
      </c>
      <c r="K52" s="603">
        <v>0</v>
      </c>
      <c r="L52" s="603">
        <v>0</v>
      </c>
      <c r="M52" s="603">
        <v>450</v>
      </c>
      <c r="N52" s="603">
        <v>0</v>
      </c>
      <c r="O52" s="603">
        <v>0</v>
      </c>
      <c r="P52" s="603">
        <v>390</v>
      </c>
      <c r="Q52" s="603">
        <v>0</v>
      </c>
      <c r="R52" s="603">
        <v>0</v>
      </c>
      <c r="S52" s="603">
        <v>0</v>
      </c>
      <c r="T52" s="603">
        <v>840</v>
      </c>
      <c r="U52" s="604">
        <v>0.77777777777777779</v>
      </c>
      <c r="V52" s="603">
        <v>240</v>
      </c>
      <c r="W52" s="603">
        <v>0</v>
      </c>
      <c r="X52" s="603">
        <v>0</v>
      </c>
      <c r="Y52" s="603">
        <v>0</v>
      </c>
      <c r="Z52" s="603">
        <v>240</v>
      </c>
      <c r="AA52" s="603">
        <v>0</v>
      </c>
    </row>
    <row r="53" spans="1:28" x14ac:dyDescent="0.2">
      <c r="A53" s="591" t="s">
        <v>1153</v>
      </c>
      <c r="B53" s="602" t="s">
        <v>444</v>
      </c>
      <c r="C53" s="585">
        <v>527</v>
      </c>
      <c r="D53" s="585">
        <v>527</v>
      </c>
      <c r="E53" s="585">
        <v>527</v>
      </c>
      <c r="F53" s="585">
        <v>526.20000000000005</v>
      </c>
      <c r="G53" s="585">
        <v>216</v>
      </c>
      <c r="H53" s="603">
        <v>0</v>
      </c>
      <c r="I53" s="603">
        <v>0</v>
      </c>
      <c r="J53" s="603">
        <v>0</v>
      </c>
      <c r="K53" s="603">
        <v>61</v>
      </c>
      <c r="L53" s="603">
        <v>0</v>
      </c>
      <c r="M53" s="603">
        <v>22</v>
      </c>
      <c r="N53" s="603">
        <v>111</v>
      </c>
      <c r="O53" s="603">
        <v>0</v>
      </c>
      <c r="P53" s="603">
        <v>22</v>
      </c>
      <c r="Q53" s="603">
        <v>0</v>
      </c>
      <c r="R53" s="603">
        <v>0</v>
      </c>
      <c r="S53" s="603">
        <v>0</v>
      </c>
      <c r="T53" s="603">
        <v>216</v>
      </c>
      <c r="U53" s="604">
        <v>0.40986717267552181</v>
      </c>
      <c r="V53" s="603">
        <v>311</v>
      </c>
      <c r="W53" s="603">
        <v>0</v>
      </c>
      <c r="X53" s="603">
        <v>0.79999999999995453</v>
      </c>
      <c r="Y53" s="603">
        <v>0.79999999999995453</v>
      </c>
      <c r="Z53" s="603">
        <v>310.20000000000005</v>
      </c>
      <c r="AA53" s="603">
        <v>0</v>
      </c>
    </row>
    <row r="54" spans="1:28" x14ac:dyDescent="0.2">
      <c r="A54" s="591" t="s">
        <v>1154</v>
      </c>
      <c r="B54" s="602" t="s">
        <v>445</v>
      </c>
      <c r="C54" s="585">
        <v>0</v>
      </c>
      <c r="D54" s="585">
        <v>0</v>
      </c>
      <c r="E54" s="585">
        <v>0</v>
      </c>
      <c r="F54" s="585">
        <v>0</v>
      </c>
      <c r="G54" s="585">
        <v>0</v>
      </c>
      <c r="H54" s="603">
        <v>0</v>
      </c>
      <c r="I54" s="603">
        <v>0</v>
      </c>
      <c r="J54" s="603">
        <v>0</v>
      </c>
      <c r="K54" s="603">
        <v>0</v>
      </c>
      <c r="L54" s="603">
        <v>0</v>
      </c>
      <c r="M54" s="603">
        <v>0</v>
      </c>
      <c r="N54" s="603">
        <v>0</v>
      </c>
      <c r="O54" s="603">
        <v>0</v>
      </c>
      <c r="P54" s="603">
        <v>0</v>
      </c>
      <c r="Q54" s="603">
        <v>0</v>
      </c>
      <c r="R54" s="603">
        <v>0</v>
      </c>
      <c r="S54" s="603">
        <v>0</v>
      </c>
      <c r="T54" s="603">
        <v>0</v>
      </c>
      <c r="U54" s="604" t="e">
        <v>#DIV/0!</v>
      </c>
      <c r="V54" s="603">
        <v>0</v>
      </c>
      <c r="W54" s="603">
        <v>0</v>
      </c>
      <c r="X54" s="603">
        <v>0</v>
      </c>
      <c r="Y54" s="603">
        <v>0</v>
      </c>
      <c r="Z54" s="603">
        <v>0</v>
      </c>
      <c r="AA54" s="603">
        <v>0</v>
      </c>
    </row>
    <row r="55" spans="1:28" s="601" customFormat="1" x14ac:dyDescent="0.2">
      <c r="A55" s="591" t="s">
        <v>1155</v>
      </c>
      <c r="B55" s="597" t="s">
        <v>446</v>
      </c>
      <c r="C55" s="586">
        <v>0</v>
      </c>
      <c r="D55" s="586">
        <v>0</v>
      </c>
      <c r="E55" s="586">
        <v>0</v>
      </c>
      <c r="F55" s="586">
        <v>0</v>
      </c>
      <c r="G55" s="586">
        <v>0</v>
      </c>
      <c r="H55" s="599">
        <v>0</v>
      </c>
      <c r="I55" s="599">
        <v>0</v>
      </c>
      <c r="J55" s="599">
        <v>0</v>
      </c>
      <c r="K55" s="599">
        <v>0</v>
      </c>
      <c r="L55" s="599">
        <v>0</v>
      </c>
      <c r="M55" s="599">
        <v>0</v>
      </c>
      <c r="N55" s="599">
        <v>0</v>
      </c>
      <c r="O55" s="599">
        <v>0</v>
      </c>
      <c r="P55" s="599">
        <v>0</v>
      </c>
      <c r="Q55" s="599">
        <v>0</v>
      </c>
      <c r="R55" s="599">
        <v>0</v>
      </c>
      <c r="S55" s="599">
        <v>0</v>
      </c>
      <c r="T55" s="599">
        <v>0</v>
      </c>
      <c r="U55" s="600" t="e">
        <v>#DIV/0!</v>
      </c>
      <c r="V55" s="599">
        <v>0</v>
      </c>
      <c r="W55" s="599">
        <v>0</v>
      </c>
      <c r="X55" s="599">
        <v>0</v>
      </c>
      <c r="Y55" s="599">
        <v>0</v>
      </c>
      <c r="Z55" s="599">
        <v>0</v>
      </c>
      <c r="AA55" s="599">
        <v>0</v>
      </c>
    </row>
    <row r="56" spans="1:28" s="601" customFormat="1" x14ac:dyDescent="0.2">
      <c r="A56" s="591" t="s">
        <v>1156</v>
      </c>
      <c r="B56" s="597" t="s">
        <v>447</v>
      </c>
      <c r="C56" s="586">
        <v>0</v>
      </c>
      <c r="D56" s="586">
        <v>0</v>
      </c>
      <c r="E56" s="586">
        <v>0</v>
      </c>
      <c r="F56" s="586">
        <v>0</v>
      </c>
      <c r="G56" s="586">
        <v>0</v>
      </c>
      <c r="H56" s="599">
        <v>0</v>
      </c>
      <c r="I56" s="599">
        <v>0</v>
      </c>
      <c r="J56" s="599">
        <v>0</v>
      </c>
      <c r="K56" s="599">
        <v>0</v>
      </c>
      <c r="L56" s="599">
        <v>0</v>
      </c>
      <c r="M56" s="599">
        <v>0</v>
      </c>
      <c r="N56" s="599">
        <v>0</v>
      </c>
      <c r="O56" s="599">
        <v>0</v>
      </c>
      <c r="P56" s="599">
        <v>0</v>
      </c>
      <c r="Q56" s="599">
        <v>0</v>
      </c>
      <c r="R56" s="599">
        <v>0</v>
      </c>
      <c r="S56" s="599">
        <v>0</v>
      </c>
      <c r="T56" s="599">
        <v>0</v>
      </c>
      <c r="U56" s="600" t="e">
        <v>#DIV/0!</v>
      </c>
      <c r="V56" s="599">
        <v>0</v>
      </c>
      <c r="W56" s="599">
        <v>0</v>
      </c>
      <c r="X56" s="599">
        <v>0</v>
      </c>
      <c r="Y56" s="599">
        <v>0</v>
      </c>
      <c r="Z56" s="599">
        <v>0</v>
      </c>
      <c r="AA56" s="599">
        <v>0</v>
      </c>
    </row>
    <row r="57" spans="1:28" s="601" customFormat="1" x14ac:dyDescent="0.2">
      <c r="A57" s="591" t="s">
        <v>1157</v>
      </c>
      <c r="B57" s="597" t="s">
        <v>448</v>
      </c>
      <c r="C57" s="586">
        <v>0</v>
      </c>
      <c r="D57" s="586">
        <v>0</v>
      </c>
      <c r="E57" s="586">
        <v>0</v>
      </c>
      <c r="F57" s="586">
        <v>0</v>
      </c>
      <c r="G57" s="586">
        <v>0</v>
      </c>
      <c r="H57" s="599">
        <v>0</v>
      </c>
      <c r="I57" s="599">
        <v>0</v>
      </c>
      <c r="J57" s="599">
        <v>0</v>
      </c>
      <c r="K57" s="599">
        <v>0</v>
      </c>
      <c r="L57" s="599">
        <v>0</v>
      </c>
      <c r="M57" s="599">
        <v>0</v>
      </c>
      <c r="N57" s="599">
        <v>0</v>
      </c>
      <c r="O57" s="599">
        <v>0</v>
      </c>
      <c r="P57" s="599">
        <v>0</v>
      </c>
      <c r="Q57" s="599">
        <v>0</v>
      </c>
      <c r="R57" s="599">
        <v>0</v>
      </c>
      <c r="S57" s="599">
        <v>0</v>
      </c>
      <c r="T57" s="599">
        <v>0</v>
      </c>
      <c r="U57" s="600" t="e">
        <v>#DIV/0!</v>
      </c>
      <c r="V57" s="599">
        <v>0</v>
      </c>
      <c r="W57" s="599">
        <v>0</v>
      </c>
      <c r="X57" s="599">
        <v>0</v>
      </c>
      <c r="Y57" s="599">
        <v>0</v>
      </c>
      <c r="Z57" s="599">
        <v>0</v>
      </c>
      <c r="AA57" s="599">
        <v>0</v>
      </c>
    </row>
    <row r="58" spans="1:28" s="601" customFormat="1" x14ac:dyDescent="0.2">
      <c r="A58" s="591" t="s">
        <v>1158</v>
      </c>
      <c r="B58" s="597" t="s">
        <v>449</v>
      </c>
      <c r="C58" s="586">
        <v>8919</v>
      </c>
      <c r="D58" s="586">
        <v>9430</v>
      </c>
      <c r="E58" s="586">
        <v>0</v>
      </c>
      <c r="F58" s="586">
        <v>0</v>
      </c>
      <c r="G58" s="586">
        <v>0</v>
      </c>
      <c r="H58" s="599">
        <v>0</v>
      </c>
      <c r="I58" s="599">
        <v>0</v>
      </c>
      <c r="J58" s="599">
        <v>0</v>
      </c>
      <c r="K58" s="599">
        <v>0</v>
      </c>
      <c r="L58" s="599">
        <v>0</v>
      </c>
      <c r="M58" s="599">
        <v>0</v>
      </c>
      <c r="N58" s="599">
        <v>0</v>
      </c>
      <c r="O58" s="599">
        <v>0</v>
      </c>
      <c r="P58" s="599">
        <v>0</v>
      </c>
      <c r="Q58" s="599">
        <v>0</v>
      </c>
      <c r="R58" s="599">
        <v>0</v>
      </c>
      <c r="S58" s="599">
        <v>0</v>
      </c>
      <c r="T58" s="599">
        <v>0</v>
      </c>
      <c r="U58" s="600">
        <v>0</v>
      </c>
      <c r="V58" s="599">
        <v>9430</v>
      </c>
      <c r="W58" s="599">
        <v>9430</v>
      </c>
      <c r="X58" s="599">
        <v>9430</v>
      </c>
      <c r="Y58" s="599">
        <v>0</v>
      </c>
      <c r="Z58" s="599">
        <v>0</v>
      </c>
      <c r="AA58" s="599">
        <v>0</v>
      </c>
    </row>
    <row r="59" spans="1:28" x14ac:dyDescent="0.2">
      <c r="A59" s="591"/>
      <c r="B59" s="597" t="s">
        <v>450</v>
      </c>
      <c r="C59" s="598">
        <v>2700</v>
      </c>
      <c r="D59" s="598">
        <v>0</v>
      </c>
      <c r="E59" s="598">
        <v>0</v>
      </c>
      <c r="F59" s="598">
        <v>0</v>
      </c>
      <c r="G59" s="598">
        <v>0</v>
      </c>
      <c r="H59" s="598">
        <v>0</v>
      </c>
      <c r="I59" s="598">
        <v>0</v>
      </c>
      <c r="J59" s="598">
        <v>0</v>
      </c>
      <c r="K59" s="598">
        <v>0</v>
      </c>
      <c r="L59" s="598">
        <v>0</v>
      </c>
      <c r="M59" s="598">
        <v>0</v>
      </c>
      <c r="N59" s="598">
        <v>0</v>
      </c>
      <c r="O59" s="598">
        <v>0</v>
      </c>
      <c r="P59" s="598">
        <v>0</v>
      </c>
      <c r="Q59" s="598">
        <v>0</v>
      </c>
      <c r="R59" s="598">
        <v>0</v>
      </c>
      <c r="S59" s="598">
        <v>0</v>
      </c>
      <c r="T59" s="599">
        <v>0</v>
      </c>
      <c r="U59" s="600" t="e">
        <v>#DIV/0!</v>
      </c>
      <c r="V59" s="599">
        <v>0</v>
      </c>
      <c r="W59" s="599">
        <v>0</v>
      </c>
      <c r="X59" s="599">
        <v>0</v>
      </c>
      <c r="Y59" s="599">
        <v>0</v>
      </c>
      <c r="Z59" s="599">
        <v>0</v>
      </c>
      <c r="AA59" s="599">
        <v>0</v>
      </c>
      <c r="AB59" s="601"/>
    </row>
    <row r="60" spans="1:28" x14ac:dyDescent="0.2">
      <c r="A60" s="591" t="s">
        <v>1159</v>
      </c>
      <c r="B60" s="602" t="s">
        <v>451</v>
      </c>
      <c r="C60" s="585">
        <v>0</v>
      </c>
      <c r="D60" s="585">
        <v>0</v>
      </c>
      <c r="E60" s="585">
        <v>0</v>
      </c>
      <c r="F60" s="585">
        <v>0</v>
      </c>
      <c r="G60" s="585">
        <v>0</v>
      </c>
      <c r="H60" s="603">
        <v>0</v>
      </c>
      <c r="I60" s="603">
        <v>0</v>
      </c>
      <c r="J60" s="603">
        <v>0</v>
      </c>
      <c r="K60" s="603">
        <v>0</v>
      </c>
      <c r="L60" s="603">
        <v>0</v>
      </c>
      <c r="M60" s="603">
        <v>0</v>
      </c>
      <c r="N60" s="603">
        <v>0</v>
      </c>
      <c r="O60" s="603">
        <v>0</v>
      </c>
      <c r="P60" s="603">
        <v>0</v>
      </c>
      <c r="Q60" s="603">
        <v>0</v>
      </c>
      <c r="R60" s="603">
        <v>0</v>
      </c>
      <c r="S60" s="603">
        <v>0</v>
      </c>
      <c r="T60" s="603">
        <v>0</v>
      </c>
      <c r="U60" s="604" t="e">
        <v>#DIV/0!</v>
      </c>
      <c r="V60" s="603">
        <v>0</v>
      </c>
      <c r="W60" s="603">
        <v>0</v>
      </c>
      <c r="X60" s="603">
        <v>0</v>
      </c>
      <c r="Y60" s="603">
        <v>0</v>
      </c>
      <c r="Z60" s="603">
        <v>0</v>
      </c>
      <c r="AA60" s="603">
        <v>0</v>
      </c>
    </row>
    <row r="61" spans="1:28" x14ac:dyDescent="0.2">
      <c r="A61" s="591" t="s">
        <v>1160</v>
      </c>
      <c r="B61" s="602" t="s">
        <v>452</v>
      </c>
      <c r="C61" s="585">
        <v>2700</v>
      </c>
      <c r="D61" s="585">
        <v>0</v>
      </c>
      <c r="E61" s="585">
        <v>0</v>
      </c>
      <c r="F61" s="585">
        <v>0</v>
      </c>
      <c r="G61" s="585">
        <v>0</v>
      </c>
      <c r="H61" s="603">
        <v>0</v>
      </c>
      <c r="I61" s="603">
        <v>0</v>
      </c>
      <c r="J61" s="603">
        <v>0</v>
      </c>
      <c r="K61" s="603">
        <v>0</v>
      </c>
      <c r="L61" s="603">
        <v>0</v>
      </c>
      <c r="M61" s="603">
        <v>0</v>
      </c>
      <c r="N61" s="603">
        <v>0</v>
      </c>
      <c r="O61" s="603">
        <v>0</v>
      </c>
      <c r="P61" s="603">
        <v>0</v>
      </c>
      <c r="Q61" s="603">
        <v>0</v>
      </c>
      <c r="R61" s="603">
        <v>0</v>
      </c>
      <c r="S61" s="603">
        <v>0</v>
      </c>
      <c r="T61" s="603">
        <v>0</v>
      </c>
      <c r="U61" s="604" t="e">
        <v>#DIV/0!</v>
      </c>
      <c r="V61" s="603">
        <v>0</v>
      </c>
      <c r="W61" s="603">
        <v>0</v>
      </c>
      <c r="X61" s="603">
        <v>0</v>
      </c>
      <c r="Y61" s="603">
        <v>0</v>
      </c>
      <c r="Z61" s="603">
        <v>0</v>
      </c>
      <c r="AA61" s="603">
        <v>0</v>
      </c>
    </row>
    <row r="62" spans="1:28" x14ac:dyDescent="0.2">
      <c r="A62" s="591" t="s">
        <v>1161</v>
      </c>
      <c r="B62" s="602" t="s">
        <v>453</v>
      </c>
      <c r="C62" s="585">
        <v>0</v>
      </c>
      <c r="D62" s="585">
        <v>0</v>
      </c>
      <c r="E62" s="585">
        <v>0</v>
      </c>
      <c r="F62" s="585">
        <v>0</v>
      </c>
      <c r="G62" s="585">
        <v>0</v>
      </c>
      <c r="H62" s="603">
        <v>0</v>
      </c>
      <c r="I62" s="603">
        <v>0</v>
      </c>
      <c r="J62" s="603">
        <v>0</v>
      </c>
      <c r="K62" s="603">
        <v>0</v>
      </c>
      <c r="L62" s="603">
        <v>0</v>
      </c>
      <c r="M62" s="603">
        <v>0</v>
      </c>
      <c r="N62" s="603">
        <v>0</v>
      </c>
      <c r="O62" s="603">
        <v>0</v>
      </c>
      <c r="P62" s="603">
        <v>0</v>
      </c>
      <c r="Q62" s="603">
        <v>0</v>
      </c>
      <c r="R62" s="603">
        <v>0</v>
      </c>
      <c r="S62" s="603">
        <v>0</v>
      </c>
      <c r="T62" s="603">
        <v>0</v>
      </c>
      <c r="U62" s="604" t="e">
        <v>#DIV/0!</v>
      </c>
      <c r="V62" s="603">
        <v>0</v>
      </c>
      <c r="W62" s="603">
        <v>0</v>
      </c>
      <c r="X62" s="603">
        <v>0</v>
      </c>
      <c r="Y62" s="603">
        <v>0</v>
      </c>
      <c r="Z62" s="603">
        <v>0</v>
      </c>
      <c r="AA62" s="603">
        <v>0</v>
      </c>
    </row>
    <row r="63" spans="1:28" x14ac:dyDescent="0.2">
      <c r="A63" s="591" t="s">
        <v>1162</v>
      </c>
      <c r="B63" s="602" t="s">
        <v>454</v>
      </c>
      <c r="C63" s="585">
        <v>0</v>
      </c>
      <c r="D63" s="585">
        <v>0</v>
      </c>
      <c r="E63" s="585">
        <v>0</v>
      </c>
      <c r="F63" s="585">
        <v>0</v>
      </c>
      <c r="G63" s="585">
        <v>0</v>
      </c>
      <c r="H63" s="603">
        <v>0</v>
      </c>
      <c r="I63" s="603">
        <v>0</v>
      </c>
      <c r="J63" s="603">
        <v>0</v>
      </c>
      <c r="K63" s="603">
        <v>0</v>
      </c>
      <c r="L63" s="603">
        <v>0</v>
      </c>
      <c r="M63" s="603">
        <v>0</v>
      </c>
      <c r="N63" s="603">
        <v>0</v>
      </c>
      <c r="O63" s="603">
        <v>0</v>
      </c>
      <c r="P63" s="603">
        <v>0</v>
      </c>
      <c r="Q63" s="603">
        <v>0</v>
      </c>
      <c r="R63" s="603">
        <v>0</v>
      </c>
      <c r="S63" s="603">
        <v>0</v>
      </c>
      <c r="T63" s="603">
        <v>0</v>
      </c>
      <c r="U63" s="604" t="e">
        <v>#DIV/0!</v>
      </c>
      <c r="V63" s="603">
        <v>0</v>
      </c>
      <c r="W63" s="603">
        <v>0</v>
      </c>
      <c r="X63" s="603">
        <v>0</v>
      </c>
      <c r="Y63" s="603">
        <v>0</v>
      </c>
      <c r="Z63" s="603">
        <v>0</v>
      </c>
      <c r="AA63" s="603">
        <v>0</v>
      </c>
    </row>
    <row r="64" spans="1:28" x14ac:dyDescent="0.2">
      <c r="A64" s="591" t="s">
        <v>1163</v>
      </c>
      <c r="B64" s="602" t="s">
        <v>455</v>
      </c>
      <c r="C64" s="585">
        <v>0</v>
      </c>
      <c r="D64" s="585">
        <v>0</v>
      </c>
      <c r="E64" s="585">
        <v>0</v>
      </c>
      <c r="F64" s="585">
        <v>0</v>
      </c>
      <c r="G64" s="585">
        <v>0</v>
      </c>
      <c r="H64" s="603">
        <v>0</v>
      </c>
      <c r="I64" s="603">
        <v>0</v>
      </c>
      <c r="J64" s="603">
        <v>0</v>
      </c>
      <c r="K64" s="603">
        <v>0</v>
      </c>
      <c r="L64" s="603">
        <v>0</v>
      </c>
      <c r="M64" s="603">
        <v>0</v>
      </c>
      <c r="N64" s="603">
        <v>0</v>
      </c>
      <c r="O64" s="603">
        <v>0</v>
      </c>
      <c r="P64" s="603">
        <v>0</v>
      </c>
      <c r="Q64" s="603">
        <v>0</v>
      </c>
      <c r="R64" s="603">
        <v>0</v>
      </c>
      <c r="S64" s="603">
        <v>0</v>
      </c>
      <c r="T64" s="603">
        <v>0</v>
      </c>
      <c r="U64" s="604" t="e">
        <v>#DIV/0!</v>
      </c>
      <c r="V64" s="603">
        <v>0</v>
      </c>
      <c r="W64" s="603">
        <v>0</v>
      </c>
      <c r="X64" s="603">
        <v>0</v>
      </c>
      <c r="Y64" s="603">
        <v>0</v>
      </c>
      <c r="Z64" s="603">
        <v>0</v>
      </c>
      <c r="AA64" s="603">
        <v>0</v>
      </c>
    </row>
    <row r="65" spans="1:28" x14ac:dyDescent="0.2">
      <c r="A65" s="591"/>
      <c r="B65" s="597" t="s">
        <v>456</v>
      </c>
      <c r="C65" s="598">
        <v>1484</v>
      </c>
      <c r="D65" s="598">
        <v>965</v>
      </c>
      <c r="E65" s="598">
        <v>0</v>
      </c>
      <c r="F65" s="598">
        <v>0</v>
      </c>
      <c r="G65" s="598">
        <v>0</v>
      </c>
      <c r="H65" s="598">
        <v>0</v>
      </c>
      <c r="I65" s="598">
        <v>0</v>
      </c>
      <c r="J65" s="598">
        <v>0</v>
      </c>
      <c r="K65" s="598">
        <v>0</v>
      </c>
      <c r="L65" s="598">
        <v>0</v>
      </c>
      <c r="M65" s="598">
        <v>0</v>
      </c>
      <c r="N65" s="598">
        <v>0</v>
      </c>
      <c r="O65" s="598">
        <v>0</v>
      </c>
      <c r="P65" s="598">
        <v>0</v>
      </c>
      <c r="Q65" s="598">
        <v>0</v>
      </c>
      <c r="R65" s="598">
        <v>0</v>
      </c>
      <c r="S65" s="598">
        <v>0</v>
      </c>
      <c r="T65" s="599">
        <v>0</v>
      </c>
      <c r="U65" s="600">
        <v>0</v>
      </c>
      <c r="V65" s="599">
        <v>965</v>
      </c>
      <c r="W65" s="599">
        <v>965</v>
      </c>
      <c r="X65" s="599">
        <v>965</v>
      </c>
      <c r="Y65" s="599">
        <v>0</v>
      </c>
      <c r="Z65" s="599">
        <v>0</v>
      </c>
      <c r="AA65" s="599">
        <v>0</v>
      </c>
    </row>
    <row r="66" spans="1:28" x14ac:dyDescent="0.2">
      <c r="A66" s="591" t="s">
        <v>1164</v>
      </c>
      <c r="B66" s="602" t="s">
        <v>457</v>
      </c>
      <c r="C66" s="585">
        <v>0</v>
      </c>
      <c r="D66" s="585">
        <v>0</v>
      </c>
      <c r="E66" s="585">
        <v>0</v>
      </c>
      <c r="F66" s="585">
        <v>0</v>
      </c>
      <c r="G66" s="585">
        <v>0</v>
      </c>
      <c r="H66" s="603">
        <v>0</v>
      </c>
      <c r="I66" s="603">
        <v>0</v>
      </c>
      <c r="J66" s="603">
        <v>0</v>
      </c>
      <c r="K66" s="603">
        <v>0</v>
      </c>
      <c r="L66" s="603">
        <v>0</v>
      </c>
      <c r="M66" s="603">
        <v>0</v>
      </c>
      <c r="N66" s="603">
        <v>0</v>
      </c>
      <c r="O66" s="603">
        <v>0</v>
      </c>
      <c r="P66" s="603">
        <v>0</v>
      </c>
      <c r="Q66" s="603">
        <v>0</v>
      </c>
      <c r="R66" s="603">
        <v>0</v>
      </c>
      <c r="S66" s="603">
        <v>0</v>
      </c>
      <c r="T66" s="603">
        <v>0</v>
      </c>
      <c r="U66" s="604" t="e">
        <v>#DIV/0!</v>
      </c>
      <c r="V66" s="603">
        <v>0</v>
      </c>
      <c r="W66" s="603">
        <v>0</v>
      </c>
      <c r="X66" s="603">
        <v>0</v>
      </c>
      <c r="Y66" s="603">
        <v>0</v>
      </c>
      <c r="Z66" s="603">
        <v>0</v>
      </c>
      <c r="AA66" s="603">
        <v>0</v>
      </c>
    </row>
    <row r="67" spans="1:28" x14ac:dyDescent="0.2">
      <c r="A67" s="591" t="s">
        <v>1165</v>
      </c>
      <c r="B67" s="602" t="s">
        <v>458</v>
      </c>
      <c r="C67" s="585">
        <v>1484</v>
      </c>
      <c r="D67" s="585">
        <v>965</v>
      </c>
      <c r="E67" s="585">
        <v>0</v>
      </c>
      <c r="F67" s="585">
        <v>0</v>
      </c>
      <c r="G67" s="585">
        <v>0</v>
      </c>
      <c r="H67" s="603">
        <v>0</v>
      </c>
      <c r="I67" s="603">
        <v>0</v>
      </c>
      <c r="J67" s="603">
        <v>0</v>
      </c>
      <c r="K67" s="603">
        <v>0</v>
      </c>
      <c r="L67" s="603">
        <v>0</v>
      </c>
      <c r="M67" s="603">
        <v>0</v>
      </c>
      <c r="N67" s="603">
        <v>0</v>
      </c>
      <c r="O67" s="603">
        <v>0</v>
      </c>
      <c r="P67" s="603">
        <v>0</v>
      </c>
      <c r="Q67" s="603">
        <v>0</v>
      </c>
      <c r="R67" s="603">
        <v>0</v>
      </c>
      <c r="S67" s="603">
        <v>0</v>
      </c>
      <c r="T67" s="603">
        <v>0</v>
      </c>
      <c r="U67" s="604">
        <v>0</v>
      </c>
      <c r="V67" s="603">
        <v>965</v>
      </c>
      <c r="W67" s="603">
        <v>965</v>
      </c>
      <c r="X67" s="603">
        <v>965</v>
      </c>
      <c r="Y67" s="603">
        <v>0</v>
      </c>
      <c r="Z67" s="603">
        <v>0</v>
      </c>
      <c r="AA67" s="603">
        <v>0</v>
      </c>
    </row>
    <row r="68" spans="1:28" x14ac:dyDescent="0.2">
      <c r="A68" s="591" t="s">
        <v>1166</v>
      </c>
      <c r="B68" s="602" t="s">
        <v>459</v>
      </c>
      <c r="C68" s="585">
        <v>0</v>
      </c>
      <c r="D68" s="585">
        <v>0</v>
      </c>
      <c r="E68" s="585">
        <v>0</v>
      </c>
      <c r="F68" s="585">
        <v>0</v>
      </c>
      <c r="G68" s="585">
        <v>0</v>
      </c>
      <c r="H68" s="603">
        <v>0</v>
      </c>
      <c r="I68" s="603">
        <v>0</v>
      </c>
      <c r="J68" s="603">
        <v>0</v>
      </c>
      <c r="K68" s="603">
        <v>0</v>
      </c>
      <c r="L68" s="603">
        <v>0</v>
      </c>
      <c r="M68" s="603">
        <v>0</v>
      </c>
      <c r="N68" s="603">
        <v>0</v>
      </c>
      <c r="O68" s="603">
        <v>0</v>
      </c>
      <c r="P68" s="603">
        <v>0</v>
      </c>
      <c r="Q68" s="603">
        <v>0</v>
      </c>
      <c r="R68" s="603">
        <v>0</v>
      </c>
      <c r="S68" s="603">
        <v>0</v>
      </c>
      <c r="T68" s="603">
        <v>0</v>
      </c>
      <c r="U68" s="604" t="e">
        <v>#DIV/0!</v>
      </c>
      <c r="V68" s="603">
        <v>0</v>
      </c>
      <c r="W68" s="603">
        <v>0</v>
      </c>
      <c r="X68" s="603">
        <v>0</v>
      </c>
      <c r="Y68" s="603">
        <v>0</v>
      </c>
      <c r="Z68" s="603">
        <v>0</v>
      </c>
      <c r="AA68" s="603">
        <v>0</v>
      </c>
    </row>
    <row r="69" spans="1:28" x14ac:dyDescent="0.2">
      <c r="A69" s="591" t="s">
        <v>1167</v>
      </c>
      <c r="B69" s="602" t="s">
        <v>460</v>
      </c>
      <c r="C69" s="585">
        <v>0</v>
      </c>
      <c r="D69" s="585">
        <v>0</v>
      </c>
      <c r="E69" s="585">
        <v>0</v>
      </c>
      <c r="F69" s="585">
        <v>0</v>
      </c>
      <c r="G69" s="585">
        <v>0</v>
      </c>
      <c r="H69" s="603">
        <v>0</v>
      </c>
      <c r="I69" s="603">
        <v>0</v>
      </c>
      <c r="J69" s="603">
        <v>0</v>
      </c>
      <c r="K69" s="603">
        <v>0</v>
      </c>
      <c r="L69" s="603">
        <v>0</v>
      </c>
      <c r="M69" s="603">
        <v>0</v>
      </c>
      <c r="N69" s="603">
        <v>0</v>
      </c>
      <c r="O69" s="603">
        <v>0</v>
      </c>
      <c r="P69" s="603">
        <v>0</v>
      </c>
      <c r="Q69" s="603">
        <v>0</v>
      </c>
      <c r="R69" s="603">
        <v>0</v>
      </c>
      <c r="S69" s="603">
        <v>0</v>
      </c>
      <c r="T69" s="603">
        <v>0</v>
      </c>
      <c r="U69" s="604" t="e">
        <v>#DIV/0!</v>
      </c>
      <c r="V69" s="603">
        <v>0</v>
      </c>
      <c r="W69" s="603">
        <v>0</v>
      </c>
      <c r="X69" s="603">
        <v>0</v>
      </c>
      <c r="Y69" s="603">
        <v>0</v>
      </c>
      <c r="Z69" s="603">
        <v>0</v>
      </c>
      <c r="AA69" s="603">
        <v>0</v>
      </c>
    </row>
    <row r="70" spans="1:28" x14ac:dyDescent="0.2">
      <c r="A70" s="591" t="s">
        <v>1168</v>
      </c>
      <c r="B70" s="602" t="s">
        <v>461</v>
      </c>
      <c r="C70" s="585">
        <v>0</v>
      </c>
      <c r="D70" s="585">
        <v>0</v>
      </c>
      <c r="E70" s="585">
        <v>0</v>
      </c>
      <c r="F70" s="585">
        <v>0</v>
      </c>
      <c r="G70" s="585">
        <v>0</v>
      </c>
      <c r="H70" s="603">
        <v>0</v>
      </c>
      <c r="I70" s="603">
        <v>0</v>
      </c>
      <c r="J70" s="603">
        <v>0</v>
      </c>
      <c r="K70" s="603">
        <v>0</v>
      </c>
      <c r="L70" s="603">
        <v>0</v>
      </c>
      <c r="M70" s="603">
        <v>0</v>
      </c>
      <c r="N70" s="603">
        <v>0</v>
      </c>
      <c r="O70" s="603">
        <v>0</v>
      </c>
      <c r="P70" s="603">
        <v>0</v>
      </c>
      <c r="Q70" s="603">
        <v>0</v>
      </c>
      <c r="R70" s="603">
        <v>0</v>
      </c>
      <c r="S70" s="603">
        <v>0</v>
      </c>
      <c r="T70" s="603">
        <v>0</v>
      </c>
      <c r="U70" s="604" t="e">
        <v>#DIV/0!</v>
      </c>
      <c r="V70" s="603">
        <v>0</v>
      </c>
      <c r="W70" s="603">
        <v>0</v>
      </c>
      <c r="X70" s="603">
        <v>0</v>
      </c>
      <c r="Y70" s="603">
        <v>0</v>
      </c>
      <c r="Z70" s="603">
        <v>0</v>
      </c>
      <c r="AA70" s="603">
        <v>0</v>
      </c>
    </row>
    <row r="71" spans="1:28" x14ac:dyDescent="0.2">
      <c r="A71" s="591" t="s">
        <v>1169</v>
      </c>
      <c r="B71" s="602" t="s">
        <v>462</v>
      </c>
      <c r="C71" s="585">
        <v>0</v>
      </c>
      <c r="D71" s="585">
        <v>0</v>
      </c>
      <c r="E71" s="585">
        <v>0</v>
      </c>
      <c r="F71" s="585">
        <v>0</v>
      </c>
      <c r="G71" s="585">
        <v>0</v>
      </c>
      <c r="H71" s="603">
        <v>0</v>
      </c>
      <c r="I71" s="603">
        <v>0</v>
      </c>
      <c r="J71" s="603">
        <v>0</v>
      </c>
      <c r="K71" s="603">
        <v>0</v>
      </c>
      <c r="L71" s="603">
        <v>0</v>
      </c>
      <c r="M71" s="603">
        <v>0</v>
      </c>
      <c r="N71" s="603">
        <v>0</v>
      </c>
      <c r="O71" s="603">
        <v>0</v>
      </c>
      <c r="P71" s="603">
        <v>0</v>
      </c>
      <c r="Q71" s="603">
        <v>0</v>
      </c>
      <c r="R71" s="603">
        <v>0</v>
      </c>
      <c r="S71" s="603">
        <v>0</v>
      </c>
      <c r="T71" s="603">
        <v>0</v>
      </c>
      <c r="U71" s="604" t="e">
        <v>#DIV/0!</v>
      </c>
      <c r="V71" s="603">
        <v>0</v>
      </c>
      <c r="W71" s="603">
        <v>0</v>
      </c>
      <c r="X71" s="603">
        <v>0</v>
      </c>
      <c r="Y71" s="603">
        <v>0</v>
      </c>
      <c r="Z71" s="603">
        <v>0</v>
      </c>
      <c r="AA71" s="603">
        <v>0</v>
      </c>
    </row>
    <row r="72" spans="1:28" x14ac:dyDescent="0.2">
      <c r="A72" s="591"/>
      <c r="B72" s="597" t="s">
        <v>463</v>
      </c>
      <c r="C72" s="598">
        <v>0</v>
      </c>
      <c r="D72" s="598">
        <v>0</v>
      </c>
      <c r="E72" s="598">
        <v>0</v>
      </c>
      <c r="F72" s="598">
        <v>0</v>
      </c>
      <c r="G72" s="598">
        <v>0</v>
      </c>
      <c r="H72" s="598">
        <v>0</v>
      </c>
      <c r="I72" s="598">
        <v>0</v>
      </c>
      <c r="J72" s="598">
        <v>0</v>
      </c>
      <c r="K72" s="598">
        <v>0</v>
      </c>
      <c r="L72" s="598">
        <v>0</v>
      </c>
      <c r="M72" s="598">
        <v>0</v>
      </c>
      <c r="N72" s="598">
        <v>0</v>
      </c>
      <c r="O72" s="598">
        <v>0</v>
      </c>
      <c r="P72" s="598">
        <v>0</v>
      </c>
      <c r="Q72" s="598">
        <v>0</v>
      </c>
      <c r="R72" s="598">
        <v>0</v>
      </c>
      <c r="S72" s="598">
        <v>0</v>
      </c>
      <c r="T72" s="599">
        <v>0</v>
      </c>
      <c r="U72" s="600" t="e">
        <v>#DIV/0!</v>
      </c>
      <c r="V72" s="599">
        <v>0</v>
      </c>
      <c r="W72" s="599">
        <v>0</v>
      </c>
      <c r="X72" s="599">
        <v>0</v>
      </c>
      <c r="Y72" s="599">
        <v>0</v>
      </c>
      <c r="Z72" s="599">
        <v>0</v>
      </c>
      <c r="AA72" s="599">
        <v>0</v>
      </c>
    </row>
    <row r="73" spans="1:28" x14ac:dyDescent="0.2">
      <c r="A73" s="591" t="s">
        <v>1170</v>
      </c>
      <c r="B73" s="602" t="s">
        <v>464</v>
      </c>
      <c r="C73" s="585">
        <v>0</v>
      </c>
      <c r="D73" s="585">
        <v>0</v>
      </c>
      <c r="E73" s="585">
        <v>0</v>
      </c>
      <c r="F73" s="585">
        <v>0</v>
      </c>
      <c r="G73" s="585">
        <v>0</v>
      </c>
      <c r="H73" s="603">
        <v>0</v>
      </c>
      <c r="I73" s="603">
        <v>0</v>
      </c>
      <c r="J73" s="603">
        <v>0</v>
      </c>
      <c r="K73" s="603">
        <v>0</v>
      </c>
      <c r="L73" s="603">
        <v>0</v>
      </c>
      <c r="M73" s="603">
        <v>0</v>
      </c>
      <c r="N73" s="603">
        <v>0</v>
      </c>
      <c r="O73" s="603">
        <v>0</v>
      </c>
      <c r="P73" s="603">
        <v>0</v>
      </c>
      <c r="Q73" s="603">
        <v>0</v>
      </c>
      <c r="R73" s="603">
        <v>0</v>
      </c>
      <c r="S73" s="603">
        <v>0</v>
      </c>
      <c r="T73" s="603">
        <v>0</v>
      </c>
      <c r="U73" s="604" t="e">
        <v>#DIV/0!</v>
      </c>
      <c r="V73" s="603">
        <v>0</v>
      </c>
      <c r="W73" s="603">
        <v>0</v>
      </c>
      <c r="X73" s="603">
        <v>0</v>
      </c>
      <c r="Y73" s="603">
        <v>0</v>
      </c>
      <c r="Z73" s="603">
        <v>0</v>
      </c>
      <c r="AA73" s="603">
        <v>0</v>
      </c>
    </row>
    <row r="74" spans="1:28" x14ac:dyDescent="0.2">
      <c r="A74" s="591" t="s">
        <v>1171</v>
      </c>
      <c r="B74" s="602" t="s">
        <v>465</v>
      </c>
      <c r="C74" s="585">
        <v>0</v>
      </c>
      <c r="D74" s="585">
        <v>0</v>
      </c>
      <c r="E74" s="585">
        <v>0</v>
      </c>
      <c r="F74" s="585">
        <v>0</v>
      </c>
      <c r="G74" s="585">
        <v>0</v>
      </c>
      <c r="H74" s="603">
        <v>0</v>
      </c>
      <c r="I74" s="603">
        <v>0</v>
      </c>
      <c r="J74" s="603">
        <v>0</v>
      </c>
      <c r="K74" s="603">
        <v>0</v>
      </c>
      <c r="L74" s="603">
        <v>0</v>
      </c>
      <c r="M74" s="603">
        <v>0</v>
      </c>
      <c r="N74" s="603">
        <v>0</v>
      </c>
      <c r="O74" s="603">
        <v>0</v>
      </c>
      <c r="P74" s="603">
        <v>0</v>
      </c>
      <c r="Q74" s="603">
        <v>0</v>
      </c>
      <c r="R74" s="603">
        <v>0</v>
      </c>
      <c r="S74" s="603">
        <v>0</v>
      </c>
      <c r="T74" s="603">
        <v>0</v>
      </c>
      <c r="U74" s="604" t="e">
        <v>#DIV/0!</v>
      </c>
      <c r="V74" s="603">
        <v>0</v>
      </c>
      <c r="W74" s="603">
        <v>0</v>
      </c>
      <c r="X74" s="603">
        <v>0</v>
      </c>
      <c r="Y74" s="603">
        <v>0</v>
      </c>
      <c r="Z74" s="603">
        <v>0</v>
      </c>
      <c r="AA74" s="603">
        <v>0</v>
      </c>
    </row>
    <row r="75" spans="1:28" s="601" customFormat="1" x14ac:dyDescent="0.2">
      <c r="A75" s="591" t="s">
        <v>1172</v>
      </c>
      <c r="B75" s="597" t="s">
        <v>466</v>
      </c>
      <c r="C75" s="586">
        <v>0</v>
      </c>
      <c r="D75" s="586">
        <v>9000</v>
      </c>
      <c r="E75" s="586">
        <v>0</v>
      </c>
      <c r="F75" s="586">
        <v>0</v>
      </c>
      <c r="G75" s="586">
        <v>0</v>
      </c>
      <c r="H75" s="599">
        <v>0</v>
      </c>
      <c r="I75" s="599">
        <v>0</v>
      </c>
      <c r="J75" s="599">
        <v>0</v>
      </c>
      <c r="K75" s="599">
        <v>0</v>
      </c>
      <c r="L75" s="599">
        <v>0</v>
      </c>
      <c r="M75" s="599">
        <v>0</v>
      </c>
      <c r="N75" s="599">
        <v>0</v>
      </c>
      <c r="O75" s="599">
        <v>0</v>
      </c>
      <c r="P75" s="599">
        <v>0</v>
      </c>
      <c r="Q75" s="599">
        <v>0</v>
      </c>
      <c r="R75" s="599">
        <v>0</v>
      </c>
      <c r="S75" s="599">
        <v>0</v>
      </c>
      <c r="T75" s="599">
        <v>0</v>
      </c>
      <c r="U75" s="600">
        <v>0</v>
      </c>
      <c r="V75" s="599">
        <v>9000</v>
      </c>
      <c r="W75" s="599">
        <v>9000</v>
      </c>
      <c r="X75" s="599">
        <v>9000</v>
      </c>
      <c r="Y75" s="599">
        <v>0</v>
      </c>
      <c r="Z75" s="599">
        <v>0</v>
      </c>
      <c r="AA75" s="599">
        <v>0</v>
      </c>
    </row>
    <row r="76" spans="1:28" s="601" customFormat="1" x14ac:dyDescent="0.2">
      <c r="A76" s="591" t="s">
        <v>1173</v>
      </c>
      <c r="B76" s="597" t="s">
        <v>467</v>
      </c>
      <c r="C76" s="586">
        <v>0</v>
      </c>
      <c r="D76" s="586">
        <v>0</v>
      </c>
      <c r="E76" s="586">
        <v>0</v>
      </c>
      <c r="F76" s="586">
        <v>0</v>
      </c>
      <c r="G76" s="586">
        <v>0</v>
      </c>
      <c r="H76" s="599">
        <v>0</v>
      </c>
      <c r="I76" s="599">
        <v>0</v>
      </c>
      <c r="J76" s="599">
        <v>0</v>
      </c>
      <c r="K76" s="599">
        <v>0</v>
      </c>
      <c r="L76" s="599">
        <v>0</v>
      </c>
      <c r="M76" s="599">
        <v>0</v>
      </c>
      <c r="N76" s="599">
        <v>0</v>
      </c>
      <c r="O76" s="599">
        <v>0</v>
      </c>
      <c r="P76" s="599">
        <v>0</v>
      </c>
      <c r="Q76" s="599">
        <v>0</v>
      </c>
      <c r="R76" s="599">
        <v>0</v>
      </c>
      <c r="S76" s="599">
        <v>0</v>
      </c>
      <c r="T76" s="599">
        <v>0</v>
      </c>
      <c r="U76" s="600" t="e">
        <v>#DIV/0!</v>
      </c>
      <c r="V76" s="599">
        <v>0</v>
      </c>
      <c r="W76" s="599">
        <v>0</v>
      </c>
      <c r="X76" s="599">
        <v>0</v>
      </c>
      <c r="Y76" s="599">
        <v>0</v>
      </c>
      <c r="Z76" s="599">
        <v>0</v>
      </c>
      <c r="AA76" s="599">
        <v>0</v>
      </c>
    </row>
    <row r="77" spans="1:28" s="601" customFormat="1" x14ac:dyDescent="0.2">
      <c r="A77" s="591" t="s">
        <v>1174</v>
      </c>
      <c r="B77" s="597" t="s">
        <v>468</v>
      </c>
      <c r="C77" s="586">
        <v>0</v>
      </c>
      <c r="D77" s="586">
        <v>251</v>
      </c>
      <c r="E77" s="586">
        <v>251</v>
      </c>
      <c r="F77" s="586">
        <v>251</v>
      </c>
      <c r="G77" s="586">
        <v>251</v>
      </c>
      <c r="H77" s="599">
        <v>0</v>
      </c>
      <c r="I77" s="599">
        <v>251</v>
      </c>
      <c r="J77" s="599">
        <v>0</v>
      </c>
      <c r="K77" s="599">
        <v>0</v>
      </c>
      <c r="L77" s="599">
        <v>0</v>
      </c>
      <c r="M77" s="599">
        <v>0</v>
      </c>
      <c r="N77" s="599">
        <v>0</v>
      </c>
      <c r="O77" s="599">
        <v>0</v>
      </c>
      <c r="P77" s="599">
        <v>0</v>
      </c>
      <c r="Q77" s="599">
        <v>0</v>
      </c>
      <c r="R77" s="599">
        <v>0</v>
      </c>
      <c r="S77" s="599">
        <v>0</v>
      </c>
      <c r="T77" s="599">
        <v>251</v>
      </c>
      <c r="U77" s="600">
        <v>1</v>
      </c>
      <c r="V77" s="599">
        <v>0</v>
      </c>
      <c r="W77" s="599">
        <v>0</v>
      </c>
      <c r="X77" s="599">
        <v>0</v>
      </c>
      <c r="Y77" s="599">
        <v>0</v>
      </c>
      <c r="Z77" s="599">
        <v>0</v>
      </c>
      <c r="AA77" s="599">
        <v>0</v>
      </c>
    </row>
    <row r="78" spans="1:28" x14ac:dyDescent="0.2">
      <c r="A78" s="591"/>
      <c r="B78" s="597" t="s">
        <v>469</v>
      </c>
      <c r="C78" s="598">
        <v>0</v>
      </c>
      <c r="D78" s="598">
        <v>0</v>
      </c>
      <c r="E78" s="598">
        <v>0</v>
      </c>
      <c r="F78" s="598">
        <v>0</v>
      </c>
      <c r="G78" s="598">
        <v>0</v>
      </c>
      <c r="H78" s="598">
        <v>0</v>
      </c>
      <c r="I78" s="598">
        <v>0</v>
      </c>
      <c r="J78" s="598">
        <v>0</v>
      </c>
      <c r="K78" s="598">
        <v>0</v>
      </c>
      <c r="L78" s="598">
        <v>0</v>
      </c>
      <c r="M78" s="598">
        <v>0</v>
      </c>
      <c r="N78" s="598">
        <v>0</v>
      </c>
      <c r="O78" s="598">
        <v>0</v>
      </c>
      <c r="P78" s="598">
        <v>0</v>
      </c>
      <c r="Q78" s="598">
        <v>0</v>
      </c>
      <c r="R78" s="598">
        <v>0</v>
      </c>
      <c r="S78" s="598">
        <v>0</v>
      </c>
      <c r="T78" s="599">
        <v>0</v>
      </c>
      <c r="U78" s="600" t="e">
        <v>#DIV/0!</v>
      </c>
      <c r="V78" s="599">
        <v>0</v>
      </c>
      <c r="W78" s="599">
        <v>0</v>
      </c>
      <c r="X78" s="599">
        <v>0</v>
      </c>
      <c r="Y78" s="599">
        <v>0</v>
      </c>
      <c r="Z78" s="599">
        <v>0</v>
      </c>
      <c r="AA78" s="599">
        <v>0</v>
      </c>
      <c r="AB78" s="601"/>
    </row>
    <row r="79" spans="1:28" x14ac:dyDescent="0.2">
      <c r="A79" s="591" t="s">
        <v>1175</v>
      </c>
      <c r="B79" s="602" t="s">
        <v>470</v>
      </c>
      <c r="C79" s="585">
        <v>0</v>
      </c>
      <c r="D79" s="585">
        <v>0</v>
      </c>
      <c r="E79" s="585">
        <v>0</v>
      </c>
      <c r="F79" s="585">
        <v>0</v>
      </c>
      <c r="G79" s="585">
        <v>0</v>
      </c>
      <c r="H79" s="603">
        <v>0</v>
      </c>
      <c r="I79" s="603">
        <v>0</v>
      </c>
      <c r="J79" s="603">
        <v>0</v>
      </c>
      <c r="K79" s="603">
        <v>0</v>
      </c>
      <c r="L79" s="603">
        <v>0</v>
      </c>
      <c r="M79" s="603">
        <v>0</v>
      </c>
      <c r="N79" s="603">
        <v>0</v>
      </c>
      <c r="O79" s="603">
        <v>0</v>
      </c>
      <c r="P79" s="603">
        <v>0</v>
      </c>
      <c r="Q79" s="603">
        <v>0</v>
      </c>
      <c r="R79" s="603">
        <v>0</v>
      </c>
      <c r="S79" s="603">
        <v>0</v>
      </c>
      <c r="T79" s="603">
        <v>0</v>
      </c>
      <c r="U79" s="604" t="e">
        <v>#DIV/0!</v>
      </c>
      <c r="V79" s="603">
        <v>0</v>
      </c>
      <c r="W79" s="603">
        <v>0</v>
      </c>
      <c r="X79" s="603">
        <v>0</v>
      </c>
      <c r="Y79" s="603">
        <v>0</v>
      </c>
      <c r="Z79" s="603">
        <v>0</v>
      </c>
      <c r="AA79" s="603">
        <v>0</v>
      </c>
    </row>
    <row r="80" spans="1:28" x14ac:dyDescent="0.2">
      <c r="A80" s="591" t="s">
        <v>1176</v>
      </c>
      <c r="B80" s="602" t="s">
        <v>471</v>
      </c>
      <c r="C80" s="585">
        <v>0</v>
      </c>
      <c r="D80" s="585">
        <v>0</v>
      </c>
      <c r="E80" s="585">
        <v>0</v>
      </c>
      <c r="F80" s="585">
        <v>0</v>
      </c>
      <c r="G80" s="585">
        <v>0</v>
      </c>
      <c r="H80" s="603">
        <v>0</v>
      </c>
      <c r="I80" s="603">
        <v>0</v>
      </c>
      <c r="J80" s="603">
        <v>0</v>
      </c>
      <c r="K80" s="603">
        <v>0</v>
      </c>
      <c r="L80" s="603">
        <v>0</v>
      </c>
      <c r="M80" s="603">
        <v>0</v>
      </c>
      <c r="N80" s="603">
        <v>0</v>
      </c>
      <c r="O80" s="603">
        <v>0</v>
      </c>
      <c r="P80" s="603">
        <v>0</v>
      </c>
      <c r="Q80" s="603">
        <v>0</v>
      </c>
      <c r="R80" s="603">
        <v>0</v>
      </c>
      <c r="S80" s="603">
        <v>0</v>
      </c>
      <c r="T80" s="603">
        <v>0</v>
      </c>
      <c r="U80" s="604" t="e">
        <v>#DIV/0!</v>
      </c>
      <c r="V80" s="603">
        <v>0</v>
      </c>
      <c r="W80" s="603">
        <v>0</v>
      </c>
      <c r="X80" s="603">
        <v>0</v>
      </c>
      <c r="Y80" s="603">
        <v>0</v>
      </c>
      <c r="Z80" s="603">
        <v>0</v>
      </c>
      <c r="AA80" s="603">
        <v>0</v>
      </c>
    </row>
    <row r="81" spans="1:27" x14ac:dyDescent="0.2">
      <c r="A81" s="591"/>
      <c r="B81" s="597" t="s">
        <v>472</v>
      </c>
      <c r="C81" s="598">
        <v>0</v>
      </c>
      <c r="D81" s="598">
        <v>0</v>
      </c>
      <c r="E81" s="598">
        <v>0</v>
      </c>
      <c r="F81" s="598">
        <v>0</v>
      </c>
      <c r="G81" s="598">
        <v>0</v>
      </c>
      <c r="H81" s="598">
        <v>0</v>
      </c>
      <c r="I81" s="598">
        <v>0</v>
      </c>
      <c r="J81" s="598">
        <v>0</v>
      </c>
      <c r="K81" s="598">
        <v>0</v>
      </c>
      <c r="L81" s="598">
        <v>0</v>
      </c>
      <c r="M81" s="598">
        <v>0</v>
      </c>
      <c r="N81" s="598">
        <v>0</v>
      </c>
      <c r="O81" s="598">
        <v>0</v>
      </c>
      <c r="P81" s="598">
        <v>0</v>
      </c>
      <c r="Q81" s="598">
        <v>0</v>
      </c>
      <c r="R81" s="598">
        <v>0</v>
      </c>
      <c r="S81" s="598">
        <v>0</v>
      </c>
      <c r="T81" s="599">
        <v>0</v>
      </c>
      <c r="U81" s="600" t="e">
        <v>#DIV/0!</v>
      </c>
      <c r="V81" s="599">
        <v>0</v>
      </c>
      <c r="W81" s="599">
        <v>0</v>
      </c>
      <c r="X81" s="599">
        <v>0</v>
      </c>
      <c r="Y81" s="599">
        <v>0</v>
      </c>
      <c r="Z81" s="599">
        <v>0</v>
      </c>
      <c r="AA81" s="599">
        <v>0</v>
      </c>
    </row>
    <row r="82" spans="1:27" x14ac:dyDescent="0.2">
      <c r="A82" s="591" t="s">
        <v>1177</v>
      </c>
      <c r="B82" s="605" t="s">
        <v>473</v>
      </c>
      <c r="C82" s="585">
        <v>0</v>
      </c>
      <c r="D82" s="585">
        <v>0</v>
      </c>
      <c r="E82" s="585">
        <v>0</v>
      </c>
      <c r="F82" s="585">
        <v>0</v>
      </c>
      <c r="G82" s="585">
        <v>0</v>
      </c>
      <c r="H82" s="603">
        <v>0</v>
      </c>
      <c r="I82" s="603">
        <v>0</v>
      </c>
      <c r="J82" s="603">
        <v>0</v>
      </c>
      <c r="K82" s="603">
        <v>0</v>
      </c>
      <c r="L82" s="603">
        <v>0</v>
      </c>
      <c r="M82" s="603">
        <v>0</v>
      </c>
      <c r="N82" s="603">
        <v>0</v>
      </c>
      <c r="O82" s="603">
        <v>0</v>
      </c>
      <c r="P82" s="603">
        <v>0</v>
      </c>
      <c r="Q82" s="603">
        <v>0</v>
      </c>
      <c r="R82" s="603">
        <v>0</v>
      </c>
      <c r="S82" s="603">
        <v>0</v>
      </c>
      <c r="T82" s="603">
        <v>0</v>
      </c>
      <c r="U82" s="604" t="e">
        <v>#DIV/0!</v>
      </c>
      <c r="V82" s="603">
        <v>0</v>
      </c>
      <c r="W82" s="603">
        <v>0</v>
      </c>
      <c r="X82" s="603">
        <v>0</v>
      </c>
      <c r="Y82" s="603">
        <v>0</v>
      </c>
      <c r="Z82" s="603">
        <v>0</v>
      </c>
      <c r="AA82" s="603">
        <v>0</v>
      </c>
    </row>
    <row r="83" spans="1:27" x14ac:dyDescent="0.2">
      <c r="A83" s="591" t="s">
        <v>1178</v>
      </c>
      <c r="B83" s="605" t="s">
        <v>474</v>
      </c>
      <c r="C83" s="585">
        <v>0</v>
      </c>
      <c r="D83" s="585">
        <v>0</v>
      </c>
      <c r="E83" s="585">
        <v>0</v>
      </c>
      <c r="F83" s="585">
        <v>0</v>
      </c>
      <c r="G83" s="585">
        <v>0</v>
      </c>
      <c r="H83" s="603">
        <v>0</v>
      </c>
      <c r="I83" s="603">
        <v>0</v>
      </c>
      <c r="J83" s="603">
        <v>0</v>
      </c>
      <c r="K83" s="603">
        <v>0</v>
      </c>
      <c r="L83" s="603">
        <v>0</v>
      </c>
      <c r="M83" s="603">
        <v>0</v>
      </c>
      <c r="N83" s="603">
        <v>0</v>
      </c>
      <c r="O83" s="603">
        <v>0</v>
      </c>
      <c r="P83" s="603">
        <v>0</v>
      </c>
      <c r="Q83" s="603">
        <v>0</v>
      </c>
      <c r="R83" s="603">
        <v>0</v>
      </c>
      <c r="S83" s="603">
        <v>0</v>
      </c>
      <c r="T83" s="603">
        <v>0</v>
      </c>
      <c r="U83" s="604" t="e">
        <v>#DIV/0!</v>
      </c>
      <c r="V83" s="603">
        <v>0</v>
      </c>
      <c r="W83" s="603">
        <v>0</v>
      </c>
      <c r="X83" s="603">
        <v>0</v>
      </c>
      <c r="Y83" s="603">
        <v>0</v>
      </c>
      <c r="Z83" s="603">
        <v>0</v>
      </c>
      <c r="AA83" s="603">
        <v>0</v>
      </c>
    </row>
    <row r="84" spans="1:27" x14ac:dyDescent="0.2">
      <c r="A84" s="591" t="s">
        <v>1179</v>
      </c>
      <c r="B84" s="605" t="s">
        <v>475</v>
      </c>
      <c r="C84" s="585">
        <v>0</v>
      </c>
      <c r="D84" s="585">
        <v>0</v>
      </c>
      <c r="E84" s="585">
        <v>0</v>
      </c>
      <c r="F84" s="585">
        <v>0</v>
      </c>
      <c r="G84" s="585">
        <v>0</v>
      </c>
      <c r="H84" s="603">
        <v>0</v>
      </c>
      <c r="I84" s="603">
        <v>0</v>
      </c>
      <c r="J84" s="603">
        <v>0</v>
      </c>
      <c r="K84" s="603">
        <v>0</v>
      </c>
      <c r="L84" s="603">
        <v>0</v>
      </c>
      <c r="M84" s="603">
        <v>0</v>
      </c>
      <c r="N84" s="603">
        <v>0</v>
      </c>
      <c r="O84" s="603">
        <v>0</v>
      </c>
      <c r="P84" s="603">
        <v>0</v>
      </c>
      <c r="Q84" s="603">
        <v>0</v>
      </c>
      <c r="R84" s="603">
        <v>0</v>
      </c>
      <c r="S84" s="603">
        <v>0</v>
      </c>
      <c r="T84" s="603">
        <v>0</v>
      </c>
      <c r="U84" s="604" t="e">
        <v>#DIV/0!</v>
      </c>
      <c r="V84" s="603">
        <v>0</v>
      </c>
      <c r="W84" s="603">
        <v>0</v>
      </c>
      <c r="X84" s="603">
        <v>0</v>
      </c>
      <c r="Y84" s="603">
        <v>0</v>
      </c>
      <c r="Z84" s="603">
        <v>0</v>
      </c>
      <c r="AA84" s="603">
        <v>0</v>
      </c>
    </row>
    <row r="85" spans="1:27" x14ac:dyDescent="0.2">
      <c r="A85" s="591" t="s">
        <v>1180</v>
      </c>
      <c r="B85" s="605" t="s">
        <v>476</v>
      </c>
      <c r="C85" s="585">
        <v>0</v>
      </c>
      <c r="D85" s="585">
        <v>0</v>
      </c>
      <c r="E85" s="585">
        <v>0</v>
      </c>
      <c r="F85" s="585">
        <v>0</v>
      </c>
      <c r="G85" s="585">
        <v>0</v>
      </c>
      <c r="H85" s="603">
        <v>0</v>
      </c>
      <c r="I85" s="603">
        <v>0</v>
      </c>
      <c r="J85" s="603">
        <v>0</v>
      </c>
      <c r="K85" s="603">
        <v>0</v>
      </c>
      <c r="L85" s="603">
        <v>0</v>
      </c>
      <c r="M85" s="603">
        <v>0</v>
      </c>
      <c r="N85" s="603">
        <v>0</v>
      </c>
      <c r="O85" s="603">
        <v>0</v>
      </c>
      <c r="P85" s="603">
        <v>0</v>
      </c>
      <c r="Q85" s="603">
        <v>0</v>
      </c>
      <c r="R85" s="603">
        <v>0</v>
      </c>
      <c r="S85" s="603">
        <v>0</v>
      </c>
      <c r="T85" s="603">
        <v>0</v>
      </c>
      <c r="U85" s="604" t="e">
        <v>#DIV/0!</v>
      </c>
      <c r="V85" s="603">
        <v>0</v>
      </c>
      <c r="W85" s="603">
        <v>0</v>
      </c>
      <c r="X85" s="603">
        <v>0</v>
      </c>
      <c r="Y85" s="603">
        <v>0</v>
      </c>
      <c r="Z85" s="603">
        <v>0</v>
      </c>
      <c r="AA85" s="603">
        <v>0</v>
      </c>
    </row>
    <row r="86" spans="1:27" x14ac:dyDescent="0.2">
      <c r="A86" s="591" t="s">
        <v>1181</v>
      </c>
      <c r="B86" s="605" t="s">
        <v>477</v>
      </c>
      <c r="C86" s="585">
        <v>0</v>
      </c>
      <c r="D86" s="585">
        <v>0</v>
      </c>
      <c r="E86" s="585">
        <v>0</v>
      </c>
      <c r="F86" s="585">
        <v>0</v>
      </c>
      <c r="G86" s="585">
        <v>0</v>
      </c>
      <c r="H86" s="603">
        <v>0</v>
      </c>
      <c r="I86" s="603">
        <v>0</v>
      </c>
      <c r="J86" s="603">
        <v>0</v>
      </c>
      <c r="K86" s="603">
        <v>0</v>
      </c>
      <c r="L86" s="603">
        <v>0</v>
      </c>
      <c r="M86" s="603">
        <v>0</v>
      </c>
      <c r="N86" s="603">
        <v>0</v>
      </c>
      <c r="O86" s="603">
        <v>0</v>
      </c>
      <c r="P86" s="603">
        <v>0</v>
      </c>
      <c r="Q86" s="603">
        <v>0</v>
      </c>
      <c r="R86" s="603">
        <v>0</v>
      </c>
      <c r="S86" s="603">
        <v>0</v>
      </c>
      <c r="T86" s="603">
        <v>0</v>
      </c>
      <c r="U86" s="604" t="e">
        <v>#DIV/0!</v>
      </c>
      <c r="V86" s="603">
        <v>0</v>
      </c>
      <c r="W86" s="603">
        <v>0</v>
      </c>
      <c r="X86" s="603">
        <v>0</v>
      </c>
      <c r="Y86" s="603">
        <v>0</v>
      </c>
      <c r="Z86" s="603">
        <v>0</v>
      </c>
      <c r="AA86" s="603">
        <v>0</v>
      </c>
    </row>
    <row r="87" spans="1:27" x14ac:dyDescent="0.2">
      <c r="A87" s="591" t="s">
        <v>1182</v>
      </c>
      <c r="B87" s="605" t="s">
        <v>478</v>
      </c>
      <c r="C87" s="585">
        <v>0</v>
      </c>
      <c r="D87" s="585">
        <v>0</v>
      </c>
      <c r="E87" s="585">
        <v>0</v>
      </c>
      <c r="F87" s="585">
        <v>0</v>
      </c>
      <c r="G87" s="585">
        <v>0</v>
      </c>
      <c r="H87" s="603">
        <v>0</v>
      </c>
      <c r="I87" s="603">
        <v>0</v>
      </c>
      <c r="J87" s="603">
        <v>0</v>
      </c>
      <c r="K87" s="603">
        <v>0</v>
      </c>
      <c r="L87" s="603">
        <v>0</v>
      </c>
      <c r="M87" s="603">
        <v>0</v>
      </c>
      <c r="N87" s="603">
        <v>0</v>
      </c>
      <c r="O87" s="603">
        <v>0</v>
      </c>
      <c r="P87" s="603">
        <v>0</v>
      </c>
      <c r="Q87" s="603">
        <v>0</v>
      </c>
      <c r="R87" s="603">
        <v>0</v>
      </c>
      <c r="S87" s="603">
        <v>0</v>
      </c>
      <c r="T87" s="603">
        <v>0</v>
      </c>
      <c r="U87" s="604" t="e">
        <v>#DIV/0!</v>
      </c>
      <c r="V87" s="603">
        <v>0</v>
      </c>
      <c r="W87" s="603">
        <v>0</v>
      </c>
      <c r="X87" s="603">
        <v>0</v>
      </c>
      <c r="Y87" s="603">
        <v>0</v>
      </c>
      <c r="Z87" s="603">
        <v>0</v>
      </c>
      <c r="AA87" s="603">
        <v>0</v>
      </c>
    </row>
    <row r="88" spans="1:27" x14ac:dyDescent="0.2">
      <c r="A88" s="591" t="s">
        <v>1183</v>
      </c>
      <c r="B88" s="605" t="s">
        <v>479</v>
      </c>
      <c r="C88" s="585">
        <v>0</v>
      </c>
      <c r="D88" s="585">
        <v>0</v>
      </c>
      <c r="E88" s="585">
        <v>0</v>
      </c>
      <c r="F88" s="585">
        <v>0</v>
      </c>
      <c r="G88" s="585">
        <v>0</v>
      </c>
      <c r="H88" s="603">
        <v>0</v>
      </c>
      <c r="I88" s="603">
        <v>0</v>
      </c>
      <c r="J88" s="603">
        <v>0</v>
      </c>
      <c r="K88" s="603">
        <v>0</v>
      </c>
      <c r="L88" s="603">
        <v>0</v>
      </c>
      <c r="M88" s="603">
        <v>0</v>
      </c>
      <c r="N88" s="603">
        <v>0</v>
      </c>
      <c r="O88" s="603">
        <v>0</v>
      </c>
      <c r="P88" s="603">
        <v>0</v>
      </c>
      <c r="Q88" s="603">
        <v>0</v>
      </c>
      <c r="R88" s="603">
        <v>0</v>
      </c>
      <c r="S88" s="603">
        <v>0</v>
      </c>
      <c r="T88" s="603">
        <v>0</v>
      </c>
      <c r="U88" s="604" t="e">
        <v>#DIV/0!</v>
      </c>
      <c r="V88" s="603">
        <v>0</v>
      </c>
      <c r="W88" s="603">
        <v>0</v>
      </c>
      <c r="X88" s="603">
        <v>0</v>
      </c>
      <c r="Y88" s="603">
        <v>0</v>
      </c>
      <c r="Z88" s="603">
        <v>0</v>
      </c>
      <c r="AA88" s="603">
        <v>0</v>
      </c>
    </row>
    <row r="89" spans="1:27" x14ac:dyDescent="0.2">
      <c r="A89" s="591" t="s">
        <v>1184</v>
      </c>
      <c r="B89" s="605" t="s">
        <v>480</v>
      </c>
      <c r="C89" s="585">
        <v>0</v>
      </c>
      <c r="D89" s="585">
        <v>0</v>
      </c>
      <c r="E89" s="585">
        <v>0</v>
      </c>
      <c r="F89" s="585">
        <v>0</v>
      </c>
      <c r="G89" s="585">
        <v>0</v>
      </c>
      <c r="H89" s="603">
        <v>0</v>
      </c>
      <c r="I89" s="603">
        <v>0</v>
      </c>
      <c r="J89" s="603">
        <v>0</v>
      </c>
      <c r="K89" s="603">
        <v>0</v>
      </c>
      <c r="L89" s="603">
        <v>0</v>
      </c>
      <c r="M89" s="603">
        <v>0</v>
      </c>
      <c r="N89" s="603">
        <v>0</v>
      </c>
      <c r="O89" s="603">
        <v>0</v>
      </c>
      <c r="P89" s="603">
        <v>0</v>
      </c>
      <c r="Q89" s="603">
        <v>0</v>
      </c>
      <c r="R89" s="603">
        <v>0</v>
      </c>
      <c r="S89" s="603">
        <v>0</v>
      </c>
      <c r="T89" s="603">
        <v>0</v>
      </c>
      <c r="U89" s="604" t="e">
        <v>#DIV/0!</v>
      </c>
      <c r="V89" s="603">
        <v>0</v>
      </c>
      <c r="W89" s="603">
        <v>0</v>
      </c>
      <c r="X89" s="603">
        <v>0</v>
      </c>
      <c r="Y89" s="603">
        <v>0</v>
      </c>
      <c r="Z89" s="603">
        <v>0</v>
      </c>
      <c r="AA89" s="603">
        <v>0</v>
      </c>
    </row>
    <row r="90" spans="1:27" x14ac:dyDescent="0.2">
      <c r="A90" s="591" t="s">
        <v>1185</v>
      </c>
      <c r="B90" s="605" t="s">
        <v>481</v>
      </c>
      <c r="C90" s="585">
        <v>0</v>
      </c>
      <c r="D90" s="585">
        <v>0</v>
      </c>
      <c r="E90" s="585">
        <v>0</v>
      </c>
      <c r="F90" s="585">
        <v>0</v>
      </c>
      <c r="G90" s="585">
        <v>0</v>
      </c>
      <c r="H90" s="603">
        <v>0</v>
      </c>
      <c r="I90" s="603">
        <v>0</v>
      </c>
      <c r="J90" s="603">
        <v>0</v>
      </c>
      <c r="K90" s="603">
        <v>0</v>
      </c>
      <c r="L90" s="603">
        <v>0</v>
      </c>
      <c r="M90" s="603">
        <v>0</v>
      </c>
      <c r="N90" s="603">
        <v>0</v>
      </c>
      <c r="O90" s="603">
        <v>0</v>
      </c>
      <c r="P90" s="603">
        <v>0</v>
      </c>
      <c r="Q90" s="603">
        <v>0</v>
      </c>
      <c r="R90" s="603">
        <v>0</v>
      </c>
      <c r="S90" s="603">
        <v>0</v>
      </c>
      <c r="T90" s="603">
        <v>0</v>
      </c>
      <c r="U90" s="604" t="e">
        <v>#DIV/0!</v>
      </c>
      <c r="V90" s="603">
        <v>0</v>
      </c>
      <c r="W90" s="603">
        <v>0</v>
      </c>
      <c r="X90" s="603">
        <v>0</v>
      </c>
      <c r="Y90" s="603">
        <v>0</v>
      </c>
      <c r="Z90" s="603">
        <v>0</v>
      </c>
      <c r="AA90" s="603">
        <v>0</v>
      </c>
    </row>
    <row r="91" spans="1:27" x14ac:dyDescent="0.2">
      <c r="A91" s="591" t="s">
        <v>1186</v>
      </c>
      <c r="B91" s="605" t="s">
        <v>482</v>
      </c>
      <c r="C91" s="585">
        <v>0</v>
      </c>
      <c r="D91" s="585">
        <v>0</v>
      </c>
      <c r="E91" s="585">
        <v>0</v>
      </c>
      <c r="F91" s="585">
        <v>0</v>
      </c>
      <c r="G91" s="585">
        <v>0</v>
      </c>
      <c r="H91" s="603">
        <v>0</v>
      </c>
      <c r="I91" s="603">
        <v>0</v>
      </c>
      <c r="J91" s="603">
        <v>0</v>
      </c>
      <c r="K91" s="603">
        <v>0</v>
      </c>
      <c r="L91" s="603">
        <v>0</v>
      </c>
      <c r="M91" s="603">
        <v>0</v>
      </c>
      <c r="N91" s="603">
        <v>0</v>
      </c>
      <c r="O91" s="603">
        <v>0</v>
      </c>
      <c r="P91" s="603">
        <v>0</v>
      </c>
      <c r="Q91" s="603">
        <v>0</v>
      </c>
      <c r="R91" s="603">
        <v>0</v>
      </c>
      <c r="S91" s="603">
        <v>0</v>
      </c>
      <c r="T91" s="603">
        <v>0</v>
      </c>
      <c r="U91" s="604" t="e">
        <v>#DIV/0!</v>
      </c>
      <c r="V91" s="603">
        <v>0</v>
      </c>
      <c r="W91" s="603">
        <v>0</v>
      </c>
      <c r="X91" s="603">
        <v>0</v>
      </c>
      <c r="Y91" s="603">
        <v>0</v>
      </c>
      <c r="Z91" s="603">
        <v>0</v>
      </c>
      <c r="AA91" s="603">
        <v>0</v>
      </c>
    </row>
    <row r="92" spans="1:27" x14ac:dyDescent="0.2">
      <c r="A92" s="591" t="s">
        <v>1187</v>
      </c>
      <c r="B92" s="605" t="s">
        <v>483</v>
      </c>
      <c r="C92" s="585">
        <v>0</v>
      </c>
      <c r="D92" s="585">
        <v>0</v>
      </c>
      <c r="E92" s="585">
        <v>0</v>
      </c>
      <c r="F92" s="585">
        <v>0</v>
      </c>
      <c r="G92" s="585">
        <v>0</v>
      </c>
      <c r="H92" s="603">
        <v>0</v>
      </c>
      <c r="I92" s="603">
        <v>0</v>
      </c>
      <c r="J92" s="603">
        <v>0</v>
      </c>
      <c r="K92" s="603">
        <v>0</v>
      </c>
      <c r="L92" s="603">
        <v>0</v>
      </c>
      <c r="M92" s="603">
        <v>0</v>
      </c>
      <c r="N92" s="603">
        <v>0</v>
      </c>
      <c r="O92" s="603">
        <v>0</v>
      </c>
      <c r="P92" s="603">
        <v>0</v>
      </c>
      <c r="Q92" s="603">
        <v>0</v>
      </c>
      <c r="R92" s="603">
        <v>0</v>
      </c>
      <c r="S92" s="603">
        <v>0</v>
      </c>
      <c r="T92" s="603">
        <v>0</v>
      </c>
      <c r="U92" s="604" t="e">
        <v>#DIV/0!</v>
      </c>
      <c r="V92" s="603">
        <v>0</v>
      </c>
      <c r="W92" s="603">
        <v>0</v>
      </c>
      <c r="X92" s="603">
        <v>0</v>
      </c>
      <c r="Y92" s="603">
        <v>0</v>
      </c>
      <c r="Z92" s="603">
        <v>0</v>
      </c>
      <c r="AA92" s="603">
        <v>0</v>
      </c>
    </row>
    <row r="93" spans="1:27" x14ac:dyDescent="0.2">
      <c r="A93" s="591" t="s">
        <v>1188</v>
      </c>
      <c r="B93" s="605" t="s">
        <v>484</v>
      </c>
      <c r="C93" s="585">
        <v>0</v>
      </c>
      <c r="D93" s="585">
        <v>0</v>
      </c>
      <c r="E93" s="585">
        <v>0</v>
      </c>
      <c r="F93" s="585">
        <v>0</v>
      </c>
      <c r="G93" s="585">
        <v>0</v>
      </c>
      <c r="H93" s="603">
        <v>0</v>
      </c>
      <c r="I93" s="603">
        <v>0</v>
      </c>
      <c r="J93" s="603">
        <v>0</v>
      </c>
      <c r="K93" s="603">
        <v>0</v>
      </c>
      <c r="L93" s="603">
        <v>0</v>
      </c>
      <c r="M93" s="603">
        <v>0</v>
      </c>
      <c r="N93" s="603">
        <v>0</v>
      </c>
      <c r="O93" s="603">
        <v>0</v>
      </c>
      <c r="P93" s="603">
        <v>0</v>
      </c>
      <c r="Q93" s="603">
        <v>0</v>
      </c>
      <c r="R93" s="603">
        <v>0</v>
      </c>
      <c r="S93" s="603">
        <v>0</v>
      </c>
      <c r="T93" s="603">
        <v>0</v>
      </c>
      <c r="U93" s="604" t="e">
        <v>#DIV/0!</v>
      </c>
      <c r="V93" s="603">
        <v>0</v>
      </c>
      <c r="W93" s="603">
        <v>0</v>
      </c>
      <c r="X93" s="603">
        <v>0</v>
      </c>
      <c r="Y93" s="603">
        <v>0</v>
      </c>
      <c r="Z93" s="603">
        <v>0</v>
      </c>
      <c r="AA93" s="603">
        <v>0</v>
      </c>
    </row>
    <row r="94" spans="1:27" x14ac:dyDescent="0.2">
      <c r="A94" s="591" t="s">
        <v>1189</v>
      </c>
      <c r="B94" s="605" t="s">
        <v>485</v>
      </c>
      <c r="C94" s="585">
        <v>0</v>
      </c>
      <c r="D94" s="585">
        <v>0</v>
      </c>
      <c r="E94" s="585">
        <v>0</v>
      </c>
      <c r="F94" s="585">
        <v>0</v>
      </c>
      <c r="G94" s="585">
        <v>0</v>
      </c>
      <c r="H94" s="603">
        <v>0</v>
      </c>
      <c r="I94" s="603">
        <v>0</v>
      </c>
      <c r="J94" s="603">
        <v>0</v>
      </c>
      <c r="K94" s="603">
        <v>0</v>
      </c>
      <c r="L94" s="603">
        <v>0</v>
      </c>
      <c r="M94" s="603">
        <v>0</v>
      </c>
      <c r="N94" s="603">
        <v>0</v>
      </c>
      <c r="O94" s="603">
        <v>0</v>
      </c>
      <c r="P94" s="603">
        <v>0</v>
      </c>
      <c r="Q94" s="603">
        <v>0</v>
      </c>
      <c r="R94" s="603">
        <v>0</v>
      </c>
      <c r="S94" s="603">
        <v>0</v>
      </c>
      <c r="T94" s="603">
        <v>0</v>
      </c>
      <c r="U94" s="604" t="e">
        <v>#DIV/0!</v>
      </c>
      <c r="V94" s="603">
        <v>0</v>
      </c>
      <c r="W94" s="603">
        <v>0</v>
      </c>
      <c r="X94" s="603">
        <v>0</v>
      </c>
      <c r="Y94" s="603">
        <v>0</v>
      </c>
      <c r="Z94" s="603">
        <v>0</v>
      </c>
      <c r="AA94" s="603">
        <v>0</v>
      </c>
    </row>
    <row r="95" spans="1:27" x14ac:dyDescent="0.2">
      <c r="A95" s="591" t="s">
        <v>1190</v>
      </c>
      <c r="B95" s="605" t="s">
        <v>486</v>
      </c>
      <c r="C95" s="585">
        <v>0</v>
      </c>
      <c r="D95" s="585">
        <v>0</v>
      </c>
      <c r="E95" s="585">
        <v>0</v>
      </c>
      <c r="F95" s="585">
        <v>0</v>
      </c>
      <c r="G95" s="585">
        <v>0</v>
      </c>
      <c r="H95" s="603">
        <v>0</v>
      </c>
      <c r="I95" s="603">
        <v>0</v>
      </c>
      <c r="J95" s="603">
        <v>0</v>
      </c>
      <c r="K95" s="603">
        <v>0</v>
      </c>
      <c r="L95" s="603">
        <v>0</v>
      </c>
      <c r="M95" s="603">
        <v>0</v>
      </c>
      <c r="N95" s="603">
        <v>0</v>
      </c>
      <c r="O95" s="603">
        <v>0</v>
      </c>
      <c r="P95" s="603">
        <v>0</v>
      </c>
      <c r="Q95" s="603">
        <v>0</v>
      </c>
      <c r="R95" s="603">
        <v>0</v>
      </c>
      <c r="S95" s="603">
        <v>0</v>
      </c>
      <c r="T95" s="603">
        <v>0</v>
      </c>
      <c r="U95" s="604" t="e">
        <v>#DIV/0!</v>
      </c>
      <c r="V95" s="603">
        <v>0</v>
      </c>
      <c r="W95" s="603">
        <v>0</v>
      </c>
      <c r="X95" s="603">
        <v>0</v>
      </c>
      <c r="Y95" s="603">
        <v>0</v>
      </c>
      <c r="Z95" s="603">
        <v>0</v>
      </c>
      <c r="AA95" s="603">
        <v>0</v>
      </c>
    </row>
    <row r="96" spans="1:27" x14ac:dyDescent="0.2">
      <c r="A96" s="591" t="s">
        <v>1191</v>
      </c>
      <c r="B96" s="605" t="s">
        <v>487</v>
      </c>
      <c r="C96" s="585">
        <v>0</v>
      </c>
      <c r="D96" s="585">
        <v>0</v>
      </c>
      <c r="E96" s="585">
        <v>0</v>
      </c>
      <c r="F96" s="585">
        <v>0</v>
      </c>
      <c r="G96" s="585">
        <v>0</v>
      </c>
      <c r="H96" s="603">
        <v>0</v>
      </c>
      <c r="I96" s="603">
        <v>0</v>
      </c>
      <c r="J96" s="603">
        <v>0</v>
      </c>
      <c r="K96" s="603">
        <v>0</v>
      </c>
      <c r="L96" s="603">
        <v>0</v>
      </c>
      <c r="M96" s="603">
        <v>0</v>
      </c>
      <c r="N96" s="603">
        <v>0</v>
      </c>
      <c r="O96" s="603">
        <v>0</v>
      </c>
      <c r="P96" s="603">
        <v>0</v>
      </c>
      <c r="Q96" s="603">
        <v>0</v>
      </c>
      <c r="R96" s="603">
        <v>0</v>
      </c>
      <c r="S96" s="603">
        <v>0</v>
      </c>
      <c r="T96" s="603">
        <v>0</v>
      </c>
      <c r="U96" s="604" t="e">
        <v>#DIV/0!</v>
      </c>
      <c r="V96" s="603">
        <v>0</v>
      </c>
      <c r="W96" s="603">
        <v>0</v>
      </c>
      <c r="X96" s="603">
        <v>0</v>
      </c>
      <c r="Y96" s="603">
        <v>0</v>
      </c>
      <c r="Z96" s="603">
        <v>0</v>
      </c>
      <c r="AA96" s="603">
        <v>0</v>
      </c>
    </row>
    <row r="97" spans="1:27" x14ac:dyDescent="0.2">
      <c r="A97" s="591" t="s">
        <v>1192</v>
      </c>
      <c r="B97" s="605" t="s">
        <v>488</v>
      </c>
      <c r="C97" s="585">
        <v>0</v>
      </c>
      <c r="D97" s="585">
        <v>0</v>
      </c>
      <c r="E97" s="585">
        <v>0</v>
      </c>
      <c r="F97" s="585">
        <v>0</v>
      </c>
      <c r="G97" s="585">
        <v>0</v>
      </c>
      <c r="H97" s="603">
        <v>0</v>
      </c>
      <c r="I97" s="603">
        <v>0</v>
      </c>
      <c r="J97" s="603">
        <v>0</v>
      </c>
      <c r="K97" s="603">
        <v>0</v>
      </c>
      <c r="L97" s="603">
        <v>0</v>
      </c>
      <c r="M97" s="603">
        <v>0</v>
      </c>
      <c r="N97" s="603">
        <v>0</v>
      </c>
      <c r="O97" s="603">
        <v>0</v>
      </c>
      <c r="P97" s="603">
        <v>0</v>
      </c>
      <c r="Q97" s="603">
        <v>0</v>
      </c>
      <c r="R97" s="603">
        <v>0</v>
      </c>
      <c r="S97" s="603">
        <v>0</v>
      </c>
      <c r="T97" s="603">
        <v>0</v>
      </c>
      <c r="U97" s="604" t="e">
        <v>#DIV/0!</v>
      </c>
      <c r="V97" s="603">
        <v>0</v>
      </c>
      <c r="W97" s="603">
        <v>0</v>
      </c>
      <c r="X97" s="603">
        <v>0</v>
      </c>
      <c r="Y97" s="603">
        <v>0</v>
      </c>
      <c r="Z97" s="603">
        <v>0</v>
      </c>
      <c r="AA97" s="603">
        <v>0</v>
      </c>
    </row>
    <row r="98" spans="1:27" x14ac:dyDescent="0.2">
      <c r="A98" s="591" t="s">
        <v>1193</v>
      </c>
      <c r="B98" s="605" t="s">
        <v>489</v>
      </c>
      <c r="C98" s="585">
        <v>0</v>
      </c>
      <c r="D98" s="585">
        <v>0</v>
      </c>
      <c r="E98" s="585">
        <v>0</v>
      </c>
      <c r="F98" s="585">
        <v>0</v>
      </c>
      <c r="G98" s="585">
        <v>0</v>
      </c>
      <c r="H98" s="603">
        <v>0</v>
      </c>
      <c r="I98" s="603">
        <v>0</v>
      </c>
      <c r="J98" s="603">
        <v>0</v>
      </c>
      <c r="K98" s="603">
        <v>0</v>
      </c>
      <c r="L98" s="603">
        <v>0</v>
      </c>
      <c r="M98" s="603">
        <v>0</v>
      </c>
      <c r="N98" s="603">
        <v>0</v>
      </c>
      <c r="O98" s="603">
        <v>0</v>
      </c>
      <c r="P98" s="603">
        <v>0</v>
      </c>
      <c r="Q98" s="603">
        <v>0</v>
      </c>
      <c r="R98" s="603">
        <v>0</v>
      </c>
      <c r="S98" s="603">
        <v>0</v>
      </c>
      <c r="T98" s="603">
        <v>0</v>
      </c>
      <c r="U98" s="604" t="e">
        <v>#DIV/0!</v>
      </c>
      <c r="V98" s="603">
        <v>0</v>
      </c>
      <c r="W98" s="603">
        <v>0</v>
      </c>
      <c r="X98" s="603">
        <v>0</v>
      </c>
      <c r="Y98" s="603">
        <v>0</v>
      </c>
      <c r="Z98" s="603">
        <v>0</v>
      </c>
      <c r="AA98" s="603">
        <v>0</v>
      </c>
    </row>
    <row r="99" spans="1:27" x14ac:dyDescent="0.2">
      <c r="A99" s="591" t="s">
        <v>1194</v>
      </c>
      <c r="B99" s="605" t="s">
        <v>490</v>
      </c>
      <c r="C99" s="585">
        <v>0</v>
      </c>
      <c r="D99" s="585">
        <v>0</v>
      </c>
      <c r="E99" s="585">
        <v>0</v>
      </c>
      <c r="F99" s="585">
        <v>0</v>
      </c>
      <c r="G99" s="585">
        <v>0</v>
      </c>
      <c r="H99" s="603">
        <v>0</v>
      </c>
      <c r="I99" s="603">
        <v>0</v>
      </c>
      <c r="J99" s="603">
        <v>0</v>
      </c>
      <c r="K99" s="603">
        <v>0</v>
      </c>
      <c r="L99" s="603">
        <v>0</v>
      </c>
      <c r="M99" s="603">
        <v>0</v>
      </c>
      <c r="N99" s="603">
        <v>0</v>
      </c>
      <c r="O99" s="603">
        <v>0</v>
      </c>
      <c r="P99" s="603">
        <v>0</v>
      </c>
      <c r="Q99" s="603">
        <v>0</v>
      </c>
      <c r="R99" s="603">
        <v>0</v>
      </c>
      <c r="S99" s="603">
        <v>0</v>
      </c>
      <c r="T99" s="603">
        <v>0</v>
      </c>
      <c r="U99" s="604" t="e">
        <v>#DIV/0!</v>
      </c>
      <c r="V99" s="603">
        <v>0</v>
      </c>
      <c r="W99" s="603">
        <v>0</v>
      </c>
      <c r="X99" s="603">
        <v>0</v>
      </c>
      <c r="Y99" s="603">
        <v>0</v>
      </c>
      <c r="Z99" s="603">
        <v>0</v>
      </c>
      <c r="AA99" s="603">
        <v>0</v>
      </c>
    </row>
    <row r="100" spans="1:27" x14ac:dyDescent="0.2">
      <c r="A100" s="591" t="s">
        <v>1195</v>
      </c>
      <c r="B100" s="605" t="s">
        <v>491</v>
      </c>
      <c r="C100" s="585">
        <v>0</v>
      </c>
      <c r="D100" s="585">
        <v>0</v>
      </c>
      <c r="E100" s="585">
        <v>0</v>
      </c>
      <c r="F100" s="585">
        <v>0</v>
      </c>
      <c r="G100" s="585">
        <v>0</v>
      </c>
      <c r="H100" s="603">
        <v>0</v>
      </c>
      <c r="I100" s="603">
        <v>0</v>
      </c>
      <c r="J100" s="603">
        <v>0</v>
      </c>
      <c r="K100" s="603">
        <v>0</v>
      </c>
      <c r="L100" s="603">
        <v>0</v>
      </c>
      <c r="M100" s="603">
        <v>0</v>
      </c>
      <c r="N100" s="603">
        <v>0</v>
      </c>
      <c r="O100" s="603">
        <v>0</v>
      </c>
      <c r="P100" s="603">
        <v>0</v>
      </c>
      <c r="Q100" s="603">
        <v>0</v>
      </c>
      <c r="R100" s="603">
        <v>0</v>
      </c>
      <c r="S100" s="603">
        <v>0</v>
      </c>
      <c r="T100" s="603">
        <v>0</v>
      </c>
      <c r="U100" s="604" t="e">
        <v>#DIV/0!</v>
      </c>
      <c r="V100" s="603">
        <v>0</v>
      </c>
      <c r="W100" s="603">
        <v>0</v>
      </c>
      <c r="X100" s="603">
        <v>0</v>
      </c>
      <c r="Y100" s="603">
        <v>0</v>
      </c>
      <c r="Z100" s="603">
        <v>0</v>
      </c>
      <c r="AA100" s="603">
        <v>0</v>
      </c>
    </row>
    <row r="101" spans="1:27" x14ac:dyDescent="0.2">
      <c r="A101" s="591" t="s">
        <v>1196</v>
      </c>
      <c r="B101" s="605" t="s">
        <v>492</v>
      </c>
      <c r="C101" s="585">
        <v>0</v>
      </c>
      <c r="D101" s="585">
        <v>0</v>
      </c>
      <c r="E101" s="585">
        <v>0</v>
      </c>
      <c r="F101" s="585">
        <v>0</v>
      </c>
      <c r="G101" s="585">
        <v>0</v>
      </c>
      <c r="H101" s="603">
        <v>0</v>
      </c>
      <c r="I101" s="603">
        <v>0</v>
      </c>
      <c r="J101" s="603">
        <v>0</v>
      </c>
      <c r="K101" s="603">
        <v>0</v>
      </c>
      <c r="L101" s="603">
        <v>0</v>
      </c>
      <c r="M101" s="603">
        <v>0</v>
      </c>
      <c r="N101" s="603">
        <v>0</v>
      </c>
      <c r="O101" s="603">
        <v>0</v>
      </c>
      <c r="P101" s="603">
        <v>0</v>
      </c>
      <c r="Q101" s="603">
        <v>0</v>
      </c>
      <c r="R101" s="603">
        <v>0</v>
      </c>
      <c r="S101" s="603">
        <v>0</v>
      </c>
      <c r="T101" s="603">
        <v>0</v>
      </c>
      <c r="U101" s="604" t="e">
        <v>#DIV/0!</v>
      </c>
      <c r="V101" s="603">
        <v>0</v>
      </c>
      <c r="W101" s="603">
        <v>0</v>
      </c>
      <c r="X101" s="603">
        <v>0</v>
      </c>
      <c r="Y101" s="603">
        <v>0</v>
      </c>
      <c r="Z101" s="603">
        <v>0</v>
      </c>
      <c r="AA101" s="603">
        <v>0</v>
      </c>
    </row>
    <row r="102" spans="1:27" x14ac:dyDescent="0.2">
      <c r="A102" s="591" t="s">
        <v>1197</v>
      </c>
      <c r="B102" s="605" t="s">
        <v>493</v>
      </c>
      <c r="C102" s="585">
        <v>0</v>
      </c>
      <c r="D102" s="585">
        <v>0</v>
      </c>
      <c r="E102" s="585">
        <v>0</v>
      </c>
      <c r="F102" s="585">
        <v>0</v>
      </c>
      <c r="G102" s="585">
        <v>0</v>
      </c>
      <c r="H102" s="603">
        <v>0</v>
      </c>
      <c r="I102" s="603">
        <v>0</v>
      </c>
      <c r="J102" s="603">
        <v>0</v>
      </c>
      <c r="K102" s="603">
        <v>0</v>
      </c>
      <c r="L102" s="603">
        <v>0</v>
      </c>
      <c r="M102" s="603">
        <v>0</v>
      </c>
      <c r="N102" s="603">
        <v>0</v>
      </c>
      <c r="O102" s="603">
        <v>0</v>
      </c>
      <c r="P102" s="603">
        <v>0</v>
      </c>
      <c r="Q102" s="603">
        <v>0</v>
      </c>
      <c r="R102" s="603">
        <v>0</v>
      </c>
      <c r="S102" s="603">
        <v>0</v>
      </c>
      <c r="T102" s="603">
        <v>0</v>
      </c>
      <c r="U102" s="604" t="e">
        <v>#DIV/0!</v>
      </c>
      <c r="V102" s="603">
        <v>0</v>
      </c>
      <c r="W102" s="603">
        <v>0</v>
      </c>
      <c r="X102" s="603">
        <v>0</v>
      </c>
      <c r="Y102" s="603">
        <v>0</v>
      </c>
      <c r="Z102" s="603">
        <v>0</v>
      </c>
      <c r="AA102" s="603">
        <v>0</v>
      </c>
    </row>
    <row r="103" spans="1:27" x14ac:dyDescent="0.2">
      <c r="A103" s="591" t="s">
        <v>1198</v>
      </c>
      <c r="B103" s="605" t="s">
        <v>494</v>
      </c>
      <c r="C103" s="585">
        <v>0</v>
      </c>
      <c r="D103" s="585">
        <v>0</v>
      </c>
      <c r="E103" s="585">
        <v>0</v>
      </c>
      <c r="F103" s="585">
        <v>0</v>
      </c>
      <c r="G103" s="585">
        <v>0</v>
      </c>
      <c r="H103" s="603">
        <v>0</v>
      </c>
      <c r="I103" s="603">
        <v>0</v>
      </c>
      <c r="J103" s="603">
        <v>0</v>
      </c>
      <c r="K103" s="603">
        <v>0</v>
      </c>
      <c r="L103" s="603">
        <v>0</v>
      </c>
      <c r="M103" s="603">
        <v>0</v>
      </c>
      <c r="N103" s="603">
        <v>0</v>
      </c>
      <c r="O103" s="603">
        <v>0</v>
      </c>
      <c r="P103" s="603">
        <v>0</v>
      </c>
      <c r="Q103" s="603">
        <v>0</v>
      </c>
      <c r="R103" s="603">
        <v>0</v>
      </c>
      <c r="S103" s="603">
        <v>0</v>
      </c>
      <c r="T103" s="603">
        <v>0</v>
      </c>
      <c r="U103" s="604" t="e">
        <v>#DIV/0!</v>
      </c>
      <c r="V103" s="603">
        <v>0</v>
      </c>
      <c r="W103" s="603">
        <v>0</v>
      </c>
      <c r="X103" s="603">
        <v>0</v>
      </c>
      <c r="Y103" s="603">
        <v>0</v>
      </c>
      <c r="Z103" s="603">
        <v>0</v>
      </c>
      <c r="AA103" s="603">
        <v>0</v>
      </c>
    </row>
    <row r="104" spans="1:27" ht="24" x14ac:dyDescent="0.2">
      <c r="A104" s="591" t="s">
        <v>1199</v>
      </c>
      <c r="B104" s="605" t="s">
        <v>495</v>
      </c>
      <c r="C104" s="585">
        <v>0</v>
      </c>
      <c r="D104" s="585">
        <v>0</v>
      </c>
      <c r="E104" s="585">
        <v>0</v>
      </c>
      <c r="F104" s="585">
        <v>0</v>
      </c>
      <c r="G104" s="585">
        <v>0</v>
      </c>
      <c r="H104" s="603">
        <v>0</v>
      </c>
      <c r="I104" s="603">
        <v>0</v>
      </c>
      <c r="J104" s="603">
        <v>0</v>
      </c>
      <c r="K104" s="603">
        <v>0</v>
      </c>
      <c r="L104" s="603">
        <v>0</v>
      </c>
      <c r="M104" s="603">
        <v>0</v>
      </c>
      <c r="N104" s="603">
        <v>0</v>
      </c>
      <c r="O104" s="603">
        <v>0</v>
      </c>
      <c r="P104" s="603">
        <v>0</v>
      </c>
      <c r="Q104" s="603">
        <v>0</v>
      </c>
      <c r="R104" s="603">
        <v>0</v>
      </c>
      <c r="S104" s="603">
        <v>0</v>
      </c>
      <c r="T104" s="603">
        <v>0</v>
      </c>
      <c r="U104" s="604" t="e">
        <v>#DIV/0!</v>
      </c>
      <c r="V104" s="603">
        <v>0</v>
      </c>
      <c r="W104" s="603">
        <v>0</v>
      </c>
      <c r="X104" s="603">
        <v>0</v>
      </c>
      <c r="Y104" s="603">
        <v>0</v>
      </c>
      <c r="Z104" s="603">
        <v>0</v>
      </c>
      <c r="AA104" s="603">
        <v>0</v>
      </c>
    </row>
    <row r="105" spans="1:27" x14ac:dyDescent="0.2">
      <c r="A105" s="591" t="s">
        <v>1200</v>
      </c>
      <c r="B105" s="605" t="s">
        <v>496</v>
      </c>
      <c r="C105" s="585">
        <v>0</v>
      </c>
      <c r="D105" s="585">
        <v>0</v>
      </c>
      <c r="E105" s="585">
        <v>0</v>
      </c>
      <c r="F105" s="585">
        <v>0</v>
      </c>
      <c r="G105" s="585">
        <v>0</v>
      </c>
      <c r="H105" s="603">
        <v>0</v>
      </c>
      <c r="I105" s="603">
        <v>0</v>
      </c>
      <c r="J105" s="603">
        <v>0</v>
      </c>
      <c r="K105" s="603">
        <v>0</v>
      </c>
      <c r="L105" s="603">
        <v>0</v>
      </c>
      <c r="M105" s="603">
        <v>0</v>
      </c>
      <c r="N105" s="603">
        <v>0</v>
      </c>
      <c r="O105" s="603">
        <v>0</v>
      </c>
      <c r="P105" s="603">
        <v>0</v>
      </c>
      <c r="Q105" s="603">
        <v>0</v>
      </c>
      <c r="R105" s="603">
        <v>0</v>
      </c>
      <c r="S105" s="603">
        <v>0</v>
      </c>
      <c r="T105" s="603">
        <v>0</v>
      </c>
      <c r="U105" s="604" t="e">
        <v>#DIV/0!</v>
      </c>
      <c r="V105" s="603">
        <v>0</v>
      </c>
      <c r="W105" s="603">
        <v>0</v>
      </c>
      <c r="X105" s="603">
        <v>0</v>
      </c>
      <c r="Y105" s="603">
        <v>0</v>
      </c>
      <c r="Z105" s="603">
        <v>0</v>
      </c>
      <c r="AA105" s="603">
        <v>0</v>
      </c>
    </row>
    <row r="106" spans="1:27" x14ac:dyDescent="0.2">
      <c r="A106" s="591" t="s">
        <v>1201</v>
      </c>
      <c r="B106" s="605" t="s">
        <v>497</v>
      </c>
      <c r="C106" s="585">
        <v>0</v>
      </c>
      <c r="D106" s="585">
        <v>0</v>
      </c>
      <c r="E106" s="585">
        <v>0</v>
      </c>
      <c r="F106" s="585">
        <v>0</v>
      </c>
      <c r="G106" s="585">
        <v>0</v>
      </c>
      <c r="H106" s="603">
        <v>0</v>
      </c>
      <c r="I106" s="603">
        <v>0</v>
      </c>
      <c r="J106" s="603">
        <v>0</v>
      </c>
      <c r="K106" s="603">
        <v>0</v>
      </c>
      <c r="L106" s="603">
        <v>0</v>
      </c>
      <c r="M106" s="603">
        <v>0</v>
      </c>
      <c r="N106" s="603">
        <v>0</v>
      </c>
      <c r="O106" s="603">
        <v>0</v>
      </c>
      <c r="P106" s="603">
        <v>0</v>
      </c>
      <c r="Q106" s="603">
        <v>0</v>
      </c>
      <c r="R106" s="603">
        <v>0</v>
      </c>
      <c r="S106" s="603">
        <v>0</v>
      </c>
      <c r="T106" s="603">
        <v>0</v>
      </c>
      <c r="U106" s="604" t="e">
        <v>#DIV/0!</v>
      </c>
      <c r="V106" s="603">
        <v>0</v>
      </c>
      <c r="W106" s="603">
        <v>0</v>
      </c>
      <c r="X106" s="603">
        <v>0</v>
      </c>
      <c r="Y106" s="603">
        <v>0</v>
      </c>
      <c r="Z106" s="603">
        <v>0</v>
      </c>
      <c r="AA106" s="603">
        <v>0</v>
      </c>
    </row>
    <row r="107" spans="1:27" x14ac:dyDescent="0.2">
      <c r="A107" s="591" t="s">
        <v>1202</v>
      </c>
      <c r="B107" s="605" t="s">
        <v>498</v>
      </c>
      <c r="C107" s="585">
        <v>0</v>
      </c>
      <c r="D107" s="585">
        <v>0</v>
      </c>
      <c r="E107" s="585">
        <v>0</v>
      </c>
      <c r="F107" s="585">
        <v>0</v>
      </c>
      <c r="G107" s="585">
        <v>0</v>
      </c>
      <c r="H107" s="603">
        <v>0</v>
      </c>
      <c r="I107" s="603">
        <v>0</v>
      </c>
      <c r="J107" s="603">
        <v>0</v>
      </c>
      <c r="K107" s="603">
        <v>0</v>
      </c>
      <c r="L107" s="603">
        <v>0</v>
      </c>
      <c r="M107" s="603">
        <v>0</v>
      </c>
      <c r="N107" s="603">
        <v>0</v>
      </c>
      <c r="O107" s="603">
        <v>0</v>
      </c>
      <c r="P107" s="603">
        <v>0</v>
      </c>
      <c r="Q107" s="603">
        <v>0</v>
      </c>
      <c r="R107" s="603">
        <v>0</v>
      </c>
      <c r="S107" s="603">
        <v>0</v>
      </c>
      <c r="T107" s="603">
        <v>0</v>
      </c>
      <c r="U107" s="604" t="e">
        <v>#DIV/0!</v>
      </c>
      <c r="V107" s="603">
        <v>0</v>
      </c>
      <c r="W107" s="603">
        <v>0</v>
      </c>
      <c r="X107" s="603">
        <v>0</v>
      </c>
      <c r="Y107" s="603">
        <v>0</v>
      </c>
      <c r="Z107" s="603">
        <v>0</v>
      </c>
      <c r="AA107" s="603">
        <v>0</v>
      </c>
    </row>
    <row r="108" spans="1:27" x14ac:dyDescent="0.2">
      <c r="A108" s="591"/>
      <c r="B108" s="597" t="s">
        <v>499</v>
      </c>
      <c r="C108" s="598">
        <v>9600</v>
      </c>
      <c r="D108" s="598">
        <v>2922</v>
      </c>
      <c r="E108" s="598">
        <v>2922</v>
      </c>
      <c r="F108" s="598">
        <v>1811.28</v>
      </c>
      <c r="G108" s="598">
        <v>1811.28</v>
      </c>
      <c r="H108" s="598">
        <v>0</v>
      </c>
      <c r="I108" s="598">
        <v>441.36</v>
      </c>
      <c r="J108" s="598">
        <v>302.88</v>
      </c>
      <c r="K108" s="598">
        <v>218.16</v>
      </c>
      <c r="L108" s="598">
        <v>263.76</v>
      </c>
      <c r="M108" s="598">
        <v>223.68</v>
      </c>
      <c r="N108" s="598">
        <v>193.92</v>
      </c>
      <c r="O108" s="598">
        <v>167.52</v>
      </c>
      <c r="P108" s="598">
        <v>0</v>
      </c>
      <c r="Q108" s="598">
        <v>0</v>
      </c>
      <c r="R108" s="598">
        <v>0</v>
      </c>
      <c r="S108" s="598">
        <v>0</v>
      </c>
      <c r="T108" s="599">
        <v>1811.28</v>
      </c>
      <c r="U108" s="600">
        <v>0.61987679671457907</v>
      </c>
      <c r="V108" s="599">
        <v>1110.72</v>
      </c>
      <c r="W108" s="599">
        <v>0</v>
      </c>
      <c r="X108" s="599">
        <v>1110.72</v>
      </c>
      <c r="Y108" s="599">
        <v>1110.72</v>
      </c>
      <c r="Z108" s="599">
        <v>0</v>
      </c>
      <c r="AA108" s="599">
        <v>0</v>
      </c>
    </row>
    <row r="109" spans="1:27" x14ac:dyDescent="0.2">
      <c r="A109" s="591" t="s">
        <v>1203</v>
      </c>
      <c r="B109" s="605" t="s">
        <v>500</v>
      </c>
      <c r="C109" s="585">
        <v>0</v>
      </c>
      <c r="D109" s="585">
        <v>0</v>
      </c>
      <c r="E109" s="585">
        <v>0</v>
      </c>
      <c r="F109" s="585">
        <v>0</v>
      </c>
      <c r="G109" s="585">
        <v>0</v>
      </c>
      <c r="H109" s="603">
        <v>0</v>
      </c>
      <c r="I109" s="603">
        <v>0</v>
      </c>
      <c r="J109" s="603">
        <v>0</v>
      </c>
      <c r="K109" s="603">
        <v>0</v>
      </c>
      <c r="L109" s="603">
        <v>0</v>
      </c>
      <c r="M109" s="603">
        <v>0</v>
      </c>
      <c r="N109" s="603">
        <v>0</v>
      </c>
      <c r="O109" s="603">
        <v>0</v>
      </c>
      <c r="P109" s="603">
        <v>0</v>
      </c>
      <c r="Q109" s="603">
        <v>0</v>
      </c>
      <c r="R109" s="603">
        <v>0</v>
      </c>
      <c r="S109" s="603">
        <v>0</v>
      </c>
      <c r="T109" s="603">
        <v>0</v>
      </c>
      <c r="U109" s="604" t="e">
        <v>#DIV/0!</v>
      </c>
      <c r="V109" s="603">
        <v>0</v>
      </c>
      <c r="W109" s="603">
        <v>0</v>
      </c>
      <c r="X109" s="603">
        <v>0</v>
      </c>
      <c r="Y109" s="603">
        <v>0</v>
      </c>
      <c r="Z109" s="603">
        <v>0</v>
      </c>
      <c r="AA109" s="603">
        <v>0</v>
      </c>
    </row>
    <row r="110" spans="1:27" x14ac:dyDescent="0.2">
      <c r="A110" s="591" t="s">
        <v>1204</v>
      </c>
      <c r="B110" s="605" t="s">
        <v>501</v>
      </c>
      <c r="C110" s="585">
        <v>9600</v>
      </c>
      <c r="D110" s="585">
        <v>2922</v>
      </c>
      <c r="E110" s="585">
        <v>2922</v>
      </c>
      <c r="F110" s="585">
        <v>1811.28</v>
      </c>
      <c r="G110" s="585">
        <v>1811.28</v>
      </c>
      <c r="H110" s="603">
        <v>0</v>
      </c>
      <c r="I110" s="603">
        <v>441.36</v>
      </c>
      <c r="J110" s="603">
        <v>302.88</v>
      </c>
      <c r="K110" s="603">
        <v>218.16</v>
      </c>
      <c r="L110" s="603">
        <v>263.76</v>
      </c>
      <c r="M110" s="603">
        <v>223.68</v>
      </c>
      <c r="N110" s="603">
        <v>193.92</v>
      </c>
      <c r="O110" s="603">
        <v>167.52</v>
      </c>
      <c r="P110" s="603">
        <v>0</v>
      </c>
      <c r="Q110" s="603">
        <v>0</v>
      </c>
      <c r="R110" s="603">
        <v>0</v>
      </c>
      <c r="S110" s="603">
        <v>0</v>
      </c>
      <c r="T110" s="603">
        <v>1811.28</v>
      </c>
      <c r="U110" s="604">
        <v>0.61987679671457907</v>
      </c>
      <c r="V110" s="603">
        <v>1110.72</v>
      </c>
      <c r="W110" s="603">
        <v>0</v>
      </c>
      <c r="X110" s="603">
        <v>1110.72</v>
      </c>
      <c r="Y110" s="603">
        <v>1110.72</v>
      </c>
      <c r="Z110" s="603">
        <v>0</v>
      </c>
      <c r="AA110" s="603">
        <v>0</v>
      </c>
    </row>
    <row r="111" spans="1:27" x14ac:dyDescent="0.2">
      <c r="A111" s="591" t="s">
        <v>1205</v>
      </c>
      <c r="B111" s="605" t="s">
        <v>502</v>
      </c>
      <c r="C111" s="585">
        <v>0</v>
      </c>
      <c r="D111" s="585">
        <v>0</v>
      </c>
      <c r="E111" s="585">
        <v>0</v>
      </c>
      <c r="F111" s="585">
        <v>0</v>
      </c>
      <c r="G111" s="585">
        <v>0</v>
      </c>
      <c r="H111" s="603">
        <v>0</v>
      </c>
      <c r="I111" s="603">
        <v>0</v>
      </c>
      <c r="J111" s="603">
        <v>0</v>
      </c>
      <c r="K111" s="603">
        <v>0</v>
      </c>
      <c r="L111" s="603">
        <v>0</v>
      </c>
      <c r="M111" s="603">
        <v>0</v>
      </c>
      <c r="N111" s="603">
        <v>0</v>
      </c>
      <c r="O111" s="603">
        <v>0</v>
      </c>
      <c r="P111" s="603">
        <v>0</v>
      </c>
      <c r="Q111" s="603">
        <v>0</v>
      </c>
      <c r="R111" s="603">
        <v>0</v>
      </c>
      <c r="S111" s="603">
        <v>0</v>
      </c>
      <c r="T111" s="603">
        <v>0</v>
      </c>
      <c r="U111" s="604" t="e">
        <v>#DIV/0!</v>
      </c>
      <c r="V111" s="603">
        <v>0</v>
      </c>
      <c r="W111" s="603">
        <v>0</v>
      </c>
      <c r="X111" s="603">
        <v>0</v>
      </c>
      <c r="Y111" s="603">
        <v>0</v>
      </c>
      <c r="Z111" s="603">
        <v>0</v>
      </c>
      <c r="AA111" s="603">
        <v>0</v>
      </c>
    </row>
    <row r="112" spans="1:27" x14ac:dyDescent="0.2">
      <c r="A112" s="591" t="s">
        <v>1206</v>
      </c>
      <c r="B112" s="605" t="s">
        <v>503</v>
      </c>
      <c r="C112" s="585">
        <v>0</v>
      </c>
      <c r="D112" s="585">
        <v>0</v>
      </c>
      <c r="E112" s="585">
        <v>0</v>
      </c>
      <c r="F112" s="585">
        <v>0</v>
      </c>
      <c r="G112" s="585">
        <v>0</v>
      </c>
      <c r="H112" s="603">
        <v>0</v>
      </c>
      <c r="I112" s="603">
        <v>0</v>
      </c>
      <c r="J112" s="603">
        <v>0</v>
      </c>
      <c r="K112" s="603">
        <v>0</v>
      </c>
      <c r="L112" s="603">
        <v>0</v>
      </c>
      <c r="M112" s="603">
        <v>0</v>
      </c>
      <c r="N112" s="603">
        <v>0</v>
      </c>
      <c r="O112" s="603">
        <v>0</v>
      </c>
      <c r="P112" s="603">
        <v>0</v>
      </c>
      <c r="Q112" s="603">
        <v>0</v>
      </c>
      <c r="R112" s="603">
        <v>0</v>
      </c>
      <c r="S112" s="603">
        <v>0</v>
      </c>
      <c r="T112" s="603">
        <v>0</v>
      </c>
      <c r="U112" s="604" t="e">
        <v>#DIV/0!</v>
      </c>
      <c r="V112" s="603">
        <v>0</v>
      </c>
      <c r="W112" s="603">
        <v>0</v>
      </c>
      <c r="X112" s="603">
        <v>0</v>
      </c>
      <c r="Y112" s="603">
        <v>0</v>
      </c>
      <c r="Z112" s="603">
        <v>0</v>
      </c>
      <c r="AA112" s="603">
        <v>0</v>
      </c>
    </row>
    <row r="113" spans="1:27" x14ac:dyDescent="0.2">
      <c r="A113" s="591"/>
      <c r="B113" s="597" t="s">
        <v>504</v>
      </c>
      <c r="C113" s="598">
        <v>3600</v>
      </c>
      <c r="D113" s="598">
        <v>6960</v>
      </c>
      <c r="E113" s="598">
        <v>6960</v>
      </c>
      <c r="F113" s="598">
        <v>2400</v>
      </c>
      <c r="G113" s="598">
        <v>2400</v>
      </c>
      <c r="H113" s="598">
        <v>0</v>
      </c>
      <c r="I113" s="598">
        <v>0</v>
      </c>
      <c r="J113" s="598">
        <v>0</v>
      </c>
      <c r="K113" s="598">
        <v>2400</v>
      </c>
      <c r="L113" s="598">
        <v>0</v>
      </c>
      <c r="M113" s="598">
        <v>0</v>
      </c>
      <c r="N113" s="598">
        <v>0</v>
      </c>
      <c r="O113" s="598">
        <v>0</v>
      </c>
      <c r="P113" s="598">
        <v>0</v>
      </c>
      <c r="Q113" s="598">
        <v>0</v>
      </c>
      <c r="R113" s="598">
        <v>0</v>
      </c>
      <c r="S113" s="598">
        <v>0</v>
      </c>
      <c r="T113" s="599">
        <v>2400</v>
      </c>
      <c r="U113" s="600">
        <v>0.34482758620689657</v>
      </c>
      <c r="V113" s="599">
        <v>4560</v>
      </c>
      <c r="W113" s="599">
        <v>0</v>
      </c>
      <c r="X113" s="599">
        <v>4560</v>
      </c>
      <c r="Y113" s="599">
        <v>4560</v>
      </c>
      <c r="Z113" s="599">
        <v>0</v>
      </c>
      <c r="AA113" s="599">
        <v>0</v>
      </c>
    </row>
    <row r="114" spans="1:27" x14ac:dyDescent="0.2">
      <c r="A114" s="591" t="s">
        <v>1207</v>
      </c>
      <c r="B114" s="605" t="s">
        <v>505</v>
      </c>
      <c r="C114" s="585">
        <v>0</v>
      </c>
      <c r="D114" s="585">
        <v>0</v>
      </c>
      <c r="E114" s="585">
        <v>0</v>
      </c>
      <c r="F114" s="585">
        <v>0</v>
      </c>
      <c r="G114" s="585">
        <v>0</v>
      </c>
      <c r="H114" s="603">
        <v>0</v>
      </c>
      <c r="I114" s="603">
        <v>0</v>
      </c>
      <c r="J114" s="603">
        <v>0</v>
      </c>
      <c r="K114" s="603">
        <v>0</v>
      </c>
      <c r="L114" s="603">
        <v>0</v>
      </c>
      <c r="M114" s="603">
        <v>0</v>
      </c>
      <c r="N114" s="603">
        <v>0</v>
      </c>
      <c r="O114" s="603">
        <v>0</v>
      </c>
      <c r="P114" s="603">
        <v>0</v>
      </c>
      <c r="Q114" s="603">
        <v>0</v>
      </c>
      <c r="R114" s="603">
        <v>0</v>
      </c>
      <c r="S114" s="603">
        <v>0</v>
      </c>
      <c r="T114" s="603">
        <v>0</v>
      </c>
      <c r="U114" s="604" t="e">
        <v>#DIV/0!</v>
      </c>
      <c r="V114" s="603">
        <v>0</v>
      </c>
      <c r="W114" s="603">
        <v>0</v>
      </c>
      <c r="X114" s="603">
        <v>0</v>
      </c>
      <c r="Y114" s="603">
        <v>0</v>
      </c>
      <c r="Z114" s="603">
        <v>0</v>
      </c>
      <c r="AA114" s="603">
        <v>0</v>
      </c>
    </row>
    <row r="115" spans="1:27" x14ac:dyDescent="0.2">
      <c r="A115" s="591" t="s">
        <v>1208</v>
      </c>
      <c r="B115" s="605" t="s">
        <v>506</v>
      </c>
      <c r="C115" s="585">
        <v>2400</v>
      </c>
      <c r="D115" s="585">
        <v>2400</v>
      </c>
      <c r="E115" s="585">
        <v>2400</v>
      </c>
      <c r="F115" s="585">
        <v>2400</v>
      </c>
      <c r="G115" s="585">
        <v>2400</v>
      </c>
      <c r="H115" s="603">
        <v>0</v>
      </c>
      <c r="I115" s="603">
        <v>0</v>
      </c>
      <c r="J115" s="603">
        <v>0</v>
      </c>
      <c r="K115" s="603">
        <v>2400</v>
      </c>
      <c r="L115" s="603">
        <v>0</v>
      </c>
      <c r="M115" s="603">
        <v>0</v>
      </c>
      <c r="N115" s="603">
        <v>0</v>
      </c>
      <c r="O115" s="603">
        <v>0</v>
      </c>
      <c r="P115" s="603">
        <v>0</v>
      </c>
      <c r="Q115" s="603">
        <v>0</v>
      </c>
      <c r="R115" s="603">
        <v>0</v>
      </c>
      <c r="S115" s="603">
        <v>0</v>
      </c>
      <c r="T115" s="603">
        <v>2400</v>
      </c>
      <c r="U115" s="604">
        <v>1</v>
      </c>
      <c r="V115" s="603">
        <v>0</v>
      </c>
      <c r="W115" s="603">
        <v>0</v>
      </c>
      <c r="X115" s="603">
        <v>0</v>
      </c>
      <c r="Y115" s="603">
        <v>0</v>
      </c>
      <c r="Z115" s="603">
        <v>0</v>
      </c>
      <c r="AA115" s="603">
        <v>0</v>
      </c>
    </row>
    <row r="116" spans="1:27" x14ac:dyDescent="0.2">
      <c r="A116" s="591" t="s">
        <v>1209</v>
      </c>
      <c r="B116" s="605" t="s">
        <v>507</v>
      </c>
      <c r="C116" s="585">
        <v>1200</v>
      </c>
      <c r="D116" s="585">
        <v>4560</v>
      </c>
      <c r="E116" s="585">
        <v>4560</v>
      </c>
      <c r="F116" s="585">
        <v>0</v>
      </c>
      <c r="G116" s="585">
        <v>0</v>
      </c>
      <c r="H116" s="603">
        <v>0</v>
      </c>
      <c r="I116" s="603">
        <v>0</v>
      </c>
      <c r="J116" s="603">
        <v>0</v>
      </c>
      <c r="K116" s="603">
        <v>0</v>
      </c>
      <c r="L116" s="603">
        <v>0</v>
      </c>
      <c r="M116" s="603">
        <v>0</v>
      </c>
      <c r="N116" s="603">
        <v>0</v>
      </c>
      <c r="O116" s="603">
        <v>0</v>
      </c>
      <c r="P116" s="603">
        <v>0</v>
      </c>
      <c r="Q116" s="603">
        <v>0</v>
      </c>
      <c r="R116" s="603">
        <v>0</v>
      </c>
      <c r="S116" s="603">
        <v>0</v>
      </c>
      <c r="T116" s="603">
        <v>0</v>
      </c>
      <c r="U116" s="604">
        <v>0</v>
      </c>
      <c r="V116" s="603">
        <v>4560</v>
      </c>
      <c r="W116" s="603">
        <v>0</v>
      </c>
      <c r="X116" s="603">
        <v>4560</v>
      </c>
      <c r="Y116" s="603">
        <v>4560</v>
      </c>
      <c r="Z116" s="603">
        <v>0</v>
      </c>
      <c r="AA116" s="603">
        <v>0</v>
      </c>
    </row>
    <row r="117" spans="1:27" x14ac:dyDescent="0.2">
      <c r="A117" s="591" t="s">
        <v>1210</v>
      </c>
      <c r="B117" s="605" t="s">
        <v>508</v>
      </c>
      <c r="C117" s="585">
        <v>0</v>
      </c>
      <c r="D117" s="585">
        <v>0</v>
      </c>
      <c r="E117" s="585">
        <v>0</v>
      </c>
      <c r="F117" s="585">
        <v>0</v>
      </c>
      <c r="G117" s="585">
        <v>0</v>
      </c>
      <c r="H117" s="603">
        <v>0</v>
      </c>
      <c r="I117" s="603">
        <v>0</v>
      </c>
      <c r="J117" s="603">
        <v>0</v>
      </c>
      <c r="K117" s="603">
        <v>0</v>
      </c>
      <c r="L117" s="603">
        <v>0</v>
      </c>
      <c r="M117" s="603">
        <v>0</v>
      </c>
      <c r="N117" s="603">
        <v>0</v>
      </c>
      <c r="O117" s="603">
        <v>0</v>
      </c>
      <c r="P117" s="603">
        <v>0</v>
      </c>
      <c r="Q117" s="603">
        <v>0</v>
      </c>
      <c r="R117" s="603">
        <v>0</v>
      </c>
      <c r="S117" s="603">
        <v>0</v>
      </c>
      <c r="T117" s="603">
        <v>0</v>
      </c>
      <c r="U117" s="604" t="e">
        <v>#DIV/0!</v>
      </c>
      <c r="V117" s="603">
        <v>0</v>
      </c>
      <c r="W117" s="603">
        <v>0</v>
      </c>
      <c r="X117" s="603">
        <v>0</v>
      </c>
      <c r="Y117" s="603">
        <v>0</v>
      </c>
      <c r="Z117" s="603">
        <v>0</v>
      </c>
      <c r="AA117" s="603">
        <v>0</v>
      </c>
    </row>
    <row r="118" spans="1:27" x14ac:dyDescent="0.2">
      <c r="A118" s="591" t="s">
        <v>1211</v>
      </c>
      <c r="B118" s="605" t="s">
        <v>509</v>
      </c>
      <c r="C118" s="585">
        <v>0</v>
      </c>
      <c r="D118" s="585">
        <v>0</v>
      </c>
      <c r="E118" s="585">
        <v>0</v>
      </c>
      <c r="F118" s="585">
        <v>0</v>
      </c>
      <c r="G118" s="585">
        <v>0</v>
      </c>
      <c r="H118" s="603">
        <v>0</v>
      </c>
      <c r="I118" s="603">
        <v>0</v>
      </c>
      <c r="J118" s="603">
        <v>0</v>
      </c>
      <c r="K118" s="603">
        <v>0</v>
      </c>
      <c r="L118" s="603">
        <v>0</v>
      </c>
      <c r="M118" s="603">
        <v>0</v>
      </c>
      <c r="N118" s="603">
        <v>0</v>
      </c>
      <c r="O118" s="603">
        <v>0</v>
      </c>
      <c r="P118" s="603">
        <v>0</v>
      </c>
      <c r="Q118" s="603">
        <v>0</v>
      </c>
      <c r="R118" s="603">
        <v>0</v>
      </c>
      <c r="S118" s="603">
        <v>0</v>
      </c>
      <c r="T118" s="603">
        <v>0</v>
      </c>
      <c r="U118" s="604" t="e">
        <v>#DIV/0!</v>
      </c>
      <c r="V118" s="603">
        <v>0</v>
      </c>
      <c r="W118" s="603">
        <v>0</v>
      </c>
      <c r="X118" s="603">
        <v>0</v>
      </c>
      <c r="Y118" s="603">
        <v>0</v>
      </c>
      <c r="Z118" s="603">
        <v>0</v>
      </c>
      <c r="AA118" s="603">
        <v>0</v>
      </c>
    </row>
    <row r="119" spans="1:27" x14ac:dyDescent="0.2">
      <c r="A119" s="591" t="s">
        <v>1212</v>
      </c>
      <c r="B119" s="605" t="s">
        <v>510</v>
      </c>
      <c r="C119" s="585">
        <v>0</v>
      </c>
      <c r="D119" s="585">
        <v>0</v>
      </c>
      <c r="E119" s="585">
        <v>0</v>
      </c>
      <c r="F119" s="585">
        <v>0</v>
      </c>
      <c r="G119" s="585">
        <v>0</v>
      </c>
      <c r="H119" s="603">
        <v>0</v>
      </c>
      <c r="I119" s="603">
        <v>0</v>
      </c>
      <c r="J119" s="603">
        <v>0</v>
      </c>
      <c r="K119" s="603">
        <v>0</v>
      </c>
      <c r="L119" s="603">
        <v>0</v>
      </c>
      <c r="M119" s="603">
        <v>0</v>
      </c>
      <c r="N119" s="603">
        <v>0</v>
      </c>
      <c r="O119" s="603">
        <v>0</v>
      </c>
      <c r="P119" s="603">
        <v>0</v>
      </c>
      <c r="Q119" s="603">
        <v>0</v>
      </c>
      <c r="R119" s="603">
        <v>0</v>
      </c>
      <c r="S119" s="603">
        <v>0</v>
      </c>
      <c r="T119" s="603">
        <v>0</v>
      </c>
      <c r="U119" s="604" t="e">
        <v>#DIV/0!</v>
      </c>
      <c r="V119" s="603">
        <v>0</v>
      </c>
      <c r="W119" s="603">
        <v>0</v>
      </c>
      <c r="X119" s="603">
        <v>0</v>
      </c>
      <c r="Y119" s="603">
        <v>0</v>
      </c>
      <c r="Z119" s="603">
        <v>0</v>
      </c>
      <c r="AA119" s="603">
        <v>0</v>
      </c>
    </row>
    <row r="120" spans="1:27" x14ac:dyDescent="0.2">
      <c r="A120" s="591"/>
      <c r="B120" s="597" t="s">
        <v>511</v>
      </c>
      <c r="C120" s="598">
        <v>26000</v>
      </c>
      <c r="D120" s="598">
        <v>26000</v>
      </c>
      <c r="E120" s="598">
        <v>26000</v>
      </c>
      <c r="F120" s="598">
        <v>10739.98</v>
      </c>
      <c r="G120" s="598">
        <v>10739.98</v>
      </c>
      <c r="H120" s="598">
        <v>0</v>
      </c>
      <c r="I120" s="598">
        <v>4321.9799999999996</v>
      </c>
      <c r="J120" s="598">
        <v>458</v>
      </c>
      <c r="K120" s="598">
        <v>0</v>
      </c>
      <c r="L120" s="598">
        <v>0</v>
      </c>
      <c r="M120" s="598">
        <v>0</v>
      </c>
      <c r="N120" s="598">
        <v>0</v>
      </c>
      <c r="O120" s="598">
        <v>0</v>
      </c>
      <c r="P120" s="598">
        <v>5960</v>
      </c>
      <c r="Q120" s="598">
        <v>0</v>
      </c>
      <c r="R120" s="598">
        <v>0</v>
      </c>
      <c r="S120" s="598">
        <v>0</v>
      </c>
      <c r="T120" s="599">
        <v>10739.98</v>
      </c>
      <c r="U120" s="600">
        <v>0.41307615384615382</v>
      </c>
      <c r="V120" s="599">
        <v>15260.02</v>
      </c>
      <c r="W120" s="599">
        <v>0</v>
      </c>
      <c r="X120" s="599">
        <v>15260.02</v>
      </c>
      <c r="Y120" s="599">
        <v>15260.02</v>
      </c>
      <c r="Z120" s="599">
        <v>0</v>
      </c>
      <c r="AA120" s="599">
        <v>0</v>
      </c>
    </row>
    <row r="121" spans="1:27" x14ac:dyDescent="0.2">
      <c r="A121" s="591" t="s">
        <v>1213</v>
      </c>
      <c r="B121" s="605" t="s">
        <v>512</v>
      </c>
      <c r="C121" s="585">
        <v>0</v>
      </c>
      <c r="D121" s="585">
        <v>0</v>
      </c>
      <c r="E121" s="585">
        <v>0</v>
      </c>
      <c r="F121" s="585">
        <v>0</v>
      </c>
      <c r="G121" s="585">
        <v>0</v>
      </c>
      <c r="H121" s="603">
        <v>0</v>
      </c>
      <c r="I121" s="603">
        <v>0</v>
      </c>
      <c r="J121" s="603">
        <v>0</v>
      </c>
      <c r="K121" s="603">
        <v>0</v>
      </c>
      <c r="L121" s="603">
        <v>0</v>
      </c>
      <c r="M121" s="603">
        <v>0</v>
      </c>
      <c r="N121" s="603">
        <v>0</v>
      </c>
      <c r="O121" s="603">
        <v>0</v>
      </c>
      <c r="P121" s="603">
        <v>0</v>
      </c>
      <c r="Q121" s="603">
        <v>0</v>
      </c>
      <c r="R121" s="603">
        <v>0</v>
      </c>
      <c r="S121" s="603">
        <v>0</v>
      </c>
      <c r="T121" s="603">
        <v>0</v>
      </c>
      <c r="U121" s="604" t="e">
        <v>#DIV/0!</v>
      </c>
      <c r="V121" s="603">
        <v>0</v>
      </c>
      <c r="W121" s="603">
        <v>0</v>
      </c>
      <c r="X121" s="603">
        <v>0</v>
      </c>
      <c r="Y121" s="603">
        <v>0</v>
      </c>
      <c r="Z121" s="603">
        <v>0</v>
      </c>
      <c r="AA121" s="603">
        <v>0</v>
      </c>
    </row>
    <row r="122" spans="1:27" x14ac:dyDescent="0.2">
      <c r="A122" s="591" t="s">
        <v>1214</v>
      </c>
      <c r="B122" s="605" t="s">
        <v>513</v>
      </c>
      <c r="C122" s="585">
        <v>26000</v>
      </c>
      <c r="D122" s="585">
        <v>26000</v>
      </c>
      <c r="E122" s="585">
        <v>26000</v>
      </c>
      <c r="F122" s="585">
        <v>10739.98</v>
      </c>
      <c r="G122" s="585">
        <v>10739.98</v>
      </c>
      <c r="H122" s="603">
        <v>0</v>
      </c>
      <c r="I122" s="603">
        <v>4321.9799999999996</v>
      </c>
      <c r="J122" s="603">
        <v>458</v>
      </c>
      <c r="K122" s="603">
        <v>0</v>
      </c>
      <c r="L122" s="603">
        <v>0</v>
      </c>
      <c r="M122" s="603">
        <v>0</v>
      </c>
      <c r="N122" s="603">
        <v>0</v>
      </c>
      <c r="O122" s="603">
        <v>0</v>
      </c>
      <c r="P122" s="603">
        <v>5960</v>
      </c>
      <c r="Q122" s="603">
        <v>0</v>
      </c>
      <c r="R122" s="603">
        <v>0</v>
      </c>
      <c r="S122" s="603">
        <v>0</v>
      </c>
      <c r="T122" s="603">
        <v>10739.98</v>
      </c>
      <c r="U122" s="604">
        <v>0.41307615384615382</v>
      </c>
      <c r="V122" s="603">
        <v>15260.02</v>
      </c>
      <c r="W122" s="603">
        <v>0</v>
      </c>
      <c r="X122" s="603">
        <v>15260.02</v>
      </c>
      <c r="Y122" s="603">
        <v>15260.02</v>
      </c>
      <c r="Z122" s="603">
        <v>0</v>
      </c>
      <c r="AA122" s="603">
        <v>0</v>
      </c>
    </row>
    <row r="123" spans="1:27" s="601" customFormat="1" x14ac:dyDescent="0.2">
      <c r="A123" s="591" t="s">
        <v>1215</v>
      </c>
      <c r="B123" s="597" t="s">
        <v>514</v>
      </c>
      <c r="C123" s="586">
        <v>1380</v>
      </c>
      <c r="D123" s="586">
        <v>19890</v>
      </c>
      <c r="E123" s="586">
        <v>19890</v>
      </c>
      <c r="F123" s="586">
        <v>19890</v>
      </c>
      <c r="G123" s="586">
        <v>19390</v>
      </c>
      <c r="H123" s="599">
        <v>0</v>
      </c>
      <c r="I123" s="599">
        <v>18510</v>
      </c>
      <c r="J123" s="599">
        <v>0</v>
      </c>
      <c r="K123" s="599">
        <v>0</v>
      </c>
      <c r="L123" s="599">
        <v>760</v>
      </c>
      <c r="M123" s="599">
        <v>0</v>
      </c>
      <c r="N123" s="599">
        <v>120</v>
      </c>
      <c r="O123" s="599">
        <v>0</v>
      </c>
      <c r="P123" s="599">
        <v>0</v>
      </c>
      <c r="Q123" s="599">
        <v>0</v>
      </c>
      <c r="R123" s="599">
        <v>0</v>
      </c>
      <c r="S123" s="599">
        <v>0</v>
      </c>
      <c r="T123" s="599">
        <v>19390</v>
      </c>
      <c r="U123" s="600">
        <v>0.9748617395676219</v>
      </c>
      <c r="V123" s="599">
        <v>500</v>
      </c>
      <c r="W123" s="599">
        <v>0</v>
      </c>
      <c r="X123" s="599">
        <v>0</v>
      </c>
      <c r="Y123" s="599">
        <v>0</v>
      </c>
      <c r="Z123" s="599">
        <v>500</v>
      </c>
      <c r="AA123" s="599">
        <v>0</v>
      </c>
    </row>
    <row r="124" spans="1:27" x14ac:dyDescent="0.2">
      <c r="A124" s="591"/>
      <c r="B124" s="597" t="s">
        <v>515</v>
      </c>
      <c r="C124" s="598">
        <v>4735</v>
      </c>
      <c r="D124" s="598">
        <v>3985</v>
      </c>
      <c r="E124" s="598">
        <v>3985</v>
      </c>
      <c r="F124" s="598">
        <v>660</v>
      </c>
      <c r="G124" s="598">
        <v>140</v>
      </c>
      <c r="H124" s="598">
        <v>0</v>
      </c>
      <c r="I124" s="598">
        <v>0</v>
      </c>
      <c r="J124" s="598">
        <v>0</v>
      </c>
      <c r="K124" s="598">
        <v>0</v>
      </c>
      <c r="L124" s="598">
        <v>0</v>
      </c>
      <c r="M124" s="598">
        <v>0</v>
      </c>
      <c r="N124" s="598">
        <v>120</v>
      </c>
      <c r="O124" s="598">
        <v>0</v>
      </c>
      <c r="P124" s="598">
        <v>20</v>
      </c>
      <c r="Q124" s="598">
        <v>0</v>
      </c>
      <c r="R124" s="598">
        <v>0</v>
      </c>
      <c r="S124" s="598">
        <v>0</v>
      </c>
      <c r="T124" s="599">
        <v>140</v>
      </c>
      <c r="U124" s="600">
        <v>3.5131744040150563E-2</v>
      </c>
      <c r="V124" s="599">
        <v>3845</v>
      </c>
      <c r="W124" s="599">
        <v>0</v>
      </c>
      <c r="X124" s="599">
        <v>3325</v>
      </c>
      <c r="Y124" s="599">
        <v>3325</v>
      </c>
      <c r="Z124" s="599">
        <v>520</v>
      </c>
      <c r="AA124" s="599">
        <v>0</v>
      </c>
    </row>
    <row r="125" spans="1:27" x14ac:dyDescent="0.2">
      <c r="A125" s="591" t="s">
        <v>1216</v>
      </c>
      <c r="B125" s="605" t="s">
        <v>516</v>
      </c>
      <c r="C125" s="585">
        <v>0</v>
      </c>
      <c r="D125" s="585">
        <v>0</v>
      </c>
      <c r="E125" s="585">
        <v>0</v>
      </c>
      <c r="F125" s="585">
        <v>0</v>
      </c>
      <c r="G125" s="585">
        <v>0</v>
      </c>
      <c r="H125" s="603">
        <v>0</v>
      </c>
      <c r="I125" s="603">
        <v>0</v>
      </c>
      <c r="J125" s="603">
        <v>0</v>
      </c>
      <c r="K125" s="603">
        <v>0</v>
      </c>
      <c r="L125" s="603">
        <v>0</v>
      </c>
      <c r="M125" s="603">
        <v>0</v>
      </c>
      <c r="N125" s="603">
        <v>0</v>
      </c>
      <c r="O125" s="603">
        <v>0</v>
      </c>
      <c r="P125" s="603">
        <v>0</v>
      </c>
      <c r="Q125" s="603">
        <v>0</v>
      </c>
      <c r="R125" s="603">
        <v>0</v>
      </c>
      <c r="S125" s="603">
        <v>0</v>
      </c>
      <c r="T125" s="603">
        <v>0</v>
      </c>
      <c r="U125" s="604" t="e">
        <v>#DIV/0!</v>
      </c>
      <c r="V125" s="603">
        <v>0</v>
      </c>
      <c r="W125" s="603">
        <v>0</v>
      </c>
      <c r="X125" s="603">
        <v>0</v>
      </c>
      <c r="Y125" s="603">
        <v>0</v>
      </c>
      <c r="Z125" s="603">
        <v>0</v>
      </c>
      <c r="AA125" s="603">
        <v>0</v>
      </c>
    </row>
    <row r="126" spans="1:27" s="630" customFormat="1" x14ac:dyDescent="0.2">
      <c r="A126" s="626" t="s">
        <v>1217</v>
      </c>
      <c r="B126" s="627" t="s">
        <v>517</v>
      </c>
      <c r="C126" s="585">
        <v>4735</v>
      </c>
      <c r="D126" s="585">
        <v>3985</v>
      </c>
      <c r="E126" s="585">
        <v>3985</v>
      </c>
      <c r="F126" s="585">
        <v>660</v>
      </c>
      <c r="G126" s="585">
        <v>140</v>
      </c>
      <c r="H126" s="628">
        <v>0</v>
      </c>
      <c r="I126" s="628">
        <v>0</v>
      </c>
      <c r="J126" s="628">
        <v>0</v>
      </c>
      <c r="K126" s="628">
        <v>0</v>
      </c>
      <c r="L126" s="628">
        <v>0</v>
      </c>
      <c r="M126" s="628">
        <v>0</v>
      </c>
      <c r="N126" s="628">
        <v>120</v>
      </c>
      <c r="O126" s="628">
        <v>0</v>
      </c>
      <c r="P126" s="628">
        <v>20</v>
      </c>
      <c r="Q126" s="628">
        <v>0</v>
      </c>
      <c r="R126" s="628">
        <v>0</v>
      </c>
      <c r="S126" s="628">
        <v>0</v>
      </c>
      <c r="T126" s="628">
        <v>140</v>
      </c>
      <c r="U126" s="629">
        <v>3.5131744040150563E-2</v>
      </c>
      <c r="V126" s="628">
        <v>3845</v>
      </c>
      <c r="W126" s="628">
        <v>0</v>
      </c>
      <c r="X126" s="628">
        <v>3325</v>
      </c>
      <c r="Y126" s="628">
        <v>3325</v>
      </c>
      <c r="Z126" s="628">
        <v>520</v>
      </c>
      <c r="AA126" s="628">
        <v>0</v>
      </c>
    </row>
    <row r="127" spans="1:27" s="630" customFormat="1" x14ac:dyDescent="0.2">
      <c r="A127" s="626"/>
      <c r="B127" s="631" t="s">
        <v>518</v>
      </c>
      <c r="C127" s="632">
        <v>42652</v>
      </c>
      <c r="D127" s="632">
        <v>12587</v>
      </c>
      <c r="E127" s="632">
        <v>12587</v>
      </c>
      <c r="F127" s="632">
        <v>5191.0599999999995</v>
      </c>
      <c r="G127" s="632">
        <v>5191.0599999999995</v>
      </c>
      <c r="H127" s="632">
        <v>0</v>
      </c>
      <c r="I127" s="632">
        <v>3610</v>
      </c>
      <c r="J127" s="632">
        <v>0</v>
      </c>
      <c r="K127" s="632">
        <v>0</v>
      </c>
      <c r="L127" s="632">
        <v>0</v>
      </c>
      <c r="M127" s="632">
        <v>0</v>
      </c>
      <c r="N127" s="632">
        <v>0</v>
      </c>
      <c r="O127" s="632">
        <v>0</v>
      </c>
      <c r="P127" s="632">
        <v>1581.06</v>
      </c>
      <c r="Q127" s="632">
        <v>0</v>
      </c>
      <c r="R127" s="632">
        <v>0</v>
      </c>
      <c r="S127" s="632">
        <v>0</v>
      </c>
      <c r="T127" s="633">
        <v>5191.0599999999995</v>
      </c>
      <c r="U127" s="634">
        <v>0.41241439580519579</v>
      </c>
      <c r="V127" s="633">
        <v>7395.9400000000005</v>
      </c>
      <c r="W127" s="633">
        <v>0</v>
      </c>
      <c r="X127" s="633">
        <v>7395.9400000000005</v>
      </c>
      <c r="Y127" s="633">
        <v>7395.9400000000005</v>
      </c>
      <c r="Z127" s="633">
        <v>0</v>
      </c>
      <c r="AA127" s="633">
        <v>0</v>
      </c>
    </row>
    <row r="128" spans="1:27" s="630" customFormat="1" x14ac:dyDescent="0.2">
      <c r="A128" s="626" t="s">
        <v>1218</v>
      </c>
      <c r="B128" s="627" t="s">
        <v>519</v>
      </c>
      <c r="C128" s="585">
        <v>0</v>
      </c>
      <c r="D128" s="585">
        <v>0</v>
      </c>
      <c r="E128" s="585">
        <v>0</v>
      </c>
      <c r="F128" s="585">
        <v>0</v>
      </c>
      <c r="G128" s="585">
        <v>0</v>
      </c>
      <c r="H128" s="628">
        <v>0</v>
      </c>
      <c r="I128" s="628">
        <v>0</v>
      </c>
      <c r="J128" s="628">
        <v>0</v>
      </c>
      <c r="K128" s="628">
        <v>0</v>
      </c>
      <c r="L128" s="628">
        <v>0</v>
      </c>
      <c r="M128" s="628">
        <v>0</v>
      </c>
      <c r="N128" s="628">
        <v>0</v>
      </c>
      <c r="O128" s="628">
        <v>0</v>
      </c>
      <c r="P128" s="628">
        <v>0</v>
      </c>
      <c r="Q128" s="628">
        <v>0</v>
      </c>
      <c r="R128" s="628">
        <v>0</v>
      </c>
      <c r="S128" s="628">
        <v>0</v>
      </c>
      <c r="T128" s="628">
        <v>0</v>
      </c>
      <c r="U128" s="629" t="e">
        <v>#DIV/0!</v>
      </c>
      <c r="V128" s="628">
        <v>0</v>
      </c>
      <c r="W128" s="628">
        <v>0</v>
      </c>
      <c r="X128" s="628">
        <v>0</v>
      </c>
      <c r="Y128" s="628">
        <v>0</v>
      </c>
      <c r="Z128" s="628">
        <v>0</v>
      </c>
      <c r="AA128" s="628">
        <v>0</v>
      </c>
    </row>
    <row r="129" spans="1:27" s="630" customFormat="1" x14ac:dyDescent="0.2">
      <c r="A129" s="626" t="s">
        <v>1219</v>
      </c>
      <c r="B129" s="627" t="s">
        <v>520</v>
      </c>
      <c r="C129" s="585">
        <v>42652</v>
      </c>
      <c r="D129" s="585">
        <v>12587</v>
      </c>
      <c r="E129" s="585">
        <v>12587</v>
      </c>
      <c r="F129" s="585">
        <v>5191.0599999999995</v>
      </c>
      <c r="G129" s="585">
        <v>5191.0599999999995</v>
      </c>
      <c r="H129" s="628">
        <v>0</v>
      </c>
      <c r="I129" s="628">
        <v>3610</v>
      </c>
      <c r="J129" s="628">
        <v>0</v>
      </c>
      <c r="K129" s="628">
        <v>0</v>
      </c>
      <c r="L129" s="628">
        <v>0</v>
      </c>
      <c r="M129" s="628">
        <v>0</v>
      </c>
      <c r="N129" s="628">
        <v>0</v>
      </c>
      <c r="O129" s="628">
        <v>0</v>
      </c>
      <c r="P129" s="628">
        <v>1581.06</v>
      </c>
      <c r="Q129" s="628">
        <v>0</v>
      </c>
      <c r="R129" s="628">
        <v>0</v>
      </c>
      <c r="S129" s="628">
        <v>0</v>
      </c>
      <c r="T129" s="628">
        <v>5191.0599999999995</v>
      </c>
      <c r="U129" s="629">
        <v>0.41241439580519579</v>
      </c>
      <c r="V129" s="628">
        <v>7395.9400000000005</v>
      </c>
      <c r="W129" s="628">
        <v>0</v>
      </c>
      <c r="X129" s="628">
        <v>7395.9400000000005</v>
      </c>
      <c r="Y129" s="628">
        <v>7395.9400000000005</v>
      </c>
      <c r="Z129" s="628">
        <v>0</v>
      </c>
      <c r="AA129" s="628">
        <v>0</v>
      </c>
    </row>
    <row r="130" spans="1:27" s="630" customFormat="1" x14ac:dyDescent="0.2">
      <c r="A130" s="626"/>
      <c r="B130" s="631" t="s">
        <v>521</v>
      </c>
      <c r="C130" s="632">
        <v>28435</v>
      </c>
      <c r="D130" s="632">
        <v>15535</v>
      </c>
      <c r="E130" s="632">
        <v>15535</v>
      </c>
      <c r="F130" s="632">
        <v>1403.6</v>
      </c>
      <c r="G130" s="632">
        <v>1403.6</v>
      </c>
      <c r="H130" s="632">
        <v>0</v>
      </c>
      <c r="I130" s="632">
        <v>0</v>
      </c>
      <c r="J130" s="632">
        <v>0</v>
      </c>
      <c r="K130" s="632">
        <v>0</v>
      </c>
      <c r="L130" s="632">
        <v>0</v>
      </c>
      <c r="M130" s="632">
        <v>0</v>
      </c>
      <c r="N130" s="632">
        <v>0</v>
      </c>
      <c r="O130" s="632">
        <v>0</v>
      </c>
      <c r="P130" s="632">
        <v>1403.6</v>
      </c>
      <c r="Q130" s="632">
        <v>0</v>
      </c>
      <c r="R130" s="632">
        <v>0</v>
      </c>
      <c r="S130" s="632">
        <v>0</v>
      </c>
      <c r="T130" s="633">
        <v>1403.6</v>
      </c>
      <c r="U130" s="634">
        <v>9.0350820727389758E-2</v>
      </c>
      <c r="V130" s="633">
        <v>14131.4</v>
      </c>
      <c r="W130" s="633">
        <v>0</v>
      </c>
      <c r="X130" s="633">
        <v>14131.4</v>
      </c>
      <c r="Y130" s="633">
        <v>14131.4</v>
      </c>
      <c r="Z130" s="633">
        <v>0</v>
      </c>
      <c r="AA130" s="633">
        <v>0</v>
      </c>
    </row>
    <row r="131" spans="1:27" s="630" customFormat="1" x14ac:dyDescent="0.2">
      <c r="A131" s="626" t="s">
        <v>1220</v>
      </c>
      <c r="B131" s="635" t="s">
        <v>522</v>
      </c>
      <c r="C131" s="585">
        <v>0</v>
      </c>
      <c r="D131" s="585">
        <v>0</v>
      </c>
      <c r="E131" s="585">
        <v>0</v>
      </c>
      <c r="F131" s="585">
        <v>0</v>
      </c>
      <c r="G131" s="585">
        <v>0</v>
      </c>
      <c r="H131" s="628">
        <v>0</v>
      </c>
      <c r="I131" s="628">
        <v>0</v>
      </c>
      <c r="J131" s="628">
        <v>0</v>
      </c>
      <c r="K131" s="628">
        <v>0</v>
      </c>
      <c r="L131" s="628">
        <v>0</v>
      </c>
      <c r="M131" s="628">
        <v>0</v>
      </c>
      <c r="N131" s="628">
        <v>0</v>
      </c>
      <c r="O131" s="628">
        <v>0</v>
      </c>
      <c r="P131" s="628">
        <v>0</v>
      </c>
      <c r="Q131" s="628">
        <v>0</v>
      </c>
      <c r="R131" s="628">
        <v>0</v>
      </c>
      <c r="S131" s="628">
        <v>0</v>
      </c>
      <c r="T131" s="628">
        <v>0</v>
      </c>
      <c r="U131" s="629" t="e">
        <v>#DIV/0!</v>
      </c>
      <c r="V131" s="628">
        <v>0</v>
      </c>
      <c r="W131" s="628">
        <v>0</v>
      </c>
      <c r="X131" s="628">
        <v>0</v>
      </c>
      <c r="Y131" s="628">
        <v>0</v>
      </c>
      <c r="Z131" s="628">
        <v>0</v>
      </c>
      <c r="AA131" s="628">
        <v>0</v>
      </c>
    </row>
    <row r="132" spans="1:27" s="630" customFormat="1" x14ac:dyDescent="0.2">
      <c r="A132" s="626" t="s">
        <v>1221</v>
      </c>
      <c r="B132" s="635" t="s">
        <v>523</v>
      </c>
      <c r="C132" s="585">
        <v>28435</v>
      </c>
      <c r="D132" s="585">
        <v>15535</v>
      </c>
      <c r="E132" s="585">
        <v>15535</v>
      </c>
      <c r="F132" s="585">
        <v>1403.6</v>
      </c>
      <c r="G132" s="585">
        <v>1403.6</v>
      </c>
      <c r="H132" s="628">
        <v>0</v>
      </c>
      <c r="I132" s="628">
        <v>0</v>
      </c>
      <c r="J132" s="628">
        <v>0</v>
      </c>
      <c r="K132" s="628">
        <v>0</v>
      </c>
      <c r="L132" s="628">
        <v>0</v>
      </c>
      <c r="M132" s="628">
        <v>0</v>
      </c>
      <c r="N132" s="628">
        <v>0</v>
      </c>
      <c r="O132" s="628">
        <v>0</v>
      </c>
      <c r="P132" s="628">
        <v>1403.6</v>
      </c>
      <c r="Q132" s="628">
        <v>0</v>
      </c>
      <c r="R132" s="628">
        <v>0</v>
      </c>
      <c r="S132" s="628">
        <v>0</v>
      </c>
      <c r="T132" s="628">
        <v>1403.6</v>
      </c>
      <c r="U132" s="629">
        <v>9.0350820727389758E-2</v>
      </c>
      <c r="V132" s="628">
        <v>14131.4</v>
      </c>
      <c r="W132" s="628">
        <v>0</v>
      </c>
      <c r="X132" s="628">
        <v>14131.4</v>
      </c>
      <c r="Y132" s="628">
        <v>14131.4</v>
      </c>
      <c r="Z132" s="628">
        <v>0</v>
      </c>
      <c r="AA132" s="628">
        <v>0</v>
      </c>
    </row>
    <row r="133" spans="1:27" s="630" customFormat="1" ht="24" x14ac:dyDescent="0.2">
      <c r="A133" s="626" t="s">
        <v>1222</v>
      </c>
      <c r="B133" s="635" t="s">
        <v>524</v>
      </c>
      <c r="C133" s="585">
        <v>0</v>
      </c>
      <c r="D133" s="585">
        <v>0</v>
      </c>
      <c r="E133" s="585">
        <v>0</v>
      </c>
      <c r="F133" s="585">
        <v>0</v>
      </c>
      <c r="G133" s="585">
        <v>0</v>
      </c>
      <c r="H133" s="628">
        <v>0</v>
      </c>
      <c r="I133" s="628">
        <v>0</v>
      </c>
      <c r="J133" s="628">
        <v>0</v>
      </c>
      <c r="K133" s="628">
        <v>0</v>
      </c>
      <c r="L133" s="628">
        <v>0</v>
      </c>
      <c r="M133" s="628">
        <v>0</v>
      </c>
      <c r="N133" s="628">
        <v>0</v>
      </c>
      <c r="O133" s="628">
        <v>0</v>
      </c>
      <c r="P133" s="628">
        <v>0</v>
      </c>
      <c r="Q133" s="628">
        <v>0</v>
      </c>
      <c r="R133" s="628">
        <v>0</v>
      </c>
      <c r="S133" s="628">
        <v>0</v>
      </c>
      <c r="T133" s="628">
        <v>0</v>
      </c>
      <c r="U133" s="629" t="e">
        <v>#DIV/0!</v>
      </c>
      <c r="V133" s="628">
        <v>0</v>
      </c>
      <c r="W133" s="628">
        <v>0</v>
      </c>
      <c r="X133" s="628">
        <v>0</v>
      </c>
      <c r="Y133" s="628">
        <v>0</v>
      </c>
      <c r="Z133" s="628">
        <v>0</v>
      </c>
      <c r="AA133" s="628">
        <v>0</v>
      </c>
    </row>
    <row r="134" spans="1:27" s="630" customFormat="1" x14ac:dyDescent="0.2">
      <c r="A134" s="626"/>
      <c r="B134" s="631" t="s">
        <v>525</v>
      </c>
      <c r="C134" s="632">
        <v>6000</v>
      </c>
      <c r="D134" s="632">
        <v>10570</v>
      </c>
      <c r="E134" s="632">
        <v>10570</v>
      </c>
      <c r="F134" s="632">
        <v>3981.35</v>
      </c>
      <c r="G134" s="632">
        <v>3981.35</v>
      </c>
      <c r="H134" s="632">
        <v>0</v>
      </c>
      <c r="I134" s="632">
        <v>3981.35</v>
      </c>
      <c r="J134" s="632">
        <v>0</v>
      </c>
      <c r="K134" s="632">
        <v>0</v>
      </c>
      <c r="L134" s="632">
        <v>0</v>
      </c>
      <c r="M134" s="632">
        <v>0</v>
      </c>
      <c r="N134" s="632">
        <v>0</v>
      </c>
      <c r="O134" s="632">
        <v>0</v>
      </c>
      <c r="P134" s="632">
        <v>0</v>
      </c>
      <c r="Q134" s="632">
        <v>0</v>
      </c>
      <c r="R134" s="632">
        <v>0</v>
      </c>
      <c r="S134" s="632">
        <v>0</v>
      </c>
      <c r="T134" s="633">
        <v>3981.35</v>
      </c>
      <c r="U134" s="634">
        <v>0.37666508987701042</v>
      </c>
      <c r="V134" s="633">
        <v>6588.65</v>
      </c>
      <c r="W134" s="633">
        <v>0</v>
      </c>
      <c r="X134" s="633">
        <v>6588.65</v>
      </c>
      <c r="Y134" s="633">
        <v>6588.65</v>
      </c>
      <c r="Z134" s="633">
        <v>0</v>
      </c>
      <c r="AA134" s="633">
        <v>0</v>
      </c>
    </row>
    <row r="135" spans="1:27" s="630" customFormat="1" x14ac:dyDescent="0.2">
      <c r="A135" s="626" t="s">
        <v>1223</v>
      </c>
      <c r="B135" s="627" t="s">
        <v>526</v>
      </c>
      <c r="C135" s="585">
        <v>0</v>
      </c>
      <c r="D135" s="585">
        <v>0</v>
      </c>
      <c r="E135" s="585">
        <v>0</v>
      </c>
      <c r="F135" s="585">
        <v>0</v>
      </c>
      <c r="G135" s="585">
        <v>0</v>
      </c>
      <c r="H135" s="628">
        <v>0</v>
      </c>
      <c r="I135" s="628">
        <v>0</v>
      </c>
      <c r="J135" s="628">
        <v>0</v>
      </c>
      <c r="K135" s="628">
        <v>0</v>
      </c>
      <c r="L135" s="628">
        <v>0</v>
      </c>
      <c r="M135" s="628">
        <v>0</v>
      </c>
      <c r="N135" s="628">
        <v>0</v>
      </c>
      <c r="O135" s="628">
        <v>0</v>
      </c>
      <c r="P135" s="628">
        <v>0</v>
      </c>
      <c r="Q135" s="628">
        <v>0</v>
      </c>
      <c r="R135" s="628">
        <v>0</v>
      </c>
      <c r="S135" s="628">
        <v>0</v>
      </c>
      <c r="T135" s="628">
        <v>0</v>
      </c>
      <c r="U135" s="629" t="e">
        <v>#DIV/0!</v>
      </c>
      <c r="V135" s="628">
        <v>0</v>
      </c>
      <c r="W135" s="628">
        <v>0</v>
      </c>
      <c r="X135" s="628">
        <v>0</v>
      </c>
      <c r="Y135" s="628">
        <v>0</v>
      </c>
      <c r="Z135" s="628">
        <v>0</v>
      </c>
      <c r="AA135" s="628">
        <v>0</v>
      </c>
    </row>
    <row r="136" spans="1:27" s="630" customFormat="1" x14ac:dyDescent="0.2">
      <c r="A136" s="626" t="s">
        <v>1224</v>
      </c>
      <c r="B136" s="627" t="s">
        <v>527</v>
      </c>
      <c r="C136" s="585">
        <v>6000</v>
      </c>
      <c r="D136" s="585">
        <v>6000</v>
      </c>
      <c r="E136" s="585">
        <v>6000</v>
      </c>
      <c r="F136" s="585">
        <v>0</v>
      </c>
      <c r="G136" s="585">
        <v>0</v>
      </c>
      <c r="H136" s="628">
        <v>0</v>
      </c>
      <c r="I136" s="628">
        <v>0</v>
      </c>
      <c r="J136" s="628">
        <v>0</v>
      </c>
      <c r="K136" s="628">
        <v>0</v>
      </c>
      <c r="L136" s="628">
        <v>0</v>
      </c>
      <c r="M136" s="628">
        <v>0</v>
      </c>
      <c r="N136" s="628">
        <v>0</v>
      </c>
      <c r="O136" s="628">
        <v>0</v>
      </c>
      <c r="P136" s="628">
        <v>0</v>
      </c>
      <c r="Q136" s="628">
        <v>0</v>
      </c>
      <c r="R136" s="628">
        <v>0</v>
      </c>
      <c r="S136" s="628">
        <v>0</v>
      </c>
      <c r="T136" s="628">
        <v>0</v>
      </c>
      <c r="U136" s="629">
        <v>0</v>
      </c>
      <c r="V136" s="628">
        <v>6000</v>
      </c>
      <c r="W136" s="628">
        <v>0</v>
      </c>
      <c r="X136" s="628">
        <v>6000</v>
      </c>
      <c r="Y136" s="628">
        <v>6000</v>
      </c>
      <c r="Z136" s="628">
        <v>0</v>
      </c>
      <c r="AA136" s="628">
        <v>0</v>
      </c>
    </row>
    <row r="137" spans="1:27" s="630" customFormat="1" x14ac:dyDescent="0.2">
      <c r="A137" s="626" t="s">
        <v>1225</v>
      </c>
      <c r="B137" s="627" t="s">
        <v>528</v>
      </c>
      <c r="C137" s="585">
        <v>0</v>
      </c>
      <c r="D137" s="585">
        <v>2350</v>
      </c>
      <c r="E137" s="585">
        <v>2350</v>
      </c>
      <c r="F137" s="585">
        <v>2315</v>
      </c>
      <c r="G137" s="585">
        <v>2315</v>
      </c>
      <c r="H137" s="628">
        <v>0</v>
      </c>
      <c r="I137" s="628">
        <v>2315</v>
      </c>
      <c r="J137" s="628">
        <v>0</v>
      </c>
      <c r="K137" s="628">
        <v>0</v>
      </c>
      <c r="L137" s="628">
        <v>0</v>
      </c>
      <c r="M137" s="628">
        <v>0</v>
      </c>
      <c r="N137" s="628">
        <v>0</v>
      </c>
      <c r="O137" s="628">
        <v>0</v>
      </c>
      <c r="P137" s="628">
        <v>0</v>
      </c>
      <c r="Q137" s="628">
        <v>0</v>
      </c>
      <c r="R137" s="628">
        <v>0</v>
      </c>
      <c r="S137" s="628">
        <v>0</v>
      </c>
      <c r="T137" s="628">
        <v>2315</v>
      </c>
      <c r="U137" s="629">
        <v>0.98510638297872344</v>
      </c>
      <c r="V137" s="628">
        <v>35</v>
      </c>
      <c r="W137" s="628">
        <v>0</v>
      </c>
      <c r="X137" s="628">
        <v>35</v>
      </c>
      <c r="Y137" s="628">
        <v>35</v>
      </c>
      <c r="Z137" s="628">
        <v>0</v>
      </c>
      <c r="AA137" s="628">
        <v>0</v>
      </c>
    </row>
    <row r="138" spans="1:27" s="630" customFormat="1" x14ac:dyDescent="0.2">
      <c r="A138" s="626" t="s">
        <v>1226</v>
      </c>
      <c r="B138" s="627" t="s">
        <v>529</v>
      </c>
      <c r="C138" s="585">
        <v>0</v>
      </c>
      <c r="D138" s="585">
        <v>0</v>
      </c>
      <c r="E138" s="585">
        <v>0</v>
      </c>
      <c r="F138" s="585">
        <v>0</v>
      </c>
      <c r="G138" s="585">
        <v>0</v>
      </c>
      <c r="H138" s="628">
        <v>0</v>
      </c>
      <c r="I138" s="628">
        <v>0</v>
      </c>
      <c r="J138" s="628">
        <v>0</v>
      </c>
      <c r="K138" s="628">
        <v>0</v>
      </c>
      <c r="L138" s="628">
        <v>0</v>
      </c>
      <c r="M138" s="628">
        <v>0</v>
      </c>
      <c r="N138" s="628">
        <v>0</v>
      </c>
      <c r="O138" s="628">
        <v>0</v>
      </c>
      <c r="P138" s="628">
        <v>0</v>
      </c>
      <c r="Q138" s="628">
        <v>0</v>
      </c>
      <c r="R138" s="628">
        <v>0</v>
      </c>
      <c r="S138" s="628">
        <v>0</v>
      </c>
      <c r="T138" s="628">
        <v>0</v>
      </c>
      <c r="U138" s="629" t="e">
        <v>#DIV/0!</v>
      </c>
      <c r="V138" s="628">
        <v>0</v>
      </c>
      <c r="W138" s="628">
        <v>0</v>
      </c>
      <c r="X138" s="628">
        <v>0</v>
      </c>
      <c r="Y138" s="628">
        <v>0</v>
      </c>
      <c r="Z138" s="628">
        <v>0</v>
      </c>
      <c r="AA138" s="628">
        <v>0</v>
      </c>
    </row>
    <row r="139" spans="1:27" s="630" customFormat="1" x14ac:dyDescent="0.2">
      <c r="A139" s="626" t="s">
        <v>1227</v>
      </c>
      <c r="B139" s="627" t="s">
        <v>530</v>
      </c>
      <c r="C139" s="585">
        <v>0</v>
      </c>
      <c r="D139" s="585">
        <v>0</v>
      </c>
      <c r="E139" s="585">
        <v>0</v>
      </c>
      <c r="F139" s="585">
        <v>0</v>
      </c>
      <c r="G139" s="585">
        <v>0</v>
      </c>
      <c r="H139" s="628">
        <v>0</v>
      </c>
      <c r="I139" s="628">
        <v>0</v>
      </c>
      <c r="J139" s="628">
        <v>0</v>
      </c>
      <c r="K139" s="628">
        <v>0</v>
      </c>
      <c r="L139" s="628">
        <v>0</v>
      </c>
      <c r="M139" s="628">
        <v>0</v>
      </c>
      <c r="N139" s="628">
        <v>0</v>
      </c>
      <c r="O139" s="628">
        <v>0</v>
      </c>
      <c r="P139" s="628">
        <v>0</v>
      </c>
      <c r="Q139" s="628">
        <v>0</v>
      </c>
      <c r="R139" s="628">
        <v>0</v>
      </c>
      <c r="S139" s="628">
        <v>0</v>
      </c>
      <c r="T139" s="628">
        <v>0</v>
      </c>
      <c r="U139" s="629" t="e">
        <v>#DIV/0!</v>
      </c>
      <c r="V139" s="628">
        <v>0</v>
      </c>
      <c r="W139" s="628">
        <v>0</v>
      </c>
      <c r="X139" s="628">
        <v>0</v>
      </c>
      <c r="Y139" s="628">
        <v>0</v>
      </c>
      <c r="Z139" s="628">
        <v>0</v>
      </c>
      <c r="AA139" s="628">
        <v>0</v>
      </c>
    </row>
    <row r="140" spans="1:27" s="630" customFormat="1" x14ac:dyDescent="0.2">
      <c r="A140" s="626" t="s">
        <v>1228</v>
      </c>
      <c r="B140" s="627" t="s">
        <v>531</v>
      </c>
      <c r="C140" s="585">
        <v>0</v>
      </c>
      <c r="D140" s="585">
        <v>0</v>
      </c>
      <c r="E140" s="585">
        <v>0</v>
      </c>
      <c r="F140" s="585">
        <v>0</v>
      </c>
      <c r="G140" s="585">
        <v>0</v>
      </c>
      <c r="H140" s="628">
        <v>0</v>
      </c>
      <c r="I140" s="628">
        <v>0</v>
      </c>
      <c r="J140" s="628">
        <v>0</v>
      </c>
      <c r="K140" s="628">
        <v>0</v>
      </c>
      <c r="L140" s="628">
        <v>0</v>
      </c>
      <c r="M140" s="628">
        <v>0</v>
      </c>
      <c r="N140" s="628">
        <v>0</v>
      </c>
      <c r="O140" s="628">
        <v>0</v>
      </c>
      <c r="P140" s="628">
        <v>0</v>
      </c>
      <c r="Q140" s="628">
        <v>0</v>
      </c>
      <c r="R140" s="628">
        <v>0</v>
      </c>
      <c r="S140" s="628">
        <v>0</v>
      </c>
      <c r="T140" s="628">
        <v>0</v>
      </c>
      <c r="U140" s="629" t="e">
        <v>#DIV/0!</v>
      </c>
      <c r="V140" s="628">
        <v>0</v>
      </c>
      <c r="W140" s="628">
        <v>0</v>
      </c>
      <c r="X140" s="628">
        <v>0</v>
      </c>
      <c r="Y140" s="628">
        <v>0</v>
      </c>
      <c r="Z140" s="628">
        <v>0</v>
      </c>
      <c r="AA140" s="628">
        <v>0</v>
      </c>
    </row>
    <row r="141" spans="1:27" s="630" customFormat="1" x14ac:dyDescent="0.2">
      <c r="A141" s="626" t="s">
        <v>1229</v>
      </c>
      <c r="B141" s="627" t="s">
        <v>532</v>
      </c>
      <c r="C141" s="585">
        <v>0</v>
      </c>
      <c r="D141" s="585">
        <v>2220</v>
      </c>
      <c r="E141" s="585">
        <v>2220</v>
      </c>
      <c r="F141" s="585">
        <v>1666.35</v>
      </c>
      <c r="G141" s="585">
        <v>1666.35</v>
      </c>
      <c r="H141" s="628">
        <v>0</v>
      </c>
      <c r="I141" s="628">
        <v>1666.35</v>
      </c>
      <c r="J141" s="628">
        <v>0</v>
      </c>
      <c r="K141" s="628">
        <v>0</v>
      </c>
      <c r="L141" s="628">
        <v>0</v>
      </c>
      <c r="M141" s="628">
        <v>0</v>
      </c>
      <c r="N141" s="628">
        <v>0</v>
      </c>
      <c r="O141" s="628">
        <v>0</v>
      </c>
      <c r="P141" s="628">
        <v>0</v>
      </c>
      <c r="Q141" s="628">
        <v>0</v>
      </c>
      <c r="R141" s="628">
        <v>0</v>
      </c>
      <c r="S141" s="628">
        <v>0</v>
      </c>
      <c r="T141" s="628">
        <v>1666.35</v>
      </c>
      <c r="U141" s="629">
        <v>0.75060810810810807</v>
      </c>
      <c r="V141" s="628">
        <v>553.65000000000009</v>
      </c>
      <c r="W141" s="628">
        <v>0</v>
      </c>
      <c r="X141" s="628">
        <v>553.65000000000009</v>
      </c>
      <c r="Y141" s="628">
        <v>553.65000000000009</v>
      </c>
      <c r="Z141" s="628">
        <v>0</v>
      </c>
      <c r="AA141" s="628">
        <v>0</v>
      </c>
    </row>
    <row r="142" spans="1:27" s="636" customFormat="1" x14ac:dyDescent="0.2">
      <c r="A142" s="626" t="s">
        <v>1230</v>
      </c>
      <c r="B142" s="631" t="s">
        <v>533</v>
      </c>
      <c r="C142" s="586">
        <v>0</v>
      </c>
      <c r="D142" s="586">
        <v>0</v>
      </c>
      <c r="E142" s="586">
        <v>0</v>
      </c>
      <c r="F142" s="586">
        <v>0</v>
      </c>
      <c r="G142" s="586">
        <v>0</v>
      </c>
      <c r="H142" s="633">
        <v>0</v>
      </c>
      <c r="I142" s="633">
        <v>0</v>
      </c>
      <c r="J142" s="633">
        <v>0</v>
      </c>
      <c r="K142" s="633">
        <v>0</v>
      </c>
      <c r="L142" s="633">
        <v>0</v>
      </c>
      <c r="M142" s="633">
        <v>0</v>
      </c>
      <c r="N142" s="633">
        <v>0</v>
      </c>
      <c r="O142" s="633">
        <v>0</v>
      </c>
      <c r="P142" s="633">
        <v>0</v>
      </c>
      <c r="Q142" s="633">
        <v>0</v>
      </c>
      <c r="R142" s="633">
        <v>0</v>
      </c>
      <c r="S142" s="633">
        <v>0</v>
      </c>
      <c r="T142" s="633">
        <v>0</v>
      </c>
      <c r="U142" s="634" t="e">
        <v>#DIV/0!</v>
      </c>
      <c r="V142" s="633">
        <v>0</v>
      </c>
      <c r="W142" s="633">
        <v>0</v>
      </c>
      <c r="X142" s="633">
        <v>0</v>
      </c>
      <c r="Y142" s="633">
        <v>0</v>
      </c>
      <c r="Z142" s="633">
        <v>0</v>
      </c>
      <c r="AA142" s="633">
        <v>0</v>
      </c>
    </row>
    <row r="143" spans="1:27" s="636" customFormat="1" x14ac:dyDescent="0.2">
      <c r="A143" s="626" t="s">
        <v>1231</v>
      </c>
      <c r="B143" s="631" t="s">
        <v>534</v>
      </c>
      <c r="C143" s="586">
        <v>2585</v>
      </c>
      <c r="D143" s="586">
        <v>1085</v>
      </c>
      <c r="E143" s="586">
        <v>1085</v>
      </c>
      <c r="F143" s="586">
        <v>376.5</v>
      </c>
      <c r="G143" s="586">
        <v>376.5</v>
      </c>
      <c r="H143" s="633">
        <v>0</v>
      </c>
      <c r="I143" s="633">
        <v>269.5</v>
      </c>
      <c r="J143" s="633">
        <v>0</v>
      </c>
      <c r="K143" s="633">
        <v>0</v>
      </c>
      <c r="L143" s="633">
        <v>20</v>
      </c>
      <c r="M143" s="633">
        <v>0</v>
      </c>
      <c r="N143" s="633">
        <v>87</v>
      </c>
      <c r="O143" s="633">
        <v>0</v>
      </c>
      <c r="P143" s="633">
        <v>0</v>
      </c>
      <c r="Q143" s="633">
        <v>0</v>
      </c>
      <c r="R143" s="633">
        <v>0</v>
      </c>
      <c r="S143" s="633">
        <v>0</v>
      </c>
      <c r="T143" s="633">
        <v>376.5</v>
      </c>
      <c r="U143" s="634">
        <v>0.34700460829493085</v>
      </c>
      <c r="V143" s="633">
        <v>708.5</v>
      </c>
      <c r="W143" s="633">
        <v>0</v>
      </c>
      <c r="X143" s="633">
        <v>708.5</v>
      </c>
      <c r="Y143" s="633">
        <v>708.5</v>
      </c>
      <c r="Z143" s="633">
        <v>0</v>
      </c>
      <c r="AA143" s="633">
        <v>0</v>
      </c>
    </row>
    <row r="144" spans="1:27" s="630" customFormat="1" x14ac:dyDescent="0.2">
      <c r="A144" s="626"/>
      <c r="B144" s="631" t="s">
        <v>535</v>
      </c>
      <c r="C144" s="632">
        <v>5000</v>
      </c>
      <c r="D144" s="632">
        <v>2000</v>
      </c>
      <c r="E144" s="632">
        <v>2000</v>
      </c>
      <c r="F144" s="632">
        <v>48.45</v>
      </c>
      <c r="G144" s="632">
        <v>48.45</v>
      </c>
      <c r="H144" s="632">
        <v>0.5</v>
      </c>
      <c r="I144" s="632">
        <v>0.5</v>
      </c>
      <c r="J144" s="632">
        <v>0.5</v>
      </c>
      <c r="K144" s="632">
        <v>0.5</v>
      </c>
      <c r="L144" s="632">
        <v>0.5</v>
      </c>
      <c r="M144" s="632">
        <v>2.4500000000000002</v>
      </c>
      <c r="N144" s="632">
        <v>5.5</v>
      </c>
      <c r="O144" s="632">
        <v>5.5</v>
      </c>
      <c r="P144" s="632">
        <v>32.5</v>
      </c>
      <c r="Q144" s="632">
        <v>0</v>
      </c>
      <c r="R144" s="632">
        <v>0</v>
      </c>
      <c r="S144" s="632">
        <v>0</v>
      </c>
      <c r="T144" s="633">
        <v>48.45</v>
      </c>
      <c r="U144" s="634">
        <v>2.4225E-2</v>
      </c>
      <c r="V144" s="633">
        <v>1951.55</v>
      </c>
      <c r="W144" s="633">
        <v>0</v>
      </c>
      <c r="X144" s="633">
        <v>1951.55</v>
      </c>
      <c r="Y144" s="633">
        <v>1951.55</v>
      </c>
      <c r="Z144" s="633">
        <v>0</v>
      </c>
      <c r="AA144" s="633">
        <v>0</v>
      </c>
    </row>
    <row r="145" spans="1:27" s="630" customFormat="1" x14ac:dyDescent="0.2">
      <c r="A145" s="626" t="s">
        <v>1232</v>
      </c>
      <c r="B145" s="627" t="s">
        <v>536</v>
      </c>
      <c r="C145" s="585">
        <v>5000</v>
      </c>
      <c r="D145" s="585">
        <v>2000</v>
      </c>
      <c r="E145" s="585">
        <v>2000</v>
      </c>
      <c r="F145" s="585">
        <v>48.45</v>
      </c>
      <c r="G145" s="585">
        <v>48.45</v>
      </c>
      <c r="H145" s="628">
        <v>0.5</v>
      </c>
      <c r="I145" s="628">
        <v>0.5</v>
      </c>
      <c r="J145" s="628">
        <v>0.5</v>
      </c>
      <c r="K145" s="628">
        <v>0.5</v>
      </c>
      <c r="L145" s="628">
        <v>0.5</v>
      </c>
      <c r="M145" s="628">
        <v>2.4500000000000002</v>
      </c>
      <c r="N145" s="628">
        <v>5.5</v>
      </c>
      <c r="O145" s="628">
        <v>5.5</v>
      </c>
      <c r="P145" s="628">
        <v>32.5</v>
      </c>
      <c r="Q145" s="628">
        <v>0</v>
      </c>
      <c r="R145" s="628">
        <v>0</v>
      </c>
      <c r="S145" s="628">
        <v>0</v>
      </c>
      <c r="T145" s="628">
        <v>48.45</v>
      </c>
      <c r="U145" s="629">
        <v>2.4225E-2</v>
      </c>
      <c r="V145" s="628">
        <v>1951.55</v>
      </c>
      <c r="W145" s="628">
        <v>0</v>
      </c>
      <c r="X145" s="628">
        <v>1951.55</v>
      </c>
      <c r="Y145" s="628">
        <v>1951.55</v>
      </c>
      <c r="Z145" s="628">
        <v>0</v>
      </c>
      <c r="AA145" s="628">
        <v>0</v>
      </c>
    </row>
    <row r="146" spans="1:27" s="630" customFormat="1" x14ac:dyDescent="0.2">
      <c r="A146" s="626" t="s">
        <v>1233</v>
      </c>
      <c r="B146" s="627" t="s">
        <v>537</v>
      </c>
      <c r="C146" s="585">
        <v>0</v>
      </c>
      <c r="D146" s="585">
        <v>0</v>
      </c>
      <c r="E146" s="585">
        <v>0</v>
      </c>
      <c r="F146" s="585">
        <v>0</v>
      </c>
      <c r="G146" s="585">
        <v>0</v>
      </c>
      <c r="H146" s="628">
        <v>0</v>
      </c>
      <c r="I146" s="628">
        <v>0</v>
      </c>
      <c r="J146" s="628">
        <v>0</v>
      </c>
      <c r="K146" s="628">
        <v>0</v>
      </c>
      <c r="L146" s="628">
        <v>0</v>
      </c>
      <c r="M146" s="628">
        <v>0</v>
      </c>
      <c r="N146" s="628">
        <v>0</v>
      </c>
      <c r="O146" s="628">
        <v>0</v>
      </c>
      <c r="P146" s="628">
        <v>0</v>
      </c>
      <c r="Q146" s="628">
        <v>0</v>
      </c>
      <c r="R146" s="628">
        <v>0</v>
      </c>
      <c r="S146" s="628">
        <v>0</v>
      </c>
      <c r="T146" s="628">
        <v>0</v>
      </c>
      <c r="U146" s="629" t="e">
        <v>#DIV/0!</v>
      </c>
      <c r="V146" s="628">
        <v>0</v>
      </c>
      <c r="W146" s="628">
        <v>0</v>
      </c>
      <c r="X146" s="628">
        <v>0</v>
      </c>
      <c r="Y146" s="628">
        <v>0</v>
      </c>
      <c r="Z146" s="628">
        <v>0</v>
      </c>
      <c r="AA146" s="628">
        <v>0</v>
      </c>
    </row>
    <row r="147" spans="1:27" s="630" customFormat="1" x14ac:dyDescent="0.2">
      <c r="A147" s="626" t="s">
        <v>1234</v>
      </c>
      <c r="B147" s="627" t="s">
        <v>538</v>
      </c>
      <c r="C147" s="585">
        <v>0</v>
      </c>
      <c r="D147" s="585">
        <v>0</v>
      </c>
      <c r="E147" s="585">
        <v>0</v>
      </c>
      <c r="F147" s="585">
        <v>0</v>
      </c>
      <c r="G147" s="585">
        <v>0</v>
      </c>
      <c r="H147" s="628">
        <v>0</v>
      </c>
      <c r="I147" s="628">
        <v>0</v>
      </c>
      <c r="J147" s="628">
        <v>0</v>
      </c>
      <c r="K147" s="628">
        <v>0</v>
      </c>
      <c r="L147" s="628">
        <v>0</v>
      </c>
      <c r="M147" s="628">
        <v>0</v>
      </c>
      <c r="N147" s="628">
        <v>0</v>
      </c>
      <c r="O147" s="628">
        <v>0</v>
      </c>
      <c r="P147" s="628">
        <v>0</v>
      </c>
      <c r="Q147" s="628">
        <v>0</v>
      </c>
      <c r="R147" s="628">
        <v>0</v>
      </c>
      <c r="S147" s="628">
        <v>0</v>
      </c>
      <c r="T147" s="628">
        <v>0</v>
      </c>
      <c r="U147" s="629" t="e">
        <v>#DIV/0!</v>
      </c>
      <c r="V147" s="628">
        <v>0</v>
      </c>
      <c r="W147" s="628">
        <v>0</v>
      </c>
      <c r="X147" s="628">
        <v>0</v>
      </c>
      <c r="Y147" s="628">
        <v>0</v>
      </c>
      <c r="Z147" s="628">
        <v>0</v>
      </c>
      <c r="AA147" s="628">
        <v>0</v>
      </c>
    </row>
    <row r="148" spans="1:27" s="630" customFormat="1" x14ac:dyDescent="0.2">
      <c r="A148" s="626" t="s">
        <v>1235</v>
      </c>
      <c r="B148" s="627" t="s">
        <v>539</v>
      </c>
      <c r="C148" s="585">
        <v>0</v>
      </c>
      <c r="D148" s="585">
        <v>0</v>
      </c>
      <c r="E148" s="585">
        <v>0</v>
      </c>
      <c r="F148" s="585">
        <v>0</v>
      </c>
      <c r="G148" s="585">
        <v>0</v>
      </c>
      <c r="H148" s="628">
        <v>0</v>
      </c>
      <c r="I148" s="628">
        <v>0</v>
      </c>
      <c r="J148" s="628">
        <v>0</v>
      </c>
      <c r="K148" s="628">
        <v>0</v>
      </c>
      <c r="L148" s="628">
        <v>0</v>
      </c>
      <c r="M148" s="628">
        <v>0</v>
      </c>
      <c r="N148" s="628">
        <v>0</v>
      </c>
      <c r="O148" s="628">
        <v>0</v>
      </c>
      <c r="P148" s="628">
        <v>0</v>
      </c>
      <c r="Q148" s="628">
        <v>0</v>
      </c>
      <c r="R148" s="628">
        <v>0</v>
      </c>
      <c r="S148" s="628">
        <v>0</v>
      </c>
      <c r="T148" s="628">
        <v>0</v>
      </c>
      <c r="U148" s="629" t="e">
        <v>#DIV/0!</v>
      </c>
      <c r="V148" s="628">
        <v>0</v>
      </c>
      <c r="W148" s="628">
        <v>0</v>
      </c>
      <c r="X148" s="628">
        <v>0</v>
      </c>
      <c r="Y148" s="628">
        <v>0</v>
      </c>
      <c r="Z148" s="628">
        <v>0</v>
      </c>
      <c r="AA148" s="628">
        <v>0</v>
      </c>
    </row>
    <row r="149" spans="1:27" s="630" customFormat="1" x14ac:dyDescent="0.2">
      <c r="A149" s="626" t="s">
        <v>1236</v>
      </c>
      <c r="B149" s="627" t="s">
        <v>540</v>
      </c>
      <c r="C149" s="585">
        <v>0</v>
      </c>
      <c r="D149" s="585">
        <v>0</v>
      </c>
      <c r="E149" s="585">
        <v>0</v>
      </c>
      <c r="F149" s="585">
        <v>0</v>
      </c>
      <c r="G149" s="585">
        <v>0</v>
      </c>
      <c r="H149" s="628">
        <v>0</v>
      </c>
      <c r="I149" s="628">
        <v>0</v>
      </c>
      <c r="J149" s="628">
        <v>0</v>
      </c>
      <c r="K149" s="628">
        <v>0</v>
      </c>
      <c r="L149" s="628">
        <v>0</v>
      </c>
      <c r="M149" s="628">
        <v>0</v>
      </c>
      <c r="N149" s="628">
        <v>0</v>
      </c>
      <c r="O149" s="628">
        <v>0</v>
      </c>
      <c r="P149" s="628">
        <v>0</v>
      </c>
      <c r="Q149" s="628">
        <v>0</v>
      </c>
      <c r="R149" s="628">
        <v>0</v>
      </c>
      <c r="S149" s="628">
        <v>0</v>
      </c>
      <c r="T149" s="628">
        <v>0</v>
      </c>
      <c r="U149" s="629" t="e">
        <v>#DIV/0!</v>
      </c>
      <c r="V149" s="628">
        <v>0</v>
      </c>
      <c r="W149" s="628">
        <v>0</v>
      </c>
      <c r="X149" s="628">
        <v>0</v>
      </c>
      <c r="Y149" s="628">
        <v>0</v>
      </c>
      <c r="Z149" s="628">
        <v>0</v>
      </c>
      <c r="AA149" s="628">
        <v>0</v>
      </c>
    </row>
    <row r="150" spans="1:27" s="630" customFormat="1" x14ac:dyDescent="0.2">
      <c r="A150" s="626" t="s">
        <v>1237</v>
      </c>
      <c r="B150" s="627" t="s">
        <v>541</v>
      </c>
      <c r="C150" s="585">
        <v>0</v>
      </c>
      <c r="D150" s="585">
        <v>0</v>
      </c>
      <c r="E150" s="585">
        <v>0</v>
      </c>
      <c r="F150" s="585">
        <v>0</v>
      </c>
      <c r="G150" s="585">
        <v>0</v>
      </c>
      <c r="H150" s="628">
        <v>0</v>
      </c>
      <c r="I150" s="628">
        <v>0</v>
      </c>
      <c r="J150" s="628">
        <v>0</v>
      </c>
      <c r="K150" s="628">
        <v>0</v>
      </c>
      <c r="L150" s="628">
        <v>0</v>
      </c>
      <c r="M150" s="628">
        <v>0</v>
      </c>
      <c r="N150" s="628">
        <v>0</v>
      </c>
      <c r="O150" s="628">
        <v>0</v>
      </c>
      <c r="P150" s="628">
        <v>0</v>
      </c>
      <c r="Q150" s="628">
        <v>0</v>
      </c>
      <c r="R150" s="628">
        <v>0</v>
      </c>
      <c r="S150" s="628">
        <v>0</v>
      </c>
      <c r="T150" s="628">
        <v>0</v>
      </c>
      <c r="U150" s="629" t="e">
        <v>#DIV/0!</v>
      </c>
      <c r="V150" s="628">
        <v>0</v>
      </c>
      <c r="W150" s="628">
        <v>0</v>
      </c>
      <c r="X150" s="628">
        <v>0</v>
      </c>
      <c r="Y150" s="628">
        <v>0</v>
      </c>
      <c r="Z150" s="628">
        <v>0</v>
      </c>
      <c r="AA150" s="628">
        <v>0</v>
      </c>
    </row>
    <row r="151" spans="1:27" s="636" customFormat="1" x14ac:dyDescent="0.2">
      <c r="A151" s="626" t="s">
        <v>1238</v>
      </c>
      <c r="B151" s="631" t="s">
        <v>542</v>
      </c>
      <c r="C151" s="586">
        <v>0</v>
      </c>
      <c r="D151" s="586">
        <v>0</v>
      </c>
      <c r="E151" s="586">
        <v>0</v>
      </c>
      <c r="F151" s="586">
        <v>0</v>
      </c>
      <c r="G151" s="586">
        <v>0</v>
      </c>
      <c r="H151" s="633">
        <v>0</v>
      </c>
      <c r="I151" s="633">
        <v>0</v>
      </c>
      <c r="J151" s="633">
        <v>0</v>
      </c>
      <c r="K151" s="633">
        <v>0</v>
      </c>
      <c r="L151" s="633">
        <v>0</v>
      </c>
      <c r="M151" s="633">
        <v>0</v>
      </c>
      <c r="N151" s="633">
        <v>0</v>
      </c>
      <c r="O151" s="633">
        <v>0</v>
      </c>
      <c r="P151" s="633">
        <v>0</v>
      </c>
      <c r="Q151" s="633">
        <v>0</v>
      </c>
      <c r="R151" s="633">
        <v>0</v>
      </c>
      <c r="S151" s="633">
        <v>0</v>
      </c>
      <c r="T151" s="633">
        <v>0</v>
      </c>
      <c r="U151" s="634" t="e">
        <v>#DIV/0!</v>
      </c>
      <c r="V151" s="633">
        <v>0</v>
      </c>
      <c r="W151" s="633">
        <v>0</v>
      </c>
      <c r="X151" s="633">
        <v>0</v>
      </c>
      <c r="Y151" s="633">
        <v>0</v>
      </c>
      <c r="Z151" s="633">
        <v>0</v>
      </c>
      <c r="AA151" s="633">
        <v>0</v>
      </c>
    </row>
    <row r="152" spans="1:27" s="636" customFormat="1" x14ac:dyDescent="0.2">
      <c r="A152" s="626" t="s">
        <v>1239</v>
      </c>
      <c r="B152" s="631" t="s">
        <v>543</v>
      </c>
      <c r="C152" s="586">
        <v>0</v>
      </c>
      <c r="D152" s="586">
        <v>4400</v>
      </c>
      <c r="E152" s="586">
        <v>4400</v>
      </c>
      <c r="F152" s="586">
        <v>4390.79</v>
      </c>
      <c r="G152" s="586">
        <v>4390.79</v>
      </c>
      <c r="H152" s="633">
        <v>0</v>
      </c>
      <c r="I152" s="633">
        <v>2890</v>
      </c>
      <c r="J152" s="633">
        <v>0</v>
      </c>
      <c r="K152" s="633">
        <v>232.77</v>
      </c>
      <c r="L152" s="633">
        <v>0</v>
      </c>
      <c r="M152" s="633">
        <v>0</v>
      </c>
      <c r="N152" s="633">
        <v>0</v>
      </c>
      <c r="O152" s="633">
        <v>0</v>
      </c>
      <c r="P152" s="633">
        <v>1268.02</v>
      </c>
      <c r="Q152" s="633">
        <v>0</v>
      </c>
      <c r="R152" s="633">
        <v>0</v>
      </c>
      <c r="S152" s="633">
        <v>0</v>
      </c>
      <c r="T152" s="633">
        <v>4390.79</v>
      </c>
      <c r="U152" s="634">
        <v>0.99790681818181814</v>
      </c>
      <c r="V152" s="633">
        <v>9.2100000000000364</v>
      </c>
      <c r="W152" s="633">
        <v>0</v>
      </c>
      <c r="X152" s="633">
        <v>9.2100000000000364</v>
      </c>
      <c r="Y152" s="633">
        <v>9.2100000000000364</v>
      </c>
      <c r="Z152" s="633">
        <v>0</v>
      </c>
      <c r="AA152" s="633">
        <v>0</v>
      </c>
    </row>
    <row r="153" spans="1:27" x14ac:dyDescent="0.2">
      <c r="A153" s="591"/>
      <c r="B153" s="597" t="s">
        <v>544</v>
      </c>
      <c r="C153" s="598">
        <v>42000</v>
      </c>
      <c r="D153" s="598">
        <v>51515</v>
      </c>
      <c r="E153" s="598">
        <v>51515</v>
      </c>
      <c r="F153" s="598">
        <v>50648.3</v>
      </c>
      <c r="G153" s="598">
        <v>39648.320000000007</v>
      </c>
      <c r="H153" s="598">
        <v>0</v>
      </c>
      <c r="I153" s="598">
        <v>9915</v>
      </c>
      <c r="J153" s="598">
        <v>333.33</v>
      </c>
      <c r="K153" s="598">
        <v>9000</v>
      </c>
      <c r="L153" s="598">
        <v>0</v>
      </c>
      <c r="M153" s="598">
        <v>10400</v>
      </c>
      <c r="N153" s="598">
        <v>3333.33</v>
      </c>
      <c r="O153" s="598">
        <v>3333.33</v>
      </c>
      <c r="P153" s="598">
        <v>3333.33</v>
      </c>
      <c r="Q153" s="598">
        <v>0</v>
      </c>
      <c r="R153" s="598">
        <v>0</v>
      </c>
      <c r="S153" s="598">
        <v>0</v>
      </c>
      <c r="T153" s="599">
        <v>39648.320000000007</v>
      </c>
      <c r="U153" s="600">
        <v>0.76964612248859565</v>
      </c>
      <c r="V153" s="599">
        <v>11866.679999999993</v>
      </c>
      <c r="W153" s="599">
        <v>0</v>
      </c>
      <c r="X153" s="599">
        <v>866.69999999999709</v>
      </c>
      <c r="Y153" s="599">
        <v>866.69999999999709</v>
      </c>
      <c r="Z153" s="599">
        <v>10999.979999999996</v>
      </c>
      <c r="AA153" s="599">
        <v>0</v>
      </c>
    </row>
    <row r="154" spans="1:27" x14ac:dyDescent="0.2">
      <c r="A154" s="591" t="s">
        <v>1240</v>
      </c>
      <c r="B154" s="605" t="s">
        <v>545</v>
      </c>
      <c r="C154" s="585">
        <v>42000</v>
      </c>
      <c r="D154" s="585">
        <v>42000</v>
      </c>
      <c r="E154" s="585">
        <v>42000</v>
      </c>
      <c r="F154" s="585">
        <v>41133.300000000003</v>
      </c>
      <c r="G154" s="585">
        <v>30133.320000000007</v>
      </c>
      <c r="H154" s="603">
        <v>0</v>
      </c>
      <c r="I154" s="603">
        <v>800</v>
      </c>
      <c r="J154" s="603">
        <v>333.33</v>
      </c>
      <c r="K154" s="603">
        <v>9000</v>
      </c>
      <c r="L154" s="603">
        <v>0</v>
      </c>
      <c r="M154" s="603">
        <v>10000</v>
      </c>
      <c r="N154" s="603">
        <v>3333.33</v>
      </c>
      <c r="O154" s="603">
        <v>3333.33</v>
      </c>
      <c r="P154" s="603">
        <v>3333.33</v>
      </c>
      <c r="Q154" s="603">
        <v>0</v>
      </c>
      <c r="R154" s="603">
        <v>0</v>
      </c>
      <c r="S154" s="603">
        <v>0</v>
      </c>
      <c r="T154" s="603">
        <v>30133.320000000007</v>
      </c>
      <c r="U154" s="604">
        <v>0.71746000000000021</v>
      </c>
      <c r="V154" s="603">
        <v>11866.679999999993</v>
      </c>
      <c r="W154" s="603">
        <v>0</v>
      </c>
      <c r="X154" s="603">
        <v>866.69999999999709</v>
      </c>
      <c r="Y154" s="603">
        <v>866.69999999999709</v>
      </c>
      <c r="Z154" s="603">
        <v>10999.979999999996</v>
      </c>
      <c r="AA154" s="603">
        <v>0</v>
      </c>
    </row>
    <row r="155" spans="1:27" x14ac:dyDescent="0.2">
      <c r="A155" s="591" t="s">
        <v>1241</v>
      </c>
      <c r="B155" s="605" t="s">
        <v>546</v>
      </c>
      <c r="C155" s="585">
        <v>0</v>
      </c>
      <c r="D155" s="585">
        <v>7000</v>
      </c>
      <c r="E155" s="585">
        <v>7000</v>
      </c>
      <c r="F155" s="585">
        <v>7000</v>
      </c>
      <c r="G155" s="585">
        <v>7000</v>
      </c>
      <c r="H155" s="603">
        <v>0</v>
      </c>
      <c r="I155" s="603">
        <v>7000</v>
      </c>
      <c r="J155" s="603">
        <v>0</v>
      </c>
      <c r="K155" s="603">
        <v>0</v>
      </c>
      <c r="L155" s="603">
        <v>0</v>
      </c>
      <c r="M155" s="603">
        <v>0</v>
      </c>
      <c r="N155" s="603">
        <v>0</v>
      </c>
      <c r="O155" s="603">
        <v>0</v>
      </c>
      <c r="P155" s="603">
        <v>0</v>
      </c>
      <c r="Q155" s="603">
        <v>0</v>
      </c>
      <c r="R155" s="603">
        <v>0</v>
      </c>
      <c r="S155" s="603">
        <v>0</v>
      </c>
      <c r="T155" s="603">
        <v>7000</v>
      </c>
      <c r="U155" s="604">
        <v>1</v>
      </c>
      <c r="V155" s="603">
        <v>0</v>
      </c>
      <c r="W155" s="603">
        <v>0</v>
      </c>
      <c r="X155" s="603">
        <v>0</v>
      </c>
      <c r="Y155" s="603">
        <v>0</v>
      </c>
      <c r="Z155" s="603">
        <v>0</v>
      </c>
      <c r="AA155" s="603">
        <v>0</v>
      </c>
    </row>
    <row r="156" spans="1:27" x14ac:dyDescent="0.2">
      <c r="A156" s="591" t="s">
        <v>1242</v>
      </c>
      <c r="B156" s="605" t="s">
        <v>547</v>
      </c>
      <c r="C156" s="585">
        <v>0</v>
      </c>
      <c r="D156" s="585">
        <v>1115</v>
      </c>
      <c r="E156" s="585">
        <v>1115</v>
      </c>
      <c r="F156" s="585">
        <v>1115</v>
      </c>
      <c r="G156" s="585">
        <v>1115</v>
      </c>
      <c r="H156" s="603">
        <v>0</v>
      </c>
      <c r="I156" s="603">
        <v>715</v>
      </c>
      <c r="J156" s="603">
        <v>0</v>
      </c>
      <c r="K156" s="603">
        <v>0</v>
      </c>
      <c r="L156" s="603">
        <v>0</v>
      </c>
      <c r="M156" s="603">
        <v>400</v>
      </c>
      <c r="N156" s="603">
        <v>0</v>
      </c>
      <c r="O156" s="603">
        <v>0</v>
      </c>
      <c r="P156" s="603">
        <v>0</v>
      </c>
      <c r="Q156" s="603">
        <v>0</v>
      </c>
      <c r="R156" s="603">
        <v>0</v>
      </c>
      <c r="S156" s="603">
        <v>0</v>
      </c>
      <c r="T156" s="603">
        <v>1115</v>
      </c>
      <c r="U156" s="604">
        <v>1</v>
      </c>
      <c r="V156" s="603">
        <v>0</v>
      </c>
      <c r="W156" s="603">
        <v>0</v>
      </c>
      <c r="X156" s="603">
        <v>0</v>
      </c>
      <c r="Y156" s="603">
        <v>0</v>
      </c>
      <c r="Z156" s="603">
        <v>0</v>
      </c>
      <c r="AA156" s="603">
        <v>0</v>
      </c>
    </row>
    <row r="157" spans="1:27" x14ac:dyDescent="0.2">
      <c r="A157" s="591" t="s">
        <v>1243</v>
      </c>
      <c r="B157" s="605" t="s">
        <v>548</v>
      </c>
      <c r="C157" s="585">
        <v>0</v>
      </c>
      <c r="D157" s="585">
        <v>0</v>
      </c>
      <c r="E157" s="585">
        <v>0</v>
      </c>
      <c r="F157" s="585">
        <v>0</v>
      </c>
      <c r="G157" s="585">
        <v>0</v>
      </c>
      <c r="H157" s="603">
        <v>0</v>
      </c>
      <c r="I157" s="603">
        <v>0</v>
      </c>
      <c r="J157" s="603">
        <v>0</v>
      </c>
      <c r="K157" s="603">
        <v>0</v>
      </c>
      <c r="L157" s="603">
        <v>0</v>
      </c>
      <c r="M157" s="603">
        <v>0</v>
      </c>
      <c r="N157" s="603">
        <v>0</v>
      </c>
      <c r="O157" s="603">
        <v>0</v>
      </c>
      <c r="P157" s="603">
        <v>0</v>
      </c>
      <c r="Q157" s="603">
        <v>0</v>
      </c>
      <c r="R157" s="603">
        <v>0</v>
      </c>
      <c r="S157" s="603">
        <v>0</v>
      </c>
      <c r="T157" s="603">
        <v>0</v>
      </c>
      <c r="U157" s="604" t="e">
        <v>#DIV/0!</v>
      </c>
      <c r="V157" s="603">
        <v>0</v>
      </c>
      <c r="W157" s="603">
        <v>0</v>
      </c>
      <c r="X157" s="603">
        <v>0</v>
      </c>
      <c r="Y157" s="603">
        <v>0</v>
      </c>
      <c r="Z157" s="603">
        <v>0</v>
      </c>
      <c r="AA157" s="603">
        <v>0</v>
      </c>
    </row>
    <row r="158" spans="1:27" x14ac:dyDescent="0.2">
      <c r="A158" s="591" t="s">
        <v>1244</v>
      </c>
      <c r="B158" s="605" t="s">
        <v>549</v>
      </c>
      <c r="C158" s="585">
        <v>0</v>
      </c>
      <c r="D158" s="585">
        <v>0</v>
      </c>
      <c r="E158" s="585">
        <v>0</v>
      </c>
      <c r="F158" s="585">
        <v>0</v>
      </c>
      <c r="G158" s="585">
        <v>0</v>
      </c>
      <c r="H158" s="603">
        <v>0</v>
      </c>
      <c r="I158" s="603">
        <v>0</v>
      </c>
      <c r="J158" s="603">
        <v>0</v>
      </c>
      <c r="K158" s="603">
        <v>0</v>
      </c>
      <c r="L158" s="603">
        <v>0</v>
      </c>
      <c r="M158" s="603">
        <v>0</v>
      </c>
      <c r="N158" s="603">
        <v>0</v>
      </c>
      <c r="O158" s="603">
        <v>0</v>
      </c>
      <c r="P158" s="603">
        <v>0</v>
      </c>
      <c r="Q158" s="603">
        <v>0</v>
      </c>
      <c r="R158" s="603">
        <v>0</v>
      </c>
      <c r="S158" s="603">
        <v>0</v>
      </c>
      <c r="T158" s="603">
        <v>0</v>
      </c>
      <c r="U158" s="604" t="e">
        <v>#DIV/0!</v>
      </c>
      <c r="V158" s="603">
        <v>0</v>
      </c>
      <c r="W158" s="603">
        <v>0</v>
      </c>
      <c r="X158" s="603">
        <v>0</v>
      </c>
      <c r="Y158" s="603">
        <v>0</v>
      </c>
      <c r="Z158" s="603">
        <v>0</v>
      </c>
      <c r="AA158" s="603">
        <v>0</v>
      </c>
    </row>
    <row r="159" spans="1:27" x14ac:dyDescent="0.2">
      <c r="A159" s="591" t="s">
        <v>1245</v>
      </c>
      <c r="B159" s="605" t="s">
        <v>550</v>
      </c>
      <c r="C159" s="585">
        <v>0</v>
      </c>
      <c r="D159" s="585">
        <v>0</v>
      </c>
      <c r="E159" s="585">
        <v>0</v>
      </c>
      <c r="F159" s="585">
        <v>0</v>
      </c>
      <c r="G159" s="585">
        <v>0</v>
      </c>
      <c r="H159" s="603">
        <v>0</v>
      </c>
      <c r="I159" s="603">
        <v>0</v>
      </c>
      <c r="J159" s="603">
        <v>0</v>
      </c>
      <c r="K159" s="603">
        <v>0</v>
      </c>
      <c r="L159" s="603">
        <v>0</v>
      </c>
      <c r="M159" s="603">
        <v>0</v>
      </c>
      <c r="N159" s="603">
        <v>0</v>
      </c>
      <c r="O159" s="603">
        <v>0</v>
      </c>
      <c r="P159" s="603">
        <v>0</v>
      </c>
      <c r="Q159" s="603">
        <v>0</v>
      </c>
      <c r="R159" s="603">
        <v>0</v>
      </c>
      <c r="S159" s="603">
        <v>0</v>
      </c>
      <c r="T159" s="603">
        <v>0</v>
      </c>
      <c r="U159" s="604" t="e">
        <v>#DIV/0!</v>
      </c>
      <c r="V159" s="603">
        <v>0</v>
      </c>
      <c r="W159" s="603">
        <v>0</v>
      </c>
      <c r="X159" s="603">
        <v>0</v>
      </c>
      <c r="Y159" s="603">
        <v>0</v>
      </c>
      <c r="Z159" s="603">
        <v>0</v>
      </c>
      <c r="AA159" s="603">
        <v>0</v>
      </c>
    </row>
    <row r="160" spans="1:27" x14ac:dyDescent="0.2">
      <c r="A160" s="591" t="s">
        <v>1246</v>
      </c>
      <c r="B160" s="605" t="s">
        <v>551</v>
      </c>
      <c r="C160" s="585">
        <v>0</v>
      </c>
      <c r="D160" s="585">
        <v>0</v>
      </c>
      <c r="E160" s="585">
        <v>0</v>
      </c>
      <c r="F160" s="585">
        <v>0</v>
      </c>
      <c r="G160" s="585">
        <v>0</v>
      </c>
      <c r="H160" s="603">
        <v>0</v>
      </c>
      <c r="I160" s="603">
        <v>0</v>
      </c>
      <c r="J160" s="603">
        <v>0</v>
      </c>
      <c r="K160" s="603">
        <v>0</v>
      </c>
      <c r="L160" s="603">
        <v>0</v>
      </c>
      <c r="M160" s="603">
        <v>0</v>
      </c>
      <c r="N160" s="603">
        <v>0</v>
      </c>
      <c r="O160" s="603">
        <v>0</v>
      </c>
      <c r="P160" s="603">
        <v>0</v>
      </c>
      <c r="Q160" s="603">
        <v>0</v>
      </c>
      <c r="R160" s="603">
        <v>0</v>
      </c>
      <c r="S160" s="603">
        <v>0</v>
      </c>
      <c r="T160" s="603">
        <v>0</v>
      </c>
      <c r="U160" s="604" t="e">
        <v>#DIV/0!</v>
      </c>
      <c r="V160" s="603">
        <v>0</v>
      </c>
      <c r="W160" s="603">
        <v>0</v>
      </c>
      <c r="X160" s="603">
        <v>0</v>
      </c>
      <c r="Y160" s="603">
        <v>0</v>
      </c>
      <c r="Z160" s="603">
        <v>0</v>
      </c>
      <c r="AA160" s="603">
        <v>0</v>
      </c>
    </row>
    <row r="161" spans="1:27" x14ac:dyDescent="0.2">
      <c r="A161" s="591" t="s">
        <v>1247</v>
      </c>
      <c r="B161" s="605" t="s">
        <v>552</v>
      </c>
      <c r="C161" s="585">
        <v>0</v>
      </c>
      <c r="D161" s="585">
        <v>0</v>
      </c>
      <c r="E161" s="585">
        <v>0</v>
      </c>
      <c r="F161" s="585">
        <v>0</v>
      </c>
      <c r="G161" s="585">
        <v>0</v>
      </c>
      <c r="H161" s="603">
        <v>0</v>
      </c>
      <c r="I161" s="603">
        <v>0</v>
      </c>
      <c r="J161" s="603">
        <v>0</v>
      </c>
      <c r="K161" s="603">
        <v>0</v>
      </c>
      <c r="L161" s="603">
        <v>0</v>
      </c>
      <c r="M161" s="603">
        <v>0</v>
      </c>
      <c r="N161" s="603">
        <v>0</v>
      </c>
      <c r="O161" s="603">
        <v>0</v>
      </c>
      <c r="P161" s="603">
        <v>0</v>
      </c>
      <c r="Q161" s="603">
        <v>0</v>
      </c>
      <c r="R161" s="603">
        <v>0</v>
      </c>
      <c r="S161" s="603">
        <v>0</v>
      </c>
      <c r="T161" s="603">
        <v>0</v>
      </c>
      <c r="U161" s="604" t="e">
        <v>#DIV/0!</v>
      </c>
      <c r="V161" s="603">
        <v>0</v>
      </c>
      <c r="W161" s="603">
        <v>0</v>
      </c>
      <c r="X161" s="603">
        <v>0</v>
      </c>
      <c r="Y161" s="603">
        <v>0</v>
      </c>
      <c r="Z161" s="603">
        <v>0</v>
      </c>
      <c r="AA161" s="603">
        <v>0</v>
      </c>
    </row>
    <row r="162" spans="1:27" x14ac:dyDescent="0.2">
      <c r="A162" s="591" t="s">
        <v>1248</v>
      </c>
      <c r="B162" s="605" t="s">
        <v>553</v>
      </c>
      <c r="C162" s="585">
        <v>0</v>
      </c>
      <c r="D162" s="585">
        <v>0</v>
      </c>
      <c r="E162" s="585">
        <v>0</v>
      </c>
      <c r="F162" s="585">
        <v>0</v>
      </c>
      <c r="G162" s="585">
        <v>0</v>
      </c>
      <c r="H162" s="603">
        <v>0</v>
      </c>
      <c r="I162" s="603">
        <v>0</v>
      </c>
      <c r="J162" s="603">
        <v>0</v>
      </c>
      <c r="K162" s="603">
        <v>0</v>
      </c>
      <c r="L162" s="603">
        <v>0</v>
      </c>
      <c r="M162" s="603">
        <v>0</v>
      </c>
      <c r="N162" s="603">
        <v>0</v>
      </c>
      <c r="O162" s="603">
        <v>0</v>
      </c>
      <c r="P162" s="603">
        <v>0</v>
      </c>
      <c r="Q162" s="603">
        <v>0</v>
      </c>
      <c r="R162" s="603">
        <v>0</v>
      </c>
      <c r="S162" s="603">
        <v>0</v>
      </c>
      <c r="T162" s="603">
        <v>0</v>
      </c>
      <c r="U162" s="604" t="e">
        <v>#DIV/0!</v>
      </c>
      <c r="V162" s="603">
        <v>0</v>
      </c>
      <c r="W162" s="603">
        <v>0</v>
      </c>
      <c r="X162" s="603">
        <v>0</v>
      </c>
      <c r="Y162" s="603">
        <v>0</v>
      </c>
      <c r="Z162" s="603">
        <v>0</v>
      </c>
      <c r="AA162" s="603">
        <v>0</v>
      </c>
    </row>
    <row r="163" spans="1:27" x14ac:dyDescent="0.2">
      <c r="A163" s="591" t="s">
        <v>1249</v>
      </c>
      <c r="B163" s="605" t="s">
        <v>554</v>
      </c>
      <c r="C163" s="585">
        <v>0</v>
      </c>
      <c r="D163" s="585">
        <v>1400</v>
      </c>
      <c r="E163" s="585">
        <v>1400</v>
      </c>
      <c r="F163" s="585">
        <v>1400</v>
      </c>
      <c r="G163" s="585">
        <v>1400</v>
      </c>
      <c r="H163" s="603">
        <v>0</v>
      </c>
      <c r="I163" s="603">
        <v>1400</v>
      </c>
      <c r="J163" s="603">
        <v>0</v>
      </c>
      <c r="K163" s="603">
        <v>0</v>
      </c>
      <c r="L163" s="603">
        <v>0</v>
      </c>
      <c r="M163" s="603">
        <v>0</v>
      </c>
      <c r="N163" s="603">
        <v>0</v>
      </c>
      <c r="O163" s="603">
        <v>0</v>
      </c>
      <c r="P163" s="603">
        <v>0</v>
      </c>
      <c r="Q163" s="603">
        <v>0</v>
      </c>
      <c r="R163" s="603">
        <v>0</v>
      </c>
      <c r="S163" s="603">
        <v>0</v>
      </c>
      <c r="T163" s="603">
        <v>1400</v>
      </c>
      <c r="U163" s="604">
        <v>1</v>
      </c>
      <c r="V163" s="603">
        <v>0</v>
      </c>
      <c r="W163" s="603">
        <v>0</v>
      </c>
      <c r="X163" s="603">
        <v>0</v>
      </c>
      <c r="Y163" s="603">
        <v>0</v>
      </c>
      <c r="Z163" s="603">
        <v>0</v>
      </c>
      <c r="AA163" s="603">
        <v>0</v>
      </c>
    </row>
    <row r="164" spans="1:27" x14ac:dyDescent="0.2">
      <c r="A164" s="591" t="s">
        <v>1250</v>
      </c>
      <c r="B164" s="605" t="s">
        <v>555</v>
      </c>
      <c r="C164" s="585">
        <v>0</v>
      </c>
      <c r="D164" s="585">
        <v>0</v>
      </c>
      <c r="E164" s="585">
        <v>0</v>
      </c>
      <c r="F164" s="585">
        <v>0</v>
      </c>
      <c r="G164" s="585">
        <v>0</v>
      </c>
      <c r="H164" s="603">
        <v>0</v>
      </c>
      <c r="I164" s="603">
        <v>0</v>
      </c>
      <c r="J164" s="603">
        <v>0</v>
      </c>
      <c r="K164" s="603">
        <v>0</v>
      </c>
      <c r="L164" s="603">
        <v>0</v>
      </c>
      <c r="M164" s="603">
        <v>0</v>
      </c>
      <c r="N164" s="603">
        <v>0</v>
      </c>
      <c r="O164" s="603">
        <v>0</v>
      </c>
      <c r="P164" s="603">
        <v>0</v>
      </c>
      <c r="Q164" s="603">
        <v>0</v>
      </c>
      <c r="R164" s="603">
        <v>0</v>
      </c>
      <c r="S164" s="603">
        <v>0</v>
      </c>
      <c r="T164" s="603">
        <v>0</v>
      </c>
      <c r="U164" s="604" t="e">
        <v>#DIV/0!</v>
      </c>
      <c r="V164" s="603">
        <v>0</v>
      </c>
      <c r="W164" s="603">
        <v>0</v>
      </c>
      <c r="X164" s="603">
        <v>0</v>
      </c>
      <c r="Y164" s="603">
        <v>0</v>
      </c>
      <c r="Z164" s="603">
        <v>0</v>
      </c>
      <c r="AA164" s="603">
        <v>0</v>
      </c>
    </row>
    <row r="165" spans="1:27" x14ac:dyDescent="0.2">
      <c r="A165" s="591" t="s">
        <v>1251</v>
      </c>
      <c r="B165" s="605" t="s">
        <v>556</v>
      </c>
      <c r="C165" s="585">
        <v>0</v>
      </c>
      <c r="D165" s="585">
        <v>0</v>
      </c>
      <c r="E165" s="585">
        <v>0</v>
      </c>
      <c r="F165" s="585">
        <v>0</v>
      </c>
      <c r="G165" s="585">
        <v>0</v>
      </c>
      <c r="H165" s="603">
        <v>0</v>
      </c>
      <c r="I165" s="603">
        <v>0</v>
      </c>
      <c r="J165" s="603">
        <v>0</v>
      </c>
      <c r="K165" s="603">
        <v>0</v>
      </c>
      <c r="L165" s="603">
        <v>0</v>
      </c>
      <c r="M165" s="603">
        <v>0</v>
      </c>
      <c r="N165" s="603">
        <v>0</v>
      </c>
      <c r="O165" s="603">
        <v>0</v>
      </c>
      <c r="P165" s="603">
        <v>0</v>
      </c>
      <c r="Q165" s="603">
        <v>0</v>
      </c>
      <c r="R165" s="603">
        <v>0</v>
      </c>
      <c r="S165" s="603">
        <v>0</v>
      </c>
      <c r="T165" s="603">
        <v>0</v>
      </c>
      <c r="U165" s="604" t="e">
        <v>#DIV/0!</v>
      </c>
      <c r="V165" s="603">
        <v>0</v>
      </c>
      <c r="W165" s="603">
        <v>0</v>
      </c>
      <c r="X165" s="603">
        <v>0</v>
      </c>
      <c r="Y165" s="603">
        <v>0</v>
      </c>
      <c r="Z165" s="603">
        <v>0</v>
      </c>
      <c r="AA165" s="603">
        <v>0</v>
      </c>
    </row>
    <row r="166" spans="1:27" x14ac:dyDescent="0.2">
      <c r="A166" s="591"/>
      <c r="B166" s="597" t="s">
        <v>557</v>
      </c>
      <c r="C166" s="598">
        <v>0</v>
      </c>
      <c r="D166" s="598">
        <v>0</v>
      </c>
      <c r="E166" s="598">
        <v>0</v>
      </c>
      <c r="F166" s="598">
        <v>0</v>
      </c>
      <c r="G166" s="598">
        <v>0</v>
      </c>
      <c r="H166" s="598">
        <v>0</v>
      </c>
      <c r="I166" s="598">
        <v>0</v>
      </c>
      <c r="J166" s="598">
        <v>0</v>
      </c>
      <c r="K166" s="598">
        <v>0</v>
      </c>
      <c r="L166" s="598">
        <v>0</v>
      </c>
      <c r="M166" s="598">
        <v>0</v>
      </c>
      <c r="N166" s="598">
        <v>0</v>
      </c>
      <c r="O166" s="598">
        <v>0</v>
      </c>
      <c r="P166" s="598">
        <v>0</v>
      </c>
      <c r="Q166" s="598">
        <v>0</v>
      </c>
      <c r="R166" s="598">
        <v>0</v>
      </c>
      <c r="S166" s="598">
        <v>0</v>
      </c>
      <c r="T166" s="599">
        <v>0</v>
      </c>
      <c r="U166" s="600" t="e">
        <v>#DIV/0!</v>
      </c>
      <c r="V166" s="599">
        <v>0</v>
      </c>
      <c r="W166" s="599">
        <v>0</v>
      </c>
      <c r="X166" s="599">
        <v>0</v>
      </c>
      <c r="Y166" s="599">
        <v>0</v>
      </c>
      <c r="Z166" s="599">
        <v>0</v>
      </c>
      <c r="AA166" s="599">
        <v>0</v>
      </c>
    </row>
    <row r="167" spans="1:27" x14ac:dyDescent="0.2">
      <c r="A167" s="591" t="s">
        <v>1252</v>
      </c>
      <c r="B167" s="605" t="s">
        <v>558</v>
      </c>
      <c r="C167" s="585">
        <v>0</v>
      </c>
      <c r="D167" s="585">
        <v>0</v>
      </c>
      <c r="E167" s="585">
        <v>0</v>
      </c>
      <c r="F167" s="585">
        <v>0</v>
      </c>
      <c r="G167" s="585">
        <v>0</v>
      </c>
      <c r="H167" s="603">
        <v>0</v>
      </c>
      <c r="I167" s="603">
        <v>0</v>
      </c>
      <c r="J167" s="603">
        <v>0</v>
      </c>
      <c r="K167" s="603">
        <v>0</v>
      </c>
      <c r="L167" s="603">
        <v>0</v>
      </c>
      <c r="M167" s="603">
        <v>0</v>
      </c>
      <c r="N167" s="603">
        <v>0</v>
      </c>
      <c r="O167" s="603">
        <v>0</v>
      </c>
      <c r="P167" s="603">
        <v>0</v>
      </c>
      <c r="Q167" s="603">
        <v>0</v>
      </c>
      <c r="R167" s="603">
        <v>0</v>
      </c>
      <c r="S167" s="603">
        <v>0</v>
      </c>
      <c r="T167" s="603">
        <v>0</v>
      </c>
      <c r="U167" s="604" t="e">
        <v>#DIV/0!</v>
      </c>
      <c r="V167" s="603">
        <v>0</v>
      </c>
      <c r="W167" s="603">
        <v>0</v>
      </c>
      <c r="X167" s="603">
        <v>0</v>
      </c>
      <c r="Y167" s="603">
        <v>0</v>
      </c>
      <c r="Z167" s="603">
        <v>0</v>
      </c>
      <c r="AA167" s="603">
        <v>0</v>
      </c>
    </row>
    <row r="168" spans="1:27" x14ac:dyDescent="0.2">
      <c r="A168" s="591" t="s">
        <v>1253</v>
      </c>
      <c r="B168" s="605" t="s">
        <v>559</v>
      </c>
      <c r="C168" s="585">
        <v>0</v>
      </c>
      <c r="D168" s="585">
        <v>0</v>
      </c>
      <c r="E168" s="585">
        <v>0</v>
      </c>
      <c r="F168" s="585">
        <v>0</v>
      </c>
      <c r="G168" s="585">
        <v>0</v>
      </c>
      <c r="H168" s="603">
        <v>0</v>
      </c>
      <c r="I168" s="603">
        <v>0</v>
      </c>
      <c r="J168" s="603">
        <v>0</v>
      </c>
      <c r="K168" s="603">
        <v>0</v>
      </c>
      <c r="L168" s="603">
        <v>0</v>
      </c>
      <c r="M168" s="603">
        <v>0</v>
      </c>
      <c r="N168" s="603">
        <v>0</v>
      </c>
      <c r="O168" s="603">
        <v>0</v>
      </c>
      <c r="P168" s="603">
        <v>0</v>
      </c>
      <c r="Q168" s="603">
        <v>0</v>
      </c>
      <c r="R168" s="603">
        <v>0</v>
      </c>
      <c r="S168" s="603">
        <v>0</v>
      </c>
      <c r="T168" s="603">
        <v>0</v>
      </c>
      <c r="U168" s="604" t="e">
        <v>#DIV/0!</v>
      </c>
      <c r="V168" s="603">
        <v>0</v>
      </c>
      <c r="W168" s="603">
        <v>0</v>
      </c>
      <c r="X168" s="603">
        <v>0</v>
      </c>
      <c r="Y168" s="603">
        <v>0</v>
      </c>
      <c r="Z168" s="603">
        <v>0</v>
      </c>
      <c r="AA168" s="603">
        <v>0</v>
      </c>
    </row>
    <row r="169" spans="1:27" x14ac:dyDescent="0.2">
      <c r="A169" s="591" t="s">
        <v>1254</v>
      </c>
      <c r="B169" s="605" t="s">
        <v>560</v>
      </c>
      <c r="C169" s="585">
        <v>0</v>
      </c>
      <c r="D169" s="585">
        <v>0</v>
      </c>
      <c r="E169" s="585">
        <v>0</v>
      </c>
      <c r="F169" s="585">
        <v>0</v>
      </c>
      <c r="G169" s="585">
        <v>0</v>
      </c>
      <c r="H169" s="603">
        <v>0</v>
      </c>
      <c r="I169" s="603">
        <v>0</v>
      </c>
      <c r="J169" s="603">
        <v>0</v>
      </c>
      <c r="K169" s="603">
        <v>0</v>
      </c>
      <c r="L169" s="603">
        <v>0</v>
      </c>
      <c r="M169" s="603">
        <v>0</v>
      </c>
      <c r="N169" s="603">
        <v>0</v>
      </c>
      <c r="O169" s="603">
        <v>0</v>
      </c>
      <c r="P169" s="603">
        <v>0</v>
      </c>
      <c r="Q169" s="603">
        <v>0</v>
      </c>
      <c r="R169" s="603">
        <v>0</v>
      </c>
      <c r="S169" s="603">
        <v>0</v>
      </c>
      <c r="T169" s="603">
        <v>0</v>
      </c>
      <c r="U169" s="604" t="e">
        <v>#DIV/0!</v>
      </c>
      <c r="V169" s="603">
        <v>0</v>
      </c>
      <c r="W169" s="603">
        <v>0</v>
      </c>
      <c r="X169" s="603">
        <v>0</v>
      </c>
      <c r="Y169" s="603">
        <v>0</v>
      </c>
      <c r="Z169" s="603">
        <v>0</v>
      </c>
      <c r="AA169" s="603">
        <v>0</v>
      </c>
    </row>
    <row r="170" spans="1:27" x14ac:dyDescent="0.2">
      <c r="A170" s="591"/>
      <c r="B170" s="592" t="s">
        <v>561</v>
      </c>
      <c r="C170" s="593">
        <v>0</v>
      </c>
      <c r="D170" s="593">
        <v>0</v>
      </c>
      <c r="E170" s="593">
        <v>0</v>
      </c>
      <c r="F170" s="593">
        <v>0</v>
      </c>
      <c r="G170" s="593">
        <v>0</v>
      </c>
      <c r="H170" s="593">
        <v>0</v>
      </c>
      <c r="I170" s="593">
        <v>0</v>
      </c>
      <c r="J170" s="593">
        <v>0</v>
      </c>
      <c r="K170" s="593">
        <v>0</v>
      </c>
      <c r="L170" s="593">
        <v>0</v>
      </c>
      <c r="M170" s="593">
        <v>0</v>
      </c>
      <c r="N170" s="593">
        <v>0</v>
      </c>
      <c r="O170" s="593">
        <v>0</v>
      </c>
      <c r="P170" s="593">
        <v>0</v>
      </c>
      <c r="Q170" s="593">
        <v>0</v>
      </c>
      <c r="R170" s="593">
        <v>0</v>
      </c>
      <c r="S170" s="593">
        <v>0</v>
      </c>
      <c r="T170" s="594">
        <v>0</v>
      </c>
      <c r="U170" s="595" t="e">
        <v>#DIV/0!</v>
      </c>
      <c r="V170" s="594">
        <v>0</v>
      </c>
      <c r="W170" s="594">
        <v>0</v>
      </c>
      <c r="X170" s="594">
        <v>0</v>
      </c>
      <c r="Y170" s="594">
        <v>0</v>
      </c>
      <c r="Z170" s="594">
        <v>0</v>
      </c>
      <c r="AA170" s="594">
        <v>0</v>
      </c>
    </row>
    <row r="171" spans="1:27" x14ac:dyDescent="0.2">
      <c r="A171" s="591"/>
      <c r="B171" s="597" t="s">
        <v>562</v>
      </c>
      <c r="C171" s="598">
        <v>0</v>
      </c>
      <c r="D171" s="598">
        <v>0</v>
      </c>
      <c r="E171" s="598">
        <v>0</v>
      </c>
      <c r="F171" s="598">
        <v>0</v>
      </c>
      <c r="G171" s="598">
        <v>0</v>
      </c>
      <c r="H171" s="598">
        <v>0</v>
      </c>
      <c r="I171" s="598">
        <v>0</v>
      </c>
      <c r="J171" s="598">
        <v>0</v>
      </c>
      <c r="K171" s="598">
        <v>0</v>
      </c>
      <c r="L171" s="598">
        <v>0</v>
      </c>
      <c r="M171" s="598">
        <v>0</v>
      </c>
      <c r="N171" s="598">
        <v>0</v>
      </c>
      <c r="O171" s="598">
        <v>0</v>
      </c>
      <c r="P171" s="598">
        <v>0</v>
      </c>
      <c r="Q171" s="598">
        <v>0</v>
      </c>
      <c r="R171" s="598">
        <v>0</v>
      </c>
      <c r="S171" s="598">
        <v>0</v>
      </c>
      <c r="T171" s="599">
        <v>0</v>
      </c>
      <c r="U171" s="600" t="e">
        <v>#DIV/0!</v>
      </c>
      <c r="V171" s="599">
        <v>0</v>
      </c>
      <c r="W171" s="599">
        <v>0</v>
      </c>
      <c r="X171" s="599">
        <v>0</v>
      </c>
      <c r="Y171" s="599">
        <v>0</v>
      </c>
      <c r="Z171" s="599">
        <v>0</v>
      </c>
      <c r="AA171" s="599">
        <v>0</v>
      </c>
    </row>
    <row r="172" spans="1:27" x14ac:dyDescent="0.2">
      <c r="A172" s="591"/>
      <c r="B172" s="605" t="s">
        <v>563</v>
      </c>
      <c r="C172" s="606">
        <v>0</v>
      </c>
      <c r="D172" s="606">
        <v>0</v>
      </c>
      <c r="E172" s="606">
        <v>0</v>
      </c>
      <c r="F172" s="606">
        <v>0</v>
      </c>
      <c r="G172" s="606">
        <v>0</v>
      </c>
      <c r="H172" s="606">
        <v>0</v>
      </c>
      <c r="I172" s="606">
        <v>0</v>
      </c>
      <c r="J172" s="606">
        <v>0</v>
      </c>
      <c r="K172" s="606">
        <v>0</v>
      </c>
      <c r="L172" s="606">
        <v>0</v>
      </c>
      <c r="M172" s="606">
        <v>0</v>
      </c>
      <c r="N172" s="606">
        <v>0</v>
      </c>
      <c r="O172" s="606">
        <v>0</v>
      </c>
      <c r="P172" s="606">
        <v>0</v>
      </c>
      <c r="Q172" s="606">
        <v>0</v>
      </c>
      <c r="R172" s="606">
        <v>0</v>
      </c>
      <c r="S172" s="606">
        <v>0</v>
      </c>
      <c r="T172" s="603">
        <v>0</v>
      </c>
      <c r="U172" s="604" t="e">
        <v>#DIV/0!</v>
      </c>
      <c r="V172" s="603">
        <v>0</v>
      </c>
      <c r="W172" s="603">
        <v>0</v>
      </c>
      <c r="X172" s="603">
        <v>0</v>
      </c>
      <c r="Y172" s="603">
        <v>0</v>
      </c>
      <c r="Z172" s="603">
        <v>0</v>
      </c>
      <c r="AA172" s="603">
        <v>0</v>
      </c>
    </row>
    <row r="173" spans="1:27" x14ac:dyDescent="0.2">
      <c r="A173" s="591" t="s">
        <v>1255</v>
      </c>
      <c r="B173" s="607" t="s">
        <v>564</v>
      </c>
      <c r="C173" s="585">
        <v>0</v>
      </c>
      <c r="D173" s="585">
        <v>0</v>
      </c>
      <c r="E173" s="585">
        <v>0</v>
      </c>
      <c r="F173" s="585">
        <v>0</v>
      </c>
      <c r="G173" s="585">
        <v>0</v>
      </c>
      <c r="H173" s="603">
        <v>0</v>
      </c>
      <c r="I173" s="603">
        <v>0</v>
      </c>
      <c r="J173" s="603">
        <v>0</v>
      </c>
      <c r="K173" s="603">
        <v>0</v>
      </c>
      <c r="L173" s="603">
        <v>0</v>
      </c>
      <c r="M173" s="603">
        <v>0</v>
      </c>
      <c r="N173" s="603">
        <v>0</v>
      </c>
      <c r="O173" s="603">
        <v>0</v>
      </c>
      <c r="P173" s="603">
        <v>0</v>
      </c>
      <c r="Q173" s="603">
        <v>0</v>
      </c>
      <c r="R173" s="603">
        <v>0</v>
      </c>
      <c r="S173" s="603">
        <v>0</v>
      </c>
      <c r="T173" s="603">
        <v>0</v>
      </c>
      <c r="U173" s="604" t="e">
        <v>#DIV/0!</v>
      </c>
      <c r="V173" s="603">
        <v>0</v>
      </c>
      <c r="W173" s="603">
        <v>0</v>
      </c>
      <c r="X173" s="603">
        <v>0</v>
      </c>
      <c r="Y173" s="603">
        <v>0</v>
      </c>
      <c r="Z173" s="603">
        <v>0</v>
      </c>
      <c r="AA173" s="603">
        <v>0</v>
      </c>
    </row>
    <row r="174" spans="1:27" x14ac:dyDescent="0.2">
      <c r="A174" s="591" t="s">
        <v>1256</v>
      </c>
      <c r="B174" s="607" t="s">
        <v>565</v>
      </c>
      <c r="C174" s="585">
        <v>0</v>
      </c>
      <c r="D174" s="585">
        <v>0</v>
      </c>
      <c r="E174" s="585">
        <v>0</v>
      </c>
      <c r="F174" s="585">
        <v>0</v>
      </c>
      <c r="G174" s="585">
        <v>0</v>
      </c>
      <c r="H174" s="603">
        <v>0</v>
      </c>
      <c r="I174" s="603">
        <v>0</v>
      </c>
      <c r="J174" s="603">
        <v>0</v>
      </c>
      <c r="K174" s="603">
        <v>0</v>
      </c>
      <c r="L174" s="603">
        <v>0</v>
      </c>
      <c r="M174" s="603">
        <v>0</v>
      </c>
      <c r="N174" s="603">
        <v>0</v>
      </c>
      <c r="O174" s="603">
        <v>0</v>
      </c>
      <c r="P174" s="603">
        <v>0</v>
      </c>
      <c r="Q174" s="603">
        <v>0</v>
      </c>
      <c r="R174" s="603">
        <v>0</v>
      </c>
      <c r="S174" s="603">
        <v>0</v>
      </c>
      <c r="T174" s="603">
        <v>0</v>
      </c>
      <c r="U174" s="604" t="e">
        <v>#DIV/0!</v>
      </c>
      <c r="V174" s="603">
        <v>0</v>
      </c>
      <c r="W174" s="603">
        <v>0</v>
      </c>
      <c r="X174" s="603">
        <v>0</v>
      </c>
      <c r="Y174" s="603">
        <v>0</v>
      </c>
      <c r="Z174" s="603">
        <v>0</v>
      </c>
      <c r="AA174" s="603">
        <v>0</v>
      </c>
    </row>
    <row r="175" spans="1:27" x14ac:dyDescent="0.2">
      <c r="A175" s="591"/>
      <c r="B175" s="605" t="s">
        <v>1257</v>
      </c>
      <c r="C175" s="585">
        <v>0</v>
      </c>
      <c r="D175" s="585">
        <v>0</v>
      </c>
      <c r="E175" s="585">
        <v>0</v>
      </c>
      <c r="F175" s="585">
        <v>0</v>
      </c>
      <c r="G175" s="585">
        <v>0</v>
      </c>
      <c r="H175" s="585">
        <v>0</v>
      </c>
      <c r="I175" s="585">
        <v>0</v>
      </c>
      <c r="J175" s="585">
        <v>0</v>
      </c>
      <c r="K175" s="585">
        <v>0</v>
      </c>
      <c r="L175" s="585">
        <v>0</v>
      </c>
      <c r="M175" s="585">
        <v>0</v>
      </c>
      <c r="N175" s="585">
        <v>0</v>
      </c>
      <c r="O175" s="585">
        <v>0</v>
      </c>
      <c r="P175" s="585">
        <v>0</v>
      </c>
      <c r="Q175" s="585">
        <v>0</v>
      </c>
      <c r="R175" s="585">
        <v>0</v>
      </c>
      <c r="S175" s="585">
        <v>0</v>
      </c>
      <c r="T175" s="603">
        <v>0</v>
      </c>
      <c r="U175" s="604" t="e">
        <v>#DIV/0!</v>
      </c>
      <c r="V175" s="603">
        <v>0</v>
      </c>
      <c r="W175" s="603">
        <v>0</v>
      </c>
      <c r="X175" s="603">
        <v>0</v>
      </c>
      <c r="Y175" s="603">
        <v>0</v>
      </c>
      <c r="Z175" s="603">
        <v>0</v>
      </c>
      <c r="AA175" s="603">
        <v>0</v>
      </c>
    </row>
    <row r="176" spans="1:27" x14ac:dyDescent="0.2">
      <c r="A176" s="591" t="s">
        <v>1258</v>
      </c>
      <c r="B176" s="607" t="s">
        <v>1259</v>
      </c>
      <c r="C176" s="585">
        <v>0</v>
      </c>
      <c r="D176" s="585">
        <v>0</v>
      </c>
      <c r="E176" s="585">
        <v>0</v>
      </c>
      <c r="F176" s="585">
        <v>0</v>
      </c>
      <c r="G176" s="585">
        <v>0</v>
      </c>
      <c r="H176" s="603">
        <v>0</v>
      </c>
      <c r="I176" s="603">
        <v>0</v>
      </c>
      <c r="J176" s="603">
        <v>0</v>
      </c>
      <c r="K176" s="603">
        <v>0</v>
      </c>
      <c r="L176" s="603">
        <v>0</v>
      </c>
      <c r="M176" s="603">
        <v>0</v>
      </c>
      <c r="N176" s="603">
        <v>0</v>
      </c>
      <c r="O176" s="603">
        <v>0</v>
      </c>
      <c r="P176" s="603">
        <v>0</v>
      </c>
      <c r="Q176" s="603">
        <v>0</v>
      </c>
      <c r="R176" s="603">
        <v>0</v>
      </c>
      <c r="S176" s="603">
        <v>0</v>
      </c>
      <c r="T176" s="603">
        <v>0</v>
      </c>
      <c r="U176" s="604" t="e">
        <v>#DIV/0!</v>
      </c>
      <c r="V176" s="603">
        <v>0</v>
      </c>
      <c r="W176" s="603">
        <v>0</v>
      </c>
      <c r="X176" s="603">
        <v>0</v>
      </c>
      <c r="Y176" s="603">
        <v>0</v>
      </c>
      <c r="Z176" s="603">
        <v>0</v>
      </c>
      <c r="AA176" s="603">
        <v>0</v>
      </c>
    </row>
    <row r="177" spans="1:27" x14ac:dyDescent="0.2">
      <c r="A177" s="587" t="s">
        <v>1260</v>
      </c>
      <c r="B177" s="607" t="s">
        <v>1261</v>
      </c>
      <c r="C177" s="585">
        <v>0</v>
      </c>
      <c r="D177" s="585">
        <v>0</v>
      </c>
      <c r="E177" s="585">
        <v>0</v>
      </c>
      <c r="F177" s="585">
        <v>0</v>
      </c>
      <c r="G177" s="585">
        <v>0</v>
      </c>
      <c r="H177" s="603">
        <v>0</v>
      </c>
      <c r="I177" s="603">
        <v>0</v>
      </c>
      <c r="J177" s="603">
        <v>0</v>
      </c>
      <c r="K177" s="603">
        <v>0</v>
      </c>
      <c r="L177" s="603">
        <v>0</v>
      </c>
      <c r="M177" s="603">
        <v>0</v>
      </c>
      <c r="N177" s="603">
        <v>0</v>
      </c>
      <c r="O177" s="603">
        <v>0</v>
      </c>
      <c r="P177" s="603">
        <v>0</v>
      </c>
      <c r="Q177" s="603">
        <v>0</v>
      </c>
      <c r="R177" s="603">
        <v>0</v>
      </c>
      <c r="S177" s="603">
        <v>0</v>
      </c>
      <c r="T177" s="603">
        <v>0</v>
      </c>
      <c r="U177" s="604" t="e">
        <v>#DIV/0!</v>
      </c>
      <c r="V177" s="603">
        <v>0</v>
      </c>
      <c r="W177" s="603">
        <v>0</v>
      </c>
      <c r="X177" s="603">
        <v>0</v>
      </c>
      <c r="Y177" s="603">
        <v>0</v>
      </c>
      <c r="Z177" s="603">
        <v>0</v>
      </c>
      <c r="AA177" s="603">
        <v>0</v>
      </c>
    </row>
    <row r="178" spans="1:27" x14ac:dyDescent="0.2">
      <c r="A178" s="591" t="s">
        <v>1262</v>
      </c>
      <c r="B178" s="605" t="s">
        <v>566</v>
      </c>
      <c r="C178" s="585">
        <v>0</v>
      </c>
      <c r="D178" s="585">
        <v>0</v>
      </c>
      <c r="E178" s="585">
        <v>0</v>
      </c>
      <c r="F178" s="585">
        <v>0</v>
      </c>
      <c r="G178" s="585">
        <v>0</v>
      </c>
      <c r="H178" s="603">
        <v>0</v>
      </c>
      <c r="I178" s="603">
        <v>0</v>
      </c>
      <c r="J178" s="603">
        <v>0</v>
      </c>
      <c r="K178" s="603">
        <v>0</v>
      </c>
      <c r="L178" s="603">
        <v>0</v>
      </c>
      <c r="M178" s="603">
        <v>0</v>
      </c>
      <c r="N178" s="603">
        <v>0</v>
      </c>
      <c r="O178" s="603">
        <v>0</v>
      </c>
      <c r="P178" s="603">
        <v>0</v>
      </c>
      <c r="Q178" s="603">
        <v>0</v>
      </c>
      <c r="R178" s="603">
        <v>0</v>
      </c>
      <c r="S178" s="603">
        <v>0</v>
      </c>
      <c r="T178" s="603">
        <v>0</v>
      </c>
      <c r="U178" s="604" t="e">
        <v>#DIV/0!</v>
      </c>
      <c r="V178" s="603">
        <v>0</v>
      </c>
      <c r="W178" s="603">
        <v>0</v>
      </c>
      <c r="X178" s="603">
        <v>0</v>
      </c>
      <c r="Y178" s="603">
        <v>0</v>
      </c>
      <c r="Z178" s="603">
        <v>0</v>
      </c>
      <c r="AA178" s="603">
        <v>0</v>
      </c>
    </row>
    <row r="179" spans="1:27" x14ac:dyDescent="0.2">
      <c r="A179" s="591" t="s">
        <v>1263</v>
      </c>
      <c r="B179" s="605" t="s">
        <v>567</v>
      </c>
      <c r="C179" s="585">
        <v>0</v>
      </c>
      <c r="D179" s="585">
        <v>0</v>
      </c>
      <c r="E179" s="585">
        <v>0</v>
      </c>
      <c r="F179" s="585">
        <v>0</v>
      </c>
      <c r="G179" s="585">
        <v>0</v>
      </c>
      <c r="H179" s="603">
        <v>0</v>
      </c>
      <c r="I179" s="603">
        <v>0</v>
      </c>
      <c r="J179" s="603">
        <v>0</v>
      </c>
      <c r="K179" s="603">
        <v>0</v>
      </c>
      <c r="L179" s="603">
        <v>0</v>
      </c>
      <c r="M179" s="603">
        <v>0</v>
      </c>
      <c r="N179" s="603">
        <v>0</v>
      </c>
      <c r="O179" s="603">
        <v>0</v>
      </c>
      <c r="P179" s="603">
        <v>0</v>
      </c>
      <c r="Q179" s="603">
        <v>0</v>
      </c>
      <c r="R179" s="603">
        <v>0</v>
      </c>
      <c r="S179" s="603">
        <v>0</v>
      </c>
      <c r="T179" s="603">
        <v>0</v>
      </c>
      <c r="U179" s="604" t="e">
        <v>#DIV/0!</v>
      </c>
      <c r="V179" s="603">
        <v>0</v>
      </c>
      <c r="W179" s="603">
        <v>0</v>
      </c>
      <c r="X179" s="603">
        <v>0</v>
      </c>
      <c r="Y179" s="603">
        <v>0</v>
      </c>
      <c r="Z179" s="603">
        <v>0</v>
      </c>
      <c r="AA179" s="603">
        <v>0</v>
      </c>
    </row>
    <row r="180" spans="1:27" x14ac:dyDescent="0.2">
      <c r="A180" s="591"/>
      <c r="B180" s="597" t="s">
        <v>568</v>
      </c>
      <c r="C180" s="598">
        <v>0</v>
      </c>
      <c r="D180" s="598">
        <v>0</v>
      </c>
      <c r="E180" s="598">
        <v>0</v>
      </c>
      <c r="F180" s="598">
        <v>0</v>
      </c>
      <c r="G180" s="598">
        <v>0</v>
      </c>
      <c r="H180" s="598">
        <v>0</v>
      </c>
      <c r="I180" s="598">
        <v>0</v>
      </c>
      <c r="J180" s="598">
        <v>0</v>
      </c>
      <c r="K180" s="598">
        <v>0</v>
      </c>
      <c r="L180" s="598">
        <v>0</v>
      </c>
      <c r="M180" s="598">
        <v>0</v>
      </c>
      <c r="N180" s="598">
        <v>0</v>
      </c>
      <c r="O180" s="598">
        <v>0</v>
      </c>
      <c r="P180" s="598">
        <v>0</v>
      </c>
      <c r="Q180" s="598">
        <v>0</v>
      </c>
      <c r="R180" s="598">
        <v>0</v>
      </c>
      <c r="S180" s="598">
        <v>0</v>
      </c>
      <c r="T180" s="599">
        <v>0</v>
      </c>
      <c r="U180" s="600" t="e">
        <v>#DIV/0!</v>
      </c>
      <c r="V180" s="599">
        <v>0</v>
      </c>
      <c r="W180" s="599">
        <v>0</v>
      </c>
      <c r="X180" s="599">
        <v>0</v>
      </c>
      <c r="Y180" s="599">
        <v>0</v>
      </c>
      <c r="Z180" s="599">
        <v>0</v>
      </c>
      <c r="AA180" s="599">
        <v>0</v>
      </c>
    </row>
    <row r="181" spans="1:27" x14ac:dyDescent="0.2">
      <c r="A181" s="591" t="s">
        <v>1264</v>
      </c>
      <c r="B181" s="605" t="s">
        <v>569</v>
      </c>
      <c r="C181" s="585">
        <v>0</v>
      </c>
      <c r="D181" s="585">
        <v>0</v>
      </c>
      <c r="E181" s="585">
        <v>0</v>
      </c>
      <c r="F181" s="585">
        <v>0</v>
      </c>
      <c r="G181" s="585">
        <v>0</v>
      </c>
      <c r="H181" s="603">
        <v>0</v>
      </c>
      <c r="I181" s="603">
        <v>0</v>
      </c>
      <c r="J181" s="603">
        <v>0</v>
      </c>
      <c r="K181" s="603">
        <v>0</v>
      </c>
      <c r="L181" s="603">
        <v>0</v>
      </c>
      <c r="M181" s="603">
        <v>0</v>
      </c>
      <c r="N181" s="603">
        <v>0</v>
      </c>
      <c r="O181" s="603">
        <v>0</v>
      </c>
      <c r="P181" s="603">
        <v>0</v>
      </c>
      <c r="Q181" s="603">
        <v>0</v>
      </c>
      <c r="R181" s="603">
        <v>0</v>
      </c>
      <c r="S181" s="603">
        <v>0</v>
      </c>
      <c r="T181" s="603">
        <v>0</v>
      </c>
      <c r="U181" s="604" t="e">
        <v>#DIV/0!</v>
      </c>
      <c r="V181" s="603">
        <v>0</v>
      </c>
      <c r="W181" s="603">
        <v>0</v>
      </c>
      <c r="X181" s="603">
        <v>0</v>
      </c>
      <c r="Y181" s="603">
        <v>0</v>
      </c>
      <c r="Z181" s="603">
        <v>0</v>
      </c>
      <c r="AA181" s="603">
        <v>0</v>
      </c>
    </row>
    <row r="182" spans="1:27" x14ac:dyDescent="0.2">
      <c r="A182" s="591" t="s">
        <v>1265</v>
      </c>
      <c r="B182" s="605" t="s">
        <v>570</v>
      </c>
      <c r="C182" s="585">
        <v>0</v>
      </c>
      <c r="D182" s="585">
        <v>0</v>
      </c>
      <c r="E182" s="585">
        <v>0</v>
      </c>
      <c r="F182" s="585">
        <v>0</v>
      </c>
      <c r="G182" s="585">
        <v>0</v>
      </c>
      <c r="H182" s="603">
        <v>0</v>
      </c>
      <c r="I182" s="603">
        <v>0</v>
      </c>
      <c r="J182" s="603">
        <v>0</v>
      </c>
      <c r="K182" s="603">
        <v>0</v>
      </c>
      <c r="L182" s="603">
        <v>0</v>
      </c>
      <c r="M182" s="603">
        <v>0</v>
      </c>
      <c r="N182" s="603">
        <v>0</v>
      </c>
      <c r="O182" s="603">
        <v>0</v>
      </c>
      <c r="P182" s="603">
        <v>0</v>
      </c>
      <c r="Q182" s="603">
        <v>0</v>
      </c>
      <c r="R182" s="603">
        <v>0</v>
      </c>
      <c r="S182" s="603">
        <v>0</v>
      </c>
      <c r="T182" s="603">
        <v>0</v>
      </c>
      <c r="U182" s="604" t="e">
        <v>#DIV/0!</v>
      </c>
      <c r="V182" s="603">
        <v>0</v>
      </c>
      <c r="W182" s="603">
        <v>0</v>
      </c>
      <c r="X182" s="603">
        <v>0</v>
      </c>
      <c r="Y182" s="603">
        <v>0</v>
      </c>
      <c r="Z182" s="603">
        <v>0</v>
      </c>
      <c r="AA182" s="603">
        <v>0</v>
      </c>
    </row>
    <row r="183" spans="1:27" x14ac:dyDescent="0.2">
      <c r="A183" s="591" t="s">
        <v>1266</v>
      </c>
      <c r="B183" s="605" t="s">
        <v>571</v>
      </c>
      <c r="C183" s="585">
        <v>0</v>
      </c>
      <c r="D183" s="585">
        <v>0</v>
      </c>
      <c r="E183" s="585">
        <v>0</v>
      </c>
      <c r="F183" s="585">
        <v>0</v>
      </c>
      <c r="G183" s="585">
        <v>0</v>
      </c>
      <c r="H183" s="603">
        <v>0</v>
      </c>
      <c r="I183" s="603">
        <v>0</v>
      </c>
      <c r="J183" s="603">
        <v>0</v>
      </c>
      <c r="K183" s="603">
        <v>0</v>
      </c>
      <c r="L183" s="603">
        <v>0</v>
      </c>
      <c r="M183" s="603">
        <v>0</v>
      </c>
      <c r="N183" s="603">
        <v>0</v>
      </c>
      <c r="O183" s="603">
        <v>0</v>
      </c>
      <c r="P183" s="603">
        <v>0</v>
      </c>
      <c r="Q183" s="603">
        <v>0</v>
      </c>
      <c r="R183" s="603">
        <v>0</v>
      </c>
      <c r="S183" s="603">
        <v>0</v>
      </c>
      <c r="T183" s="603">
        <v>0</v>
      </c>
      <c r="U183" s="604" t="e">
        <v>#DIV/0!</v>
      </c>
      <c r="V183" s="603">
        <v>0</v>
      </c>
      <c r="W183" s="603">
        <v>0</v>
      </c>
      <c r="X183" s="603">
        <v>0</v>
      </c>
      <c r="Y183" s="603">
        <v>0</v>
      </c>
      <c r="Z183" s="603">
        <v>0</v>
      </c>
      <c r="AA183" s="603">
        <v>0</v>
      </c>
    </row>
    <row r="184" spans="1:27" x14ac:dyDescent="0.2">
      <c r="A184" s="591"/>
      <c r="B184" s="597" t="s">
        <v>572</v>
      </c>
      <c r="C184" s="598">
        <v>0</v>
      </c>
      <c r="D184" s="598">
        <v>0</v>
      </c>
      <c r="E184" s="598">
        <v>0</v>
      </c>
      <c r="F184" s="598">
        <v>0</v>
      </c>
      <c r="G184" s="598">
        <v>0</v>
      </c>
      <c r="H184" s="598">
        <v>0</v>
      </c>
      <c r="I184" s="598">
        <v>0</v>
      </c>
      <c r="J184" s="598">
        <v>0</v>
      </c>
      <c r="K184" s="598">
        <v>0</v>
      </c>
      <c r="L184" s="598">
        <v>0</v>
      </c>
      <c r="M184" s="598">
        <v>0</v>
      </c>
      <c r="N184" s="598">
        <v>0</v>
      </c>
      <c r="O184" s="598">
        <v>0</v>
      </c>
      <c r="P184" s="598">
        <v>0</v>
      </c>
      <c r="Q184" s="598">
        <v>0</v>
      </c>
      <c r="R184" s="598">
        <v>0</v>
      </c>
      <c r="S184" s="598">
        <v>0</v>
      </c>
      <c r="T184" s="599">
        <v>0</v>
      </c>
      <c r="U184" s="600" t="e">
        <v>#DIV/0!</v>
      </c>
      <c r="V184" s="599">
        <v>0</v>
      </c>
      <c r="W184" s="599">
        <v>0</v>
      </c>
      <c r="X184" s="599">
        <v>0</v>
      </c>
      <c r="Y184" s="599">
        <v>0</v>
      </c>
      <c r="Z184" s="599">
        <v>0</v>
      </c>
      <c r="AA184" s="599">
        <v>0</v>
      </c>
    </row>
    <row r="185" spans="1:27" x14ac:dyDescent="0.2">
      <c r="A185" s="591" t="s">
        <v>1267</v>
      </c>
      <c r="B185" s="605" t="s">
        <v>573</v>
      </c>
      <c r="C185" s="585">
        <v>0</v>
      </c>
      <c r="D185" s="585">
        <v>0</v>
      </c>
      <c r="E185" s="585">
        <v>0</v>
      </c>
      <c r="F185" s="585">
        <v>0</v>
      </c>
      <c r="G185" s="585">
        <v>0</v>
      </c>
      <c r="H185" s="603">
        <v>0</v>
      </c>
      <c r="I185" s="603">
        <v>0</v>
      </c>
      <c r="J185" s="603">
        <v>0</v>
      </c>
      <c r="K185" s="603">
        <v>0</v>
      </c>
      <c r="L185" s="603">
        <v>0</v>
      </c>
      <c r="M185" s="603">
        <v>0</v>
      </c>
      <c r="N185" s="603">
        <v>0</v>
      </c>
      <c r="O185" s="603">
        <v>0</v>
      </c>
      <c r="P185" s="603">
        <v>0</v>
      </c>
      <c r="Q185" s="603">
        <v>0</v>
      </c>
      <c r="R185" s="603">
        <v>0</v>
      </c>
      <c r="S185" s="603">
        <v>0</v>
      </c>
      <c r="T185" s="603">
        <v>0</v>
      </c>
      <c r="U185" s="604" t="e">
        <v>#DIV/0!</v>
      </c>
      <c r="V185" s="603">
        <v>0</v>
      </c>
      <c r="W185" s="603">
        <v>0</v>
      </c>
      <c r="X185" s="603">
        <v>0</v>
      </c>
      <c r="Y185" s="603">
        <v>0</v>
      </c>
      <c r="Z185" s="603">
        <v>0</v>
      </c>
      <c r="AA185" s="603">
        <v>0</v>
      </c>
    </row>
    <row r="186" spans="1:27" x14ac:dyDescent="0.2">
      <c r="A186" s="591" t="s">
        <v>1268</v>
      </c>
      <c r="B186" s="605" t="s">
        <v>574</v>
      </c>
      <c r="C186" s="585">
        <v>0</v>
      </c>
      <c r="D186" s="585">
        <v>0</v>
      </c>
      <c r="E186" s="585">
        <v>0</v>
      </c>
      <c r="F186" s="585">
        <v>0</v>
      </c>
      <c r="G186" s="585">
        <v>0</v>
      </c>
      <c r="H186" s="603">
        <v>0</v>
      </c>
      <c r="I186" s="603">
        <v>0</v>
      </c>
      <c r="J186" s="603">
        <v>0</v>
      </c>
      <c r="K186" s="603">
        <v>0</v>
      </c>
      <c r="L186" s="603">
        <v>0</v>
      </c>
      <c r="M186" s="603">
        <v>0</v>
      </c>
      <c r="N186" s="603">
        <v>0</v>
      </c>
      <c r="O186" s="603">
        <v>0</v>
      </c>
      <c r="P186" s="603">
        <v>0</v>
      </c>
      <c r="Q186" s="603">
        <v>0</v>
      </c>
      <c r="R186" s="603">
        <v>0</v>
      </c>
      <c r="S186" s="603">
        <v>0</v>
      </c>
      <c r="T186" s="603">
        <v>0</v>
      </c>
      <c r="U186" s="604" t="e">
        <v>#DIV/0!</v>
      </c>
      <c r="V186" s="603">
        <v>0</v>
      </c>
      <c r="W186" s="603">
        <v>0</v>
      </c>
      <c r="X186" s="603">
        <v>0</v>
      </c>
      <c r="Y186" s="603">
        <v>0</v>
      </c>
      <c r="Z186" s="603">
        <v>0</v>
      </c>
      <c r="AA186" s="603">
        <v>0</v>
      </c>
    </row>
    <row r="187" spans="1:27" x14ac:dyDescent="0.2">
      <c r="A187" s="591" t="s">
        <v>1269</v>
      </c>
      <c r="B187" s="605" t="s">
        <v>575</v>
      </c>
      <c r="C187" s="585">
        <v>0</v>
      </c>
      <c r="D187" s="585">
        <v>0</v>
      </c>
      <c r="E187" s="585">
        <v>0</v>
      </c>
      <c r="F187" s="585">
        <v>0</v>
      </c>
      <c r="G187" s="585">
        <v>0</v>
      </c>
      <c r="H187" s="603">
        <v>0</v>
      </c>
      <c r="I187" s="603">
        <v>0</v>
      </c>
      <c r="J187" s="603">
        <v>0</v>
      </c>
      <c r="K187" s="603">
        <v>0</v>
      </c>
      <c r="L187" s="603">
        <v>0</v>
      </c>
      <c r="M187" s="603">
        <v>0</v>
      </c>
      <c r="N187" s="603">
        <v>0</v>
      </c>
      <c r="O187" s="603">
        <v>0</v>
      </c>
      <c r="P187" s="603">
        <v>0</v>
      </c>
      <c r="Q187" s="603">
        <v>0</v>
      </c>
      <c r="R187" s="603">
        <v>0</v>
      </c>
      <c r="S187" s="603">
        <v>0</v>
      </c>
      <c r="T187" s="603">
        <v>0</v>
      </c>
      <c r="U187" s="604" t="e">
        <v>#DIV/0!</v>
      </c>
      <c r="V187" s="603">
        <v>0</v>
      </c>
      <c r="W187" s="603">
        <v>0</v>
      </c>
      <c r="X187" s="603">
        <v>0</v>
      </c>
      <c r="Y187" s="603">
        <v>0</v>
      </c>
      <c r="Z187" s="603">
        <v>0</v>
      </c>
      <c r="AA187" s="603">
        <v>0</v>
      </c>
    </row>
    <row r="188" spans="1:27" x14ac:dyDescent="0.2">
      <c r="A188" s="591" t="s">
        <v>1270</v>
      </c>
      <c r="B188" s="605" t="s">
        <v>576</v>
      </c>
      <c r="C188" s="585">
        <v>0</v>
      </c>
      <c r="D188" s="585">
        <v>0</v>
      </c>
      <c r="E188" s="585">
        <v>0</v>
      </c>
      <c r="F188" s="585">
        <v>0</v>
      </c>
      <c r="G188" s="585">
        <v>0</v>
      </c>
      <c r="H188" s="603">
        <v>0</v>
      </c>
      <c r="I188" s="603">
        <v>0</v>
      </c>
      <c r="J188" s="603">
        <v>0</v>
      </c>
      <c r="K188" s="603">
        <v>0</v>
      </c>
      <c r="L188" s="603">
        <v>0</v>
      </c>
      <c r="M188" s="603">
        <v>0</v>
      </c>
      <c r="N188" s="603">
        <v>0</v>
      </c>
      <c r="O188" s="603">
        <v>0</v>
      </c>
      <c r="P188" s="603">
        <v>0</v>
      </c>
      <c r="Q188" s="603">
        <v>0</v>
      </c>
      <c r="R188" s="603">
        <v>0</v>
      </c>
      <c r="S188" s="603">
        <v>0</v>
      </c>
      <c r="T188" s="603">
        <v>0</v>
      </c>
      <c r="U188" s="604" t="e">
        <v>#DIV/0!</v>
      </c>
      <c r="V188" s="603">
        <v>0</v>
      </c>
      <c r="W188" s="603">
        <v>0</v>
      </c>
      <c r="X188" s="603">
        <v>0</v>
      </c>
      <c r="Y188" s="603">
        <v>0</v>
      </c>
      <c r="Z188" s="603">
        <v>0</v>
      </c>
      <c r="AA188" s="603">
        <v>0</v>
      </c>
    </row>
    <row r="189" spans="1:27" x14ac:dyDescent="0.2">
      <c r="A189" s="591" t="s">
        <v>1271</v>
      </c>
      <c r="B189" s="605" t="s">
        <v>577</v>
      </c>
      <c r="C189" s="585">
        <v>0</v>
      </c>
      <c r="D189" s="585">
        <v>0</v>
      </c>
      <c r="E189" s="585">
        <v>0</v>
      </c>
      <c r="F189" s="585">
        <v>0</v>
      </c>
      <c r="G189" s="585">
        <v>0</v>
      </c>
      <c r="H189" s="603">
        <v>0</v>
      </c>
      <c r="I189" s="603">
        <v>0</v>
      </c>
      <c r="J189" s="603">
        <v>0</v>
      </c>
      <c r="K189" s="603">
        <v>0</v>
      </c>
      <c r="L189" s="603">
        <v>0</v>
      </c>
      <c r="M189" s="603">
        <v>0</v>
      </c>
      <c r="N189" s="603">
        <v>0</v>
      </c>
      <c r="O189" s="603">
        <v>0</v>
      </c>
      <c r="P189" s="603">
        <v>0</v>
      </c>
      <c r="Q189" s="603">
        <v>0</v>
      </c>
      <c r="R189" s="603">
        <v>0</v>
      </c>
      <c r="S189" s="603">
        <v>0</v>
      </c>
      <c r="T189" s="603">
        <v>0</v>
      </c>
      <c r="U189" s="604" t="e">
        <v>#DIV/0!</v>
      </c>
      <c r="V189" s="603">
        <v>0</v>
      </c>
      <c r="W189" s="603">
        <v>0</v>
      </c>
      <c r="X189" s="603">
        <v>0</v>
      </c>
      <c r="Y189" s="603">
        <v>0</v>
      </c>
      <c r="Z189" s="603">
        <v>0</v>
      </c>
      <c r="AA189" s="603">
        <v>0</v>
      </c>
    </row>
    <row r="190" spans="1:27" ht="24" x14ac:dyDescent="0.2">
      <c r="A190" s="591" t="s">
        <v>1272</v>
      </c>
      <c r="B190" s="605" t="s">
        <v>578</v>
      </c>
      <c r="C190" s="585">
        <v>0</v>
      </c>
      <c r="D190" s="585">
        <v>0</v>
      </c>
      <c r="E190" s="585">
        <v>0</v>
      </c>
      <c r="F190" s="585">
        <v>0</v>
      </c>
      <c r="G190" s="585">
        <v>0</v>
      </c>
      <c r="H190" s="603">
        <v>0</v>
      </c>
      <c r="I190" s="603">
        <v>0</v>
      </c>
      <c r="J190" s="603">
        <v>0</v>
      </c>
      <c r="K190" s="603">
        <v>0</v>
      </c>
      <c r="L190" s="603">
        <v>0</v>
      </c>
      <c r="M190" s="603">
        <v>0</v>
      </c>
      <c r="N190" s="603">
        <v>0</v>
      </c>
      <c r="O190" s="603">
        <v>0</v>
      </c>
      <c r="P190" s="603">
        <v>0</v>
      </c>
      <c r="Q190" s="603">
        <v>0</v>
      </c>
      <c r="R190" s="603">
        <v>0</v>
      </c>
      <c r="S190" s="603">
        <v>0</v>
      </c>
      <c r="T190" s="603">
        <v>0</v>
      </c>
      <c r="U190" s="604" t="e">
        <v>#DIV/0!</v>
      </c>
      <c r="V190" s="603">
        <v>0</v>
      </c>
      <c r="W190" s="603">
        <v>0</v>
      </c>
      <c r="X190" s="603">
        <v>0</v>
      </c>
      <c r="Y190" s="603">
        <v>0</v>
      </c>
      <c r="Z190" s="603">
        <v>0</v>
      </c>
      <c r="AA190" s="603">
        <v>0</v>
      </c>
    </row>
    <row r="191" spans="1:27" x14ac:dyDescent="0.2">
      <c r="A191" s="591" t="s">
        <v>1273</v>
      </c>
      <c r="B191" s="605" t="s">
        <v>579</v>
      </c>
      <c r="C191" s="585">
        <v>0</v>
      </c>
      <c r="D191" s="585">
        <v>0</v>
      </c>
      <c r="E191" s="585">
        <v>0</v>
      </c>
      <c r="F191" s="585">
        <v>0</v>
      </c>
      <c r="G191" s="585">
        <v>0</v>
      </c>
      <c r="H191" s="603">
        <v>0</v>
      </c>
      <c r="I191" s="603">
        <v>0</v>
      </c>
      <c r="J191" s="603">
        <v>0</v>
      </c>
      <c r="K191" s="603">
        <v>0</v>
      </c>
      <c r="L191" s="603">
        <v>0</v>
      </c>
      <c r="M191" s="603">
        <v>0</v>
      </c>
      <c r="N191" s="603">
        <v>0</v>
      </c>
      <c r="O191" s="603">
        <v>0</v>
      </c>
      <c r="P191" s="603">
        <v>0</v>
      </c>
      <c r="Q191" s="603">
        <v>0</v>
      </c>
      <c r="R191" s="603">
        <v>0</v>
      </c>
      <c r="S191" s="603">
        <v>0</v>
      </c>
      <c r="T191" s="603">
        <v>0</v>
      </c>
      <c r="U191" s="604" t="e">
        <v>#DIV/0!</v>
      </c>
      <c r="V191" s="603">
        <v>0</v>
      </c>
      <c r="W191" s="603">
        <v>0</v>
      </c>
      <c r="X191" s="603">
        <v>0</v>
      </c>
      <c r="Y191" s="603">
        <v>0</v>
      </c>
      <c r="Z191" s="603">
        <v>0</v>
      </c>
      <c r="AA191" s="603">
        <v>0</v>
      </c>
    </row>
    <row r="192" spans="1:27" x14ac:dyDescent="0.2">
      <c r="A192" s="591" t="s">
        <v>1274</v>
      </c>
      <c r="B192" s="605" t="s">
        <v>580</v>
      </c>
      <c r="C192" s="585">
        <v>0</v>
      </c>
      <c r="D192" s="585">
        <v>0</v>
      </c>
      <c r="E192" s="585">
        <v>0</v>
      </c>
      <c r="F192" s="585">
        <v>0</v>
      </c>
      <c r="G192" s="585">
        <v>0</v>
      </c>
      <c r="H192" s="603">
        <v>0</v>
      </c>
      <c r="I192" s="603">
        <v>0</v>
      </c>
      <c r="J192" s="603">
        <v>0</v>
      </c>
      <c r="K192" s="603">
        <v>0</v>
      </c>
      <c r="L192" s="603">
        <v>0</v>
      </c>
      <c r="M192" s="603">
        <v>0</v>
      </c>
      <c r="N192" s="603">
        <v>0</v>
      </c>
      <c r="O192" s="603">
        <v>0</v>
      </c>
      <c r="P192" s="603">
        <v>0</v>
      </c>
      <c r="Q192" s="603">
        <v>0</v>
      </c>
      <c r="R192" s="603">
        <v>0</v>
      </c>
      <c r="S192" s="603">
        <v>0</v>
      </c>
      <c r="T192" s="603">
        <v>0</v>
      </c>
      <c r="U192" s="604" t="e">
        <v>#DIV/0!</v>
      </c>
      <c r="V192" s="603">
        <v>0</v>
      </c>
      <c r="W192" s="603">
        <v>0</v>
      </c>
      <c r="X192" s="603">
        <v>0</v>
      </c>
      <c r="Y192" s="603">
        <v>0</v>
      </c>
      <c r="Z192" s="603">
        <v>0</v>
      </c>
      <c r="AA192" s="603">
        <v>0</v>
      </c>
    </row>
    <row r="193" spans="1:27" x14ac:dyDescent="0.2">
      <c r="A193" s="591" t="s">
        <v>1275</v>
      </c>
      <c r="B193" s="605" t="s">
        <v>581</v>
      </c>
      <c r="C193" s="585">
        <v>0</v>
      </c>
      <c r="D193" s="585">
        <v>0</v>
      </c>
      <c r="E193" s="585">
        <v>0</v>
      </c>
      <c r="F193" s="585">
        <v>0</v>
      </c>
      <c r="G193" s="585">
        <v>0</v>
      </c>
      <c r="H193" s="603">
        <v>0</v>
      </c>
      <c r="I193" s="603">
        <v>0</v>
      </c>
      <c r="J193" s="603">
        <v>0</v>
      </c>
      <c r="K193" s="603">
        <v>0</v>
      </c>
      <c r="L193" s="603">
        <v>0</v>
      </c>
      <c r="M193" s="603">
        <v>0</v>
      </c>
      <c r="N193" s="603">
        <v>0</v>
      </c>
      <c r="O193" s="603">
        <v>0</v>
      </c>
      <c r="P193" s="603">
        <v>0</v>
      </c>
      <c r="Q193" s="603">
        <v>0</v>
      </c>
      <c r="R193" s="603">
        <v>0</v>
      </c>
      <c r="S193" s="603">
        <v>0</v>
      </c>
      <c r="T193" s="603">
        <v>0</v>
      </c>
      <c r="U193" s="604" t="e">
        <v>#DIV/0!</v>
      </c>
      <c r="V193" s="603">
        <v>0</v>
      </c>
      <c r="W193" s="603">
        <v>0</v>
      </c>
      <c r="X193" s="603">
        <v>0</v>
      </c>
      <c r="Y193" s="603">
        <v>0</v>
      </c>
      <c r="Z193" s="603">
        <v>0</v>
      </c>
      <c r="AA193" s="603">
        <v>0</v>
      </c>
    </row>
    <row r="194" spans="1:27" x14ac:dyDescent="0.2">
      <c r="A194" s="591" t="s">
        <v>1276</v>
      </c>
      <c r="B194" s="605" t="s">
        <v>582</v>
      </c>
      <c r="C194" s="585">
        <v>0</v>
      </c>
      <c r="D194" s="585">
        <v>0</v>
      </c>
      <c r="E194" s="585">
        <v>0</v>
      </c>
      <c r="F194" s="585">
        <v>0</v>
      </c>
      <c r="G194" s="585">
        <v>0</v>
      </c>
      <c r="H194" s="603">
        <v>0</v>
      </c>
      <c r="I194" s="603">
        <v>0</v>
      </c>
      <c r="J194" s="603">
        <v>0</v>
      </c>
      <c r="K194" s="603">
        <v>0</v>
      </c>
      <c r="L194" s="603">
        <v>0</v>
      </c>
      <c r="M194" s="603">
        <v>0</v>
      </c>
      <c r="N194" s="603">
        <v>0</v>
      </c>
      <c r="O194" s="603">
        <v>0</v>
      </c>
      <c r="P194" s="603">
        <v>0</v>
      </c>
      <c r="Q194" s="603">
        <v>0</v>
      </c>
      <c r="R194" s="603">
        <v>0</v>
      </c>
      <c r="S194" s="603">
        <v>0</v>
      </c>
      <c r="T194" s="603">
        <v>0</v>
      </c>
      <c r="U194" s="604" t="e">
        <v>#DIV/0!</v>
      </c>
      <c r="V194" s="603">
        <v>0</v>
      </c>
      <c r="W194" s="603">
        <v>0</v>
      </c>
      <c r="X194" s="603">
        <v>0</v>
      </c>
      <c r="Y194" s="603">
        <v>0</v>
      </c>
      <c r="Z194" s="603">
        <v>0</v>
      </c>
      <c r="AA194" s="603">
        <v>0</v>
      </c>
    </row>
    <row r="195" spans="1:27" x14ac:dyDescent="0.2">
      <c r="A195" s="591" t="s">
        <v>1277</v>
      </c>
      <c r="B195" s="605" t="s">
        <v>583</v>
      </c>
      <c r="C195" s="585">
        <v>0</v>
      </c>
      <c r="D195" s="585">
        <v>0</v>
      </c>
      <c r="E195" s="585">
        <v>0</v>
      </c>
      <c r="F195" s="585">
        <v>0</v>
      </c>
      <c r="G195" s="585">
        <v>0</v>
      </c>
      <c r="H195" s="603">
        <v>0</v>
      </c>
      <c r="I195" s="603">
        <v>0</v>
      </c>
      <c r="J195" s="603">
        <v>0</v>
      </c>
      <c r="K195" s="603">
        <v>0</v>
      </c>
      <c r="L195" s="603">
        <v>0</v>
      </c>
      <c r="M195" s="603">
        <v>0</v>
      </c>
      <c r="N195" s="603">
        <v>0</v>
      </c>
      <c r="O195" s="603">
        <v>0</v>
      </c>
      <c r="P195" s="603">
        <v>0</v>
      </c>
      <c r="Q195" s="603">
        <v>0</v>
      </c>
      <c r="R195" s="603">
        <v>0</v>
      </c>
      <c r="S195" s="603">
        <v>0</v>
      </c>
      <c r="T195" s="603">
        <v>0</v>
      </c>
      <c r="U195" s="604" t="e">
        <v>#DIV/0!</v>
      </c>
      <c r="V195" s="603">
        <v>0</v>
      </c>
      <c r="W195" s="603">
        <v>0</v>
      </c>
      <c r="X195" s="603">
        <v>0</v>
      </c>
      <c r="Y195" s="603">
        <v>0</v>
      </c>
      <c r="Z195" s="603">
        <v>0</v>
      </c>
      <c r="AA195" s="603">
        <v>0</v>
      </c>
    </row>
    <row r="196" spans="1:27" x14ac:dyDescent="0.2">
      <c r="A196" s="591" t="s">
        <v>1278</v>
      </c>
      <c r="B196" s="605" t="s">
        <v>584</v>
      </c>
      <c r="C196" s="585">
        <v>0</v>
      </c>
      <c r="D196" s="585">
        <v>0</v>
      </c>
      <c r="E196" s="585">
        <v>0</v>
      </c>
      <c r="F196" s="585">
        <v>0</v>
      </c>
      <c r="G196" s="585">
        <v>0</v>
      </c>
      <c r="H196" s="603">
        <v>0</v>
      </c>
      <c r="I196" s="603">
        <v>0</v>
      </c>
      <c r="J196" s="603">
        <v>0</v>
      </c>
      <c r="K196" s="603">
        <v>0</v>
      </c>
      <c r="L196" s="603">
        <v>0</v>
      </c>
      <c r="M196" s="603">
        <v>0</v>
      </c>
      <c r="N196" s="603">
        <v>0</v>
      </c>
      <c r="O196" s="603">
        <v>0</v>
      </c>
      <c r="P196" s="603">
        <v>0</v>
      </c>
      <c r="Q196" s="603">
        <v>0</v>
      </c>
      <c r="R196" s="603">
        <v>0</v>
      </c>
      <c r="S196" s="603">
        <v>0</v>
      </c>
      <c r="T196" s="603">
        <v>0</v>
      </c>
      <c r="U196" s="604" t="e">
        <v>#DIV/0!</v>
      </c>
      <c r="V196" s="603">
        <v>0</v>
      </c>
      <c r="W196" s="603">
        <v>0</v>
      </c>
      <c r="X196" s="603">
        <v>0</v>
      </c>
      <c r="Y196" s="603">
        <v>0</v>
      </c>
      <c r="Z196" s="603">
        <v>0</v>
      </c>
      <c r="AA196" s="603">
        <v>0</v>
      </c>
    </row>
    <row r="197" spans="1:27" x14ac:dyDescent="0.2">
      <c r="A197" s="591" t="s">
        <v>1279</v>
      </c>
      <c r="B197" s="605" t="s">
        <v>585</v>
      </c>
      <c r="C197" s="585">
        <v>0</v>
      </c>
      <c r="D197" s="585">
        <v>0</v>
      </c>
      <c r="E197" s="585">
        <v>0</v>
      </c>
      <c r="F197" s="585">
        <v>0</v>
      </c>
      <c r="G197" s="585">
        <v>0</v>
      </c>
      <c r="H197" s="603">
        <v>0</v>
      </c>
      <c r="I197" s="603">
        <v>0</v>
      </c>
      <c r="J197" s="603">
        <v>0</v>
      </c>
      <c r="K197" s="603">
        <v>0</v>
      </c>
      <c r="L197" s="603">
        <v>0</v>
      </c>
      <c r="M197" s="603">
        <v>0</v>
      </c>
      <c r="N197" s="603">
        <v>0</v>
      </c>
      <c r="O197" s="603">
        <v>0</v>
      </c>
      <c r="P197" s="603">
        <v>0</v>
      </c>
      <c r="Q197" s="603">
        <v>0</v>
      </c>
      <c r="R197" s="603">
        <v>0</v>
      </c>
      <c r="S197" s="603">
        <v>0</v>
      </c>
      <c r="T197" s="603">
        <v>0</v>
      </c>
      <c r="U197" s="604" t="e">
        <v>#DIV/0!</v>
      </c>
      <c r="V197" s="603">
        <v>0</v>
      </c>
      <c r="W197" s="603">
        <v>0</v>
      </c>
      <c r="X197" s="603">
        <v>0</v>
      </c>
      <c r="Y197" s="603">
        <v>0</v>
      </c>
      <c r="Z197" s="603">
        <v>0</v>
      </c>
      <c r="AA197" s="603">
        <v>0</v>
      </c>
    </row>
    <row r="198" spans="1:27" x14ac:dyDescent="0.2">
      <c r="A198" s="591" t="s">
        <v>1280</v>
      </c>
      <c r="B198" s="605" t="s">
        <v>586</v>
      </c>
      <c r="C198" s="585">
        <v>0</v>
      </c>
      <c r="D198" s="585">
        <v>0</v>
      </c>
      <c r="E198" s="585">
        <v>0</v>
      </c>
      <c r="F198" s="585">
        <v>0</v>
      </c>
      <c r="G198" s="585">
        <v>0</v>
      </c>
      <c r="H198" s="603">
        <v>0</v>
      </c>
      <c r="I198" s="603">
        <v>0</v>
      </c>
      <c r="J198" s="603">
        <v>0</v>
      </c>
      <c r="K198" s="603">
        <v>0</v>
      </c>
      <c r="L198" s="603">
        <v>0</v>
      </c>
      <c r="M198" s="603">
        <v>0</v>
      </c>
      <c r="N198" s="603">
        <v>0</v>
      </c>
      <c r="O198" s="603">
        <v>0</v>
      </c>
      <c r="P198" s="603">
        <v>0</v>
      </c>
      <c r="Q198" s="603">
        <v>0</v>
      </c>
      <c r="R198" s="603">
        <v>0</v>
      </c>
      <c r="S198" s="603">
        <v>0</v>
      </c>
      <c r="T198" s="603">
        <v>0</v>
      </c>
      <c r="U198" s="604" t="e">
        <v>#DIV/0!</v>
      </c>
      <c r="V198" s="603">
        <v>0</v>
      </c>
      <c r="W198" s="603">
        <v>0</v>
      </c>
      <c r="X198" s="603">
        <v>0</v>
      </c>
      <c r="Y198" s="603">
        <v>0</v>
      </c>
      <c r="Z198" s="603">
        <v>0</v>
      </c>
      <c r="AA198" s="603">
        <v>0</v>
      </c>
    </row>
    <row r="199" spans="1:27" x14ac:dyDescent="0.2">
      <c r="A199" s="591" t="s">
        <v>1281</v>
      </c>
      <c r="B199" s="605" t="s">
        <v>587</v>
      </c>
      <c r="C199" s="585">
        <v>0</v>
      </c>
      <c r="D199" s="585">
        <v>0</v>
      </c>
      <c r="E199" s="585">
        <v>0</v>
      </c>
      <c r="F199" s="585">
        <v>0</v>
      </c>
      <c r="G199" s="585">
        <v>0</v>
      </c>
      <c r="H199" s="603">
        <v>0</v>
      </c>
      <c r="I199" s="603">
        <v>0</v>
      </c>
      <c r="J199" s="603">
        <v>0</v>
      </c>
      <c r="K199" s="603">
        <v>0</v>
      </c>
      <c r="L199" s="603">
        <v>0</v>
      </c>
      <c r="M199" s="603">
        <v>0</v>
      </c>
      <c r="N199" s="603">
        <v>0</v>
      </c>
      <c r="O199" s="603">
        <v>0</v>
      </c>
      <c r="P199" s="603">
        <v>0</v>
      </c>
      <c r="Q199" s="603">
        <v>0</v>
      </c>
      <c r="R199" s="603">
        <v>0</v>
      </c>
      <c r="S199" s="603">
        <v>0</v>
      </c>
      <c r="T199" s="603">
        <v>0</v>
      </c>
      <c r="U199" s="604" t="e">
        <v>#DIV/0!</v>
      </c>
      <c r="V199" s="603">
        <v>0</v>
      </c>
      <c r="W199" s="603">
        <v>0</v>
      </c>
      <c r="X199" s="603">
        <v>0</v>
      </c>
      <c r="Y199" s="603">
        <v>0</v>
      </c>
      <c r="Z199" s="603">
        <v>0</v>
      </c>
      <c r="AA199" s="603">
        <v>0</v>
      </c>
    </row>
    <row r="200" spans="1:27" x14ac:dyDescent="0.2">
      <c r="A200" s="591" t="s">
        <v>1282</v>
      </c>
      <c r="B200" s="605" t="s">
        <v>588</v>
      </c>
      <c r="C200" s="585">
        <v>0</v>
      </c>
      <c r="D200" s="585">
        <v>0</v>
      </c>
      <c r="E200" s="585">
        <v>0</v>
      </c>
      <c r="F200" s="585">
        <v>0</v>
      </c>
      <c r="G200" s="585">
        <v>0</v>
      </c>
      <c r="H200" s="603">
        <v>0</v>
      </c>
      <c r="I200" s="603">
        <v>0</v>
      </c>
      <c r="J200" s="603">
        <v>0</v>
      </c>
      <c r="K200" s="603">
        <v>0</v>
      </c>
      <c r="L200" s="603">
        <v>0</v>
      </c>
      <c r="M200" s="603">
        <v>0</v>
      </c>
      <c r="N200" s="603">
        <v>0</v>
      </c>
      <c r="O200" s="603">
        <v>0</v>
      </c>
      <c r="P200" s="603">
        <v>0</v>
      </c>
      <c r="Q200" s="603">
        <v>0</v>
      </c>
      <c r="R200" s="603">
        <v>0</v>
      </c>
      <c r="S200" s="603">
        <v>0</v>
      </c>
      <c r="T200" s="603">
        <v>0</v>
      </c>
      <c r="U200" s="604" t="e">
        <v>#DIV/0!</v>
      </c>
      <c r="V200" s="603">
        <v>0</v>
      </c>
      <c r="W200" s="603">
        <v>0</v>
      </c>
      <c r="X200" s="603">
        <v>0</v>
      </c>
      <c r="Y200" s="603">
        <v>0</v>
      </c>
      <c r="Z200" s="603">
        <v>0</v>
      </c>
      <c r="AA200" s="603">
        <v>0</v>
      </c>
    </row>
    <row r="201" spans="1:27" x14ac:dyDescent="0.2">
      <c r="A201" s="591" t="s">
        <v>1283</v>
      </c>
      <c r="B201" s="605" t="s">
        <v>589</v>
      </c>
      <c r="C201" s="585">
        <v>0</v>
      </c>
      <c r="D201" s="585">
        <v>0</v>
      </c>
      <c r="E201" s="585">
        <v>0</v>
      </c>
      <c r="F201" s="585">
        <v>0</v>
      </c>
      <c r="G201" s="585">
        <v>0</v>
      </c>
      <c r="H201" s="603">
        <v>0</v>
      </c>
      <c r="I201" s="603">
        <v>0</v>
      </c>
      <c r="J201" s="603">
        <v>0</v>
      </c>
      <c r="K201" s="603">
        <v>0</v>
      </c>
      <c r="L201" s="603">
        <v>0</v>
      </c>
      <c r="M201" s="603">
        <v>0</v>
      </c>
      <c r="N201" s="603">
        <v>0</v>
      </c>
      <c r="O201" s="603">
        <v>0</v>
      </c>
      <c r="P201" s="603">
        <v>0</v>
      </c>
      <c r="Q201" s="603">
        <v>0</v>
      </c>
      <c r="R201" s="603">
        <v>0</v>
      </c>
      <c r="S201" s="603">
        <v>0</v>
      </c>
      <c r="T201" s="603">
        <v>0</v>
      </c>
      <c r="U201" s="604" t="e">
        <v>#DIV/0!</v>
      </c>
      <c r="V201" s="603">
        <v>0</v>
      </c>
      <c r="W201" s="603">
        <v>0</v>
      </c>
      <c r="X201" s="603">
        <v>0</v>
      </c>
      <c r="Y201" s="603">
        <v>0</v>
      </c>
      <c r="Z201" s="603">
        <v>0</v>
      </c>
      <c r="AA201" s="603">
        <v>0</v>
      </c>
    </row>
    <row r="202" spans="1:27" x14ac:dyDescent="0.2">
      <c r="A202" s="591" t="s">
        <v>1284</v>
      </c>
      <c r="B202" s="605" t="s">
        <v>590</v>
      </c>
      <c r="C202" s="585">
        <v>0</v>
      </c>
      <c r="D202" s="585">
        <v>0</v>
      </c>
      <c r="E202" s="585">
        <v>0</v>
      </c>
      <c r="F202" s="585">
        <v>0</v>
      </c>
      <c r="G202" s="585">
        <v>0</v>
      </c>
      <c r="H202" s="603">
        <v>0</v>
      </c>
      <c r="I202" s="603">
        <v>0</v>
      </c>
      <c r="J202" s="603">
        <v>0</v>
      </c>
      <c r="K202" s="603">
        <v>0</v>
      </c>
      <c r="L202" s="603">
        <v>0</v>
      </c>
      <c r="M202" s="603">
        <v>0</v>
      </c>
      <c r="N202" s="603">
        <v>0</v>
      </c>
      <c r="O202" s="603">
        <v>0</v>
      </c>
      <c r="P202" s="603">
        <v>0</v>
      </c>
      <c r="Q202" s="603">
        <v>0</v>
      </c>
      <c r="R202" s="603">
        <v>0</v>
      </c>
      <c r="S202" s="603">
        <v>0</v>
      </c>
      <c r="T202" s="603">
        <v>0</v>
      </c>
      <c r="U202" s="604" t="e">
        <v>#DIV/0!</v>
      </c>
      <c r="V202" s="603">
        <v>0</v>
      </c>
      <c r="W202" s="603">
        <v>0</v>
      </c>
      <c r="X202" s="603">
        <v>0</v>
      </c>
      <c r="Y202" s="603">
        <v>0</v>
      </c>
      <c r="Z202" s="603">
        <v>0</v>
      </c>
      <c r="AA202" s="603">
        <v>0</v>
      </c>
    </row>
    <row r="203" spans="1:27" x14ac:dyDescent="0.2">
      <c r="A203" s="591" t="s">
        <v>1285</v>
      </c>
      <c r="B203" s="605" t="s">
        <v>591</v>
      </c>
      <c r="C203" s="585">
        <v>0</v>
      </c>
      <c r="D203" s="585">
        <v>0</v>
      </c>
      <c r="E203" s="585">
        <v>0</v>
      </c>
      <c r="F203" s="585">
        <v>0</v>
      </c>
      <c r="G203" s="585">
        <v>0</v>
      </c>
      <c r="H203" s="603">
        <v>0</v>
      </c>
      <c r="I203" s="603">
        <v>0</v>
      </c>
      <c r="J203" s="603">
        <v>0</v>
      </c>
      <c r="K203" s="603">
        <v>0</v>
      </c>
      <c r="L203" s="603">
        <v>0</v>
      </c>
      <c r="M203" s="603">
        <v>0</v>
      </c>
      <c r="N203" s="603">
        <v>0</v>
      </c>
      <c r="O203" s="603">
        <v>0</v>
      </c>
      <c r="P203" s="603">
        <v>0</v>
      </c>
      <c r="Q203" s="603">
        <v>0</v>
      </c>
      <c r="R203" s="603">
        <v>0</v>
      </c>
      <c r="S203" s="603">
        <v>0</v>
      </c>
      <c r="T203" s="603">
        <v>0</v>
      </c>
      <c r="U203" s="604" t="e">
        <v>#DIV/0!</v>
      </c>
      <c r="V203" s="603">
        <v>0</v>
      </c>
      <c r="W203" s="603">
        <v>0</v>
      </c>
      <c r="X203" s="603">
        <v>0</v>
      </c>
      <c r="Y203" s="603">
        <v>0</v>
      </c>
      <c r="Z203" s="603">
        <v>0</v>
      </c>
      <c r="AA203" s="603">
        <v>0</v>
      </c>
    </row>
    <row r="204" spans="1:27" x14ac:dyDescent="0.2">
      <c r="A204" s="591" t="s">
        <v>1286</v>
      </c>
      <c r="B204" s="605" t="s">
        <v>592</v>
      </c>
      <c r="C204" s="585">
        <v>0</v>
      </c>
      <c r="D204" s="585">
        <v>0</v>
      </c>
      <c r="E204" s="585">
        <v>0</v>
      </c>
      <c r="F204" s="585">
        <v>0</v>
      </c>
      <c r="G204" s="585">
        <v>0</v>
      </c>
      <c r="H204" s="603">
        <v>0</v>
      </c>
      <c r="I204" s="603">
        <v>0</v>
      </c>
      <c r="J204" s="603">
        <v>0</v>
      </c>
      <c r="K204" s="603">
        <v>0</v>
      </c>
      <c r="L204" s="603">
        <v>0</v>
      </c>
      <c r="M204" s="603">
        <v>0</v>
      </c>
      <c r="N204" s="603">
        <v>0</v>
      </c>
      <c r="O204" s="603">
        <v>0</v>
      </c>
      <c r="P204" s="603">
        <v>0</v>
      </c>
      <c r="Q204" s="603">
        <v>0</v>
      </c>
      <c r="R204" s="603">
        <v>0</v>
      </c>
      <c r="S204" s="603">
        <v>0</v>
      </c>
      <c r="T204" s="603">
        <v>0</v>
      </c>
      <c r="U204" s="604" t="e">
        <v>#DIV/0!</v>
      </c>
      <c r="V204" s="603">
        <v>0</v>
      </c>
      <c r="W204" s="603">
        <v>0</v>
      </c>
      <c r="X204" s="603">
        <v>0</v>
      </c>
      <c r="Y204" s="603">
        <v>0</v>
      </c>
      <c r="Z204" s="603">
        <v>0</v>
      </c>
      <c r="AA204" s="603">
        <v>0</v>
      </c>
    </row>
    <row r="205" spans="1:27" x14ac:dyDescent="0.2">
      <c r="A205" s="591" t="s">
        <v>1287</v>
      </c>
      <c r="B205" s="605" t="s">
        <v>593</v>
      </c>
      <c r="C205" s="585">
        <v>0</v>
      </c>
      <c r="D205" s="585">
        <v>0</v>
      </c>
      <c r="E205" s="585">
        <v>0</v>
      </c>
      <c r="F205" s="585">
        <v>0</v>
      </c>
      <c r="G205" s="585">
        <v>0</v>
      </c>
      <c r="H205" s="603">
        <v>0</v>
      </c>
      <c r="I205" s="603">
        <v>0</v>
      </c>
      <c r="J205" s="603">
        <v>0</v>
      </c>
      <c r="K205" s="603">
        <v>0</v>
      </c>
      <c r="L205" s="603">
        <v>0</v>
      </c>
      <c r="M205" s="603">
        <v>0</v>
      </c>
      <c r="N205" s="603">
        <v>0</v>
      </c>
      <c r="O205" s="603">
        <v>0</v>
      </c>
      <c r="P205" s="603">
        <v>0</v>
      </c>
      <c r="Q205" s="603">
        <v>0</v>
      </c>
      <c r="R205" s="603">
        <v>0</v>
      </c>
      <c r="S205" s="603">
        <v>0</v>
      </c>
      <c r="T205" s="603">
        <v>0</v>
      </c>
      <c r="U205" s="604" t="e">
        <v>#DIV/0!</v>
      </c>
      <c r="V205" s="603">
        <v>0</v>
      </c>
      <c r="W205" s="603">
        <v>0</v>
      </c>
      <c r="X205" s="603">
        <v>0</v>
      </c>
      <c r="Y205" s="603">
        <v>0</v>
      </c>
      <c r="Z205" s="603">
        <v>0</v>
      </c>
      <c r="AA205" s="603">
        <v>0</v>
      </c>
    </row>
    <row r="206" spans="1:27" x14ac:dyDescent="0.2">
      <c r="A206" s="591" t="s">
        <v>1288</v>
      </c>
      <c r="B206" s="605" t="s">
        <v>594</v>
      </c>
      <c r="C206" s="585">
        <v>0</v>
      </c>
      <c r="D206" s="585">
        <v>0</v>
      </c>
      <c r="E206" s="585">
        <v>0</v>
      </c>
      <c r="F206" s="585">
        <v>0</v>
      </c>
      <c r="G206" s="585">
        <v>0</v>
      </c>
      <c r="H206" s="603">
        <v>0</v>
      </c>
      <c r="I206" s="603">
        <v>0</v>
      </c>
      <c r="J206" s="603">
        <v>0</v>
      </c>
      <c r="K206" s="603">
        <v>0</v>
      </c>
      <c r="L206" s="603">
        <v>0</v>
      </c>
      <c r="M206" s="603">
        <v>0</v>
      </c>
      <c r="N206" s="603">
        <v>0</v>
      </c>
      <c r="O206" s="603">
        <v>0</v>
      </c>
      <c r="P206" s="603">
        <v>0</v>
      </c>
      <c r="Q206" s="603">
        <v>0</v>
      </c>
      <c r="R206" s="603">
        <v>0</v>
      </c>
      <c r="S206" s="603">
        <v>0</v>
      </c>
      <c r="T206" s="603">
        <v>0</v>
      </c>
      <c r="U206" s="604" t="e">
        <v>#DIV/0!</v>
      </c>
      <c r="V206" s="603">
        <v>0</v>
      </c>
      <c r="W206" s="603">
        <v>0</v>
      </c>
      <c r="X206" s="603">
        <v>0</v>
      </c>
      <c r="Y206" s="603">
        <v>0</v>
      </c>
      <c r="Z206" s="603">
        <v>0</v>
      </c>
      <c r="AA206" s="603">
        <v>0</v>
      </c>
    </row>
    <row r="207" spans="1:27" x14ac:dyDescent="0.2">
      <c r="A207" s="591" t="s">
        <v>1289</v>
      </c>
      <c r="B207" s="605" t="s">
        <v>595</v>
      </c>
      <c r="C207" s="585">
        <v>0</v>
      </c>
      <c r="D207" s="585">
        <v>0</v>
      </c>
      <c r="E207" s="585">
        <v>0</v>
      </c>
      <c r="F207" s="585">
        <v>0</v>
      </c>
      <c r="G207" s="585">
        <v>0</v>
      </c>
      <c r="H207" s="603">
        <v>0</v>
      </c>
      <c r="I207" s="603">
        <v>0</v>
      </c>
      <c r="J207" s="603">
        <v>0</v>
      </c>
      <c r="K207" s="603">
        <v>0</v>
      </c>
      <c r="L207" s="603">
        <v>0</v>
      </c>
      <c r="M207" s="603">
        <v>0</v>
      </c>
      <c r="N207" s="603">
        <v>0</v>
      </c>
      <c r="O207" s="603">
        <v>0</v>
      </c>
      <c r="P207" s="603">
        <v>0</v>
      </c>
      <c r="Q207" s="603">
        <v>0</v>
      </c>
      <c r="R207" s="603">
        <v>0</v>
      </c>
      <c r="S207" s="603">
        <v>0</v>
      </c>
      <c r="T207" s="603">
        <v>0</v>
      </c>
      <c r="U207" s="604" t="e">
        <v>#DIV/0!</v>
      </c>
      <c r="V207" s="603">
        <v>0</v>
      </c>
      <c r="W207" s="603">
        <v>0</v>
      </c>
      <c r="X207" s="603">
        <v>0</v>
      </c>
      <c r="Y207" s="603">
        <v>0</v>
      </c>
      <c r="Z207" s="603">
        <v>0</v>
      </c>
      <c r="AA207" s="603">
        <v>0</v>
      </c>
    </row>
    <row r="208" spans="1:27" x14ac:dyDescent="0.2">
      <c r="A208" s="591" t="s">
        <v>1290</v>
      </c>
      <c r="B208" s="605" t="s">
        <v>596</v>
      </c>
      <c r="C208" s="585">
        <v>0</v>
      </c>
      <c r="D208" s="585">
        <v>0</v>
      </c>
      <c r="E208" s="585">
        <v>0</v>
      </c>
      <c r="F208" s="585">
        <v>0</v>
      </c>
      <c r="G208" s="585">
        <v>0</v>
      </c>
      <c r="H208" s="603">
        <v>0</v>
      </c>
      <c r="I208" s="603">
        <v>0</v>
      </c>
      <c r="J208" s="603">
        <v>0</v>
      </c>
      <c r="K208" s="603">
        <v>0</v>
      </c>
      <c r="L208" s="603">
        <v>0</v>
      </c>
      <c r="M208" s="603">
        <v>0</v>
      </c>
      <c r="N208" s="603">
        <v>0</v>
      </c>
      <c r="O208" s="603">
        <v>0</v>
      </c>
      <c r="P208" s="603">
        <v>0</v>
      </c>
      <c r="Q208" s="603">
        <v>0</v>
      </c>
      <c r="R208" s="603">
        <v>0</v>
      </c>
      <c r="S208" s="603">
        <v>0</v>
      </c>
      <c r="T208" s="603">
        <v>0</v>
      </c>
      <c r="U208" s="604" t="e">
        <v>#DIV/0!</v>
      </c>
      <c r="V208" s="603">
        <v>0</v>
      </c>
      <c r="W208" s="603">
        <v>0</v>
      </c>
      <c r="X208" s="603">
        <v>0</v>
      </c>
      <c r="Y208" s="603">
        <v>0</v>
      </c>
      <c r="Z208" s="603">
        <v>0</v>
      </c>
      <c r="AA208" s="603">
        <v>0</v>
      </c>
    </row>
    <row r="209" spans="1:27" x14ac:dyDescent="0.2">
      <c r="A209" s="591" t="s">
        <v>1291</v>
      </c>
      <c r="B209" s="605" t="s">
        <v>597</v>
      </c>
      <c r="C209" s="585">
        <v>0</v>
      </c>
      <c r="D209" s="585">
        <v>0</v>
      </c>
      <c r="E209" s="585">
        <v>0</v>
      </c>
      <c r="F209" s="585">
        <v>0</v>
      </c>
      <c r="G209" s="585">
        <v>0</v>
      </c>
      <c r="H209" s="603">
        <v>0</v>
      </c>
      <c r="I209" s="603">
        <v>0</v>
      </c>
      <c r="J209" s="603">
        <v>0</v>
      </c>
      <c r="K209" s="603">
        <v>0</v>
      </c>
      <c r="L209" s="603">
        <v>0</v>
      </c>
      <c r="M209" s="603">
        <v>0</v>
      </c>
      <c r="N209" s="603">
        <v>0</v>
      </c>
      <c r="O209" s="603">
        <v>0</v>
      </c>
      <c r="P209" s="603">
        <v>0</v>
      </c>
      <c r="Q209" s="603">
        <v>0</v>
      </c>
      <c r="R209" s="603">
        <v>0</v>
      </c>
      <c r="S209" s="603">
        <v>0</v>
      </c>
      <c r="T209" s="603">
        <v>0</v>
      </c>
      <c r="U209" s="604" t="e">
        <v>#DIV/0!</v>
      </c>
      <c r="V209" s="603">
        <v>0</v>
      </c>
      <c r="W209" s="603">
        <v>0</v>
      </c>
      <c r="X209" s="603">
        <v>0</v>
      </c>
      <c r="Y209" s="603">
        <v>0</v>
      </c>
      <c r="Z209" s="603">
        <v>0</v>
      </c>
      <c r="AA209" s="603">
        <v>0</v>
      </c>
    </row>
    <row r="210" spans="1:27" x14ac:dyDescent="0.2">
      <c r="A210" s="591" t="s">
        <v>1292</v>
      </c>
      <c r="B210" s="605" t="s">
        <v>598</v>
      </c>
      <c r="C210" s="585">
        <v>0</v>
      </c>
      <c r="D210" s="585">
        <v>0</v>
      </c>
      <c r="E210" s="585">
        <v>0</v>
      </c>
      <c r="F210" s="585">
        <v>0</v>
      </c>
      <c r="G210" s="585">
        <v>0</v>
      </c>
      <c r="H210" s="603">
        <v>0</v>
      </c>
      <c r="I210" s="603">
        <v>0</v>
      </c>
      <c r="J210" s="603">
        <v>0</v>
      </c>
      <c r="K210" s="603">
        <v>0</v>
      </c>
      <c r="L210" s="603">
        <v>0</v>
      </c>
      <c r="M210" s="603">
        <v>0</v>
      </c>
      <c r="N210" s="603">
        <v>0</v>
      </c>
      <c r="O210" s="603">
        <v>0</v>
      </c>
      <c r="P210" s="603">
        <v>0</v>
      </c>
      <c r="Q210" s="603">
        <v>0</v>
      </c>
      <c r="R210" s="603">
        <v>0</v>
      </c>
      <c r="S210" s="603">
        <v>0</v>
      </c>
      <c r="T210" s="603">
        <v>0</v>
      </c>
      <c r="U210" s="604" t="e">
        <v>#DIV/0!</v>
      </c>
      <c r="V210" s="603">
        <v>0</v>
      </c>
      <c r="W210" s="603">
        <v>0</v>
      </c>
      <c r="X210" s="603">
        <v>0</v>
      </c>
      <c r="Y210" s="603">
        <v>0</v>
      </c>
      <c r="Z210" s="603">
        <v>0</v>
      </c>
      <c r="AA210" s="603">
        <v>0</v>
      </c>
    </row>
    <row r="211" spans="1:27" ht="24" x14ac:dyDescent="0.2">
      <c r="A211" s="591" t="s">
        <v>1293</v>
      </c>
      <c r="B211" s="605" t="s">
        <v>599</v>
      </c>
      <c r="C211" s="585">
        <v>0</v>
      </c>
      <c r="D211" s="585">
        <v>0</v>
      </c>
      <c r="E211" s="585">
        <v>0</v>
      </c>
      <c r="F211" s="585">
        <v>0</v>
      </c>
      <c r="G211" s="585">
        <v>0</v>
      </c>
      <c r="H211" s="603">
        <v>0</v>
      </c>
      <c r="I211" s="603">
        <v>0</v>
      </c>
      <c r="J211" s="603">
        <v>0</v>
      </c>
      <c r="K211" s="603">
        <v>0</v>
      </c>
      <c r="L211" s="603">
        <v>0</v>
      </c>
      <c r="M211" s="603">
        <v>0</v>
      </c>
      <c r="N211" s="603">
        <v>0</v>
      </c>
      <c r="O211" s="603">
        <v>0</v>
      </c>
      <c r="P211" s="603">
        <v>0</v>
      </c>
      <c r="Q211" s="603">
        <v>0</v>
      </c>
      <c r="R211" s="603">
        <v>0</v>
      </c>
      <c r="S211" s="603">
        <v>0</v>
      </c>
      <c r="T211" s="603">
        <v>0</v>
      </c>
      <c r="U211" s="604" t="e">
        <v>#DIV/0!</v>
      </c>
      <c r="V211" s="603">
        <v>0</v>
      </c>
      <c r="W211" s="603">
        <v>0</v>
      </c>
      <c r="X211" s="603">
        <v>0</v>
      </c>
      <c r="Y211" s="603">
        <v>0</v>
      </c>
      <c r="Z211" s="603">
        <v>0</v>
      </c>
      <c r="AA211" s="603">
        <v>0</v>
      </c>
    </row>
    <row r="212" spans="1:27" x14ac:dyDescent="0.2">
      <c r="A212" s="591" t="s">
        <v>1294</v>
      </c>
      <c r="B212" s="605" t="s">
        <v>600</v>
      </c>
      <c r="C212" s="585">
        <v>0</v>
      </c>
      <c r="D212" s="585">
        <v>0</v>
      </c>
      <c r="E212" s="585">
        <v>0</v>
      </c>
      <c r="F212" s="585">
        <v>0</v>
      </c>
      <c r="G212" s="585">
        <v>0</v>
      </c>
      <c r="H212" s="603">
        <v>0</v>
      </c>
      <c r="I212" s="603">
        <v>0</v>
      </c>
      <c r="J212" s="603">
        <v>0</v>
      </c>
      <c r="K212" s="603">
        <v>0</v>
      </c>
      <c r="L212" s="603">
        <v>0</v>
      </c>
      <c r="M212" s="603">
        <v>0</v>
      </c>
      <c r="N212" s="603">
        <v>0</v>
      </c>
      <c r="O212" s="603">
        <v>0</v>
      </c>
      <c r="P212" s="603">
        <v>0</v>
      </c>
      <c r="Q212" s="603">
        <v>0</v>
      </c>
      <c r="R212" s="603">
        <v>0</v>
      </c>
      <c r="S212" s="603">
        <v>0</v>
      </c>
      <c r="T212" s="603">
        <v>0</v>
      </c>
      <c r="U212" s="604" t="e">
        <v>#DIV/0!</v>
      </c>
      <c r="V212" s="603">
        <v>0</v>
      </c>
      <c r="W212" s="603">
        <v>0</v>
      </c>
      <c r="X212" s="603">
        <v>0</v>
      </c>
      <c r="Y212" s="603">
        <v>0</v>
      </c>
      <c r="Z212" s="603">
        <v>0</v>
      </c>
      <c r="AA212" s="603">
        <v>0</v>
      </c>
    </row>
    <row r="213" spans="1:27" x14ac:dyDescent="0.2">
      <c r="A213" s="591" t="s">
        <v>1295</v>
      </c>
      <c r="B213" s="605" t="s">
        <v>601</v>
      </c>
      <c r="C213" s="585">
        <v>0</v>
      </c>
      <c r="D213" s="585">
        <v>0</v>
      </c>
      <c r="E213" s="585">
        <v>0</v>
      </c>
      <c r="F213" s="585">
        <v>0</v>
      </c>
      <c r="G213" s="585">
        <v>0</v>
      </c>
      <c r="H213" s="603">
        <v>0</v>
      </c>
      <c r="I213" s="603">
        <v>0</v>
      </c>
      <c r="J213" s="603">
        <v>0</v>
      </c>
      <c r="K213" s="603">
        <v>0</v>
      </c>
      <c r="L213" s="603">
        <v>0</v>
      </c>
      <c r="M213" s="603">
        <v>0</v>
      </c>
      <c r="N213" s="603">
        <v>0</v>
      </c>
      <c r="O213" s="603">
        <v>0</v>
      </c>
      <c r="P213" s="603">
        <v>0</v>
      </c>
      <c r="Q213" s="603">
        <v>0</v>
      </c>
      <c r="R213" s="603">
        <v>0</v>
      </c>
      <c r="S213" s="603">
        <v>0</v>
      </c>
      <c r="T213" s="603">
        <v>0</v>
      </c>
      <c r="U213" s="604" t="e">
        <v>#DIV/0!</v>
      </c>
      <c r="V213" s="603">
        <v>0</v>
      </c>
      <c r="W213" s="603">
        <v>0</v>
      </c>
      <c r="X213" s="603">
        <v>0</v>
      </c>
      <c r="Y213" s="603">
        <v>0</v>
      </c>
      <c r="Z213" s="603">
        <v>0</v>
      </c>
      <c r="AA213" s="603">
        <v>0</v>
      </c>
    </row>
    <row r="214" spans="1:27" x14ac:dyDescent="0.2">
      <c r="A214" s="591" t="s">
        <v>1296</v>
      </c>
      <c r="B214" s="605" t="s">
        <v>602</v>
      </c>
      <c r="C214" s="585">
        <v>0</v>
      </c>
      <c r="D214" s="585">
        <v>0</v>
      </c>
      <c r="E214" s="585">
        <v>0</v>
      </c>
      <c r="F214" s="585">
        <v>0</v>
      </c>
      <c r="G214" s="585">
        <v>0</v>
      </c>
      <c r="H214" s="603">
        <v>0</v>
      </c>
      <c r="I214" s="603">
        <v>0</v>
      </c>
      <c r="J214" s="603">
        <v>0</v>
      </c>
      <c r="K214" s="603">
        <v>0</v>
      </c>
      <c r="L214" s="603">
        <v>0</v>
      </c>
      <c r="M214" s="603">
        <v>0</v>
      </c>
      <c r="N214" s="603">
        <v>0</v>
      </c>
      <c r="O214" s="603">
        <v>0</v>
      </c>
      <c r="P214" s="603">
        <v>0</v>
      </c>
      <c r="Q214" s="603">
        <v>0</v>
      </c>
      <c r="R214" s="603">
        <v>0</v>
      </c>
      <c r="S214" s="603">
        <v>0</v>
      </c>
      <c r="T214" s="603">
        <v>0</v>
      </c>
      <c r="U214" s="604" t="e">
        <v>#DIV/0!</v>
      </c>
      <c r="V214" s="603">
        <v>0</v>
      </c>
      <c r="W214" s="603">
        <v>0</v>
      </c>
      <c r="X214" s="603">
        <v>0</v>
      </c>
      <c r="Y214" s="603">
        <v>0</v>
      </c>
      <c r="Z214" s="603">
        <v>0</v>
      </c>
      <c r="AA214" s="603">
        <v>0</v>
      </c>
    </row>
    <row r="215" spans="1:27" x14ac:dyDescent="0.2">
      <c r="A215" s="591" t="s">
        <v>1297</v>
      </c>
      <c r="B215" s="605" t="s">
        <v>603</v>
      </c>
      <c r="C215" s="585">
        <v>0</v>
      </c>
      <c r="D215" s="585">
        <v>0</v>
      </c>
      <c r="E215" s="585">
        <v>0</v>
      </c>
      <c r="F215" s="585">
        <v>0</v>
      </c>
      <c r="G215" s="585">
        <v>0</v>
      </c>
      <c r="H215" s="603">
        <v>0</v>
      </c>
      <c r="I215" s="603">
        <v>0</v>
      </c>
      <c r="J215" s="603">
        <v>0</v>
      </c>
      <c r="K215" s="603">
        <v>0</v>
      </c>
      <c r="L215" s="603">
        <v>0</v>
      </c>
      <c r="M215" s="603">
        <v>0</v>
      </c>
      <c r="N215" s="603">
        <v>0</v>
      </c>
      <c r="O215" s="603">
        <v>0</v>
      </c>
      <c r="P215" s="603">
        <v>0</v>
      </c>
      <c r="Q215" s="603">
        <v>0</v>
      </c>
      <c r="R215" s="603">
        <v>0</v>
      </c>
      <c r="S215" s="603">
        <v>0</v>
      </c>
      <c r="T215" s="603">
        <v>0</v>
      </c>
      <c r="U215" s="604" t="e">
        <v>#DIV/0!</v>
      </c>
      <c r="V215" s="603">
        <v>0</v>
      </c>
      <c r="W215" s="603">
        <v>0</v>
      </c>
      <c r="X215" s="603">
        <v>0</v>
      </c>
      <c r="Y215" s="603">
        <v>0</v>
      </c>
      <c r="Z215" s="603">
        <v>0</v>
      </c>
      <c r="AA215" s="603">
        <v>0</v>
      </c>
    </row>
    <row r="216" spans="1:27" x14ac:dyDescent="0.2">
      <c r="A216" s="591"/>
      <c r="B216" s="597" t="s">
        <v>604</v>
      </c>
      <c r="C216" s="598">
        <v>0</v>
      </c>
      <c r="D216" s="598">
        <v>0</v>
      </c>
      <c r="E216" s="598">
        <v>0</v>
      </c>
      <c r="F216" s="598">
        <v>0</v>
      </c>
      <c r="G216" s="598">
        <v>0</v>
      </c>
      <c r="H216" s="598">
        <v>0</v>
      </c>
      <c r="I216" s="598">
        <v>0</v>
      </c>
      <c r="J216" s="598">
        <v>0</v>
      </c>
      <c r="K216" s="598">
        <v>0</v>
      </c>
      <c r="L216" s="598">
        <v>0</v>
      </c>
      <c r="M216" s="598">
        <v>0</v>
      </c>
      <c r="N216" s="598">
        <v>0</v>
      </c>
      <c r="O216" s="598">
        <v>0</v>
      </c>
      <c r="P216" s="598">
        <v>0</v>
      </c>
      <c r="Q216" s="598">
        <v>0</v>
      </c>
      <c r="R216" s="598">
        <v>0</v>
      </c>
      <c r="S216" s="598">
        <v>0</v>
      </c>
      <c r="T216" s="599">
        <v>0</v>
      </c>
      <c r="U216" s="600" t="e">
        <v>#DIV/0!</v>
      </c>
      <c r="V216" s="599">
        <v>0</v>
      </c>
      <c r="W216" s="599">
        <v>0</v>
      </c>
      <c r="X216" s="599">
        <v>0</v>
      </c>
      <c r="Y216" s="599">
        <v>0</v>
      </c>
      <c r="Z216" s="599">
        <v>0</v>
      </c>
      <c r="AA216" s="599">
        <v>0</v>
      </c>
    </row>
    <row r="217" spans="1:27" x14ac:dyDescent="0.2">
      <c r="A217" s="591" t="s">
        <v>1298</v>
      </c>
      <c r="B217" s="605" t="s">
        <v>605</v>
      </c>
      <c r="C217" s="585">
        <v>0</v>
      </c>
      <c r="D217" s="585">
        <v>0</v>
      </c>
      <c r="E217" s="585">
        <v>0</v>
      </c>
      <c r="F217" s="585">
        <v>0</v>
      </c>
      <c r="G217" s="585">
        <v>0</v>
      </c>
      <c r="H217" s="603">
        <v>0</v>
      </c>
      <c r="I217" s="603">
        <v>0</v>
      </c>
      <c r="J217" s="603">
        <v>0</v>
      </c>
      <c r="K217" s="603">
        <v>0</v>
      </c>
      <c r="L217" s="603">
        <v>0</v>
      </c>
      <c r="M217" s="603">
        <v>0</v>
      </c>
      <c r="N217" s="603">
        <v>0</v>
      </c>
      <c r="O217" s="603">
        <v>0</v>
      </c>
      <c r="P217" s="603">
        <v>0</v>
      </c>
      <c r="Q217" s="603">
        <v>0</v>
      </c>
      <c r="R217" s="603">
        <v>0</v>
      </c>
      <c r="S217" s="603">
        <v>0</v>
      </c>
      <c r="T217" s="603">
        <v>0</v>
      </c>
      <c r="U217" s="604" t="e">
        <v>#DIV/0!</v>
      </c>
      <c r="V217" s="603">
        <v>0</v>
      </c>
      <c r="W217" s="603">
        <v>0</v>
      </c>
      <c r="X217" s="603">
        <v>0</v>
      </c>
      <c r="Y217" s="603">
        <v>0</v>
      </c>
      <c r="Z217" s="603">
        <v>0</v>
      </c>
      <c r="AA217" s="603">
        <v>0</v>
      </c>
    </row>
    <row r="218" spans="1:27" x14ac:dyDescent="0.2">
      <c r="A218" s="591" t="s">
        <v>1299</v>
      </c>
      <c r="B218" s="605" t="s">
        <v>606</v>
      </c>
      <c r="C218" s="585">
        <v>0</v>
      </c>
      <c r="D218" s="585">
        <v>0</v>
      </c>
      <c r="E218" s="585">
        <v>0</v>
      </c>
      <c r="F218" s="585">
        <v>0</v>
      </c>
      <c r="G218" s="585">
        <v>0</v>
      </c>
      <c r="H218" s="603">
        <v>0</v>
      </c>
      <c r="I218" s="603">
        <v>0</v>
      </c>
      <c r="J218" s="603">
        <v>0</v>
      </c>
      <c r="K218" s="603">
        <v>0</v>
      </c>
      <c r="L218" s="603">
        <v>0</v>
      </c>
      <c r="M218" s="603">
        <v>0</v>
      </c>
      <c r="N218" s="603">
        <v>0</v>
      </c>
      <c r="O218" s="603">
        <v>0</v>
      </c>
      <c r="P218" s="603">
        <v>0</v>
      </c>
      <c r="Q218" s="603">
        <v>0</v>
      </c>
      <c r="R218" s="603">
        <v>0</v>
      </c>
      <c r="S218" s="603">
        <v>0</v>
      </c>
      <c r="T218" s="603">
        <v>0</v>
      </c>
      <c r="U218" s="604" t="e">
        <v>#DIV/0!</v>
      </c>
      <c r="V218" s="603">
        <v>0</v>
      </c>
      <c r="W218" s="603">
        <v>0</v>
      </c>
      <c r="X218" s="603">
        <v>0</v>
      </c>
      <c r="Y218" s="603">
        <v>0</v>
      </c>
      <c r="Z218" s="603">
        <v>0</v>
      </c>
      <c r="AA218" s="603">
        <v>0</v>
      </c>
    </row>
    <row r="219" spans="1:27" ht="24" x14ac:dyDescent="0.2">
      <c r="A219" s="591" t="s">
        <v>1300</v>
      </c>
      <c r="B219" s="605" t="s">
        <v>607</v>
      </c>
      <c r="C219" s="585">
        <v>0</v>
      </c>
      <c r="D219" s="585">
        <v>0</v>
      </c>
      <c r="E219" s="585">
        <v>0</v>
      </c>
      <c r="F219" s="585">
        <v>0</v>
      </c>
      <c r="G219" s="585">
        <v>0</v>
      </c>
      <c r="H219" s="603">
        <v>0</v>
      </c>
      <c r="I219" s="603">
        <v>0</v>
      </c>
      <c r="J219" s="603">
        <v>0</v>
      </c>
      <c r="K219" s="603">
        <v>0</v>
      </c>
      <c r="L219" s="603">
        <v>0</v>
      </c>
      <c r="M219" s="603">
        <v>0</v>
      </c>
      <c r="N219" s="603">
        <v>0</v>
      </c>
      <c r="O219" s="603">
        <v>0</v>
      </c>
      <c r="P219" s="603">
        <v>0</v>
      </c>
      <c r="Q219" s="603">
        <v>0</v>
      </c>
      <c r="R219" s="603">
        <v>0</v>
      </c>
      <c r="S219" s="603">
        <v>0</v>
      </c>
      <c r="T219" s="603">
        <v>0</v>
      </c>
      <c r="U219" s="604" t="e">
        <v>#DIV/0!</v>
      </c>
      <c r="V219" s="603">
        <v>0</v>
      </c>
      <c r="W219" s="603">
        <v>0</v>
      </c>
      <c r="X219" s="603">
        <v>0</v>
      </c>
      <c r="Y219" s="603">
        <v>0</v>
      </c>
      <c r="Z219" s="603">
        <v>0</v>
      </c>
      <c r="AA219" s="603">
        <v>0</v>
      </c>
    </row>
    <row r="220" spans="1:27" x14ac:dyDescent="0.2">
      <c r="A220" s="591"/>
      <c r="B220" s="597" t="s">
        <v>608</v>
      </c>
      <c r="C220" s="598">
        <v>0</v>
      </c>
      <c r="D220" s="598">
        <v>0</v>
      </c>
      <c r="E220" s="598">
        <v>0</v>
      </c>
      <c r="F220" s="598">
        <v>0</v>
      </c>
      <c r="G220" s="598">
        <v>0</v>
      </c>
      <c r="H220" s="598">
        <v>0</v>
      </c>
      <c r="I220" s="598">
        <v>0</v>
      </c>
      <c r="J220" s="598">
        <v>0</v>
      </c>
      <c r="K220" s="598">
        <v>0</v>
      </c>
      <c r="L220" s="598">
        <v>0</v>
      </c>
      <c r="M220" s="598">
        <v>0</v>
      </c>
      <c r="N220" s="598">
        <v>0</v>
      </c>
      <c r="O220" s="598">
        <v>0</v>
      </c>
      <c r="P220" s="598">
        <v>0</v>
      </c>
      <c r="Q220" s="598">
        <v>0</v>
      </c>
      <c r="R220" s="598">
        <v>0</v>
      </c>
      <c r="S220" s="598">
        <v>0</v>
      </c>
      <c r="T220" s="599">
        <v>0</v>
      </c>
      <c r="U220" s="600" t="e">
        <v>#DIV/0!</v>
      </c>
      <c r="V220" s="599">
        <v>0</v>
      </c>
      <c r="W220" s="599">
        <v>0</v>
      </c>
      <c r="X220" s="599">
        <v>0</v>
      </c>
      <c r="Y220" s="599">
        <v>0</v>
      </c>
      <c r="Z220" s="599">
        <v>0</v>
      </c>
      <c r="AA220" s="599">
        <v>0</v>
      </c>
    </row>
    <row r="221" spans="1:27" x14ac:dyDescent="0.2">
      <c r="A221" s="591" t="s">
        <v>1301</v>
      </c>
      <c r="B221" s="605" t="s">
        <v>609</v>
      </c>
      <c r="C221" s="585">
        <v>0</v>
      </c>
      <c r="D221" s="585">
        <v>0</v>
      </c>
      <c r="E221" s="585">
        <v>0</v>
      </c>
      <c r="F221" s="585">
        <v>0</v>
      </c>
      <c r="G221" s="585">
        <v>0</v>
      </c>
      <c r="H221" s="603">
        <v>0</v>
      </c>
      <c r="I221" s="603">
        <v>0</v>
      </c>
      <c r="J221" s="603">
        <v>0</v>
      </c>
      <c r="K221" s="603">
        <v>0</v>
      </c>
      <c r="L221" s="603">
        <v>0</v>
      </c>
      <c r="M221" s="603">
        <v>0</v>
      </c>
      <c r="N221" s="603">
        <v>0</v>
      </c>
      <c r="O221" s="603">
        <v>0</v>
      </c>
      <c r="P221" s="603">
        <v>0</v>
      </c>
      <c r="Q221" s="603">
        <v>0</v>
      </c>
      <c r="R221" s="603">
        <v>0</v>
      </c>
      <c r="S221" s="603">
        <v>0</v>
      </c>
      <c r="T221" s="603">
        <v>0</v>
      </c>
      <c r="U221" s="604" t="e">
        <v>#DIV/0!</v>
      </c>
      <c r="V221" s="603">
        <v>0</v>
      </c>
      <c r="W221" s="603">
        <v>0</v>
      </c>
      <c r="X221" s="603">
        <v>0</v>
      </c>
      <c r="Y221" s="603">
        <v>0</v>
      </c>
      <c r="Z221" s="603">
        <v>0</v>
      </c>
      <c r="AA221" s="603">
        <v>0</v>
      </c>
    </row>
    <row r="222" spans="1:27" x14ac:dyDescent="0.2">
      <c r="A222" s="591" t="s">
        <v>1302</v>
      </c>
      <c r="B222" s="605" t="s">
        <v>610</v>
      </c>
      <c r="C222" s="585">
        <v>0</v>
      </c>
      <c r="D222" s="585">
        <v>0</v>
      </c>
      <c r="E222" s="585">
        <v>0</v>
      </c>
      <c r="F222" s="585">
        <v>0</v>
      </c>
      <c r="G222" s="585">
        <v>0</v>
      </c>
      <c r="H222" s="603">
        <v>0</v>
      </c>
      <c r="I222" s="603">
        <v>0</v>
      </c>
      <c r="J222" s="603">
        <v>0</v>
      </c>
      <c r="K222" s="603">
        <v>0</v>
      </c>
      <c r="L222" s="603">
        <v>0</v>
      </c>
      <c r="M222" s="603">
        <v>0</v>
      </c>
      <c r="N222" s="603">
        <v>0</v>
      </c>
      <c r="O222" s="603">
        <v>0</v>
      </c>
      <c r="P222" s="603">
        <v>0</v>
      </c>
      <c r="Q222" s="603">
        <v>0</v>
      </c>
      <c r="R222" s="603">
        <v>0</v>
      </c>
      <c r="S222" s="603">
        <v>0</v>
      </c>
      <c r="T222" s="603">
        <v>0</v>
      </c>
      <c r="U222" s="604" t="e">
        <v>#DIV/0!</v>
      </c>
      <c r="V222" s="603">
        <v>0</v>
      </c>
      <c r="W222" s="603">
        <v>0</v>
      </c>
      <c r="X222" s="603">
        <v>0</v>
      </c>
      <c r="Y222" s="603">
        <v>0</v>
      </c>
      <c r="Z222" s="603">
        <v>0</v>
      </c>
      <c r="AA222" s="603">
        <v>0</v>
      </c>
    </row>
    <row r="223" spans="1:27" x14ac:dyDescent="0.2">
      <c r="A223" s="591" t="s">
        <v>1303</v>
      </c>
      <c r="B223" s="605" t="s">
        <v>611</v>
      </c>
      <c r="C223" s="585">
        <v>0</v>
      </c>
      <c r="D223" s="585">
        <v>0</v>
      </c>
      <c r="E223" s="585">
        <v>0</v>
      </c>
      <c r="F223" s="585">
        <v>0</v>
      </c>
      <c r="G223" s="585">
        <v>0</v>
      </c>
      <c r="H223" s="603">
        <v>0</v>
      </c>
      <c r="I223" s="603">
        <v>0</v>
      </c>
      <c r="J223" s="603">
        <v>0</v>
      </c>
      <c r="K223" s="603">
        <v>0</v>
      </c>
      <c r="L223" s="603">
        <v>0</v>
      </c>
      <c r="M223" s="603">
        <v>0</v>
      </c>
      <c r="N223" s="603">
        <v>0</v>
      </c>
      <c r="O223" s="603">
        <v>0</v>
      </c>
      <c r="P223" s="603">
        <v>0</v>
      </c>
      <c r="Q223" s="603">
        <v>0</v>
      </c>
      <c r="R223" s="603">
        <v>0</v>
      </c>
      <c r="S223" s="603">
        <v>0</v>
      </c>
      <c r="T223" s="603">
        <v>0</v>
      </c>
      <c r="U223" s="604" t="e">
        <v>#DIV/0!</v>
      </c>
      <c r="V223" s="603">
        <v>0</v>
      </c>
      <c r="W223" s="603">
        <v>0</v>
      </c>
      <c r="X223" s="603">
        <v>0</v>
      </c>
      <c r="Y223" s="603">
        <v>0</v>
      </c>
      <c r="Z223" s="603">
        <v>0</v>
      </c>
      <c r="AA223" s="603">
        <v>0</v>
      </c>
    </row>
    <row r="224" spans="1:27" x14ac:dyDescent="0.2">
      <c r="A224" s="591"/>
      <c r="B224" s="597" t="s">
        <v>612</v>
      </c>
      <c r="C224" s="598">
        <v>0</v>
      </c>
      <c r="D224" s="598">
        <v>0</v>
      </c>
      <c r="E224" s="598">
        <v>0</v>
      </c>
      <c r="F224" s="598">
        <v>0</v>
      </c>
      <c r="G224" s="598">
        <v>0</v>
      </c>
      <c r="H224" s="598">
        <v>0</v>
      </c>
      <c r="I224" s="598">
        <v>0</v>
      </c>
      <c r="J224" s="598">
        <v>0</v>
      </c>
      <c r="K224" s="598">
        <v>0</v>
      </c>
      <c r="L224" s="598">
        <v>0</v>
      </c>
      <c r="M224" s="598">
        <v>0</v>
      </c>
      <c r="N224" s="598">
        <v>0</v>
      </c>
      <c r="O224" s="598">
        <v>0</v>
      </c>
      <c r="P224" s="598">
        <v>0</v>
      </c>
      <c r="Q224" s="598">
        <v>0</v>
      </c>
      <c r="R224" s="598">
        <v>0</v>
      </c>
      <c r="S224" s="598">
        <v>0</v>
      </c>
      <c r="T224" s="599">
        <v>0</v>
      </c>
      <c r="U224" s="600" t="e">
        <v>#DIV/0!</v>
      </c>
      <c r="V224" s="599">
        <v>0</v>
      </c>
      <c r="W224" s="599">
        <v>0</v>
      </c>
      <c r="X224" s="599">
        <v>0</v>
      </c>
      <c r="Y224" s="599">
        <v>0</v>
      </c>
      <c r="Z224" s="599">
        <v>0</v>
      </c>
      <c r="AA224" s="599">
        <v>0</v>
      </c>
    </row>
    <row r="225" spans="1:27" x14ac:dyDescent="0.2">
      <c r="A225" s="591" t="s">
        <v>1304</v>
      </c>
      <c r="B225" s="605" t="s">
        <v>613</v>
      </c>
      <c r="C225" s="585">
        <v>0</v>
      </c>
      <c r="D225" s="585">
        <v>0</v>
      </c>
      <c r="E225" s="585">
        <v>0</v>
      </c>
      <c r="F225" s="585">
        <v>0</v>
      </c>
      <c r="G225" s="585">
        <v>0</v>
      </c>
      <c r="H225" s="603">
        <v>0</v>
      </c>
      <c r="I225" s="603">
        <v>0</v>
      </c>
      <c r="J225" s="603">
        <v>0</v>
      </c>
      <c r="K225" s="603">
        <v>0</v>
      </c>
      <c r="L225" s="603">
        <v>0</v>
      </c>
      <c r="M225" s="603">
        <v>0</v>
      </c>
      <c r="N225" s="603">
        <v>0</v>
      </c>
      <c r="O225" s="603">
        <v>0</v>
      </c>
      <c r="P225" s="603">
        <v>0</v>
      </c>
      <c r="Q225" s="603">
        <v>0</v>
      </c>
      <c r="R225" s="603">
        <v>0</v>
      </c>
      <c r="S225" s="603">
        <v>0</v>
      </c>
      <c r="T225" s="603">
        <v>0</v>
      </c>
      <c r="U225" s="604" t="e">
        <v>#DIV/0!</v>
      </c>
      <c r="V225" s="603">
        <v>0</v>
      </c>
      <c r="W225" s="603">
        <v>0</v>
      </c>
      <c r="X225" s="603">
        <v>0</v>
      </c>
      <c r="Y225" s="603">
        <v>0</v>
      </c>
      <c r="Z225" s="603">
        <v>0</v>
      </c>
      <c r="AA225" s="603">
        <v>0</v>
      </c>
    </row>
    <row r="226" spans="1:27" x14ac:dyDescent="0.2">
      <c r="A226" s="591" t="s">
        <v>1305</v>
      </c>
      <c r="B226" s="605" t="s">
        <v>614</v>
      </c>
      <c r="C226" s="585">
        <v>0</v>
      </c>
      <c r="D226" s="585">
        <v>0</v>
      </c>
      <c r="E226" s="585">
        <v>0</v>
      </c>
      <c r="F226" s="585">
        <v>0</v>
      </c>
      <c r="G226" s="585">
        <v>0</v>
      </c>
      <c r="H226" s="603">
        <v>0</v>
      </c>
      <c r="I226" s="603">
        <v>0</v>
      </c>
      <c r="J226" s="603">
        <v>0</v>
      </c>
      <c r="K226" s="603">
        <v>0</v>
      </c>
      <c r="L226" s="603">
        <v>0</v>
      </c>
      <c r="M226" s="603">
        <v>0</v>
      </c>
      <c r="N226" s="603">
        <v>0</v>
      </c>
      <c r="O226" s="603">
        <v>0</v>
      </c>
      <c r="P226" s="603">
        <v>0</v>
      </c>
      <c r="Q226" s="603">
        <v>0</v>
      </c>
      <c r="R226" s="603">
        <v>0</v>
      </c>
      <c r="S226" s="603">
        <v>0</v>
      </c>
      <c r="T226" s="603">
        <v>0</v>
      </c>
      <c r="U226" s="604" t="e">
        <v>#DIV/0!</v>
      </c>
      <c r="V226" s="603">
        <v>0</v>
      </c>
      <c r="W226" s="603">
        <v>0</v>
      </c>
      <c r="X226" s="603">
        <v>0</v>
      </c>
      <c r="Y226" s="603">
        <v>0</v>
      </c>
      <c r="Z226" s="603">
        <v>0</v>
      </c>
      <c r="AA226" s="603">
        <v>0</v>
      </c>
    </row>
    <row r="227" spans="1:27" x14ac:dyDescent="0.2">
      <c r="A227" s="591" t="s">
        <v>1306</v>
      </c>
      <c r="B227" s="605" t="s">
        <v>615</v>
      </c>
      <c r="C227" s="585">
        <v>0</v>
      </c>
      <c r="D227" s="585">
        <v>0</v>
      </c>
      <c r="E227" s="585">
        <v>0</v>
      </c>
      <c r="F227" s="585">
        <v>0</v>
      </c>
      <c r="G227" s="585">
        <v>0</v>
      </c>
      <c r="H227" s="603">
        <v>0</v>
      </c>
      <c r="I227" s="603">
        <v>0</v>
      </c>
      <c r="J227" s="603">
        <v>0</v>
      </c>
      <c r="K227" s="603">
        <v>0</v>
      </c>
      <c r="L227" s="603">
        <v>0</v>
      </c>
      <c r="M227" s="603">
        <v>0</v>
      </c>
      <c r="N227" s="603">
        <v>0</v>
      </c>
      <c r="O227" s="603">
        <v>0</v>
      </c>
      <c r="P227" s="603">
        <v>0</v>
      </c>
      <c r="Q227" s="603">
        <v>0</v>
      </c>
      <c r="R227" s="603">
        <v>0</v>
      </c>
      <c r="S227" s="603">
        <v>0</v>
      </c>
      <c r="T227" s="603">
        <v>0</v>
      </c>
      <c r="U227" s="604" t="e">
        <v>#DIV/0!</v>
      </c>
      <c r="V227" s="603">
        <v>0</v>
      </c>
      <c r="W227" s="603">
        <v>0</v>
      </c>
      <c r="X227" s="603">
        <v>0</v>
      </c>
      <c r="Y227" s="603">
        <v>0</v>
      </c>
      <c r="Z227" s="603">
        <v>0</v>
      </c>
      <c r="AA227" s="603">
        <v>0</v>
      </c>
    </row>
    <row r="228" spans="1:27" x14ac:dyDescent="0.2">
      <c r="A228" s="591" t="s">
        <v>1307</v>
      </c>
      <c r="B228" s="605" t="s">
        <v>616</v>
      </c>
      <c r="C228" s="585">
        <v>0</v>
      </c>
      <c r="D228" s="585">
        <v>0</v>
      </c>
      <c r="E228" s="585">
        <v>0</v>
      </c>
      <c r="F228" s="585">
        <v>0</v>
      </c>
      <c r="G228" s="585">
        <v>0</v>
      </c>
      <c r="H228" s="603">
        <v>0</v>
      </c>
      <c r="I228" s="603">
        <v>0</v>
      </c>
      <c r="J228" s="603">
        <v>0</v>
      </c>
      <c r="K228" s="603">
        <v>0</v>
      </c>
      <c r="L228" s="603">
        <v>0</v>
      </c>
      <c r="M228" s="603">
        <v>0</v>
      </c>
      <c r="N228" s="603">
        <v>0</v>
      </c>
      <c r="O228" s="603">
        <v>0</v>
      </c>
      <c r="P228" s="603">
        <v>0</v>
      </c>
      <c r="Q228" s="603">
        <v>0</v>
      </c>
      <c r="R228" s="603">
        <v>0</v>
      </c>
      <c r="S228" s="603">
        <v>0</v>
      </c>
      <c r="T228" s="603">
        <v>0</v>
      </c>
      <c r="U228" s="604" t="e">
        <v>#DIV/0!</v>
      </c>
      <c r="V228" s="603">
        <v>0</v>
      </c>
      <c r="W228" s="603">
        <v>0</v>
      </c>
      <c r="X228" s="603">
        <v>0</v>
      </c>
      <c r="Y228" s="603">
        <v>0</v>
      </c>
      <c r="Z228" s="603">
        <v>0</v>
      </c>
      <c r="AA228" s="603">
        <v>0</v>
      </c>
    </row>
    <row r="229" spans="1:27" x14ac:dyDescent="0.2">
      <c r="A229" s="591" t="s">
        <v>1308</v>
      </c>
      <c r="B229" s="605" t="s">
        <v>617</v>
      </c>
      <c r="C229" s="585">
        <v>0</v>
      </c>
      <c r="D229" s="585">
        <v>0</v>
      </c>
      <c r="E229" s="585">
        <v>0</v>
      </c>
      <c r="F229" s="585">
        <v>0</v>
      </c>
      <c r="G229" s="585">
        <v>0</v>
      </c>
      <c r="H229" s="603">
        <v>0</v>
      </c>
      <c r="I229" s="603">
        <v>0</v>
      </c>
      <c r="J229" s="603">
        <v>0</v>
      </c>
      <c r="K229" s="603">
        <v>0</v>
      </c>
      <c r="L229" s="603">
        <v>0</v>
      </c>
      <c r="M229" s="603">
        <v>0</v>
      </c>
      <c r="N229" s="603">
        <v>0</v>
      </c>
      <c r="O229" s="603">
        <v>0</v>
      </c>
      <c r="P229" s="603">
        <v>0</v>
      </c>
      <c r="Q229" s="603">
        <v>0</v>
      </c>
      <c r="R229" s="603">
        <v>0</v>
      </c>
      <c r="S229" s="603">
        <v>0</v>
      </c>
      <c r="T229" s="603">
        <v>0</v>
      </c>
      <c r="U229" s="604" t="e">
        <v>#DIV/0!</v>
      </c>
      <c r="V229" s="603">
        <v>0</v>
      </c>
      <c r="W229" s="603">
        <v>0</v>
      </c>
      <c r="X229" s="603">
        <v>0</v>
      </c>
      <c r="Y229" s="603">
        <v>0</v>
      </c>
      <c r="Z229" s="603">
        <v>0</v>
      </c>
      <c r="AA229" s="603">
        <v>0</v>
      </c>
    </row>
    <row r="230" spans="1:27" x14ac:dyDescent="0.2">
      <c r="A230" s="591" t="s">
        <v>1309</v>
      </c>
      <c r="B230" s="605" t="s">
        <v>618</v>
      </c>
      <c r="C230" s="585">
        <v>0</v>
      </c>
      <c r="D230" s="585">
        <v>0</v>
      </c>
      <c r="E230" s="585">
        <v>0</v>
      </c>
      <c r="F230" s="585">
        <v>0</v>
      </c>
      <c r="G230" s="585">
        <v>0</v>
      </c>
      <c r="H230" s="603">
        <v>0</v>
      </c>
      <c r="I230" s="603">
        <v>0</v>
      </c>
      <c r="J230" s="603">
        <v>0</v>
      </c>
      <c r="K230" s="603">
        <v>0</v>
      </c>
      <c r="L230" s="603">
        <v>0</v>
      </c>
      <c r="M230" s="603">
        <v>0</v>
      </c>
      <c r="N230" s="603">
        <v>0</v>
      </c>
      <c r="O230" s="603">
        <v>0</v>
      </c>
      <c r="P230" s="603">
        <v>0</v>
      </c>
      <c r="Q230" s="603">
        <v>0</v>
      </c>
      <c r="R230" s="603">
        <v>0</v>
      </c>
      <c r="S230" s="603">
        <v>0</v>
      </c>
      <c r="T230" s="603">
        <v>0</v>
      </c>
      <c r="U230" s="604" t="e">
        <v>#DIV/0!</v>
      </c>
      <c r="V230" s="603">
        <v>0</v>
      </c>
      <c r="W230" s="603">
        <v>0</v>
      </c>
      <c r="X230" s="603">
        <v>0</v>
      </c>
      <c r="Y230" s="603">
        <v>0</v>
      </c>
      <c r="Z230" s="603">
        <v>0</v>
      </c>
      <c r="AA230" s="603">
        <v>0</v>
      </c>
    </row>
    <row r="231" spans="1:27" x14ac:dyDescent="0.2">
      <c r="A231" s="591" t="s">
        <v>1310</v>
      </c>
      <c r="B231" s="605" t="s">
        <v>619</v>
      </c>
      <c r="C231" s="585">
        <v>0</v>
      </c>
      <c r="D231" s="585">
        <v>0</v>
      </c>
      <c r="E231" s="585">
        <v>0</v>
      </c>
      <c r="F231" s="585">
        <v>0</v>
      </c>
      <c r="G231" s="585">
        <v>0</v>
      </c>
      <c r="H231" s="603">
        <v>0</v>
      </c>
      <c r="I231" s="603">
        <v>0</v>
      </c>
      <c r="J231" s="603">
        <v>0</v>
      </c>
      <c r="K231" s="603">
        <v>0</v>
      </c>
      <c r="L231" s="603">
        <v>0</v>
      </c>
      <c r="M231" s="603">
        <v>0</v>
      </c>
      <c r="N231" s="603">
        <v>0</v>
      </c>
      <c r="O231" s="603">
        <v>0</v>
      </c>
      <c r="P231" s="603">
        <v>0</v>
      </c>
      <c r="Q231" s="603">
        <v>0</v>
      </c>
      <c r="R231" s="603">
        <v>0</v>
      </c>
      <c r="S231" s="603">
        <v>0</v>
      </c>
      <c r="T231" s="603">
        <v>0</v>
      </c>
      <c r="U231" s="604" t="e">
        <v>#DIV/0!</v>
      </c>
      <c r="V231" s="603">
        <v>0</v>
      </c>
      <c r="W231" s="603">
        <v>0</v>
      </c>
      <c r="X231" s="603">
        <v>0</v>
      </c>
      <c r="Y231" s="603">
        <v>0</v>
      </c>
      <c r="Z231" s="603">
        <v>0</v>
      </c>
      <c r="AA231" s="603">
        <v>0</v>
      </c>
    </row>
    <row r="232" spans="1:27" s="601" customFormat="1" x14ac:dyDescent="0.2">
      <c r="A232" s="591" t="s">
        <v>1311</v>
      </c>
      <c r="B232" s="597" t="s">
        <v>620</v>
      </c>
      <c r="C232" s="586">
        <v>0</v>
      </c>
      <c r="D232" s="586">
        <v>0</v>
      </c>
      <c r="E232" s="586">
        <v>0</v>
      </c>
      <c r="F232" s="586">
        <v>0</v>
      </c>
      <c r="G232" s="586">
        <v>0</v>
      </c>
      <c r="H232" s="599">
        <v>0</v>
      </c>
      <c r="I232" s="599">
        <v>0</v>
      </c>
      <c r="J232" s="599">
        <v>0</v>
      </c>
      <c r="K232" s="599">
        <v>0</v>
      </c>
      <c r="L232" s="599">
        <v>0</v>
      </c>
      <c r="M232" s="599">
        <v>0</v>
      </c>
      <c r="N232" s="599">
        <v>0</v>
      </c>
      <c r="O232" s="599">
        <v>0</v>
      </c>
      <c r="P232" s="599">
        <v>0</v>
      </c>
      <c r="Q232" s="599">
        <v>0</v>
      </c>
      <c r="R232" s="599">
        <v>0</v>
      </c>
      <c r="S232" s="599">
        <v>0</v>
      </c>
      <c r="T232" s="599">
        <v>0</v>
      </c>
      <c r="U232" s="600" t="e">
        <v>#DIV/0!</v>
      </c>
      <c r="V232" s="599">
        <v>0</v>
      </c>
      <c r="W232" s="599">
        <v>0</v>
      </c>
      <c r="X232" s="599">
        <v>0</v>
      </c>
      <c r="Y232" s="599">
        <v>0</v>
      </c>
      <c r="Z232" s="599">
        <v>0</v>
      </c>
      <c r="AA232" s="599">
        <v>0</v>
      </c>
    </row>
    <row r="233" spans="1:27" s="601" customFormat="1" x14ac:dyDescent="0.2">
      <c r="A233" s="591" t="s">
        <v>1312</v>
      </c>
      <c r="B233" s="597" t="s">
        <v>621</v>
      </c>
      <c r="C233" s="586">
        <v>0</v>
      </c>
      <c r="D233" s="586">
        <v>0</v>
      </c>
      <c r="E233" s="586">
        <v>0</v>
      </c>
      <c r="F233" s="586">
        <v>0</v>
      </c>
      <c r="G233" s="586">
        <v>0</v>
      </c>
      <c r="H233" s="599">
        <v>0</v>
      </c>
      <c r="I233" s="599">
        <v>0</v>
      </c>
      <c r="J233" s="599">
        <v>0</v>
      </c>
      <c r="K233" s="599">
        <v>0</v>
      </c>
      <c r="L233" s="599">
        <v>0</v>
      </c>
      <c r="M233" s="599">
        <v>0</v>
      </c>
      <c r="N233" s="599">
        <v>0</v>
      </c>
      <c r="O233" s="599">
        <v>0</v>
      </c>
      <c r="P233" s="599">
        <v>0</v>
      </c>
      <c r="Q233" s="599">
        <v>0</v>
      </c>
      <c r="R233" s="599">
        <v>0</v>
      </c>
      <c r="S233" s="599">
        <v>0</v>
      </c>
      <c r="T233" s="599">
        <v>0</v>
      </c>
      <c r="U233" s="600" t="e">
        <v>#DIV/0!</v>
      </c>
      <c r="V233" s="599">
        <v>0</v>
      </c>
      <c r="W233" s="599">
        <v>0</v>
      </c>
      <c r="X233" s="599">
        <v>0</v>
      </c>
      <c r="Y233" s="599">
        <v>0</v>
      </c>
      <c r="Z233" s="599">
        <v>0</v>
      </c>
      <c r="AA233" s="599">
        <v>0</v>
      </c>
    </row>
    <row r="234" spans="1:27" s="601" customFormat="1" x14ac:dyDescent="0.2">
      <c r="A234" s="591" t="s">
        <v>1313</v>
      </c>
      <c r="B234" s="597" t="s">
        <v>622</v>
      </c>
      <c r="C234" s="586">
        <v>0</v>
      </c>
      <c r="D234" s="586">
        <v>0</v>
      </c>
      <c r="E234" s="586">
        <v>0</v>
      </c>
      <c r="F234" s="586">
        <v>0</v>
      </c>
      <c r="G234" s="586">
        <v>0</v>
      </c>
      <c r="H234" s="599">
        <v>0</v>
      </c>
      <c r="I234" s="599">
        <v>0</v>
      </c>
      <c r="J234" s="599">
        <v>0</v>
      </c>
      <c r="K234" s="599">
        <v>0</v>
      </c>
      <c r="L234" s="599">
        <v>0</v>
      </c>
      <c r="M234" s="599">
        <v>0</v>
      </c>
      <c r="N234" s="599">
        <v>0</v>
      </c>
      <c r="O234" s="599">
        <v>0</v>
      </c>
      <c r="P234" s="599">
        <v>0</v>
      </c>
      <c r="Q234" s="599">
        <v>0</v>
      </c>
      <c r="R234" s="599">
        <v>0</v>
      </c>
      <c r="S234" s="599">
        <v>0</v>
      </c>
      <c r="T234" s="599">
        <v>0</v>
      </c>
      <c r="U234" s="600" t="e">
        <v>#DIV/0!</v>
      </c>
      <c r="V234" s="599">
        <v>0</v>
      </c>
      <c r="W234" s="599">
        <v>0</v>
      </c>
      <c r="X234" s="599">
        <v>0</v>
      </c>
      <c r="Y234" s="599">
        <v>0</v>
      </c>
      <c r="Z234" s="599">
        <v>0</v>
      </c>
      <c r="AA234" s="599">
        <v>0</v>
      </c>
    </row>
    <row r="235" spans="1:27" s="601" customFormat="1" x14ac:dyDescent="0.2">
      <c r="A235" s="591" t="s">
        <v>1314</v>
      </c>
      <c r="B235" s="597" t="s">
        <v>623</v>
      </c>
      <c r="C235" s="586">
        <v>0</v>
      </c>
      <c r="D235" s="586">
        <v>0</v>
      </c>
      <c r="E235" s="586">
        <v>0</v>
      </c>
      <c r="F235" s="586">
        <v>0</v>
      </c>
      <c r="G235" s="586">
        <v>0</v>
      </c>
      <c r="H235" s="599">
        <v>0</v>
      </c>
      <c r="I235" s="599">
        <v>0</v>
      </c>
      <c r="J235" s="599">
        <v>0</v>
      </c>
      <c r="K235" s="599">
        <v>0</v>
      </c>
      <c r="L235" s="599">
        <v>0</v>
      </c>
      <c r="M235" s="599">
        <v>0</v>
      </c>
      <c r="N235" s="599">
        <v>0</v>
      </c>
      <c r="O235" s="599">
        <v>0</v>
      </c>
      <c r="P235" s="599">
        <v>0</v>
      </c>
      <c r="Q235" s="599">
        <v>0</v>
      </c>
      <c r="R235" s="599">
        <v>0</v>
      </c>
      <c r="S235" s="599">
        <v>0</v>
      </c>
      <c r="T235" s="599">
        <v>0</v>
      </c>
      <c r="U235" s="600" t="e">
        <v>#DIV/0!</v>
      </c>
      <c r="V235" s="599">
        <v>0</v>
      </c>
      <c r="W235" s="599">
        <v>0</v>
      </c>
      <c r="X235" s="599">
        <v>0</v>
      </c>
      <c r="Y235" s="599">
        <v>0</v>
      </c>
      <c r="Z235" s="599">
        <v>0</v>
      </c>
      <c r="AA235" s="599">
        <v>0</v>
      </c>
    </row>
    <row r="236" spans="1:27" x14ac:dyDescent="0.2">
      <c r="A236" s="591"/>
      <c r="B236" s="597" t="s">
        <v>624</v>
      </c>
      <c r="C236" s="598">
        <v>0</v>
      </c>
      <c r="D236" s="598">
        <v>0</v>
      </c>
      <c r="E236" s="598">
        <v>0</v>
      </c>
      <c r="F236" s="598">
        <v>0</v>
      </c>
      <c r="G236" s="598">
        <v>0</v>
      </c>
      <c r="H236" s="598">
        <v>0</v>
      </c>
      <c r="I236" s="598">
        <v>0</v>
      </c>
      <c r="J236" s="598">
        <v>0</v>
      </c>
      <c r="K236" s="598">
        <v>0</v>
      </c>
      <c r="L236" s="598">
        <v>0</v>
      </c>
      <c r="M236" s="598">
        <v>0</v>
      </c>
      <c r="N236" s="598">
        <v>0</v>
      </c>
      <c r="O236" s="598">
        <v>0</v>
      </c>
      <c r="P236" s="598">
        <v>0</v>
      </c>
      <c r="Q236" s="598">
        <v>0</v>
      </c>
      <c r="R236" s="598">
        <v>0</v>
      </c>
      <c r="S236" s="598">
        <v>0</v>
      </c>
      <c r="T236" s="599">
        <v>0</v>
      </c>
      <c r="U236" s="600" t="e">
        <v>#DIV/0!</v>
      </c>
      <c r="V236" s="599">
        <v>0</v>
      </c>
      <c r="W236" s="599">
        <v>0</v>
      </c>
      <c r="X236" s="599">
        <v>0</v>
      </c>
      <c r="Y236" s="599">
        <v>0</v>
      </c>
      <c r="Z236" s="599">
        <v>0</v>
      </c>
      <c r="AA236" s="599">
        <v>0</v>
      </c>
    </row>
    <row r="237" spans="1:27" x14ac:dyDescent="0.2">
      <c r="A237" s="591"/>
      <c r="B237" s="605" t="s">
        <v>625</v>
      </c>
      <c r="C237" s="606">
        <v>0</v>
      </c>
      <c r="D237" s="606">
        <v>0</v>
      </c>
      <c r="E237" s="606">
        <v>0</v>
      </c>
      <c r="F237" s="606">
        <v>0</v>
      </c>
      <c r="G237" s="606">
        <v>0</v>
      </c>
      <c r="H237" s="606">
        <v>0</v>
      </c>
      <c r="I237" s="606">
        <v>0</v>
      </c>
      <c r="J237" s="606">
        <v>0</v>
      </c>
      <c r="K237" s="606">
        <v>0</v>
      </c>
      <c r="L237" s="606">
        <v>0</v>
      </c>
      <c r="M237" s="606">
        <v>0</v>
      </c>
      <c r="N237" s="606">
        <v>0</v>
      </c>
      <c r="O237" s="606">
        <v>0</v>
      </c>
      <c r="P237" s="606">
        <v>0</v>
      </c>
      <c r="Q237" s="606">
        <v>0</v>
      </c>
      <c r="R237" s="606">
        <v>0</v>
      </c>
      <c r="S237" s="606">
        <v>0</v>
      </c>
      <c r="T237" s="603">
        <v>0</v>
      </c>
      <c r="U237" s="604" t="e">
        <v>#DIV/0!</v>
      </c>
      <c r="V237" s="603">
        <v>0</v>
      </c>
      <c r="W237" s="603">
        <v>0</v>
      </c>
      <c r="X237" s="603">
        <v>0</v>
      </c>
      <c r="Y237" s="603">
        <v>0</v>
      </c>
      <c r="Z237" s="603">
        <v>0</v>
      </c>
      <c r="AA237" s="603">
        <v>0</v>
      </c>
    </row>
    <row r="238" spans="1:27" x14ac:dyDescent="0.2">
      <c r="A238" s="591"/>
      <c r="B238" s="607" t="s">
        <v>626</v>
      </c>
      <c r="C238" s="606">
        <v>0</v>
      </c>
      <c r="D238" s="606">
        <v>0</v>
      </c>
      <c r="E238" s="606">
        <v>0</v>
      </c>
      <c r="F238" s="606">
        <v>0</v>
      </c>
      <c r="G238" s="606">
        <v>0</v>
      </c>
      <c r="H238" s="606">
        <v>0</v>
      </c>
      <c r="I238" s="606">
        <v>0</v>
      </c>
      <c r="J238" s="606">
        <v>0</v>
      </c>
      <c r="K238" s="606">
        <v>0</v>
      </c>
      <c r="L238" s="606">
        <v>0</v>
      </c>
      <c r="M238" s="606">
        <v>0</v>
      </c>
      <c r="N238" s="606">
        <v>0</v>
      </c>
      <c r="O238" s="606">
        <v>0</v>
      </c>
      <c r="P238" s="606">
        <v>0</v>
      </c>
      <c r="Q238" s="606">
        <v>0</v>
      </c>
      <c r="R238" s="606">
        <v>0</v>
      </c>
      <c r="S238" s="606">
        <v>0</v>
      </c>
      <c r="T238" s="603">
        <v>0</v>
      </c>
      <c r="U238" s="604" t="e">
        <v>#DIV/0!</v>
      </c>
      <c r="V238" s="603">
        <v>0</v>
      </c>
      <c r="W238" s="603">
        <v>0</v>
      </c>
      <c r="X238" s="603">
        <v>0</v>
      </c>
      <c r="Y238" s="603">
        <v>0</v>
      </c>
      <c r="Z238" s="603">
        <v>0</v>
      </c>
      <c r="AA238" s="603">
        <v>0</v>
      </c>
    </row>
    <row r="239" spans="1:27" x14ac:dyDescent="0.2">
      <c r="A239" s="591" t="s">
        <v>1315</v>
      </c>
      <c r="B239" s="608" t="s">
        <v>627</v>
      </c>
      <c r="C239" s="585">
        <v>0</v>
      </c>
      <c r="D239" s="585">
        <v>0</v>
      </c>
      <c r="E239" s="585">
        <v>0</v>
      </c>
      <c r="F239" s="585">
        <v>0</v>
      </c>
      <c r="G239" s="585">
        <v>0</v>
      </c>
      <c r="H239" s="603">
        <v>0</v>
      </c>
      <c r="I239" s="603">
        <v>0</v>
      </c>
      <c r="J239" s="603">
        <v>0</v>
      </c>
      <c r="K239" s="603">
        <v>0</v>
      </c>
      <c r="L239" s="603">
        <v>0</v>
      </c>
      <c r="M239" s="603">
        <v>0</v>
      </c>
      <c r="N239" s="603">
        <v>0</v>
      </c>
      <c r="O239" s="603">
        <v>0</v>
      </c>
      <c r="P239" s="603">
        <v>0</v>
      </c>
      <c r="Q239" s="603">
        <v>0</v>
      </c>
      <c r="R239" s="603">
        <v>0</v>
      </c>
      <c r="S239" s="603">
        <v>0</v>
      </c>
      <c r="T239" s="603">
        <v>0</v>
      </c>
      <c r="U239" s="604" t="e">
        <v>#DIV/0!</v>
      </c>
      <c r="V239" s="603">
        <v>0</v>
      </c>
      <c r="W239" s="603">
        <v>0</v>
      </c>
      <c r="X239" s="603">
        <v>0</v>
      </c>
      <c r="Y239" s="603">
        <v>0</v>
      </c>
      <c r="Z239" s="603">
        <v>0</v>
      </c>
      <c r="AA239" s="603">
        <v>0</v>
      </c>
    </row>
    <row r="240" spans="1:27" x14ac:dyDescent="0.2">
      <c r="A240" s="591" t="s">
        <v>1316</v>
      </c>
      <c r="B240" s="608" t="s">
        <v>628</v>
      </c>
      <c r="C240" s="585">
        <v>0</v>
      </c>
      <c r="D240" s="585">
        <v>0</v>
      </c>
      <c r="E240" s="585">
        <v>0</v>
      </c>
      <c r="F240" s="585">
        <v>0</v>
      </c>
      <c r="G240" s="585">
        <v>0</v>
      </c>
      <c r="H240" s="603">
        <v>0</v>
      </c>
      <c r="I240" s="603">
        <v>0</v>
      </c>
      <c r="J240" s="603">
        <v>0</v>
      </c>
      <c r="K240" s="603">
        <v>0</v>
      </c>
      <c r="L240" s="603">
        <v>0</v>
      </c>
      <c r="M240" s="603">
        <v>0</v>
      </c>
      <c r="N240" s="603">
        <v>0</v>
      </c>
      <c r="O240" s="603">
        <v>0</v>
      </c>
      <c r="P240" s="603">
        <v>0</v>
      </c>
      <c r="Q240" s="603">
        <v>0</v>
      </c>
      <c r="R240" s="603">
        <v>0</v>
      </c>
      <c r="S240" s="603">
        <v>0</v>
      </c>
      <c r="T240" s="603">
        <v>0</v>
      </c>
      <c r="U240" s="604" t="e">
        <v>#DIV/0!</v>
      </c>
      <c r="V240" s="603">
        <v>0</v>
      </c>
      <c r="W240" s="603">
        <v>0</v>
      </c>
      <c r="X240" s="603">
        <v>0</v>
      </c>
      <c r="Y240" s="603">
        <v>0</v>
      </c>
      <c r="Z240" s="603">
        <v>0</v>
      </c>
      <c r="AA240" s="603">
        <v>0</v>
      </c>
    </row>
    <row r="241" spans="1:27" x14ac:dyDescent="0.2">
      <c r="A241" s="591"/>
      <c r="B241" s="607" t="s">
        <v>1317</v>
      </c>
      <c r="C241" s="585">
        <v>0</v>
      </c>
      <c r="D241" s="585">
        <v>0</v>
      </c>
      <c r="E241" s="585">
        <v>0</v>
      </c>
      <c r="F241" s="585">
        <v>0</v>
      </c>
      <c r="G241" s="585">
        <v>0</v>
      </c>
      <c r="H241" s="585">
        <v>0</v>
      </c>
      <c r="I241" s="585">
        <v>0</v>
      </c>
      <c r="J241" s="585">
        <v>0</v>
      </c>
      <c r="K241" s="585">
        <v>0</v>
      </c>
      <c r="L241" s="585">
        <v>0</v>
      </c>
      <c r="M241" s="585">
        <v>0</v>
      </c>
      <c r="N241" s="585">
        <v>0</v>
      </c>
      <c r="O241" s="585">
        <v>0</v>
      </c>
      <c r="P241" s="585">
        <v>0</v>
      </c>
      <c r="Q241" s="585">
        <v>0</v>
      </c>
      <c r="R241" s="585">
        <v>0</v>
      </c>
      <c r="S241" s="585">
        <v>0</v>
      </c>
      <c r="T241" s="603">
        <v>0</v>
      </c>
      <c r="U241" s="604" t="e">
        <v>#DIV/0!</v>
      </c>
      <c r="V241" s="603">
        <v>0</v>
      </c>
      <c r="W241" s="603">
        <v>0</v>
      </c>
      <c r="X241" s="603">
        <v>0</v>
      </c>
      <c r="Y241" s="603">
        <v>0</v>
      </c>
      <c r="Z241" s="603">
        <v>0</v>
      </c>
      <c r="AA241" s="603">
        <v>0</v>
      </c>
    </row>
    <row r="242" spans="1:27" x14ac:dyDescent="0.2">
      <c r="A242" s="591" t="s">
        <v>1318</v>
      </c>
      <c r="B242" s="608" t="s">
        <v>1319</v>
      </c>
      <c r="C242" s="585">
        <v>0</v>
      </c>
      <c r="D242" s="585">
        <v>0</v>
      </c>
      <c r="E242" s="585">
        <v>0</v>
      </c>
      <c r="F242" s="585">
        <v>0</v>
      </c>
      <c r="G242" s="585">
        <v>0</v>
      </c>
      <c r="H242" s="603">
        <v>0</v>
      </c>
      <c r="I242" s="603">
        <v>0</v>
      </c>
      <c r="J242" s="603">
        <v>0</v>
      </c>
      <c r="K242" s="603">
        <v>0</v>
      </c>
      <c r="L242" s="603">
        <v>0</v>
      </c>
      <c r="M242" s="603">
        <v>0</v>
      </c>
      <c r="N242" s="603">
        <v>0</v>
      </c>
      <c r="O242" s="603">
        <v>0</v>
      </c>
      <c r="P242" s="603">
        <v>0</v>
      </c>
      <c r="Q242" s="603">
        <v>0</v>
      </c>
      <c r="R242" s="603">
        <v>0</v>
      </c>
      <c r="S242" s="603">
        <v>0</v>
      </c>
      <c r="T242" s="603">
        <v>0</v>
      </c>
      <c r="U242" s="604" t="e">
        <v>#DIV/0!</v>
      </c>
      <c r="V242" s="603">
        <v>0</v>
      </c>
      <c r="W242" s="603">
        <v>0</v>
      </c>
      <c r="X242" s="603">
        <v>0</v>
      </c>
      <c r="Y242" s="603">
        <v>0</v>
      </c>
      <c r="Z242" s="603">
        <v>0</v>
      </c>
      <c r="AA242" s="603">
        <v>0</v>
      </c>
    </row>
    <row r="243" spans="1:27" x14ac:dyDescent="0.2">
      <c r="A243" s="587" t="s">
        <v>1320</v>
      </c>
      <c r="B243" s="608" t="s">
        <v>1321</v>
      </c>
      <c r="C243" s="585">
        <v>0</v>
      </c>
      <c r="D243" s="585">
        <v>0</v>
      </c>
      <c r="E243" s="585">
        <v>0</v>
      </c>
      <c r="F243" s="585">
        <v>0</v>
      </c>
      <c r="G243" s="585">
        <v>0</v>
      </c>
      <c r="H243" s="603">
        <v>0</v>
      </c>
      <c r="I243" s="603">
        <v>0</v>
      </c>
      <c r="J243" s="603">
        <v>0</v>
      </c>
      <c r="K243" s="603">
        <v>0</v>
      </c>
      <c r="L243" s="603">
        <v>0</v>
      </c>
      <c r="M243" s="603">
        <v>0</v>
      </c>
      <c r="N243" s="603">
        <v>0</v>
      </c>
      <c r="O243" s="603">
        <v>0</v>
      </c>
      <c r="P243" s="603">
        <v>0</v>
      </c>
      <c r="Q243" s="603">
        <v>0</v>
      </c>
      <c r="R243" s="603">
        <v>0</v>
      </c>
      <c r="S243" s="603">
        <v>0</v>
      </c>
      <c r="T243" s="603">
        <v>0</v>
      </c>
      <c r="U243" s="604" t="e">
        <v>#DIV/0!</v>
      </c>
      <c r="V243" s="603">
        <v>0</v>
      </c>
      <c r="W243" s="603">
        <v>0</v>
      </c>
      <c r="X243" s="603">
        <v>0</v>
      </c>
      <c r="Y243" s="603">
        <v>0</v>
      </c>
      <c r="Z243" s="603">
        <v>0</v>
      </c>
      <c r="AA243" s="603">
        <v>0</v>
      </c>
    </row>
    <row r="244" spans="1:27" x14ac:dyDescent="0.2">
      <c r="A244" s="591" t="s">
        <v>1322</v>
      </c>
      <c r="B244" s="607" t="s">
        <v>629</v>
      </c>
      <c r="C244" s="585">
        <v>0</v>
      </c>
      <c r="D244" s="585">
        <v>0</v>
      </c>
      <c r="E244" s="585">
        <v>0</v>
      </c>
      <c r="F244" s="585">
        <v>0</v>
      </c>
      <c r="G244" s="585">
        <v>0</v>
      </c>
      <c r="H244" s="603">
        <v>0</v>
      </c>
      <c r="I244" s="603">
        <v>0</v>
      </c>
      <c r="J244" s="603">
        <v>0</v>
      </c>
      <c r="K244" s="603">
        <v>0</v>
      </c>
      <c r="L244" s="603">
        <v>0</v>
      </c>
      <c r="M244" s="603">
        <v>0</v>
      </c>
      <c r="N244" s="603">
        <v>0</v>
      </c>
      <c r="O244" s="603">
        <v>0</v>
      </c>
      <c r="P244" s="603">
        <v>0</v>
      </c>
      <c r="Q244" s="603">
        <v>0</v>
      </c>
      <c r="R244" s="603">
        <v>0</v>
      </c>
      <c r="S244" s="603">
        <v>0</v>
      </c>
      <c r="T244" s="603">
        <v>0</v>
      </c>
      <c r="U244" s="604" t="e">
        <v>#DIV/0!</v>
      </c>
      <c r="V244" s="603">
        <v>0</v>
      </c>
      <c r="W244" s="603">
        <v>0</v>
      </c>
      <c r="X244" s="603">
        <v>0</v>
      </c>
      <c r="Y244" s="603">
        <v>0</v>
      </c>
      <c r="Z244" s="603">
        <v>0</v>
      </c>
      <c r="AA244" s="603">
        <v>0</v>
      </c>
    </row>
    <row r="245" spans="1:27" x14ac:dyDescent="0.2">
      <c r="A245" s="591" t="s">
        <v>1323</v>
      </c>
      <c r="B245" s="607" t="s">
        <v>630</v>
      </c>
      <c r="C245" s="585">
        <v>0</v>
      </c>
      <c r="D245" s="585">
        <v>0</v>
      </c>
      <c r="E245" s="585">
        <v>0</v>
      </c>
      <c r="F245" s="585">
        <v>0</v>
      </c>
      <c r="G245" s="585">
        <v>0</v>
      </c>
      <c r="H245" s="603">
        <v>0</v>
      </c>
      <c r="I245" s="603">
        <v>0</v>
      </c>
      <c r="J245" s="603">
        <v>0</v>
      </c>
      <c r="K245" s="603">
        <v>0</v>
      </c>
      <c r="L245" s="603">
        <v>0</v>
      </c>
      <c r="M245" s="603">
        <v>0</v>
      </c>
      <c r="N245" s="603">
        <v>0</v>
      </c>
      <c r="O245" s="603">
        <v>0</v>
      </c>
      <c r="P245" s="603">
        <v>0</v>
      </c>
      <c r="Q245" s="603">
        <v>0</v>
      </c>
      <c r="R245" s="603">
        <v>0</v>
      </c>
      <c r="S245" s="603">
        <v>0</v>
      </c>
      <c r="T245" s="603">
        <v>0</v>
      </c>
      <c r="U245" s="604" t="e">
        <v>#DIV/0!</v>
      </c>
      <c r="V245" s="603">
        <v>0</v>
      </c>
      <c r="W245" s="603">
        <v>0</v>
      </c>
      <c r="X245" s="603">
        <v>0</v>
      </c>
      <c r="Y245" s="603">
        <v>0</v>
      </c>
      <c r="Z245" s="603">
        <v>0</v>
      </c>
      <c r="AA245" s="603">
        <v>0</v>
      </c>
    </row>
    <row r="246" spans="1:27" x14ac:dyDescent="0.2">
      <c r="A246" s="591" t="s">
        <v>1324</v>
      </c>
      <c r="B246" s="605" t="s">
        <v>631</v>
      </c>
      <c r="C246" s="585">
        <v>0</v>
      </c>
      <c r="D246" s="585">
        <v>0</v>
      </c>
      <c r="E246" s="585">
        <v>0</v>
      </c>
      <c r="F246" s="585">
        <v>0</v>
      </c>
      <c r="G246" s="585">
        <v>0</v>
      </c>
      <c r="H246" s="603">
        <v>0</v>
      </c>
      <c r="I246" s="603">
        <v>0</v>
      </c>
      <c r="J246" s="603">
        <v>0</v>
      </c>
      <c r="K246" s="603">
        <v>0</v>
      </c>
      <c r="L246" s="603">
        <v>0</v>
      </c>
      <c r="M246" s="603">
        <v>0</v>
      </c>
      <c r="N246" s="603">
        <v>0</v>
      </c>
      <c r="O246" s="603">
        <v>0</v>
      </c>
      <c r="P246" s="603">
        <v>0</v>
      </c>
      <c r="Q246" s="603">
        <v>0</v>
      </c>
      <c r="R246" s="603">
        <v>0</v>
      </c>
      <c r="S246" s="603">
        <v>0</v>
      </c>
      <c r="T246" s="603">
        <v>0</v>
      </c>
      <c r="U246" s="604" t="e">
        <v>#DIV/0!</v>
      </c>
      <c r="V246" s="603">
        <v>0</v>
      </c>
      <c r="W246" s="603">
        <v>0</v>
      </c>
      <c r="X246" s="603">
        <v>0</v>
      </c>
      <c r="Y246" s="603">
        <v>0</v>
      </c>
      <c r="Z246" s="603">
        <v>0</v>
      </c>
      <c r="AA246" s="603">
        <v>0</v>
      </c>
    </row>
    <row r="247" spans="1:27" x14ac:dyDescent="0.2">
      <c r="A247" s="591" t="s">
        <v>1325</v>
      </c>
      <c r="B247" s="605" t="s">
        <v>632</v>
      </c>
      <c r="C247" s="585">
        <v>0</v>
      </c>
      <c r="D247" s="585">
        <v>0</v>
      </c>
      <c r="E247" s="585">
        <v>0</v>
      </c>
      <c r="F247" s="585">
        <v>0</v>
      </c>
      <c r="G247" s="585">
        <v>0</v>
      </c>
      <c r="H247" s="603">
        <v>0</v>
      </c>
      <c r="I247" s="603">
        <v>0</v>
      </c>
      <c r="J247" s="603">
        <v>0</v>
      </c>
      <c r="K247" s="603">
        <v>0</v>
      </c>
      <c r="L247" s="603">
        <v>0</v>
      </c>
      <c r="M247" s="603">
        <v>0</v>
      </c>
      <c r="N247" s="603">
        <v>0</v>
      </c>
      <c r="O247" s="603">
        <v>0</v>
      </c>
      <c r="P247" s="603">
        <v>0</v>
      </c>
      <c r="Q247" s="603">
        <v>0</v>
      </c>
      <c r="R247" s="603">
        <v>0</v>
      </c>
      <c r="S247" s="603">
        <v>0</v>
      </c>
      <c r="T247" s="603">
        <v>0</v>
      </c>
      <c r="U247" s="604" t="e">
        <v>#DIV/0!</v>
      </c>
      <c r="V247" s="603">
        <v>0</v>
      </c>
      <c r="W247" s="603">
        <v>0</v>
      </c>
      <c r="X247" s="603">
        <v>0</v>
      </c>
      <c r="Y247" s="603">
        <v>0</v>
      </c>
      <c r="Z247" s="603">
        <v>0</v>
      </c>
      <c r="AA247" s="603">
        <v>0</v>
      </c>
    </row>
    <row r="248" spans="1:27" x14ac:dyDescent="0.2">
      <c r="A248" s="591" t="s">
        <v>1326</v>
      </c>
      <c r="B248" s="605" t="s">
        <v>633</v>
      </c>
      <c r="C248" s="585">
        <v>0</v>
      </c>
      <c r="D248" s="585">
        <v>0</v>
      </c>
      <c r="E248" s="585">
        <v>0</v>
      </c>
      <c r="F248" s="585">
        <v>0</v>
      </c>
      <c r="G248" s="585">
        <v>0</v>
      </c>
      <c r="H248" s="603">
        <v>0</v>
      </c>
      <c r="I248" s="603">
        <v>0</v>
      </c>
      <c r="J248" s="603">
        <v>0</v>
      </c>
      <c r="K248" s="603">
        <v>0</v>
      </c>
      <c r="L248" s="603">
        <v>0</v>
      </c>
      <c r="M248" s="603">
        <v>0</v>
      </c>
      <c r="N248" s="603">
        <v>0</v>
      </c>
      <c r="O248" s="603">
        <v>0</v>
      </c>
      <c r="P248" s="603">
        <v>0</v>
      </c>
      <c r="Q248" s="603">
        <v>0</v>
      </c>
      <c r="R248" s="603">
        <v>0</v>
      </c>
      <c r="S248" s="603">
        <v>0</v>
      </c>
      <c r="T248" s="603">
        <v>0</v>
      </c>
      <c r="U248" s="604" t="e">
        <v>#DIV/0!</v>
      </c>
      <c r="V248" s="603">
        <v>0</v>
      </c>
      <c r="W248" s="603">
        <v>0</v>
      </c>
      <c r="X248" s="603">
        <v>0</v>
      </c>
      <c r="Y248" s="603">
        <v>0</v>
      </c>
      <c r="Z248" s="603">
        <v>0</v>
      </c>
      <c r="AA248" s="603">
        <v>0</v>
      </c>
    </row>
    <row r="249" spans="1:27" x14ac:dyDescent="0.2">
      <c r="A249" s="591" t="s">
        <v>1327</v>
      </c>
      <c r="B249" s="605" t="s">
        <v>634</v>
      </c>
      <c r="C249" s="585">
        <v>0</v>
      </c>
      <c r="D249" s="585">
        <v>0</v>
      </c>
      <c r="E249" s="585">
        <v>0</v>
      </c>
      <c r="F249" s="585">
        <v>0</v>
      </c>
      <c r="G249" s="585">
        <v>0</v>
      </c>
      <c r="H249" s="603">
        <v>0</v>
      </c>
      <c r="I249" s="603">
        <v>0</v>
      </c>
      <c r="J249" s="603">
        <v>0</v>
      </c>
      <c r="K249" s="603">
        <v>0</v>
      </c>
      <c r="L249" s="603">
        <v>0</v>
      </c>
      <c r="M249" s="603">
        <v>0</v>
      </c>
      <c r="N249" s="603">
        <v>0</v>
      </c>
      <c r="O249" s="603">
        <v>0</v>
      </c>
      <c r="P249" s="603">
        <v>0</v>
      </c>
      <c r="Q249" s="603">
        <v>0</v>
      </c>
      <c r="R249" s="603">
        <v>0</v>
      </c>
      <c r="S249" s="603">
        <v>0</v>
      </c>
      <c r="T249" s="603">
        <v>0</v>
      </c>
      <c r="U249" s="604" t="e">
        <v>#DIV/0!</v>
      </c>
      <c r="V249" s="603">
        <v>0</v>
      </c>
      <c r="W249" s="603">
        <v>0</v>
      </c>
      <c r="X249" s="603">
        <v>0</v>
      </c>
      <c r="Y249" s="603">
        <v>0</v>
      </c>
      <c r="Z249" s="603">
        <v>0</v>
      </c>
      <c r="AA249" s="603">
        <v>0</v>
      </c>
    </row>
    <row r="250" spans="1:27" x14ac:dyDescent="0.2">
      <c r="A250" s="591" t="s">
        <v>1328</v>
      </c>
      <c r="B250" s="605" t="s">
        <v>635</v>
      </c>
      <c r="C250" s="585">
        <v>0</v>
      </c>
      <c r="D250" s="585">
        <v>0</v>
      </c>
      <c r="E250" s="585">
        <v>0</v>
      </c>
      <c r="F250" s="585">
        <v>0</v>
      </c>
      <c r="G250" s="585">
        <v>0</v>
      </c>
      <c r="H250" s="603">
        <v>0</v>
      </c>
      <c r="I250" s="603">
        <v>0</v>
      </c>
      <c r="J250" s="603">
        <v>0</v>
      </c>
      <c r="K250" s="603">
        <v>0</v>
      </c>
      <c r="L250" s="603">
        <v>0</v>
      </c>
      <c r="M250" s="603">
        <v>0</v>
      </c>
      <c r="N250" s="603">
        <v>0</v>
      </c>
      <c r="O250" s="603">
        <v>0</v>
      </c>
      <c r="P250" s="603">
        <v>0</v>
      </c>
      <c r="Q250" s="603">
        <v>0</v>
      </c>
      <c r="R250" s="603">
        <v>0</v>
      </c>
      <c r="S250" s="603">
        <v>0</v>
      </c>
      <c r="T250" s="603">
        <v>0</v>
      </c>
      <c r="U250" s="604" t="e">
        <v>#DIV/0!</v>
      </c>
      <c r="V250" s="603">
        <v>0</v>
      </c>
      <c r="W250" s="603">
        <v>0</v>
      </c>
      <c r="X250" s="603">
        <v>0</v>
      </c>
      <c r="Y250" s="603">
        <v>0</v>
      </c>
      <c r="Z250" s="603">
        <v>0</v>
      </c>
      <c r="AA250" s="603">
        <v>0</v>
      </c>
    </row>
    <row r="251" spans="1:27" x14ac:dyDescent="0.2">
      <c r="A251" s="591"/>
      <c r="B251" s="597" t="s">
        <v>636</v>
      </c>
      <c r="C251" s="598">
        <v>0</v>
      </c>
      <c r="D251" s="598">
        <v>0</v>
      </c>
      <c r="E251" s="598">
        <v>0</v>
      </c>
      <c r="F251" s="598">
        <v>0</v>
      </c>
      <c r="G251" s="598">
        <v>0</v>
      </c>
      <c r="H251" s="598">
        <v>0</v>
      </c>
      <c r="I251" s="598">
        <v>0</v>
      </c>
      <c r="J251" s="598">
        <v>0</v>
      </c>
      <c r="K251" s="598">
        <v>0</v>
      </c>
      <c r="L251" s="598">
        <v>0</v>
      </c>
      <c r="M251" s="598">
        <v>0</v>
      </c>
      <c r="N251" s="598">
        <v>0</v>
      </c>
      <c r="O251" s="598">
        <v>0</v>
      </c>
      <c r="P251" s="598">
        <v>0</v>
      </c>
      <c r="Q251" s="598">
        <v>0</v>
      </c>
      <c r="R251" s="598">
        <v>0</v>
      </c>
      <c r="S251" s="598">
        <v>0</v>
      </c>
      <c r="T251" s="599">
        <v>0</v>
      </c>
      <c r="U251" s="600" t="e">
        <v>#DIV/0!</v>
      </c>
      <c r="V251" s="599">
        <v>0</v>
      </c>
      <c r="W251" s="599">
        <v>0</v>
      </c>
      <c r="X251" s="599">
        <v>0</v>
      </c>
      <c r="Y251" s="599">
        <v>0</v>
      </c>
      <c r="Z251" s="599">
        <v>0</v>
      </c>
      <c r="AA251" s="599">
        <v>0</v>
      </c>
    </row>
    <row r="252" spans="1:27" x14ac:dyDescent="0.2">
      <c r="A252" s="591" t="s">
        <v>1329</v>
      </c>
      <c r="B252" s="605" t="s">
        <v>637</v>
      </c>
      <c r="C252" s="585">
        <v>0</v>
      </c>
      <c r="D252" s="585">
        <v>0</v>
      </c>
      <c r="E252" s="585">
        <v>0</v>
      </c>
      <c r="F252" s="585">
        <v>0</v>
      </c>
      <c r="G252" s="585">
        <v>0</v>
      </c>
      <c r="H252" s="603">
        <v>0</v>
      </c>
      <c r="I252" s="603">
        <v>0</v>
      </c>
      <c r="J252" s="603">
        <v>0</v>
      </c>
      <c r="K252" s="603">
        <v>0</v>
      </c>
      <c r="L252" s="603">
        <v>0</v>
      </c>
      <c r="M252" s="603">
        <v>0</v>
      </c>
      <c r="N252" s="603">
        <v>0</v>
      </c>
      <c r="O252" s="603">
        <v>0</v>
      </c>
      <c r="P252" s="603">
        <v>0</v>
      </c>
      <c r="Q252" s="603">
        <v>0</v>
      </c>
      <c r="R252" s="603">
        <v>0</v>
      </c>
      <c r="S252" s="603">
        <v>0</v>
      </c>
      <c r="T252" s="603">
        <v>0</v>
      </c>
      <c r="U252" s="604" t="e">
        <v>#DIV/0!</v>
      </c>
      <c r="V252" s="603">
        <v>0</v>
      </c>
      <c r="W252" s="603">
        <v>0</v>
      </c>
      <c r="X252" s="603">
        <v>0</v>
      </c>
      <c r="Y252" s="603">
        <v>0</v>
      </c>
      <c r="Z252" s="603">
        <v>0</v>
      </c>
      <c r="AA252" s="603">
        <v>0</v>
      </c>
    </row>
    <row r="253" spans="1:27" x14ac:dyDescent="0.2">
      <c r="A253" s="591" t="s">
        <v>1330</v>
      </c>
      <c r="B253" s="605" t="s">
        <v>638</v>
      </c>
      <c r="C253" s="585">
        <v>0</v>
      </c>
      <c r="D253" s="585">
        <v>0</v>
      </c>
      <c r="E253" s="585">
        <v>0</v>
      </c>
      <c r="F253" s="585">
        <v>0</v>
      </c>
      <c r="G253" s="585">
        <v>0</v>
      </c>
      <c r="H253" s="603">
        <v>0</v>
      </c>
      <c r="I253" s="603">
        <v>0</v>
      </c>
      <c r="J253" s="603">
        <v>0</v>
      </c>
      <c r="K253" s="603">
        <v>0</v>
      </c>
      <c r="L253" s="603">
        <v>0</v>
      </c>
      <c r="M253" s="603">
        <v>0</v>
      </c>
      <c r="N253" s="603">
        <v>0</v>
      </c>
      <c r="O253" s="603">
        <v>0</v>
      </c>
      <c r="P253" s="603">
        <v>0</v>
      </c>
      <c r="Q253" s="603">
        <v>0</v>
      </c>
      <c r="R253" s="603">
        <v>0</v>
      </c>
      <c r="S253" s="603">
        <v>0</v>
      </c>
      <c r="T253" s="603">
        <v>0</v>
      </c>
      <c r="U253" s="604" t="e">
        <v>#DIV/0!</v>
      </c>
      <c r="V253" s="603">
        <v>0</v>
      </c>
      <c r="W253" s="603">
        <v>0</v>
      </c>
      <c r="X253" s="603">
        <v>0</v>
      </c>
      <c r="Y253" s="603">
        <v>0</v>
      </c>
      <c r="Z253" s="603">
        <v>0</v>
      </c>
      <c r="AA253" s="603">
        <v>0</v>
      </c>
    </row>
    <row r="254" spans="1:27" x14ac:dyDescent="0.2">
      <c r="A254" s="591" t="s">
        <v>1331</v>
      </c>
      <c r="B254" s="605" t="s">
        <v>639</v>
      </c>
      <c r="C254" s="585">
        <v>0</v>
      </c>
      <c r="D254" s="585">
        <v>0</v>
      </c>
      <c r="E254" s="585">
        <v>0</v>
      </c>
      <c r="F254" s="585">
        <v>0</v>
      </c>
      <c r="G254" s="585">
        <v>0</v>
      </c>
      <c r="H254" s="603">
        <v>0</v>
      </c>
      <c r="I254" s="603">
        <v>0</v>
      </c>
      <c r="J254" s="603">
        <v>0</v>
      </c>
      <c r="K254" s="603">
        <v>0</v>
      </c>
      <c r="L254" s="603">
        <v>0</v>
      </c>
      <c r="M254" s="603">
        <v>0</v>
      </c>
      <c r="N254" s="603">
        <v>0</v>
      </c>
      <c r="O254" s="603">
        <v>0</v>
      </c>
      <c r="P254" s="603">
        <v>0</v>
      </c>
      <c r="Q254" s="603">
        <v>0</v>
      </c>
      <c r="R254" s="603">
        <v>0</v>
      </c>
      <c r="S254" s="603">
        <v>0</v>
      </c>
      <c r="T254" s="603">
        <v>0</v>
      </c>
      <c r="U254" s="604" t="e">
        <v>#DIV/0!</v>
      </c>
      <c r="V254" s="603">
        <v>0</v>
      </c>
      <c r="W254" s="603">
        <v>0</v>
      </c>
      <c r="X254" s="603">
        <v>0</v>
      </c>
      <c r="Y254" s="603">
        <v>0</v>
      </c>
      <c r="Z254" s="603">
        <v>0</v>
      </c>
      <c r="AA254" s="603">
        <v>0</v>
      </c>
    </row>
    <row r="255" spans="1:27" x14ac:dyDescent="0.2">
      <c r="A255" s="591"/>
      <c r="B255" s="597" t="s">
        <v>640</v>
      </c>
      <c r="C255" s="598">
        <v>0</v>
      </c>
      <c r="D255" s="598">
        <v>0</v>
      </c>
      <c r="E255" s="598">
        <v>0</v>
      </c>
      <c r="F255" s="598">
        <v>0</v>
      </c>
      <c r="G255" s="598">
        <v>0</v>
      </c>
      <c r="H255" s="598">
        <v>0</v>
      </c>
      <c r="I255" s="598">
        <v>0</v>
      </c>
      <c r="J255" s="598">
        <v>0</v>
      </c>
      <c r="K255" s="598">
        <v>0</v>
      </c>
      <c r="L255" s="598">
        <v>0</v>
      </c>
      <c r="M255" s="598">
        <v>0</v>
      </c>
      <c r="N255" s="598">
        <v>0</v>
      </c>
      <c r="O255" s="598">
        <v>0</v>
      </c>
      <c r="P255" s="598">
        <v>0</v>
      </c>
      <c r="Q255" s="598">
        <v>0</v>
      </c>
      <c r="R255" s="598">
        <v>0</v>
      </c>
      <c r="S255" s="598">
        <v>0</v>
      </c>
      <c r="T255" s="599">
        <v>0</v>
      </c>
      <c r="U255" s="600" t="e">
        <v>#DIV/0!</v>
      </c>
      <c r="V255" s="599">
        <v>0</v>
      </c>
      <c r="W255" s="599">
        <v>0</v>
      </c>
      <c r="X255" s="599">
        <v>0</v>
      </c>
      <c r="Y255" s="599">
        <v>0</v>
      </c>
      <c r="Z255" s="599">
        <v>0</v>
      </c>
      <c r="AA255" s="599">
        <v>0</v>
      </c>
    </row>
    <row r="256" spans="1:27" x14ac:dyDescent="0.2">
      <c r="A256" s="591" t="s">
        <v>1332</v>
      </c>
      <c r="B256" s="605" t="s">
        <v>641</v>
      </c>
      <c r="C256" s="585">
        <v>0</v>
      </c>
      <c r="D256" s="585">
        <v>0</v>
      </c>
      <c r="E256" s="585">
        <v>0</v>
      </c>
      <c r="F256" s="585">
        <v>0</v>
      </c>
      <c r="G256" s="585">
        <v>0</v>
      </c>
      <c r="H256" s="603">
        <v>0</v>
      </c>
      <c r="I256" s="603">
        <v>0</v>
      </c>
      <c r="J256" s="603">
        <v>0</v>
      </c>
      <c r="K256" s="603">
        <v>0</v>
      </c>
      <c r="L256" s="603">
        <v>0</v>
      </c>
      <c r="M256" s="603">
        <v>0</v>
      </c>
      <c r="N256" s="603">
        <v>0</v>
      </c>
      <c r="O256" s="603">
        <v>0</v>
      </c>
      <c r="P256" s="603">
        <v>0</v>
      </c>
      <c r="Q256" s="603">
        <v>0</v>
      </c>
      <c r="R256" s="603">
        <v>0</v>
      </c>
      <c r="S256" s="603">
        <v>0</v>
      </c>
      <c r="T256" s="603">
        <v>0</v>
      </c>
      <c r="U256" s="604" t="e">
        <v>#DIV/0!</v>
      </c>
      <c r="V256" s="603">
        <v>0</v>
      </c>
      <c r="W256" s="603">
        <v>0</v>
      </c>
      <c r="X256" s="603">
        <v>0</v>
      </c>
      <c r="Y256" s="603">
        <v>0</v>
      </c>
      <c r="Z256" s="603">
        <v>0</v>
      </c>
      <c r="AA256" s="603">
        <v>0</v>
      </c>
    </row>
    <row r="257" spans="1:27" x14ac:dyDescent="0.2">
      <c r="A257" s="591" t="s">
        <v>1333</v>
      </c>
      <c r="B257" s="605" t="s">
        <v>642</v>
      </c>
      <c r="C257" s="585">
        <v>0</v>
      </c>
      <c r="D257" s="585">
        <v>0</v>
      </c>
      <c r="E257" s="585">
        <v>0</v>
      </c>
      <c r="F257" s="585">
        <v>0</v>
      </c>
      <c r="G257" s="585">
        <v>0</v>
      </c>
      <c r="H257" s="603">
        <v>0</v>
      </c>
      <c r="I257" s="603">
        <v>0</v>
      </c>
      <c r="J257" s="603">
        <v>0</v>
      </c>
      <c r="K257" s="603">
        <v>0</v>
      </c>
      <c r="L257" s="603">
        <v>0</v>
      </c>
      <c r="M257" s="603">
        <v>0</v>
      </c>
      <c r="N257" s="603">
        <v>0</v>
      </c>
      <c r="O257" s="603">
        <v>0</v>
      </c>
      <c r="P257" s="603">
        <v>0</v>
      </c>
      <c r="Q257" s="603">
        <v>0</v>
      </c>
      <c r="R257" s="603">
        <v>0</v>
      </c>
      <c r="S257" s="603">
        <v>0</v>
      </c>
      <c r="T257" s="603">
        <v>0</v>
      </c>
      <c r="U257" s="604" t="e">
        <v>#DIV/0!</v>
      </c>
      <c r="V257" s="603">
        <v>0</v>
      </c>
      <c r="W257" s="603">
        <v>0</v>
      </c>
      <c r="X257" s="603">
        <v>0</v>
      </c>
      <c r="Y257" s="603">
        <v>0</v>
      </c>
      <c r="Z257" s="603">
        <v>0</v>
      </c>
      <c r="AA257" s="603">
        <v>0</v>
      </c>
    </row>
    <row r="258" spans="1:27" x14ac:dyDescent="0.2">
      <c r="A258" s="591" t="s">
        <v>1334</v>
      </c>
      <c r="B258" s="605" t="s">
        <v>643</v>
      </c>
      <c r="C258" s="585">
        <v>0</v>
      </c>
      <c r="D258" s="585">
        <v>0</v>
      </c>
      <c r="E258" s="585">
        <v>0</v>
      </c>
      <c r="F258" s="585">
        <v>0</v>
      </c>
      <c r="G258" s="585">
        <v>0</v>
      </c>
      <c r="H258" s="603">
        <v>0</v>
      </c>
      <c r="I258" s="603">
        <v>0</v>
      </c>
      <c r="J258" s="603">
        <v>0</v>
      </c>
      <c r="K258" s="603">
        <v>0</v>
      </c>
      <c r="L258" s="603">
        <v>0</v>
      </c>
      <c r="M258" s="603">
        <v>0</v>
      </c>
      <c r="N258" s="603">
        <v>0</v>
      </c>
      <c r="O258" s="603">
        <v>0</v>
      </c>
      <c r="P258" s="603">
        <v>0</v>
      </c>
      <c r="Q258" s="603">
        <v>0</v>
      </c>
      <c r="R258" s="603">
        <v>0</v>
      </c>
      <c r="S258" s="603">
        <v>0</v>
      </c>
      <c r="T258" s="603">
        <v>0</v>
      </c>
      <c r="U258" s="604" t="e">
        <v>#DIV/0!</v>
      </c>
      <c r="V258" s="603">
        <v>0</v>
      </c>
      <c r="W258" s="603">
        <v>0</v>
      </c>
      <c r="X258" s="603">
        <v>0</v>
      </c>
      <c r="Y258" s="603">
        <v>0</v>
      </c>
      <c r="Z258" s="603">
        <v>0</v>
      </c>
      <c r="AA258" s="603">
        <v>0</v>
      </c>
    </row>
    <row r="259" spans="1:27" x14ac:dyDescent="0.2">
      <c r="A259" s="591" t="s">
        <v>1335</v>
      </c>
      <c r="B259" s="605" t="s">
        <v>644</v>
      </c>
      <c r="C259" s="585">
        <v>0</v>
      </c>
      <c r="D259" s="585">
        <v>0</v>
      </c>
      <c r="E259" s="585">
        <v>0</v>
      </c>
      <c r="F259" s="585">
        <v>0</v>
      </c>
      <c r="G259" s="585">
        <v>0</v>
      </c>
      <c r="H259" s="603">
        <v>0</v>
      </c>
      <c r="I259" s="603">
        <v>0</v>
      </c>
      <c r="J259" s="603">
        <v>0</v>
      </c>
      <c r="K259" s="603">
        <v>0</v>
      </c>
      <c r="L259" s="603">
        <v>0</v>
      </c>
      <c r="M259" s="603">
        <v>0</v>
      </c>
      <c r="N259" s="603">
        <v>0</v>
      </c>
      <c r="O259" s="603">
        <v>0</v>
      </c>
      <c r="P259" s="603">
        <v>0</v>
      </c>
      <c r="Q259" s="603">
        <v>0</v>
      </c>
      <c r="R259" s="603">
        <v>0</v>
      </c>
      <c r="S259" s="603">
        <v>0</v>
      </c>
      <c r="T259" s="603">
        <v>0</v>
      </c>
      <c r="U259" s="604" t="e">
        <v>#DIV/0!</v>
      </c>
      <c r="V259" s="603">
        <v>0</v>
      </c>
      <c r="W259" s="603">
        <v>0</v>
      </c>
      <c r="X259" s="603">
        <v>0</v>
      </c>
      <c r="Y259" s="603">
        <v>0</v>
      </c>
      <c r="Z259" s="603">
        <v>0</v>
      </c>
      <c r="AA259" s="603">
        <v>0</v>
      </c>
    </row>
    <row r="260" spans="1:27" x14ac:dyDescent="0.2">
      <c r="A260" s="591" t="s">
        <v>1336</v>
      </c>
      <c r="B260" s="605" t="s">
        <v>645</v>
      </c>
      <c r="C260" s="585">
        <v>0</v>
      </c>
      <c r="D260" s="585">
        <v>0</v>
      </c>
      <c r="E260" s="585">
        <v>0</v>
      </c>
      <c r="F260" s="585">
        <v>0</v>
      </c>
      <c r="G260" s="585">
        <v>0</v>
      </c>
      <c r="H260" s="603">
        <v>0</v>
      </c>
      <c r="I260" s="603">
        <v>0</v>
      </c>
      <c r="J260" s="603">
        <v>0</v>
      </c>
      <c r="K260" s="603">
        <v>0</v>
      </c>
      <c r="L260" s="603">
        <v>0</v>
      </c>
      <c r="M260" s="603">
        <v>0</v>
      </c>
      <c r="N260" s="603">
        <v>0</v>
      </c>
      <c r="O260" s="603">
        <v>0</v>
      </c>
      <c r="P260" s="603">
        <v>0</v>
      </c>
      <c r="Q260" s="603">
        <v>0</v>
      </c>
      <c r="R260" s="603">
        <v>0</v>
      </c>
      <c r="S260" s="603">
        <v>0</v>
      </c>
      <c r="T260" s="603">
        <v>0</v>
      </c>
      <c r="U260" s="604" t="e">
        <v>#DIV/0!</v>
      </c>
      <c r="V260" s="603">
        <v>0</v>
      </c>
      <c r="W260" s="603">
        <v>0</v>
      </c>
      <c r="X260" s="603">
        <v>0</v>
      </c>
      <c r="Y260" s="603">
        <v>0</v>
      </c>
      <c r="Z260" s="603">
        <v>0</v>
      </c>
      <c r="AA260" s="603">
        <v>0</v>
      </c>
    </row>
    <row r="261" spans="1:27" x14ac:dyDescent="0.2">
      <c r="A261" s="591" t="s">
        <v>1337</v>
      </c>
      <c r="B261" s="605" t="s">
        <v>646</v>
      </c>
      <c r="C261" s="585">
        <v>0</v>
      </c>
      <c r="D261" s="585">
        <v>0</v>
      </c>
      <c r="E261" s="585">
        <v>0</v>
      </c>
      <c r="F261" s="585">
        <v>0</v>
      </c>
      <c r="G261" s="585">
        <v>0</v>
      </c>
      <c r="H261" s="603">
        <v>0</v>
      </c>
      <c r="I261" s="603">
        <v>0</v>
      </c>
      <c r="J261" s="603">
        <v>0</v>
      </c>
      <c r="K261" s="603">
        <v>0</v>
      </c>
      <c r="L261" s="603">
        <v>0</v>
      </c>
      <c r="M261" s="603">
        <v>0</v>
      </c>
      <c r="N261" s="603">
        <v>0</v>
      </c>
      <c r="O261" s="603">
        <v>0</v>
      </c>
      <c r="P261" s="603">
        <v>0</v>
      </c>
      <c r="Q261" s="603">
        <v>0</v>
      </c>
      <c r="R261" s="603">
        <v>0</v>
      </c>
      <c r="S261" s="603">
        <v>0</v>
      </c>
      <c r="T261" s="603">
        <v>0</v>
      </c>
      <c r="U261" s="604" t="e">
        <v>#DIV/0!</v>
      </c>
      <c r="V261" s="603">
        <v>0</v>
      </c>
      <c r="W261" s="603">
        <v>0</v>
      </c>
      <c r="X261" s="603">
        <v>0</v>
      </c>
      <c r="Y261" s="603">
        <v>0</v>
      </c>
      <c r="Z261" s="603">
        <v>0</v>
      </c>
      <c r="AA261" s="603">
        <v>0</v>
      </c>
    </row>
    <row r="262" spans="1:27" x14ac:dyDescent="0.2">
      <c r="A262" s="591"/>
      <c r="B262" s="592" t="s">
        <v>647</v>
      </c>
      <c r="C262" s="593">
        <v>0</v>
      </c>
      <c r="D262" s="593">
        <v>800</v>
      </c>
      <c r="E262" s="593">
        <v>500</v>
      </c>
      <c r="F262" s="593">
        <v>0</v>
      </c>
      <c r="G262" s="593">
        <v>0</v>
      </c>
      <c r="H262" s="593">
        <v>0</v>
      </c>
      <c r="I262" s="593">
        <v>0</v>
      </c>
      <c r="J262" s="593">
        <v>0</v>
      </c>
      <c r="K262" s="593">
        <v>0</v>
      </c>
      <c r="L262" s="593">
        <v>0</v>
      </c>
      <c r="M262" s="593">
        <v>0</v>
      </c>
      <c r="N262" s="593">
        <v>0</v>
      </c>
      <c r="O262" s="593">
        <v>0</v>
      </c>
      <c r="P262" s="593">
        <v>0</v>
      </c>
      <c r="Q262" s="593">
        <v>0</v>
      </c>
      <c r="R262" s="593">
        <v>0</v>
      </c>
      <c r="S262" s="593">
        <v>0</v>
      </c>
      <c r="T262" s="594">
        <v>0</v>
      </c>
      <c r="U262" s="595">
        <v>0</v>
      </c>
      <c r="V262" s="594">
        <v>800</v>
      </c>
      <c r="W262" s="594">
        <v>300</v>
      </c>
      <c r="X262" s="594">
        <v>800</v>
      </c>
      <c r="Y262" s="594">
        <v>500</v>
      </c>
      <c r="Z262" s="594">
        <v>0</v>
      </c>
      <c r="AA262" s="594">
        <v>0</v>
      </c>
    </row>
    <row r="263" spans="1:27" x14ac:dyDescent="0.2">
      <c r="A263" s="591"/>
      <c r="B263" s="597" t="s">
        <v>648</v>
      </c>
      <c r="C263" s="598">
        <v>0</v>
      </c>
      <c r="D263" s="598">
        <v>800</v>
      </c>
      <c r="E263" s="598">
        <v>500</v>
      </c>
      <c r="F263" s="598">
        <v>0</v>
      </c>
      <c r="G263" s="598">
        <v>0</v>
      </c>
      <c r="H263" s="598">
        <v>0</v>
      </c>
      <c r="I263" s="598">
        <v>0</v>
      </c>
      <c r="J263" s="598">
        <v>0</v>
      </c>
      <c r="K263" s="598">
        <v>0</v>
      </c>
      <c r="L263" s="598">
        <v>0</v>
      </c>
      <c r="M263" s="598">
        <v>0</v>
      </c>
      <c r="N263" s="598">
        <v>0</v>
      </c>
      <c r="O263" s="598">
        <v>0</v>
      </c>
      <c r="P263" s="598">
        <v>0</v>
      </c>
      <c r="Q263" s="598">
        <v>0</v>
      </c>
      <c r="R263" s="598">
        <v>0</v>
      </c>
      <c r="S263" s="598">
        <v>0</v>
      </c>
      <c r="T263" s="599">
        <v>0</v>
      </c>
      <c r="U263" s="600">
        <v>0</v>
      </c>
      <c r="V263" s="599">
        <v>800</v>
      </c>
      <c r="W263" s="599">
        <v>300</v>
      </c>
      <c r="X263" s="599">
        <v>800</v>
      </c>
      <c r="Y263" s="599">
        <v>500</v>
      </c>
      <c r="Z263" s="599">
        <v>0</v>
      </c>
      <c r="AA263" s="599">
        <v>0</v>
      </c>
    </row>
    <row r="264" spans="1:27" x14ac:dyDescent="0.2">
      <c r="A264" s="591" t="s">
        <v>1338</v>
      </c>
      <c r="B264" s="605" t="s">
        <v>649</v>
      </c>
      <c r="C264" s="585">
        <v>0</v>
      </c>
      <c r="D264" s="585">
        <v>0</v>
      </c>
      <c r="E264" s="585">
        <v>0</v>
      </c>
      <c r="F264" s="585">
        <v>0</v>
      </c>
      <c r="G264" s="585">
        <v>0</v>
      </c>
      <c r="H264" s="603">
        <v>0</v>
      </c>
      <c r="I264" s="603">
        <v>0</v>
      </c>
      <c r="J264" s="603">
        <v>0</v>
      </c>
      <c r="K264" s="603">
        <v>0</v>
      </c>
      <c r="L264" s="603">
        <v>0</v>
      </c>
      <c r="M264" s="603">
        <v>0</v>
      </c>
      <c r="N264" s="603">
        <v>0</v>
      </c>
      <c r="O264" s="603">
        <v>0</v>
      </c>
      <c r="P264" s="603">
        <v>0</v>
      </c>
      <c r="Q264" s="603">
        <v>0</v>
      </c>
      <c r="R264" s="603">
        <v>0</v>
      </c>
      <c r="S264" s="603">
        <v>0</v>
      </c>
      <c r="T264" s="603">
        <v>0</v>
      </c>
      <c r="U264" s="604" t="e">
        <v>#DIV/0!</v>
      </c>
      <c r="V264" s="603">
        <v>0</v>
      </c>
      <c r="W264" s="603">
        <v>0</v>
      </c>
      <c r="X264" s="603">
        <v>0</v>
      </c>
      <c r="Y264" s="603">
        <v>0</v>
      </c>
      <c r="Z264" s="603">
        <v>0</v>
      </c>
      <c r="AA264" s="603">
        <v>0</v>
      </c>
    </row>
    <row r="265" spans="1:27" x14ac:dyDescent="0.2">
      <c r="A265" s="591" t="s">
        <v>1339</v>
      </c>
      <c r="B265" s="605" t="s">
        <v>650</v>
      </c>
      <c r="C265" s="585">
        <v>0</v>
      </c>
      <c r="D265" s="585">
        <v>0</v>
      </c>
      <c r="E265" s="585">
        <v>0</v>
      </c>
      <c r="F265" s="585">
        <v>0</v>
      </c>
      <c r="G265" s="585">
        <v>0</v>
      </c>
      <c r="H265" s="603">
        <v>0</v>
      </c>
      <c r="I265" s="603">
        <v>0</v>
      </c>
      <c r="J265" s="603">
        <v>0</v>
      </c>
      <c r="K265" s="603">
        <v>0</v>
      </c>
      <c r="L265" s="603">
        <v>0</v>
      </c>
      <c r="M265" s="603">
        <v>0</v>
      </c>
      <c r="N265" s="603">
        <v>0</v>
      </c>
      <c r="O265" s="603">
        <v>0</v>
      </c>
      <c r="P265" s="603">
        <v>0</v>
      </c>
      <c r="Q265" s="603">
        <v>0</v>
      </c>
      <c r="R265" s="603">
        <v>0</v>
      </c>
      <c r="S265" s="603">
        <v>0</v>
      </c>
      <c r="T265" s="603">
        <v>0</v>
      </c>
      <c r="U265" s="604" t="e">
        <v>#DIV/0!</v>
      </c>
      <c r="V265" s="603">
        <v>0</v>
      </c>
      <c r="W265" s="603">
        <v>0</v>
      </c>
      <c r="X265" s="603">
        <v>0</v>
      </c>
      <c r="Y265" s="603">
        <v>0</v>
      </c>
      <c r="Z265" s="603">
        <v>0</v>
      </c>
      <c r="AA265" s="603">
        <v>0</v>
      </c>
    </row>
    <row r="266" spans="1:27" x14ac:dyDescent="0.2">
      <c r="A266" s="591" t="s">
        <v>1340</v>
      </c>
      <c r="B266" s="605" t="s">
        <v>651</v>
      </c>
      <c r="C266" s="585">
        <v>0</v>
      </c>
      <c r="D266" s="585">
        <v>500</v>
      </c>
      <c r="E266" s="585">
        <v>500</v>
      </c>
      <c r="F266" s="585">
        <v>0</v>
      </c>
      <c r="G266" s="585">
        <v>0</v>
      </c>
      <c r="H266" s="603">
        <v>0</v>
      </c>
      <c r="I266" s="603">
        <v>0</v>
      </c>
      <c r="J266" s="603">
        <v>0</v>
      </c>
      <c r="K266" s="603">
        <v>0</v>
      </c>
      <c r="L266" s="603">
        <v>0</v>
      </c>
      <c r="M266" s="603">
        <v>0</v>
      </c>
      <c r="N266" s="603">
        <v>0</v>
      </c>
      <c r="O266" s="603">
        <v>0</v>
      </c>
      <c r="P266" s="603">
        <v>0</v>
      </c>
      <c r="Q266" s="603">
        <v>0</v>
      </c>
      <c r="R266" s="603">
        <v>0</v>
      </c>
      <c r="S266" s="603">
        <v>0</v>
      </c>
      <c r="T266" s="603">
        <v>0</v>
      </c>
      <c r="U266" s="604">
        <v>0</v>
      </c>
      <c r="V266" s="603">
        <v>500</v>
      </c>
      <c r="W266" s="603">
        <v>0</v>
      </c>
      <c r="X266" s="603">
        <v>500</v>
      </c>
      <c r="Y266" s="603">
        <v>500</v>
      </c>
      <c r="Z266" s="603">
        <v>0</v>
      </c>
      <c r="AA266" s="603">
        <v>0</v>
      </c>
    </row>
    <row r="267" spans="1:27" x14ac:dyDescent="0.2">
      <c r="A267" s="591" t="s">
        <v>1341</v>
      </c>
      <c r="B267" s="605" t="s">
        <v>652</v>
      </c>
      <c r="C267" s="585">
        <v>0</v>
      </c>
      <c r="D267" s="585">
        <v>0</v>
      </c>
      <c r="E267" s="585">
        <v>0</v>
      </c>
      <c r="F267" s="585">
        <v>0</v>
      </c>
      <c r="G267" s="585">
        <v>0</v>
      </c>
      <c r="H267" s="603">
        <v>0</v>
      </c>
      <c r="I267" s="603">
        <v>0</v>
      </c>
      <c r="J267" s="603">
        <v>0</v>
      </c>
      <c r="K267" s="603">
        <v>0</v>
      </c>
      <c r="L267" s="603">
        <v>0</v>
      </c>
      <c r="M267" s="603">
        <v>0</v>
      </c>
      <c r="N267" s="603">
        <v>0</v>
      </c>
      <c r="O267" s="603">
        <v>0</v>
      </c>
      <c r="P267" s="603">
        <v>0</v>
      </c>
      <c r="Q267" s="603">
        <v>0</v>
      </c>
      <c r="R267" s="603">
        <v>0</v>
      </c>
      <c r="S267" s="603">
        <v>0</v>
      </c>
      <c r="T267" s="603">
        <v>0</v>
      </c>
      <c r="U267" s="604" t="e">
        <v>#DIV/0!</v>
      </c>
      <c r="V267" s="603">
        <v>0</v>
      </c>
      <c r="W267" s="603">
        <v>0</v>
      </c>
      <c r="X267" s="603">
        <v>0</v>
      </c>
      <c r="Y267" s="603">
        <v>0</v>
      </c>
      <c r="Z267" s="603">
        <v>0</v>
      </c>
      <c r="AA267" s="603">
        <v>0</v>
      </c>
    </row>
    <row r="268" spans="1:27" x14ac:dyDescent="0.2">
      <c r="A268" s="591" t="s">
        <v>1342</v>
      </c>
      <c r="B268" s="605" t="s">
        <v>653</v>
      </c>
      <c r="C268" s="585">
        <v>0</v>
      </c>
      <c r="D268" s="585">
        <v>0</v>
      </c>
      <c r="E268" s="585">
        <v>0</v>
      </c>
      <c r="F268" s="585">
        <v>0</v>
      </c>
      <c r="G268" s="585">
        <v>0</v>
      </c>
      <c r="H268" s="603">
        <v>0</v>
      </c>
      <c r="I268" s="603">
        <v>0</v>
      </c>
      <c r="J268" s="603">
        <v>0</v>
      </c>
      <c r="K268" s="603">
        <v>0</v>
      </c>
      <c r="L268" s="603">
        <v>0</v>
      </c>
      <c r="M268" s="603">
        <v>0</v>
      </c>
      <c r="N268" s="603">
        <v>0</v>
      </c>
      <c r="O268" s="603">
        <v>0</v>
      </c>
      <c r="P268" s="603">
        <v>0</v>
      </c>
      <c r="Q268" s="603">
        <v>0</v>
      </c>
      <c r="R268" s="603">
        <v>0</v>
      </c>
      <c r="S268" s="603">
        <v>0</v>
      </c>
      <c r="T268" s="603">
        <v>0</v>
      </c>
      <c r="U268" s="604" t="e">
        <v>#DIV/0!</v>
      </c>
      <c r="V268" s="603">
        <v>0</v>
      </c>
      <c r="W268" s="603">
        <v>0</v>
      </c>
      <c r="X268" s="603">
        <v>0</v>
      </c>
      <c r="Y268" s="603">
        <v>0</v>
      </c>
      <c r="Z268" s="603">
        <v>0</v>
      </c>
      <c r="AA268" s="603">
        <v>0</v>
      </c>
    </row>
    <row r="269" spans="1:27" x14ac:dyDescent="0.2">
      <c r="A269" s="591" t="s">
        <v>1343</v>
      </c>
      <c r="B269" s="605" t="s">
        <v>654</v>
      </c>
      <c r="C269" s="585">
        <v>0</v>
      </c>
      <c r="D269" s="585">
        <v>0</v>
      </c>
      <c r="E269" s="585">
        <v>0</v>
      </c>
      <c r="F269" s="585">
        <v>0</v>
      </c>
      <c r="G269" s="585">
        <v>0</v>
      </c>
      <c r="H269" s="603">
        <v>0</v>
      </c>
      <c r="I269" s="603">
        <v>0</v>
      </c>
      <c r="J269" s="603">
        <v>0</v>
      </c>
      <c r="K269" s="603">
        <v>0</v>
      </c>
      <c r="L269" s="603">
        <v>0</v>
      </c>
      <c r="M269" s="603">
        <v>0</v>
      </c>
      <c r="N269" s="603">
        <v>0</v>
      </c>
      <c r="O269" s="603">
        <v>0</v>
      </c>
      <c r="P269" s="603">
        <v>0</v>
      </c>
      <c r="Q269" s="603">
        <v>0</v>
      </c>
      <c r="R269" s="603">
        <v>0</v>
      </c>
      <c r="S269" s="603">
        <v>0</v>
      </c>
      <c r="T269" s="603">
        <v>0</v>
      </c>
      <c r="U269" s="604" t="e">
        <v>#DIV/0!</v>
      </c>
      <c r="V269" s="603">
        <v>0</v>
      </c>
      <c r="W269" s="603">
        <v>0</v>
      </c>
      <c r="X269" s="603">
        <v>0</v>
      </c>
      <c r="Y269" s="603">
        <v>0</v>
      </c>
      <c r="Z269" s="603">
        <v>0</v>
      </c>
      <c r="AA269" s="603">
        <v>0</v>
      </c>
    </row>
    <row r="270" spans="1:27" x14ac:dyDescent="0.2">
      <c r="A270" s="591" t="s">
        <v>1344</v>
      </c>
      <c r="B270" s="605" t="s">
        <v>655</v>
      </c>
      <c r="C270" s="585">
        <v>0</v>
      </c>
      <c r="D270" s="585">
        <v>0</v>
      </c>
      <c r="E270" s="585">
        <v>0</v>
      </c>
      <c r="F270" s="585">
        <v>0</v>
      </c>
      <c r="G270" s="585">
        <v>0</v>
      </c>
      <c r="H270" s="603">
        <v>0</v>
      </c>
      <c r="I270" s="603">
        <v>0</v>
      </c>
      <c r="J270" s="603">
        <v>0</v>
      </c>
      <c r="K270" s="603">
        <v>0</v>
      </c>
      <c r="L270" s="603">
        <v>0</v>
      </c>
      <c r="M270" s="603">
        <v>0</v>
      </c>
      <c r="N270" s="603">
        <v>0</v>
      </c>
      <c r="O270" s="603">
        <v>0</v>
      </c>
      <c r="P270" s="603">
        <v>0</v>
      </c>
      <c r="Q270" s="603">
        <v>0</v>
      </c>
      <c r="R270" s="603">
        <v>0</v>
      </c>
      <c r="S270" s="603">
        <v>0</v>
      </c>
      <c r="T270" s="603">
        <v>0</v>
      </c>
      <c r="U270" s="604" t="e">
        <v>#DIV/0!</v>
      </c>
      <c r="V270" s="603">
        <v>0</v>
      </c>
      <c r="W270" s="603">
        <v>0</v>
      </c>
      <c r="X270" s="603">
        <v>0</v>
      </c>
      <c r="Y270" s="603">
        <v>0</v>
      </c>
      <c r="Z270" s="603">
        <v>0</v>
      </c>
      <c r="AA270" s="603">
        <v>0</v>
      </c>
    </row>
    <row r="271" spans="1:27" x14ac:dyDescent="0.2">
      <c r="A271" s="591" t="s">
        <v>1345</v>
      </c>
      <c r="B271" s="605" t="s">
        <v>656</v>
      </c>
      <c r="C271" s="585">
        <v>0</v>
      </c>
      <c r="D271" s="585">
        <v>0</v>
      </c>
      <c r="E271" s="585">
        <v>0</v>
      </c>
      <c r="F271" s="585">
        <v>0</v>
      </c>
      <c r="G271" s="585">
        <v>0</v>
      </c>
      <c r="H271" s="603">
        <v>0</v>
      </c>
      <c r="I271" s="603">
        <v>0</v>
      </c>
      <c r="J271" s="603">
        <v>0</v>
      </c>
      <c r="K271" s="603">
        <v>0</v>
      </c>
      <c r="L271" s="603">
        <v>0</v>
      </c>
      <c r="M271" s="603">
        <v>0</v>
      </c>
      <c r="N271" s="603">
        <v>0</v>
      </c>
      <c r="O271" s="603">
        <v>0</v>
      </c>
      <c r="P271" s="603">
        <v>0</v>
      </c>
      <c r="Q271" s="603">
        <v>0</v>
      </c>
      <c r="R271" s="603">
        <v>0</v>
      </c>
      <c r="S271" s="603">
        <v>0</v>
      </c>
      <c r="T271" s="603">
        <v>0</v>
      </c>
      <c r="U271" s="604" t="e">
        <v>#DIV/0!</v>
      </c>
      <c r="V271" s="603">
        <v>0</v>
      </c>
      <c r="W271" s="603">
        <v>0</v>
      </c>
      <c r="X271" s="603">
        <v>0</v>
      </c>
      <c r="Y271" s="603">
        <v>0</v>
      </c>
      <c r="Z271" s="603">
        <v>0</v>
      </c>
      <c r="AA271" s="603">
        <v>0</v>
      </c>
    </row>
    <row r="272" spans="1:27" x14ac:dyDescent="0.2">
      <c r="A272" s="591" t="s">
        <v>1346</v>
      </c>
      <c r="B272" s="605" t="s">
        <v>657</v>
      </c>
      <c r="C272" s="585">
        <v>0</v>
      </c>
      <c r="D272" s="585">
        <v>0</v>
      </c>
      <c r="E272" s="585">
        <v>0</v>
      </c>
      <c r="F272" s="585">
        <v>0</v>
      </c>
      <c r="G272" s="585">
        <v>0</v>
      </c>
      <c r="H272" s="603">
        <v>0</v>
      </c>
      <c r="I272" s="603">
        <v>0</v>
      </c>
      <c r="J272" s="603">
        <v>0</v>
      </c>
      <c r="K272" s="603">
        <v>0</v>
      </c>
      <c r="L272" s="603">
        <v>0</v>
      </c>
      <c r="M272" s="603">
        <v>0</v>
      </c>
      <c r="N272" s="603">
        <v>0</v>
      </c>
      <c r="O272" s="603">
        <v>0</v>
      </c>
      <c r="P272" s="603">
        <v>0</v>
      </c>
      <c r="Q272" s="603">
        <v>0</v>
      </c>
      <c r="R272" s="603">
        <v>0</v>
      </c>
      <c r="S272" s="603">
        <v>0</v>
      </c>
      <c r="T272" s="603">
        <v>0</v>
      </c>
      <c r="U272" s="604" t="e">
        <v>#DIV/0!</v>
      </c>
      <c r="V272" s="603">
        <v>0</v>
      </c>
      <c r="W272" s="603">
        <v>0</v>
      </c>
      <c r="X272" s="603">
        <v>0</v>
      </c>
      <c r="Y272" s="603">
        <v>0</v>
      </c>
      <c r="Z272" s="603">
        <v>0</v>
      </c>
      <c r="AA272" s="603">
        <v>0</v>
      </c>
    </row>
    <row r="273" spans="1:27" x14ac:dyDescent="0.2">
      <c r="A273" s="591" t="s">
        <v>1347</v>
      </c>
      <c r="B273" s="605" t="s">
        <v>658</v>
      </c>
      <c r="C273" s="585">
        <v>0</v>
      </c>
      <c r="D273" s="585">
        <v>0</v>
      </c>
      <c r="E273" s="585">
        <v>0</v>
      </c>
      <c r="F273" s="585">
        <v>0</v>
      </c>
      <c r="G273" s="585">
        <v>0</v>
      </c>
      <c r="H273" s="603">
        <v>0</v>
      </c>
      <c r="I273" s="603">
        <v>0</v>
      </c>
      <c r="J273" s="603">
        <v>0</v>
      </c>
      <c r="K273" s="603">
        <v>0</v>
      </c>
      <c r="L273" s="603">
        <v>0</v>
      </c>
      <c r="M273" s="603">
        <v>0</v>
      </c>
      <c r="N273" s="603">
        <v>0</v>
      </c>
      <c r="O273" s="603">
        <v>0</v>
      </c>
      <c r="P273" s="603">
        <v>0</v>
      </c>
      <c r="Q273" s="603">
        <v>0</v>
      </c>
      <c r="R273" s="603">
        <v>0</v>
      </c>
      <c r="S273" s="603">
        <v>0</v>
      </c>
      <c r="T273" s="603">
        <v>0</v>
      </c>
      <c r="U273" s="604" t="e">
        <v>#DIV/0!</v>
      </c>
      <c r="V273" s="603">
        <v>0</v>
      </c>
      <c r="W273" s="603">
        <v>0</v>
      </c>
      <c r="X273" s="603">
        <v>0</v>
      </c>
      <c r="Y273" s="603">
        <v>0</v>
      </c>
      <c r="Z273" s="603">
        <v>0</v>
      </c>
      <c r="AA273" s="603">
        <v>0</v>
      </c>
    </row>
    <row r="274" spans="1:27" x14ac:dyDescent="0.2">
      <c r="A274" s="591" t="s">
        <v>1348</v>
      </c>
      <c r="B274" s="605" t="s">
        <v>659</v>
      </c>
      <c r="C274" s="585">
        <v>0</v>
      </c>
      <c r="D274" s="585">
        <v>0</v>
      </c>
      <c r="E274" s="585">
        <v>0</v>
      </c>
      <c r="F274" s="585">
        <v>0</v>
      </c>
      <c r="G274" s="585">
        <v>0</v>
      </c>
      <c r="H274" s="603">
        <v>0</v>
      </c>
      <c r="I274" s="603">
        <v>0</v>
      </c>
      <c r="J274" s="603">
        <v>0</v>
      </c>
      <c r="K274" s="603">
        <v>0</v>
      </c>
      <c r="L274" s="603">
        <v>0</v>
      </c>
      <c r="M274" s="603">
        <v>0</v>
      </c>
      <c r="N274" s="603">
        <v>0</v>
      </c>
      <c r="O274" s="603">
        <v>0</v>
      </c>
      <c r="P274" s="603">
        <v>0</v>
      </c>
      <c r="Q274" s="603">
        <v>0</v>
      </c>
      <c r="R274" s="603">
        <v>0</v>
      </c>
      <c r="S274" s="603">
        <v>0</v>
      </c>
      <c r="T274" s="603">
        <v>0</v>
      </c>
      <c r="U274" s="604" t="e">
        <v>#DIV/0!</v>
      </c>
      <c r="V274" s="603">
        <v>0</v>
      </c>
      <c r="W274" s="603">
        <v>0</v>
      </c>
      <c r="X274" s="603">
        <v>0</v>
      </c>
      <c r="Y274" s="603">
        <v>0</v>
      </c>
      <c r="Z274" s="603">
        <v>0</v>
      </c>
      <c r="AA274" s="603">
        <v>0</v>
      </c>
    </row>
    <row r="275" spans="1:27" x14ac:dyDescent="0.2">
      <c r="A275" s="591" t="s">
        <v>1349</v>
      </c>
      <c r="B275" s="605" t="s">
        <v>660</v>
      </c>
      <c r="C275" s="585">
        <v>0</v>
      </c>
      <c r="D275" s="585">
        <v>300</v>
      </c>
      <c r="E275" s="585">
        <v>0</v>
      </c>
      <c r="F275" s="585">
        <v>0</v>
      </c>
      <c r="G275" s="585">
        <v>0</v>
      </c>
      <c r="H275" s="603">
        <v>0</v>
      </c>
      <c r="I275" s="603">
        <v>0</v>
      </c>
      <c r="J275" s="603">
        <v>0</v>
      </c>
      <c r="K275" s="603">
        <v>0</v>
      </c>
      <c r="L275" s="603">
        <v>0</v>
      </c>
      <c r="M275" s="603">
        <v>0</v>
      </c>
      <c r="N275" s="603">
        <v>0</v>
      </c>
      <c r="O275" s="603">
        <v>0</v>
      </c>
      <c r="P275" s="603">
        <v>0</v>
      </c>
      <c r="Q275" s="603">
        <v>0</v>
      </c>
      <c r="R275" s="603">
        <v>0</v>
      </c>
      <c r="S275" s="603">
        <v>0</v>
      </c>
      <c r="T275" s="603">
        <v>0</v>
      </c>
      <c r="U275" s="604">
        <v>0</v>
      </c>
      <c r="V275" s="603">
        <v>300</v>
      </c>
      <c r="W275" s="603">
        <v>300</v>
      </c>
      <c r="X275" s="603">
        <v>300</v>
      </c>
      <c r="Y275" s="603">
        <v>0</v>
      </c>
      <c r="Z275" s="603">
        <v>0</v>
      </c>
      <c r="AA275" s="603">
        <v>0</v>
      </c>
    </row>
    <row r="276" spans="1:27" x14ac:dyDescent="0.2">
      <c r="A276" s="591" t="s">
        <v>1350</v>
      </c>
      <c r="B276" s="605" t="s">
        <v>661</v>
      </c>
      <c r="C276" s="585">
        <v>0</v>
      </c>
      <c r="D276" s="585">
        <v>0</v>
      </c>
      <c r="E276" s="585">
        <v>0</v>
      </c>
      <c r="F276" s="585">
        <v>0</v>
      </c>
      <c r="G276" s="585">
        <v>0</v>
      </c>
      <c r="H276" s="603">
        <v>0</v>
      </c>
      <c r="I276" s="603">
        <v>0</v>
      </c>
      <c r="J276" s="603">
        <v>0</v>
      </c>
      <c r="K276" s="603">
        <v>0</v>
      </c>
      <c r="L276" s="603">
        <v>0</v>
      </c>
      <c r="M276" s="603">
        <v>0</v>
      </c>
      <c r="N276" s="603">
        <v>0</v>
      </c>
      <c r="O276" s="603">
        <v>0</v>
      </c>
      <c r="P276" s="603">
        <v>0</v>
      </c>
      <c r="Q276" s="603">
        <v>0</v>
      </c>
      <c r="R276" s="603">
        <v>0</v>
      </c>
      <c r="S276" s="603">
        <v>0</v>
      </c>
      <c r="T276" s="603">
        <v>0</v>
      </c>
      <c r="U276" s="604" t="e">
        <v>#DIV/0!</v>
      </c>
      <c r="V276" s="603">
        <v>0</v>
      </c>
      <c r="W276" s="603">
        <v>0</v>
      </c>
      <c r="X276" s="603">
        <v>0</v>
      </c>
      <c r="Y276" s="603">
        <v>0</v>
      </c>
      <c r="Z276" s="603">
        <v>0</v>
      </c>
      <c r="AA276" s="603">
        <v>0</v>
      </c>
    </row>
    <row r="277" spans="1:27" x14ac:dyDescent="0.2">
      <c r="A277" s="591" t="s">
        <v>1351</v>
      </c>
      <c r="B277" s="605" t="s">
        <v>662</v>
      </c>
      <c r="C277" s="585">
        <v>0</v>
      </c>
      <c r="D277" s="585">
        <v>0</v>
      </c>
      <c r="E277" s="585">
        <v>0</v>
      </c>
      <c r="F277" s="585">
        <v>0</v>
      </c>
      <c r="G277" s="585">
        <v>0</v>
      </c>
      <c r="H277" s="603">
        <v>0</v>
      </c>
      <c r="I277" s="603">
        <v>0</v>
      </c>
      <c r="J277" s="603">
        <v>0</v>
      </c>
      <c r="K277" s="603">
        <v>0</v>
      </c>
      <c r="L277" s="603">
        <v>0</v>
      </c>
      <c r="M277" s="603">
        <v>0</v>
      </c>
      <c r="N277" s="603">
        <v>0</v>
      </c>
      <c r="O277" s="603">
        <v>0</v>
      </c>
      <c r="P277" s="603">
        <v>0</v>
      </c>
      <c r="Q277" s="603">
        <v>0</v>
      </c>
      <c r="R277" s="603">
        <v>0</v>
      </c>
      <c r="S277" s="603">
        <v>0</v>
      </c>
      <c r="T277" s="603">
        <v>0</v>
      </c>
      <c r="U277" s="604" t="e">
        <v>#DIV/0!</v>
      </c>
      <c r="V277" s="603">
        <v>0</v>
      </c>
      <c r="W277" s="603">
        <v>0</v>
      </c>
      <c r="X277" s="603">
        <v>0</v>
      </c>
      <c r="Y277" s="603">
        <v>0</v>
      </c>
      <c r="Z277" s="603">
        <v>0</v>
      </c>
      <c r="AA277" s="603">
        <v>0</v>
      </c>
    </row>
    <row r="278" spans="1:27" s="601" customFormat="1" x14ac:dyDescent="0.2">
      <c r="A278" s="591" t="s">
        <v>1352</v>
      </c>
      <c r="B278" s="597" t="s">
        <v>663</v>
      </c>
      <c r="C278" s="586">
        <v>0</v>
      </c>
      <c r="D278" s="586">
        <v>0</v>
      </c>
      <c r="E278" s="586">
        <v>0</v>
      </c>
      <c r="F278" s="586">
        <v>0</v>
      </c>
      <c r="G278" s="586">
        <v>0</v>
      </c>
      <c r="H278" s="599">
        <v>0</v>
      </c>
      <c r="I278" s="599">
        <v>0</v>
      </c>
      <c r="J278" s="599">
        <v>0</v>
      </c>
      <c r="K278" s="599">
        <v>0</v>
      </c>
      <c r="L278" s="599">
        <v>0</v>
      </c>
      <c r="M278" s="599">
        <v>0</v>
      </c>
      <c r="N278" s="599">
        <v>0</v>
      </c>
      <c r="O278" s="599">
        <v>0</v>
      </c>
      <c r="P278" s="599">
        <v>0</v>
      </c>
      <c r="Q278" s="599">
        <v>0</v>
      </c>
      <c r="R278" s="599">
        <v>0</v>
      </c>
      <c r="S278" s="599">
        <v>0</v>
      </c>
      <c r="T278" s="599">
        <v>0</v>
      </c>
      <c r="U278" s="600" t="e">
        <v>#DIV/0!</v>
      </c>
      <c r="V278" s="599">
        <v>0</v>
      </c>
      <c r="W278" s="599">
        <v>0</v>
      </c>
      <c r="X278" s="599">
        <v>0</v>
      </c>
      <c r="Y278" s="599">
        <v>0</v>
      </c>
      <c r="Z278" s="599">
        <v>0</v>
      </c>
      <c r="AA278" s="599">
        <v>0</v>
      </c>
    </row>
    <row r="279" spans="1:27" x14ac:dyDescent="0.2">
      <c r="A279" s="591"/>
      <c r="B279" s="592" t="s">
        <v>664</v>
      </c>
      <c r="C279" s="593">
        <v>0</v>
      </c>
      <c r="D279" s="593">
        <v>0</v>
      </c>
      <c r="E279" s="593">
        <v>0</v>
      </c>
      <c r="F279" s="593">
        <v>0</v>
      </c>
      <c r="G279" s="593">
        <v>0</v>
      </c>
      <c r="H279" s="593">
        <v>0</v>
      </c>
      <c r="I279" s="593">
        <v>0</v>
      </c>
      <c r="J279" s="593">
        <v>0</v>
      </c>
      <c r="K279" s="593">
        <v>0</v>
      </c>
      <c r="L279" s="593">
        <v>0</v>
      </c>
      <c r="M279" s="593">
        <v>0</v>
      </c>
      <c r="N279" s="593">
        <v>0</v>
      </c>
      <c r="O279" s="593">
        <v>0</v>
      </c>
      <c r="P279" s="593">
        <v>0</v>
      </c>
      <c r="Q279" s="593">
        <v>0</v>
      </c>
      <c r="R279" s="593">
        <v>0</v>
      </c>
      <c r="S279" s="593">
        <v>0</v>
      </c>
      <c r="T279" s="594">
        <v>0</v>
      </c>
      <c r="U279" s="595" t="e">
        <v>#DIV/0!</v>
      </c>
      <c r="V279" s="594">
        <v>0</v>
      </c>
      <c r="W279" s="594">
        <v>0</v>
      </c>
      <c r="X279" s="594">
        <v>0</v>
      </c>
      <c r="Y279" s="594">
        <v>0</v>
      </c>
      <c r="Z279" s="594">
        <v>0</v>
      </c>
      <c r="AA279" s="594">
        <v>0</v>
      </c>
    </row>
    <row r="280" spans="1:27" x14ac:dyDescent="0.2">
      <c r="A280" s="591"/>
      <c r="B280" s="597" t="s">
        <v>665</v>
      </c>
      <c r="C280" s="598">
        <v>0</v>
      </c>
      <c r="D280" s="598">
        <v>0</v>
      </c>
      <c r="E280" s="598">
        <v>0</v>
      </c>
      <c r="F280" s="598">
        <v>0</v>
      </c>
      <c r="G280" s="598">
        <v>0</v>
      </c>
      <c r="H280" s="598">
        <v>0</v>
      </c>
      <c r="I280" s="598">
        <v>0</v>
      </c>
      <c r="J280" s="598">
        <v>0</v>
      </c>
      <c r="K280" s="598">
        <v>0</v>
      </c>
      <c r="L280" s="598">
        <v>0</v>
      </c>
      <c r="M280" s="598">
        <v>0</v>
      </c>
      <c r="N280" s="598">
        <v>0</v>
      </c>
      <c r="O280" s="598">
        <v>0</v>
      </c>
      <c r="P280" s="598">
        <v>0</v>
      </c>
      <c r="Q280" s="598">
        <v>0</v>
      </c>
      <c r="R280" s="598">
        <v>0</v>
      </c>
      <c r="S280" s="598">
        <v>0</v>
      </c>
      <c r="T280" s="599">
        <v>0</v>
      </c>
      <c r="U280" s="600" t="e">
        <v>#DIV/0!</v>
      </c>
      <c r="V280" s="599">
        <v>0</v>
      </c>
      <c r="W280" s="599">
        <v>0</v>
      </c>
      <c r="X280" s="599">
        <v>0</v>
      </c>
      <c r="Y280" s="599">
        <v>0</v>
      </c>
      <c r="Z280" s="599">
        <v>0</v>
      </c>
      <c r="AA280" s="599">
        <v>0</v>
      </c>
    </row>
    <row r="281" spans="1:27" x14ac:dyDescent="0.2">
      <c r="A281" s="591" t="s">
        <v>1353</v>
      </c>
      <c r="B281" s="605" t="s">
        <v>666</v>
      </c>
      <c r="C281" s="585">
        <v>0</v>
      </c>
      <c r="D281" s="585">
        <v>0</v>
      </c>
      <c r="E281" s="585">
        <v>0</v>
      </c>
      <c r="F281" s="585">
        <v>0</v>
      </c>
      <c r="G281" s="585">
        <v>0</v>
      </c>
      <c r="H281" s="603">
        <v>0</v>
      </c>
      <c r="I281" s="603">
        <v>0</v>
      </c>
      <c r="J281" s="603">
        <v>0</v>
      </c>
      <c r="K281" s="603">
        <v>0</v>
      </c>
      <c r="L281" s="603">
        <v>0</v>
      </c>
      <c r="M281" s="603">
        <v>0</v>
      </c>
      <c r="N281" s="603">
        <v>0</v>
      </c>
      <c r="O281" s="603">
        <v>0</v>
      </c>
      <c r="P281" s="603">
        <v>0</v>
      </c>
      <c r="Q281" s="603">
        <v>0</v>
      </c>
      <c r="R281" s="603">
        <v>0</v>
      </c>
      <c r="S281" s="603">
        <v>0</v>
      </c>
      <c r="T281" s="603">
        <v>0</v>
      </c>
      <c r="U281" s="604" t="e">
        <v>#DIV/0!</v>
      </c>
      <c r="V281" s="603">
        <v>0</v>
      </c>
      <c r="W281" s="603">
        <v>0</v>
      </c>
      <c r="X281" s="603">
        <v>0</v>
      </c>
      <c r="Y281" s="603">
        <v>0</v>
      </c>
      <c r="Z281" s="603">
        <v>0</v>
      </c>
      <c r="AA281" s="603">
        <v>0</v>
      </c>
    </row>
    <row r="282" spans="1:27" x14ac:dyDescent="0.2">
      <c r="A282" s="591" t="s">
        <v>1354</v>
      </c>
      <c r="B282" s="605" t="s">
        <v>667</v>
      </c>
      <c r="C282" s="585">
        <v>0</v>
      </c>
      <c r="D282" s="585">
        <v>0</v>
      </c>
      <c r="E282" s="585">
        <v>0</v>
      </c>
      <c r="F282" s="585">
        <v>0</v>
      </c>
      <c r="G282" s="585">
        <v>0</v>
      </c>
      <c r="H282" s="603">
        <v>0</v>
      </c>
      <c r="I282" s="603">
        <v>0</v>
      </c>
      <c r="J282" s="603">
        <v>0</v>
      </c>
      <c r="K282" s="603">
        <v>0</v>
      </c>
      <c r="L282" s="603">
        <v>0</v>
      </c>
      <c r="M282" s="603">
        <v>0</v>
      </c>
      <c r="N282" s="603">
        <v>0</v>
      </c>
      <c r="O282" s="603">
        <v>0</v>
      </c>
      <c r="P282" s="603">
        <v>0</v>
      </c>
      <c r="Q282" s="603">
        <v>0</v>
      </c>
      <c r="R282" s="603">
        <v>0</v>
      </c>
      <c r="S282" s="603">
        <v>0</v>
      </c>
      <c r="T282" s="603">
        <v>0</v>
      </c>
      <c r="U282" s="604" t="e">
        <v>#DIV/0!</v>
      </c>
      <c r="V282" s="603">
        <v>0</v>
      </c>
      <c r="W282" s="603">
        <v>0</v>
      </c>
      <c r="X282" s="603">
        <v>0</v>
      </c>
      <c r="Y282" s="603">
        <v>0</v>
      </c>
      <c r="Z282" s="603">
        <v>0</v>
      </c>
      <c r="AA282" s="603">
        <v>0</v>
      </c>
    </row>
    <row r="283" spans="1:27" x14ac:dyDescent="0.2">
      <c r="A283" s="591" t="s">
        <v>1355</v>
      </c>
      <c r="B283" s="605" t="s">
        <v>668</v>
      </c>
      <c r="C283" s="585">
        <v>0</v>
      </c>
      <c r="D283" s="585">
        <v>0</v>
      </c>
      <c r="E283" s="585">
        <v>0</v>
      </c>
      <c r="F283" s="585">
        <v>0</v>
      </c>
      <c r="G283" s="585">
        <v>0</v>
      </c>
      <c r="H283" s="603">
        <v>0</v>
      </c>
      <c r="I283" s="603">
        <v>0</v>
      </c>
      <c r="J283" s="603">
        <v>0</v>
      </c>
      <c r="K283" s="603">
        <v>0</v>
      </c>
      <c r="L283" s="603">
        <v>0</v>
      </c>
      <c r="M283" s="603">
        <v>0</v>
      </c>
      <c r="N283" s="603">
        <v>0</v>
      </c>
      <c r="O283" s="603">
        <v>0</v>
      </c>
      <c r="P283" s="603">
        <v>0</v>
      </c>
      <c r="Q283" s="603">
        <v>0</v>
      </c>
      <c r="R283" s="603">
        <v>0</v>
      </c>
      <c r="S283" s="603">
        <v>0</v>
      </c>
      <c r="T283" s="603">
        <v>0</v>
      </c>
      <c r="U283" s="604" t="e">
        <v>#DIV/0!</v>
      </c>
      <c r="V283" s="603">
        <v>0</v>
      </c>
      <c r="W283" s="603">
        <v>0</v>
      </c>
      <c r="X283" s="603">
        <v>0</v>
      </c>
      <c r="Y283" s="603">
        <v>0</v>
      </c>
      <c r="Z283" s="603">
        <v>0</v>
      </c>
      <c r="AA283" s="603">
        <v>0</v>
      </c>
    </row>
    <row r="284" spans="1:27" x14ac:dyDescent="0.2">
      <c r="A284" s="591" t="s">
        <v>1356</v>
      </c>
      <c r="B284" s="605" t="s">
        <v>669</v>
      </c>
      <c r="C284" s="585">
        <v>0</v>
      </c>
      <c r="D284" s="585">
        <v>0</v>
      </c>
      <c r="E284" s="585">
        <v>0</v>
      </c>
      <c r="F284" s="585">
        <v>0</v>
      </c>
      <c r="G284" s="585">
        <v>0</v>
      </c>
      <c r="H284" s="603">
        <v>0</v>
      </c>
      <c r="I284" s="603">
        <v>0</v>
      </c>
      <c r="J284" s="603">
        <v>0</v>
      </c>
      <c r="K284" s="603">
        <v>0</v>
      </c>
      <c r="L284" s="603">
        <v>0</v>
      </c>
      <c r="M284" s="603">
        <v>0</v>
      </c>
      <c r="N284" s="603">
        <v>0</v>
      </c>
      <c r="O284" s="603">
        <v>0</v>
      </c>
      <c r="P284" s="603">
        <v>0</v>
      </c>
      <c r="Q284" s="603">
        <v>0</v>
      </c>
      <c r="R284" s="603">
        <v>0</v>
      </c>
      <c r="S284" s="603">
        <v>0</v>
      </c>
      <c r="T284" s="603">
        <v>0</v>
      </c>
      <c r="U284" s="604" t="e">
        <v>#DIV/0!</v>
      </c>
      <c r="V284" s="603">
        <v>0</v>
      </c>
      <c r="W284" s="603">
        <v>0</v>
      </c>
      <c r="X284" s="603">
        <v>0</v>
      </c>
      <c r="Y284" s="603">
        <v>0</v>
      </c>
      <c r="Z284" s="603">
        <v>0</v>
      </c>
      <c r="AA284" s="603">
        <v>0</v>
      </c>
    </row>
    <row r="285" spans="1:27" x14ac:dyDescent="0.2">
      <c r="A285" s="591" t="s">
        <v>1357</v>
      </c>
      <c r="B285" s="605" t="s">
        <v>670</v>
      </c>
      <c r="C285" s="585">
        <v>0</v>
      </c>
      <c r="D285" s="585">
        <v>0</v>
      </c>
      <c r="E285" s="585">
        <v>0</v>
      </c>
      <c r="F285" s="585">
        <v>0</v>
      </c>
      <c r="G285" s="585">
        <v>0</v>
      </c>
      <c r="H285" s="603">
        <v>0</v>
      </c>
      <c r="I285" s="603">
        <v>0</v>
      </c>
      <c r="J285" s="603">
        <v>0</v>
      </c>
      <c r="K285" s="603">
        <v>0</v>
      </c>
      <c r="L285" s="603">
        <v>0</v>
      </c>
      <c r="M285" s="603">
        <v>0</v>
      </c>
      <c r="N285" s="603">
        <v>0</v>
      </c>
      <c r="O285" s="603">
        <v>0</v>
      </c>
      <c r="P285" s="603">
        <v>0</v>
      </c>
      <c r="Q285" s="603">
        <v>0</v>
      </c>
      <c r="R285" s="603">
        <v>0</v>
      </c>
      <c r="S285" s="603">
        <v>0</v>
      </c>
      <c r="T285" s="603">
        <v>0</v>
      </c>
      <c r="U285" s="604" t="e">
        <v>#DIV/0!</v>
      </c>
      <c r="V285" s="603">
        <v>0</v>
      </c>
      <c r="W285" s="603">
        <v>0</v>
      </c>
      <c r="X285" s="603">
        <v>0</v>
      </c>
      <c r="Y285" s="603">
        <v>0</v>
      </c>
      <c r="Z285" s="603">
        <v>0</v>
      </c>
      <c r="AA285" s="603">
        <v>0</v>
      </c>
    </row>
    <row r="286" spans="1:27" x14ac:dyDescent="0.2">
      <c r="A286" s="591" t="s">
        <v>1358</v>
      </c>
      <c r="B286" s="605" t="s">
        <v>671</v>
      </c>
      <c r="C286" s="585">
        <v>0</v>
      </c>
      <c r="D286" s="585">
        <v>0</v>
      </c>
      <c r="E286" s="585">
        <v>0</v>
      </c>
      <c r="F286" s="585">
        <v>0</v>
      </c>
      <c r="G286" s="585">
        <v>0</v>
      </c>
      <c r="H286" s="603">
        <v>0</v>
      </c>
      <c r="I286" s="603">
        <v>0</v>
      </c>
      <c r="J286" s="603">
        <v>0</v>
      </c>
      <c r="K286" s="603">
        <v>0</v>
      </c>
      <c r="L286" s="603">
        <v>0</v>
      </c>
      <c r="M286" s="603">
        <v>0</v>
      </c>
      <c r="N286" s="603">
        <v>0</v>
      </c>
      <c r="O286" s="603">
        <v>0</v>
      </c>
      <c r="P286" s="603">
        <v>0</v>
      </c>
      <c r="Q286" s="603">
        <v>0</v>
      </c>
      <c r="R286" s="603">
        <v>0</v>
      </c>
      <c r="S286" s="603">
        <v>0</v>
      </c>
      <c r="T286" s="603">
        <v>0</v>
      </c>
      <c r="U286" s="604" t="e">
        <v>#DIV/0!</v>
      </c>
      <c r="V286" s="603">
        <v>0</v>
      </c>
      <c r="W286" s="603">
        <v>0</v>
      </c>
      <c r="X286" s="603">
        <v>0</v>
      </c>
      <c r="Y286" s="603">
        <v>0</v>
      </c>
      <c r="Z286" s="603">
        <v>0</v>
      </c>
      <c r="AA286" s="603">
        <v>0</v>
      </c>
    </row>
    <row r="287" spans="1:27" x14ac:dyDescent="0.2">
      <c r="A287" s="591" t="s">
        <v>1359</v>
      </c>
      <c r="B287" s="605" t="s">
        <v>672</v>
      </c>
      <c r="C287" s="585">
        <v>0</v>
      </c>
      <c r="D287" s="585">
        <v>0</v>
      </c>
      <c r="E287" s="585">
        <v>0</v>
      </c>
      <c r="F287" s="585">
        <v>0</v>
      </c>
      <c r="G287" s="585">
        <v>0</v>
      </c>
      <c r="H287" s="603">
        <v>0</v>
      </c>
      <c r="I287" s="603">
        <v>0</v>
      </c>
      <c r="J287" s="603">
        <v>0</v>
      </c>
      <c r="K287" s="603">
        <v>0</v>
      </c>
      <c r="L287" s="603">
        <v>0</v>
      </c>
      <c r="M287" s="603">
        <v>0</v>
      </c>
      <c r="N287" s="603">
        <v>0</v>
      </c>
      <c r="O287" s="603">
        <v>0</v>
      </c>
      <c r="P287" s="603">
        <v>0</v>
      </c>
      <c r="Q287" s="603">
        <v>0</v>
      </c>
      <c r="R287" s="603">
        <v>0</v>
      </c>
      <c r="S287" s="603">
        <v>0</v>
      </c>
      <c r="T287" s="603">
        <v>0</v>
      </c>
      <c r="U287" s="604" t="e">
        <v>#DIV/0!</v>
      </c>
      <c r="V287" s="603">
        <v>0</v>
      </c>
      <c r="W287" s="603">
        <v>0</v>
      </c>
      <c r="X287" s="603">
        <v>0</v>
      </c>
      <c r="Y287" s="603">
        <v>0</v>
      </c>
      <c r="Z287" s="603">
        <v>0</v>
      </c>
      <c r="AA287" s="603">
        <v>0</v>
      </c>
    </row>
    <row r="288" spans="1:27" x14ac:dyDescent="0.2">
      <c r="A288" s="591" t="s">
        <v>1360</v>
      </c>
      <c r="B288" s="605" t="s">
        <v>673</v>
      </c>
      <c r="C288" s="585">
        <v>0</v>
      </c>
      <c r="D288" s="585">
        <v>0</v>
      </c>
      <c r="E288" s="585">
        <v>0</v>
      </c>
      <c r="F288" s="585">
        <v>0</v>
      </c>
      <c r="G288" s="585">
        <v>0</v>
      </c>
      <c r="H288" s="603">
        <v>0</v>
      </c>
      <c r="I288" s="603">
        <v>0</v>
      </c>
      <c r="J288" s="603">
        <v>0</v>
      </c>
      <c r="K288" s="603">
        <v>0</v>
      </c>
      <c r="L288" s="603">
        <v>0</v>
      </c>
      <c r="M288" s="603">
        <v>0</v>
      </c>
      <c r="N288" s="603">
        <v>0</v>
      </c>
      <c r="O288" s="603">
        <v>0</v>
      </c>
      <c r="P288" s="603">
        <v>0</v>
      </c>
      <c r="Q288" s="603">
        <v>0</v>
      </c>
      <c r="R288" s="603">
        <v>0</v>
      </c>
      <c r="S288" s="603">
        <v>0</v>
      </c>
      <c r="T288" s="603">
        <v>0</v>
      </c>
      <c r="U288" s="604" t="e">
        <v>#DIV/0!</v>
      </c>
      <c r="V288" s="603">
        <v>0</v>
      </c>
      <c r="W288" s="603">
        <v>0</v>
      </c>
      <c r="X288" s="603">
        <v>0</v>
      </c>
      <c r="Y288" s="603">
        <v>0</v>
      </c>
      <c r="Z288" s="603">
        <v>0</v>
      </c>
      <c r="AA288" s="603">
        <v>0</v>
      </c>
    </row>
    <row r="289" spans="1:27" x14ac:dyDescent="0.2">
      <c r="A289" s="591" t="s">
        <v>1361</v>
      </c>
      <c r="B289" s="605" t="s">
        <v>674</v>
      </c>
      <c r="C289" s="585">
        <v>0</v>
      </c>
      <c r="D289" s="585">
        <v>0</v>
      </c>
      <c r="E289" s="585">
        <v>0</v>
      </c>
      <c r="F289" s="585">
        <v>0</v>
      </c>
      <c r="G289" s="585">
        <v>0</v>
      </c>
      <c r="H289" s="603">
        <v>0</v>
      </c>
      <c r="I289" s="603">
        <v>0</v>
      </c>
      <c r="J289" s="603">
        <v>0</v>
      </c>
      <c r="K289" s="603">
        <v>0</v>
      </c>
      <c r="L289" s="603">
        <v>0</v>
      </c>
      <c r="M289" s="603">
        <v>0</v>
      </c>
      <c r="N289" s="603">
        <v>0</v>
      </c>
      <c r="O289" s="603">
        <v>0</v>
      </c>
      <c r="P289" s="603">
        <v>0</v>
      </c>
      <c r="Q289" s="603">
        <v>0</v>
      </c>
      <c r="R289" s="603">
        <v>0</v>
      </c>
      <c r="S289" s="603">
        <v>0</v>
      </c>
      <c r="T289" s="603">
        <v>0</v>
      </c>
      <c r="U289" s="604" t="e">
        <v>#DIV/0!</v>
      </c>
      <c r="V289" s="603">
        <v>0</v>
      </c>
      <c r="W289" s="603">
        <v>0</v>
      </c>
      <c r="X289" s="603">
        <v>0</v>
      </c>
      <c r="Y289" s="603">
        <v>0</v>
      </c>
      <c r="Z289" s="603">
        <v>0</v>
      </c>
      <c r="AA289" s="603">
        <v>0</v>
      </c>
    </row>
    <row r="290" spans="1:27" x14ac:dyDescent="0.2">
      <c r="A290" s="591" t="s">
        <v>1362</v>
      </c>
      <c r="B290" s="605" t="s">
        <v>675</v>
      </c>
      <c r="C290" s="585">
        <v>0</v>
      </c>
      <c r="D290" s="585">
        <v>0</v>
      </c>
      <c r="E290" s="585">
        <v>0</v>
      </c>
      <c r="F290" s="585">
        <v>0</v>
      </c>
      <c r="G290" s="585">
        <v>0</v>
      </c>
      <c r="H290" s="603">
        <v>0</v>
      </c>
      <c r="I290" s="603">
        <v>0</v>
      </c>
      <c r="J290" s="603">
        <v>0</v>
      </c>
      <c r="K290" s="603">
        <v>0</v>
      </c>
      <c r="L290" s="603">
        <v>0</v>
      </c>
      <c r="M290" s="603">
        <v>0</v>
      </c>
      <c r="N290" s="603">
        <v>0</v>
      </c>
      <c r="O290" s="603">
        <v>0</v>
      </c>
      <c r="P290" s="603">
        <v>0</v>
      </c>
      <c r="Q290" s="603">
        <v>0</v>
      </c>
      <c r="R290" s="603">
        <v>0</v>
      </c>
      <c r="S290" s="603">
        <v>0</v>
      </c>
      <c r="T290" s="603">
        <v>0</v>
      </c>
      <c r="U290" s="604" t="e">
        <v>#DIV/0!</v>
      </c>
      <c r="V290" s="603">
        <v>0</v>
      </c>
      <c r="W290" s="603">
        <v>0</v>
      </c>
      <c r="X290" s="603">
        <v>0</v>
      </c>
      <c r="Y290" s="603">
        <v>0</v>
      </c>
      <c r="Z290" s="603">
        <v>0</v>
      </c>
      <c r="AA290" s="603">
        <v>0</v>
      </c>
    </row>
    <row r="291" spans="1:27" x14ac:dyDescent="0.2">
      <c r="A291" s="591" t="s">
        <v>1363</v>
      </c>
      <c r="B291" s="605" t="s">
        <v>676</v>
      </c>
      <c r="C291" s="585">
        <v>0</v>
      </c>
      <c r="D291" s="585">
        <v>0</v>
      </c>
      <c r="E291" s="585">
        <v>0</v>
      </c>
      <c r="F291" s="585">
        <v>0</v>
      </c>
      <c r="G291" s="585">
        <v>0</v>
      </c>
      <c r="H291" s="603">
        <v>0</v>
      </c>
      <c r="I291" s="603">
        <v>0</v>
      </c>
      <c r="J291" s="603">
        <v>0</v>
      </c>
      <c r="K291" s="603">
        <v>0</v>
      </c>
      <c r="L291" s="603">
        <v>0</v>
      </c>
      <c r="M291" s="603">
        <v>0</v>
      </c>
      <c r="N291" s="603">
        <v>0</v>
      </c>
      <c r="O291" s="603">
        <v>0</v>
      </c>
      <c r="P291" s="603">
        <v>0</v>
      </c>
      <c r="Q291" s="603">
        <v>0</v>
      </c>
      <c r="R291" s="603">
        <v>0</v>
      </c>
      <c r="S291" s="603">
        <v>0</v>
      </c>
      <c r="T291" s="603">
        <v>0</v>
      </c>
      <c r="U291" s="604" t="e">
        <v>#DIV/0!</v>
      </c>
      <c r="V291" s="603">
        <v>0</v>
      </c>
      <c r="W291" s="603">
        <v>0</v>
      </c>
      <c r="X291" s="603">
        <v>0</v>
      </c>
      <c r="Y291" s="603">
        <v>0</v>
      </c>
      <c r="Z291" s="603">
        <v>0</v>
      </c>
      <c r="AA291" s="603">
        <v>0</v>
      </c>
    </row>
    <row r="292" spans="1:27" x14ac:dyDescent="0.2">
      <c r="A292" s="591" t="s">
        <v>1364</v>
      </c>
      <c r="B292" s="605" t="s">
        <v>677</v>
      </c>
      <c r="C292" s="585">
        <v>0</v>
      </c>
      <c r="D292" s="585">
        <v>0</v>
      </c>
      <c r="E292" s="585">
        <v>0</v>
      </c>
      <c r="F292" s="585">
        <v>0</v>
      </c>
      <c r="G292" s="585">
        <v>0</v>
      </c>
      <c r="H292" s="603">
        <v>0</v>
      </c>
      <c r="I292" s="603">
        <v>0</v>
      </c>
      <c r="J292" s="603">
        <v>0</v>
      </c>
      <c r="K292" s="603">
        <v>0</v>
      </c>
      <c r="L292" s="603">
        <v>0</v>
      </c>
      <c r="M292" s="603">
        <v>0</v>
      </c>
      <c r="N292" s="603">
        <v>0</v>
      </c>
      <c r="O292" s="603">
        <v>0</v>
      </c>
      <c r="P292" s="603">
        <v>0</v>
      </c>
      <c r="Q292" s="603">
        <v>0</v>
      </c>
      <c r="R292" s="603">
        <v>0</v>
      </c>
      <c r="S292" s="603">
        <v>0</v>
      </c>
      <c r="T292" s="603">
        <v>0</v>
      </c>
      <c r="U292" s="604" t="e">
        <v>#DIV/0!</v>
      </c>
      <c r="V292" s="603">
        <v>0</v>
      </c>
      <c r="W292" s="603">
        <v>0</v>
      </c>
      <c r="X292" s="603">
        <v>0</v>
      </c>
      <c r="Y292" s="603">
        <v>0</v>
      </c>
      <c r="Z292" s="603">
        <v>0</v>
      </c>
      <c r="AA292" s="603">
        <v>0</v>
      </c>
    </row>
    <row r="293" spans="1:27" x14ac:dyDescent="0.2">
      <c r="A293" s="591" t="s">
        <v>1365</v>
      </c>
      <c r="B293" s="605" t="s">
        <v>678</v>
      </c>
      <c r="C293" s="585">
        <v>0</v>
      </c>
      <c r="D293" s="585">
        <v>0</v>
      </c>
      <c r="E293" s="585">
        <v>0</v>
      </c>
      <c r="F293" s="585">
        <v>0</v>
      </c>
      <c r="G293" s="585">
        <v>0</v>
      </c>
      <c r="H293" s="603">
        <v>0</v>
      </c>
      <c r="I293" s="603">
        <v>0</v>
      </c>
      <c r="J293" s="603">
        <v>0</v>
      </c>
      <c r="K293" s="603">
        <v>0</v>
      </c>
      <c r="L293" s="603">
        <v>0</v>
      </c>
      <c r="M293" s="603">
        <v>0</v>
      </c>
      <c r="N293" s="603">
        <v>0</v>
      </c>
      <c r="O293" s="603">
        <v>0</v>
      </c>
      <c r="P293" s="603">
        <v>0</v>
      </c>
      <c r="Q293" s="603">
        <v>0</v>
      </c>
      <c r="R293" s="603">
        <v>0</v>
      </c>
      <c r="S293" s="603">
        <v>0</v>
      </c>
      <c r="T293" s="603">
        <v>0</v>
      </c>
      <c r="U293" s="604" t="e">
        <v>#DIV/0!</v>
      </c>
      <c r="V293" s="603">
        <v>0</v>
      </c>
      <c r="W293" s="603">
        <v>0</v>
      </c>
      <c r="X293" s="603">
        <v>0</v>
      </c>
      <c r="Y293" s="603">
        <v>0</v>
      </c>
      <c r="Z293" s="603">
        <v>0</v>
      </c>
      <c r="AA293" s="603">
        <v>0</v>
      </c>
    </row>
    <row r="294" spans="1:27" x14ac:dyDescent="0.2">
      <c r="A294" s="591" t="s">
        <v>1366</v>
      </c>
      <c r="B294" s="605" t="s">
        <v>679</v>
      </c>
      <c r="C294" s="585">
        <v>0</v>
      </c>
      <c r="D294" s="585">
        <v>0</v>
      </c>
      <c r="E294" s="585">
        <v>0</v>
      </c>
      <c r="F294" s="585">
        <v>0</v>
      </c>
      <c r="G294" s="585">
        <v>0</v>
      </c>
      <c r="H294" s="603">
        <v>0</v>
      </c>
      <c r="I294" s="603">
        <v>0</v>
      </c>
      <c r="J294" s="603">
        <v>0</v>
      </c>
      <c r="K294" s="603">
        <v>0</v>
      </c>
      <c r="L294" s="603">
        <v>0</v>
      </c>
      <c r="M294" s="603">
        <v>0</v>
      </c>
      <c r="N294" s="603">
        <v>0</v>
      </c>
      <c r="O294" s="603">
        <v>0</v>
      </c>
      <c r="P294" s="603">
        <v>0</v>
      </c>
      <c r="Q294" s="603">
        <v>0</v>
      </c>
      <c r="R294" s="603">
        <v>0</v>
      </c>
      <c r="S294" s="603">
        <v>0</v>
      </c>
      <c r="T294" s="603">
        <v>0</v>
      </c>
      <c r="U294" s="604" t="e">
        <v>#DIV/0!</v>
      </c>
      <c r="V294" s="603">
        <v>0</v>
      </c>
      <c r="W294" s="603">
        <v>0</v>
      </c>
      <c r="X294" s="603">
        <v>0</v>
      </c>
      <c r="Y294" s="603">
        <v>0</v>
      </c>
      <c r="Z294" s="603">
        <v>0</v>
      </c>
      <c r="AA294" s="603">
        <v>0</v>
      </c>
    </row>
    <row r="295" spans="1:27" x14ac:dyDescent="0.2">
      <c r="A295" s="591" t="s">
        <v>1367</v>
      </c>
      <c r="B295" s="605" t="s">
        <v>680</v>
      </c>
      <c r="C295" s="585">
        <v>0</v>
      </c>
      <c r="D295" s="585">
        <v>0</v>
      </c>
      <c r="E295" s="585">
        <v>0</v>
      </c>
      <c r="F295" s="585">
        <v>0</v>
      </c>
      <c r="G295" s="585">
        <v>0</v>
      </c>
      <c r="H295" s="603">
        <v>0</v>
      </c>
      <c r="I295" s="603">
        <v>0</v>
      </c>
      <c r="J295" s="603">
        <v>0</v>
      </c>
      <c r="K295" s="603">
        <v>0</v>
      </c>
      <c r="L295" s="603">
        <v>0</v>
      </c>
      <c r="M295" s="603">
        <v>0</v>
      </c>
      <c r="N295" s="603">
        <v>0</v>
      </c>
      <c r="O295" s="603">
        <v>0</v>
      </c>
      <c r="P295" s="603">
        <v>0</v>
      </c>
      <c r="Q295" s="603">
        <v>0</v>
      </c>
      <c r="R295" s="603">
        <v>0</v>
      </c>
      <c r="S295" s="603">
        <v>0</v>
      </c>
      <c r="T295" s="603">
        <v>0</v>
      </c>
      <c r="U295" s="604" t="e">
        <v>#DIV/0!</v>
      </c>
      <c r="V295" s="603">
        <v>0</v>
      </c>
      <c r="W295" s="603">
        <v>0</v>
      </c>
      <c r="X295" s="603">
        <v>0</v>
      </c>
      <c r="Y295" s="603">
        <v>0</v>
      </c>
      <c r="Z295" s="603">
        <v>0</v>
      </c>
      <c r="AA295" s="603">
        <v>0</v>
      </c>
    </row>
    <row r="296" spans="1:27" x14ac:dyDescent="0.2">
      <c r="A296" s="591" t="s">
        <v>1368</v>
      </c>
      <c r="B296" s="605" t="s">
        <v>681</v>
      </c>
      <c r="C296" s="585">
        <v>0</v>
      </c>
      <c r="D296" s="585">
        <v>0</v>
      </c>
      <c r="E296" s="585">
        <v>0</v>
      </c>
      <c r="F296" s="585">
        <v>0</v>
      </c>
      <c r="G296" s="585">
        <v>0</v>
      </c>
      <c r="H296" s="603">
        <v>0</v>
      </c>
      <c r="I296" s="603">
        <v>0</v>
      </c>
      <c r="J296" s="603">
        <v>0</v>
      </c>
      <c r="K296" s="603">
        <v>0</v>
      </c>
      <c r="L296" s="603">
        <v>0</v>
      </c>
      <c r="M296" s="603">
        <v>0</v>
      </c>
      <c r="N296" s="603">
        <v>0</v>
      </c>
      <c r="O296" s="603">
        <v>0</v>
      </c>
      <c r="P296" s="603">
        <v>0</v>
      </c>
      <c r="Q296" s="603">
        <v>0</v>
      </c>
      <c r="R296" s="603">
        <v>0</v>
      </c>
      <c r="S296" s="603">
        <v>0</v>
      </c>
      <c r="T296" s="603">
        <v>0</v>
      </c>
      <c r="U296" s="604" t="e">
        <v>#DIV/0!</v>
      </c>
      <c r="V296" s="603">
        <v>0</v>
      </c>
      <c r="W296" s="603">
        <v>0</v>
      </c>
      <c r="X296" s="603">
        <v>0</v>
      </c>
      <c r="Y296" s="603">
        <v>0</v>
      </c>
      <c r="Z296" s="603">
        <v>0</v>
      </c>
      <c r="AA296" s="603">
        <v>0</v>
      </c>
    </row>
    <row r="297" spans="1:27" x14ac:dyDescent="0.2">
      <c r="A297" s="591" t="s">
        <v>1369</v>
      </c>
      <c r="B297" s="605" t="s">
        <v>682</v>
      </c>
      <c r="C297" s="585">
        <v>0</v>
      </c>
      <c r="D297" s="585">
        <v>0</v>
      </c>
      <c r="E297" s="585">
        <v>0</v>
      </c>
      <c r="F297" s="585">
        <v>0</v>
      </c>
      <c r="G297" s="585">
        <v>0</v>
      </c>
      <c r="H297" s="603">
        <v>0</v>
      </c>
      <c r="I297" s="603">
        <v>0</v>
      </c>
      <c r="J297" s="603">
        <v>0</v>
      </c>
      <c r="K297" s="603">
        <v>0</v>
      </c>
      <c r="L297" s="603">
        <v>0</v>
      </c>
      <c r="M297" s="603">
        <v>0</v>
      </c>
      <c r="N297" s="603">
        <v>0</v>
      </c>
      <c r="O297" s="603">
        <v>0</v>
      </c>
      <c r="P297" s="603">
        <v>0</v>
      </c>
      <c r="Q297" s="603">
        <v>0</v>
      </c>
      <c r="R297" s="603">
        <v>0</v>
      </c>
      <c r="S297" s="603">
        <v>0</v>
      </c>
      <c r="T297" s="603">
        <v>0</v>
      </c>
      <c r="U297" s="604" t="e">
        <v>#DIV/0!</v>
      </c>
      <c r="V297" s="603">
        <v>0</v>
      </c>
      <c r="W297" s="603">
        <v>0</v>
      </c>
      <c r="X297" s="603">
        <v>0</v>
      </c>
      <c r="Y297" s="603">
        <v>0</v>
      </c>
      <c r="Z297" s="603">
        <v>0</v>
      </c>
      <c r="AA297" s="603">
        <v>0</v>
      </c>
    </row>
    <row r="298" spans="1:27" x14ac:dyDescent="0.2">
      <c r="A298" s="591" t="s">
        <v>1370</v>
      </c>
      <c r="B298" s="605" t="s">
        <v>683</v>
      </c>
      <c r="C298" s="585">
        <v>0</v>
      </c>
      <c r="D298" s="585">
        <v>0</v>
      </c>
      <c r="E298" s="585">
        <v>0</v>
      </c>
      <c r="F298" s="585">
        <v>0</v>
      </c>
      <c r="G298" s="585">
        <v>0</v>
      </c>
      <c r="H298" s="603">
        <v>0</v>
      </c>
      <c r="I298" s="603">
        <v>0</v>
      </c>
      <c r="J298" s="603">
        <v>0</v>
      </c>
      <c r="K298" s="603">
        <v>0</v>
      </c>
      <c r="L298" s="603">
        <v>0</v>
      </c>
      <c r="M298" s="603">
        <v>0</v>
      </c>
      <c r="N298" s="603">
        <v>0</v>
      </c>
      <c r="O298" s="603">
        <v>0</v>
      </c>
      <c r="P298" s="603">
        <v>0</v>
      </c>
      <c r="Q298" s="603">
        <v>0</v>
      </c>
      <c r="R298" s="603">
        <v>0</v>
      </c>
      <c r="S298" s="603">
        <v>0</v>
      </c>
      <c r="T298" s="603">
        <v>0</v>
      </c>
      <c r="U298" s="604" t="e">
        <v>#DIV/0!</v>
      </c>
      <c r="V298" s="603">
        <v>0</v>
      </c>
      <c r="W298" s="603">
        <v>0</v>
      </c>
      <c r="X298" s="603">
        <v>0</v>
      </c>
      <c r="Y298" s="603">
        <v>0</v>
      </c>
      <c r="Z298" s="603">
        <v>0</v>
      </c>
      <c r="AA298" s="603">
        <v>0</v>
      </c>
    </row>
    <row r="299" spans="1:27" x14ac:dyDescent="0.2">
      <c r="A299" s="591"/>
      <c r="B299" s="609" t="s">
        <v>684</v>
      </c>
      <c r="C299" s="610">
        <v>0</v>
      </c>
      <c r="D299" s="610">
        <v>0</v>
      </c>
      <c r="E299" s="610">
        <v>0</v>
      </c>
      <c r="F299" s="610">
        <v>0</v>
      </c>
      <c r="G299" s="610">
        <v>0</v>
      </c>
      <c r="H299" s="610">
        <v>0</v>
      </c>
      <c r="I299" s="610">
        <v>0</v>
      </c>
      <c r="J299" s="610">
        <v>0</v>
      </c>
      <c r="K299" s="610">
        <v>0</v>
      </c>
      <c r="L299" s="610">
        <v>0</v>
      </c>
      <c r="M299" s="610">
        <v>0</v>
      </c>
      <c r="N299" s="610">
        <v>0</v>
      </c>
      <c r="O299" s="610">
        <v>0</v>
      </c>
      <c r="P299" s="610">
        <v>0</v>
      </c>
      <c r="Q299" s="610">
        <v>0</v>
      </c>
      <c r="R299" s="610">
        <v>0</v>
      </c>
      <c r="S299" s="610">
        <v>0</v>
      </c>
      <c r="T299" s="611">
        <v>0</v>
      </c>
      <c r="U299" s="612" t="e">
        <v>#DIV/0!</v>
      </c>
      <c r="V299" s="611">
        <v>0</v>
      </c>
      <c r="W299" s="611">
        <v>0</v>
      </c>
      <c r="X299" s="611">
        <v>0</v>
      </c>
      <c r="Y299" s="611">
        <v>0</v>
      </c>
      <c r="Z299" s="611">
        <v>0</v>
      </c>
      <c r="AA299" s="611">
        <v>0</v>
      </c>
    </row>
    <row r="300" spans="1:27" s="601" customFormat="1" x14ac:dyDescent="0.2">
      <c r="A300" s="591" t="s">
        <v>1371</v>
      </c>
      <c r="B300" s="597" t="s">
        <v>685</v>
      </c>
      <c r="C300" s="586">
        <v>0</v>
      </c>
      <c r="D300" s="586">
        <v>0</v>
      </c>
      <c r="E300" s="586">
        <v>0</v>
      </c>
      <c r="F300" s="586">
        <v>0</v>
      </c>
      <c r="G300" s="586">
        <v>0</v>
      </c>
      <c r="H300" s="599">
        <v>0</v>
      </c>
      <c r="I300" s="599">
        <v>0</v>
      </c>
      <c r="J300" s="599">
        <v>0</v>
      </c>
      <c r="K300" s="599">
        <v>0</v>
      </c>
      <c r="L300" s="599">
        <v>0</v>
      </c>
      <c r="M300" s="599">
        <v>0</v>
      </c>
      <c r="N300" s="599">
        <v>0</v>
      </c>
      <c r="O300" s="599">
        <v>0</v>
      </c>
      <c r="P300" s="599">
        <v>0</v>
      </c>
      <c r="Q300" s="599">
        <v>0</v>
      </c>
      <c r="R300" s="599">
        <v>0</v>
      </c>
      <c r="S300" s="599">
        <v>0</v>
      </c>
      <c r="T300" s="599">
        <v>0</v>
      </c>
      <c r="U300" s="600" t="e">
        <v>#DIV/0!</v>
      </c>
      <c r="V300" s="599">
        <v>0</v>
      </c>
      <c r="W300" s="599">
        <v>0</v>
      </c>
      <c r="X300" s="599">
        <v>0</v>
      </c>
      <c r="Y300" s="599">
        <v>0</v>
      </c>
      <c r="Z300" s="599">
        <v>0</v>
      </c>
      <c r="AA300" s="599">
        <v>0</v>
      </c>
    </row>
    <row r="301" spans="1:27" x14ac:dyDescent="0.2">
      <c r="A301" s="591"/>
      <c r="B301" s="597" t="s">
        <v>686</v>
      </c>
      <c r="C301" s="598">
        <v>0</v>
      </c>
      <c r="D301" s="598">
        <v>0</v>
      </c>
      <c r="E301" s="598">
        <v>0</v>
      </c>
      <c r="F301" s="598">
        <v>0</v>
      </c>
      <c r="G301" s="598">
        <v>0</v>
      </c>
      <c r="H301" s="598">
        <v>0</v>
      </c>
      <c r="I301" s="598">
        <v>0</v>
      </c>
      <c r="J301" s="598">
        <v>0</v>
      </c>
      <c r="K301" s="598">
        <v>0</v>
      </c>
      <c r="L301" s="598">
        <v>0</v>
      </c>
      <c r="M301" s="598">
        <v>0</v>
      </c>
      <c r="N301" s="598">
        <v>0</v>
      </c>
      <c r="O301" s="598">
        <v>0</v>
      </c>
      <c r="P301" s="598">
        <v>0</v>
      </c>
      <c r="Q301" s="598">
        <v>0</v>
      </c>
      <c r="R301" s="598">
        <v>0</v>
      </c>
      <c r="S301" s="598">
        <v>0</v>
      </c>
      <c r="T301" s="599">
        <v>0</v>
      </c>
      <c r="U301" s="600" t="e">
        <v>#DIV/0!</v>
      </c>
      <c r="V301" s="599">
        <v>0</v>
      </c>
      <c r="W301" s="599">
        <v>0</v>
      </c>
      <c r="X301" s="599">
        <v>0</v>
      </c>
      <c r="Y301" s="599">
        <v>0</v>
      </c>
      <c r="Z301" s="599">
        <v>0</v>
      </c>
      <c r="AA301" s="599">
        <v>0</v>
      </c>
    </row>
    <row r="302" spans="1:27" ht="24" x14ac:dyDescent="0.2">
      <c r="A302" s="591" t="s">
        <v>1372</v>
      </c>
      <c r="B302" s="605" t="s">
        <v>687</v>
      </c>
      <c r="C302" s="585">
        <v>0</v>
      </c>
      <c r="D302" s="585">
        <v>0</v>
      </c>
      <c r="E302" s="585">
        <v>0</v>
      </c>
      <c r="F302" s="585">
        <v>0</v>
      </c>
      <c r="G302" s="585">
        <v>0</v>
      </c>
      <c r="H302" s="603">
        <v>0</v>
      </c>
      <c r="I302" s="603">
        <v>0</v>
      </c>
      <c r="J302" s="603">
        <v>0</v>
      </c>
      <c r="K302" s="603">
        <v>0</v>
      </c>
      <c r="L302" s="603">
        <v>0</v>
      </c>
      <c r="M302" s="603">
        <v>0</v>
      </c>
      <c r="N302" s="603">
        <v>0</v>
      </c>
      <c r="O302" s="603">
        <v>0</v>
      </c>
      <c r="P302" s="603">
        <v>0</v>
      </c>
      <c r="Q302" s="603">
        <v>0</v>
      </c>
      <c r="R302" s="603">
        <v>0</v>
      </c>
      <c r="S302" s="603">
        <v>0</v>
      </c>
      <c r="T302" s="603">
        <v>0</v>
      </c>
      <c r="U302" s="604" t="e">
        <v>#DIV/0!</v>
      </c>
      <c r="V302" s="603">
        <v>0</v>
      </c>
      <c r="W302" s="603">
        <v>0</v>
      </c>
      <c r="X302" s="603">
        <v>0</v>
      </c>
      <c r="Y302" s="603">
        <v>0</v>
      </c>
      <c r="Z302" s="603">
        <v>0</v>
      </c>
      <c r="AA302" s="603">
        <v>0</v>
      </c>
    </row>
    <row r="303" spans="1:27" x14ac:dyDescent="0.2">
      <c r="A303" s="591" t="s">
        <v>1373</v>
      </c>
      <c r="B303" s="605" t="s">
        <v>688</v>
      </c>
      <c r="C303" s="585">
        <v>0</v>
      </c>
      <c r="D303" s="585">
        <v>0</v>
      </c>
      <c r="E303" s="585">
        <v>0</v>
      </c>
      <c r="F303" s="585">
        <v>0</v>
      </c>
      <c r="G303" s="585">
        <v>0</v>
      </c>
      <c r="H303" s="603">
        <v>0</v>
      </c>
      <c r="I303" s="603">
        <v>0</v>
      </c>
      <c r="J303" s="603">
        <v>0</v>
      </c>
      <c r="K303" s="603">
        <v>0</v>
      </c>
      <c r="L303" s="603">
        <v>0</v>
      </c>
      <c r="M303" s="603">
        <v>0</v>
      </c>
      <c r="N303" s="603">
        <v>0</v>
      </c>
      <c r="O303" s="603">
        <v>0</v>
      </c>
      <c r="P303" s="603">
        <v>0</v>
      </c>
      <c r="Q303" s="603">
        <v>0</v>
      </c>
      <c r="R303" s="603">
        <v>0</v>
      </c>
      <c r="S303" s="603">
        <v>0</v>
      </c>
      <c r="T303" s="603">
        <v>0</v>
      </c>
      <c r="U303" s="604" t="e">
        <v>#DIV/0!</v>
      </c>
      <c r="V303" s="603">
        <v>0</v>
      </c>
      <c r="W303" s="603">
        <v>0</v>
      </c>
      <c r="X303" s="603">
        <v>0</v>
      </c>
      <c r="Y303" s="603">
        <v>0</v>
      </c>
      <c r="Z303" s="603">
        <v>0</v>
      </c>
      <c r="AA303" s="603">
        <v>0</v>
      </c>
    </row>
    <row r="304" spans="1:27" x14ac:dyDescent="0.2">
      <c r="A304" s="591" t="s">
        <v>1374</v>
      </c>
      <c r="B304" s="605" t="s">
        <v>689</v>
      </c>
      <c r="C304" s="585">
        <v>0</v>
      </c>
      <c r="D304" s="585">
        <v>0</v>
      </c>
      <c r="E304" s="585">
        <v>0</v>
      </c>
      <c r="F304" s="585">
        <v>0</v>
      </c>
      <c r="G304" s="585">
        <v>0</v>
      </c>
      <c r="H304" s="603">
        <v>0</v>
      </c>
      <c r="I304" s="603">
        <v>0</v>
      </c>
      <c r="J304" s="603">
        <v>0</v>
      </c>
      <c r="K304" s="603">
        <v>0</v>
      </c>
      <c r="L304" s="603">
        <v>0</v>
      </c>
      <c r="M304" s="603">
        <v>0</v>
      </c>
      <c r="N304" s="603">
        <v>0</v>
      </c>
      <c r="O304" s="603">
        <v>0</v>
      </c>
      <c r="P304" s="603">
        <v>0</v>
      </c>
      <c r="Q304" s="603">
        <v>0</v>
      </c>
      <c r="R304" s="603">
        <v>0</v>
      </c>
      <c r="S304" s="603">
        <v>0</v>
      </c>
      <c r="T304" s="603">
        <v>0</v>
      </c>
      <c r="U304" s="604" t="e">
        <v>#DIV/0!</v>
      </c>
      <c r="V304" s="603">
        <v>0</v>
      </c>
      <c r="W304" s="603">
        <v>0</v>
      </c>
      <c r="X304" s="603">
        <v>0</v>
      </c>
      <c r="Y304" s="603">
        <v>0</v>
      </c>
      <c r="Z304" s="603">
        <v>0</v>
      </c>
      <c r="AA304" s="603">
        <v>0</v>
      </c>
    </row>
    <row r="305" spans="1:27" x14ac:dyDescent="0.2">
      <c r="A305" s="591"/>
      <c r="B305" s="597" t="s">
        <v>690</v>
      </c>
      <c r="C305" s="598">
        <v>0</v>
      </c>
      <c r="D305" s="598">
        <v>0</v>
      </c>
      <c r="E305" s="598">
        <v>0</v>
      </c>
      <c r="F305" s="598">
        <v>0</v>
      </c>
      <c r="G305" s="598">
        <v>0</v>
      </c>
      <c r="H305" s="598">
        <v>0</v>
      </c>
      <c r="I305" s="598">
        <v>0</v>
      </c>
      <c r="J305" s="598">
        <v>0</v>
      </c>
      <c r="K305" s="598">
        <v>0</v>
      </c>
      <c r="L305" s="598">
        <v>0</v>
      </c>
      <c r="M305" s="598">
        <v>0</v>
      </c>
      <c r="N305" s="598">
        <v>0</v>
      </c>
      <c r="O305" s="598">
        <v>0</v>
      </c>
      <c r="P305" s="598">
        <v>0</v>
      </c>
      <c r="Q305" s="598">
        <v>0</v>
      </c>
      <c r="R305" s="598">
        <v>0</v>
      </c>
      <c r="S305" s="598">
        <v>0</v>
      </c>
      <c r="T305" s="599">
        <v>0</v>
      </c>
      <c r="U305" s="600" t="e">
        <v>#DIV/0!</v>
      </c>
      <c r="V305" s="599">
        <v>0</v>
      </c>
      <c r="W305" s="599">
        <v>0</v>
      </c>
      <c r="X305" s="599">
        <v>0</v>
      </c>
      <c r="Y305" s="599">
        <v>0</v>
      </c>
      <c r="Z305" s="599">
        <v>0</v>
      </c>
      <c r="AA305" s="599">
        <v>0</v>
      </c>
    </row>
    <row r="306" spans="1:27" x14ac:dyDescent="0.2">
      <c r="A306" s="591" t="s">
        <v>1375</v>
      </c>
      <c r="B306" s="605" t="s">
        <v>691</v>
      </c>
      <c r="C306" s="585">
        <v>0</v>
      </c>
      <c r="D306" s="585">
        <v>0</v>
      </c>
      <c r="E306" s="585">
        <v>0</v>
      </c>
      <c r="F306" s="585">
        <v>0</v>
      </c>
      <c r="G306" s="585">
        <v>0</v>
      </c>
      <c r="H306" s="603">
        <v>0</v>
      </c>
      <c r="I306" s="603">
        <v>0</v>
      </c>
      <c r="J306" s="603">
        <v>0</v>
      </c>
      <c r="K306" s="603">
        <v>0</v>
      </c>
      <c r="L306" s="603">
        <v>0</v>
      </c>
      <c r="M306" s="603">
        <v>0</v>
      </c>
      <c r="N306" s="603">
        <v>0</v>
      </c>
      <c r="O306" s="603">
        <v>0</v>
      </c>
      <c r="P306" s="603">
        <v>0</v>
      </c>
      <c r="Q306" s="603">
        <v>0</v>
      </c>
      <c r="R306" s="603">
        <v>0</v>
      </c>
      <c r="S306" s="603">
        <v>0</v>
      </c>
      <c r="T306" s="603">
        <v>0</v>
      </c>
      <c r="U306" s="604" t="e">
        <v>#DIV/0!</v>
      </c>
      <c r="V306" s="603">
        <v>0</v>
      </c>
      <c r="W306" s="603">
        <v>0</v>
      </c>
      <c r="X306" s="603">
        <v>0</v>
      </c>
      <c r="Y306" s="603">
        <v>0</v>
      </c>
      <c r="Z306" s="603">
        <v>0</v>
      </c>
      <c r="AA306" s="603">
        <v>0</v>
      </c>
    </row>
    <row r="307" spans="1:27" x14ac:dyDescent="0.2">
      <c r="A307" s="591" t="s">
        <v>1376</v>
      </c>
      <c r="B307" s="605" t="s">
        <v>692</v>
      </c>
      <c r="C307" s="585">
        <v>0</v>
      </c>
      <c r="D307" s="585">
        <v>0</v>
      </c>
      <c r="E307" s="585">
        <v>0</v>
      </c>
      <c r="F307" s="585">
        <v>0</v>
      </c>
      <c r="G307" s="585">
        <v>0</v>
      </c>
      <c r="H307" s="603">
        <v>0</v>
      </c>
      <c r="I307" s="603">
        <v>0</v>
      </c>
      <c r="J307" s="603">
        <v>0</v>
      </c>
      <c r="K307" s="603">
        <v>0</v>
      </c>
      <c r="L307" s="603">
        <v>0</v>
      </c>
      <c r="M307" s="603">
        <v>0</v>
      </c>
      <c r="N307" s="603">
        <v>0</v>
      </c>
      <c r="O307" s="603">
        <v>0</v>
      </c>
      <c r="P307" s="603">
        <v>0</v>
      </c>
      <c r="Q307" s="603">
        <v>0</v>
      </c>
      <c r="R307" s="603">
        <v>0</v>
      </c>
      <c r="S307" s="603">
        <v>0</v>
      </c>
      <c r="T307" s="603">
        <v>0</v>
      </c>
      <c r="U307" s="604" t="e">
        <v>#DIV/0!</v>
      </c>
      <c r="V307" s="603">
        <v>0</v>
      </c>
      <c r="W307" s="603">
        <v>0</v>
      </c>
      <c r="X307" s="603">
        <v>0</v>
      </c>
      <c r="Y307" s="603">
        <v>0</v>
      </c>
      <c r="Z307" s="603">
        <v>0</v>
      </c>
      <c r="AA307" s="603">
        <v>0</v>
      </c>
    </row>
    <row r="308" spans="1:27" x14ac:dyDescent="0.2">
      <c r="A308" s="591" t="s">
        <v>1377</v>
      </c>
      <c r="B308" s="605" t="s">
        <v>693</v>
      </c>
      <c r="C308" s="585">
        <v>0</v>
      </c>
      <c r="D308" s="585">
        <v>0</v>
      </c>
      <c r="E308" s="585">
        <v>0</v>
      </c>
      <c r="F308" s="585">
        <v>0</v>
      </c>
      <c r="G308" s="585">
        <v>0</v>
      </c>
      <c r="H308" s="603">
        <v>0</v>
      </c>
      <c r="I308" s="603">
        <v>0</v>
      </c>
      <c r="J308" s="603">
        <v>0</v>
      </c>
      <c r="K308" s="603">
        <v>0</v>
      </c>
      <c r="L308" s="603">
        <v>0</v>
      </c>
      <c r="M308" s="603">
        <v>0</v>
      </c>
      <c r="N308" s="603">
        <v>0</v>
      </c>
      <c r="O308" s="603">
        <v>0</v>
      </c>
      <c r="P308" s="603">
        <v>0</v>
      </c>
      <c r="Q308" s="603">
        <v>0</v>
      </c>
      <c r="R308" s="603">
        <v>0</v>
      </c>
      <c r="S308" s="603">
        <v>0</v>
      </c>
      <c r="T308" s="603">
        <v>0</v>
      </c>
      <c r="U308" s="604" t="e">
        <v>#DIV/0!</v>
      </c>
      <c r="V308" s="603">
        <v>0</v>
      </c>
      <c r="W308" s="603">
        <v>0</v>
      </c>
      <c r="X308" s="603">
        <v>0</v>
      </c>
      <c r="Y308" s="603">
        <v>0</v>
      </c>
      <c r="Z308" s="603">
        <v>0</v>
      </c>
      <c r="AA308" s="603">
        <v>0</v>
      </c>
    </row>
    <row r="309" spans="1:27" s="601" customFormat="1" x14ac:dyDescent="0.2">
      <c r="A309" s="591" t="s">
        <v>1378</v>
      </c>
      <c r="B309" s="597" t="s">
        <v>694</v>
      </c>
      <c r="C309" s="586">
        <v>0</v>
      </c>
      <c r="D309" s="586">
        <v>0</v>
      </c>
      <c r="E309" s="586">
        <v>0</v>
      </c>
      <c r="F309" s="586">
        <v>0</v>
      </c>
      <c r="G309" s="586">
        <v>0</v>
      </c>
      <c r="H309" s="599">
        <v>0</v>
      </c>
      <c r="I309" s="599">
        <v>0</v>
      </c>
      <c r="J309" s="599">
        <v>0</v>
      </c>
      <c r="K309" s="599">
        <v>0</v>
      </c>
      <c r="L309" s="599">
        <v>0</v>
      </c>
      <c r="M309" s="599">
        <v>0</v>
      </c>
      <c r="N309" s="599">
        <v>0</v>
      </c>
      <c r="O309" s="599">
        <v>0</v>
      </c>
      <c r="P309" s="599">
        <v>0</v>
      </c>
      <c r="Q309" s="599">
        <v>0</v>
      </c>
      <c r="R309" s="599">
        <v>0</v>
      </c>
      <c r="S309" s="599">
        <v>0</v>
      </c>
      <c r="T309" s="599">
        <v>0</v>
      </c>
      <c r="U309" s="600" t="e">
        <v>#DIV/0!</v>
      </c>
      <c r="V309" s="599">
        <v>0</v>
      </c>
      <c r="W309" s="599">
        <v>0</v>
      </c>
      <c r="X309" s="599">
        <v>0</v>
      </c>
      <c r="Y309" s="599">
        <v>0</v>
      </c>
      <c r="Z309" s="599">
        <v>0</v>
      </c>
      <c r="AA309" s="599">
        <v>0</v>
      </c>
    </row>
    <row r="310" spans="1:27" s="601" customFormat="1" x14ac:dyDescent="0.2">
      <c r="A310" s="613"/>
      <c r="B310" s="614" t="s">
        <v>35</v>
      </c>
      <c r="C310" s="615">
        <v>188177</v>
      </c>
      <c r="D310" s="615">
        <v>188177</v>
      </c>
      <c r="E310" s="615">
        <v>159807</v>
      </c>
      <c r="F310" s="615">
        <v>103398.51</v>
      </c>
      <c r="G310" s="615">
        <v>90828.329999999987</v>
      </c>
      <c r="H310" s="615">
        <v>0.5</v>
      </c>
      <c r="I310" s="615">
        <v>44190.69</v>
      </c>
      <c r="J310" s="615">
        <v>1094.71</v>
      </c>
      <c r="K310" s="615">
        <v>11912.43</v>
      </c>
      <c r="L310" s="615">
        <v>1044.26</v>
      </c>
      <c r="M310" s="615">
        <v>11098.130000000001</v>
      </c>
      <c r="N310" s="615">
        <v>3970.75</v>
      </c>
      <c r="O310" s="615">
        <v>3506.35</v>
      </c>
      <c r="P310" s="615">
        <v>14010.51</v>
      </c>
      <c r="Q310" s="615">
        <v>0</v>
      </c>
      <c r="R310" s="615">
        <v>0</v>
      </c>
      <c r="S310" s="615">
        <v>0</v>
      </c>
      <c r="T310" s="616">
        <v>90828.33</v>
      </c>
      <c r="U310" s="617">
        <v>0.48267498153334359</v>
      </c>
      <c r="V310" s="616">
        <v>97348.67</v>
      </c>
      <c r="W310" s="616">
        <v>28370</v>
      </c>
      <c r="X310" s="616">
        <v>84778.49</v>
      </c>
      <c r="Y310" s="616">
        <v>56408.490000000005</v>
      </c>
      <c r="Z310" s="616">
        <v>12570.180000000008</v>
      </c>
      <c r="AA310" s="616">
        <v>0</v>
      </c>
    </row>
    <row r="311" spans="1:27" x14ac:dyDescent="0.2">
      <c r="A311" s="591"/>
      <c r="B311" s="618" t="s">
        <v>1379</v>
      </c>
      <c r="C311" s="619">
        <v>188177</v>
      </c>
      <c r="D311" s="619">
        <v>188177</v>
      </c>
      <c r="E311" s="619">
        <v>159807</v>
      </c>
      <c r="F311" s="619">
        <v>103398.51</v>
      </c>
      <c r="G311" s="619">
        <v>90828.329999999987</v>
      </c>
      <c r="H311" s="619">
        <v>0.5</v>
      </c>
      <c r="I311" s="619">
        <v>44190.69</v>
      </c>
      <c r="J311" s="619">
        <v>1094.71</v>
      </c>
      <c r="K311" s="619">
        <v>11912.43</v>
      </c>
      <c r="L311" s="619">
        <v>1044.26</v>
      </c>
      <c r="M311" s="619">
        <v>11098.130000000001</v>
      </c>
      <c r="N311" s="619">
        <v>3970.75</v>
      </c>
      <c r="O311" s="619">
        <v>3506.35</v>
      </c>
      <c r="P311" s="619">
        <v>14010.51</v>
      </c>
      <c r="Q311" s="619">
        <v>0</v>
      </c>
      <c r="R311" s="619">
        <v>0</v>
      </c>
      <c r="S311" s="619">
        <v>0</v>
      </c>
      <c r="T311" s="620">
        <v>90828.33</v>
      </c>
      <c r="U311" s="621">
        <v>0.48267498153334359</v>
      </c>
      <c r="V311" s="620">
        <v>97348.67</v>
      </c>
      <c r="W311" s="620">
        <v>28370</v>
      </c>
      <c r="X311" s="620">
        <v>84778.49</v>
      </c>
      <c r="Y311" s="620">
        <v>56408.490000000005</v>
      </c>
      <c r="Z311" s="620">
        <v>12570.180000000008</v>
      </c>
      <c r="AA311" s="620">
        <v>0</v>
      </c>
    </row>
    <row r="312" spans="1:27" x14ac:dyDescent="0.2">
      <c r="A312" s="591"/>
      <c r="B312" s="622" t="s">
        <v>74</v>
      </c>
      <c r="C312" s="623">
        <v>188177</v>
      </c>
      <c r="D312" s="623">
        <v>188177</v>
      </c>
      <c r="E312" s="623">
        <v>159807</v>
      </c>
      <c r="F312" s="623">
        <v>103398.51</v>
      </c>
      <c r="G312" s="623">
        <v>90828.329999999987</v>
      </c>
      <c r="H312" s="623">
        <v>0.5</v>
      </c>
      <c r="I312" s="623">
        <v>44190.69</v>
      </c>
      <c r="J312" s="623">
        <v>1094.71</v>
      </c>
      <c r="K312" s="623">
        <v>11912.43</v>
      </c>
      <c r="L312" s="623">
        <v>1044.26</v>
      </c>
      <c r="M312" s="623">
        <v>11098.130000000001</v>
      </c>
      <c r="N312" s="623">
        <v>3970.75</v>
      </c>
      <c r="O312" s="623">
        <v>3506.35</v>
      </c>
      <c r="P312" s="623">
        <v>14010.51</v>
      </c>
      <c r="Q312" s="623">
        <v>0</v>
      </c>
      <c r="R312" s="623">
        <v>0</v>
      </c>
      <c r="S312" s="623">
        <v>0</v>
      </c>
      <c r="T312" s="624">
        <v>90828.33</v>
      </c>
      <c r="U312" s="625">
        <v>0.48267498153334359</v>
      </c>
      <c r="V312" s="624">
        <v>97348.67</v>
      </c>
      <c r="W312" s="624">
        <v>28370</v>
      </c>
      <c r="X312" s="624">
        <v>84778.49</v>
      </c>
      <c r="Y312" s="624">
        <v>56408.490000000005</v>
      </c>
      <c r="Z312" s="624">
        <v>12570.180000000008</v>
      </c>
      <c r="AA312" s="624">
        <v>0</v>
      </c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O10:O11"/>
    <mergeCell ref="P10:P11"/>
    <mergeCell ref="Q10:Q11"/>
    <mergeCell ref="R10:R11"/>
    <mergeCell ref="S10:S11"/>
    <mergeCell ref="V10:V11"/>
    <mergeCell ref="I10:I11"/>
    <mergeCell ref="J10:J11"/>
    <mergeCell ref="K10:K11"/>
    <mergeCell ref="L10:L11"/>
    <mergeCell ref="M10:M11"/>
    <mergeCell ref="N10:N11"/>
    <mergeCell ref="A2:W2"/>
    <mergeCell ref="A3:W3"/>
    <mergeCell ref="A4:W4"/>
    <mergeCell ref="B7:E7"/>
    <mergeCell ref="B9:AA9"/>
    <mergeCell ref="A10:A12"/>
    <mergeCell ref="B10:B12"/>
    <mergeCell ref="C10:C11"/>
    <mergeCell ref="D10:D11"/>
    <mergeCell ref="H10:H1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FE46D-4505-4238-91A6-DC0717B328F7}">
  <dimension ref="A1:AB312"/>
  <sheetViews>
    <sheetView topLeftCell="B1" zoomScale="90" zoomScaleNormal="90" workbookViewId="0">
      <pane ySplit="12" topLeftCell="A298" activePane="bottomLeft" state="frozen"/>
      <selection activeCell="B1" sqref="B1"/>
      <selection pane="bottomLeft" activeCell="I323" sqref="I323"/>
    </sheetView>
  </sheetViews>
  <sheetFormatPr defaultColWidth="8.7109375" defaultRowHeight="12" x14ac:dyDescent="0.2"/>
  <cols>
    <col min="1" max="1" width="160.85546875" style="403" hidden="1" customWidth="1"/>
    <col min="2" max="2" width="60.140625" style="403" customWidth="1"/>
    <col min="3" max="3" width="17.42578125" style="403" customWidth="1"/>
    <col min="4" max="4" width="18.42578125" style="403" customWidth="1"/>
    <col min="5" max="5" width="19.85546875" style="403" customWidth="1"/>
    <col min="6" max="6" width="16.42578125" style="403" customWidth="1"/>
    <col min="7" max="7" width="15.140625" style="403" customWidth="1"/>
    <col min="8" max="8" width="12.28515625" style="403" customWidth="1"/>
    <col min="9" max="14" width="12.7109375" style="403" bestFit="1" customWidth="1"/>
    <col min="15" max="15" width="12.7109375" style="403" customWidth="1"/>
    <col min="16" max="16" width="12.7109375" style="403" bestFit="1" customWidth="1"/>
    <col min="17" max="17" width="12.85546875" style="403" customWidth="1"/>
    <col min="18" max="18" width="13.85546875" style="403" customWidth="1"/>
    <col min="19" max="19" width="12.5703125" style="403" customWidth="1"/>
    <col min="20" max="20" width="15.7109375" style="403" customWidth="1"/>
    <col min="21" max="21" width="10.5703125" style="403" customWidth="1"/>
    <col min="22" max="22" width="15.140625" style="403" bestFit="1" customWidth="1"/>
    <col min="23" max="23" width="18" style="403" customWidth="1"/>
    <col min="24" max="24" width="15.7109375" style="403" bestFit="1" customWidth="1"/>
    <col min="25" max="25" width="13.5703125" style="403" customWidth="1"/>
    <col min="26" max="26" width="11.85546875" style="403" customWidth="1"/>
    <col min="27" max="27" width="14.5703125" style="403" customWidth="1"/>
    <col min="28" max="16384" width="8.7109375" style="403"/>
  </cols>
  <sheetData>
    <row r="1" spans="1:27" s="263" customFormat="1" x14ac:dyDescent="0.2">
      <c r="A1" s="4"/>
      <c r="B1" s="4"/>
      <c r="C1" s="4"/>
      <c r="D1" s="5"/>
    </row>
    <row r="2" spans="1:27" s="263" customFormat="1" ht="12" customHeight="1" x14ac:dyDescent="0.2">
      <c r="A2" s="540" t="s">
        <v>1094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</row>
    <row r="3" spans="1:27" s="263" customFormat="1" ht="15.6" customHeight="1" x14ac:dyDescent="0.2">
      <c r="A3" s="540" t="s">
        <v>1390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</row>
    <row r="4" spans="1:27" s="263" customFormat="1" ht="15.75" x14ac:dyDescent="0.2">
      <c r="A4" s="541">
        <v>2026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</row>
    <row r="5" spans="1:27" s="263" customFormat="1" ht="15" x14ac:dyDescent="0.2">
      <c r="A5" s="10"/>
      <c r="B5" s="392" t="s">
        <v>1390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7" s="263" customFormat="1" ht="15" x14ac:dyDescent="0.2">
      <c r="A6" s="10"/>
      <c r="B6" s="392" t="s">
        <v>1391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7" s="263" customFormat="1" ht="15.75" customHeight="1" x14ac:dyDescent="0.2">
      <c r="A7" s="10"/>
      <c r="B7" s="542" t="s">
        <v>1394</v>
      </c>
      <c r="C7" s="542"/>
      <c r="D7" s="542"/>
      <c r="E7" s="542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393"/>
      <c r="Y7" s="393"/>
      <c r="Z7" s="393"/>
      <c r="AA7" s="393"/>
    </row>
    <row r="8" spans="1:27" s="263" customForma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AA8" s="394" t="s">
        <v>1</v>
      </c>
    </row>
    <row r="9" spans="1:27" s="263" customFormat="1" x14ac:dyDescent="0.2">
      <c r="A9" s="134"/>
      <c r="B9" s="538" t="s">
        <v>34</v>
      </c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</row>
    <row r="10" spans="1:27" s="263" customFormat="1" ht="24" x14ac:dyDescent="0.2">
      <c r="A10" s="537"/>
      <c r="B10" s="538" t="s">
        <v>1395</v>
      </c>
      <c r="C10" s="538" t="s">
        <v>2</v>
      </c>
      <c r="D10" s="538" t="s">
        <v>3</v>
      </c>
      <c r="E10" s="395" t="s">
        <v>57</v>
      </c>
      <c r="F10" s="395" t="s">
        <v>30</v>
      </c>
      <c r="G10" s="395" t="s">
        <v>58</v>
      </c>
      <c r="H10" s="539" t="s">
        <v>5</v>
      </c>
      <c r="I10" s="539" t="s">
        <v>6</v>
      </c>
      <c r="J10" s="539" t="s">
        <v>7</v>
      </c>
      <c r="K10" s="539" t="s">
        <v>8</v>
      </c>
      <c r="L10" s="539" t="s">
        <v>9</v>
      </c>
      <c r="M10" s="539" t="s">
        <v>10</v>
      </c>
      <c r="N10" s="539" t="s">
        <v>11</v>
      </c>
      <c r="O10" s="539" t="s">
        <v>12</v>
      </c>
      <c r="P10" s="539" t="s">
        <v>13</v>
      </c>
      <c r="Q10" s="539" t="s">
        <v>14</v>
      </c>
      <c r="R10" s="539" t="s">
        <v>15</v>
      </c>
      <c r="S10" s="539" t="s">
        <v>16</v>
      </c>
      <c r="T10" s="395" t="s">
        <v>17</v>
      </c>
      <c r="U10" s="395" t="s">
        <v>18</v>
      </c>
      <c r="V10" s="539" t="s">
        <v>59</v>
      </c>
      <c r="W10" s="539" t="s">
        <v>60</v>
      </c>
      <c r="X10" s="539" t="s">
        <v>32</v>
      </c>
      <c r="Y10" s="539" t="s">
        <v>31</v>
      </c>
      <c r="Z10" s="539" t="s">
        <v>61</v>
      </c>
      <c r="AA10" s="539" t="s">
        <v>62</v>
      </c>
    </row>
    <row r="11" spans="1:27" s="263" customFormat="1" ht="24" x14ac:dyDescent="0.2">
      <c r="A11" s="537"/>
      <c r="B11" s="538"/>
      <c r="C11" s="538"/>
      <c r="D11" s="538"/>
      <c r="E11" s="396" t="s">
        <v>1426</v>
      </c>
      <c r="F11" s="396" t="s">
        <v>1426</v>
      </c>
      <c r="G11" s="396" t="s">
        <v>1426</v>
      </c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39"/>
      <c r="T11" s="396" t="s">
        <v>1426</v>
      </c>
      <c r="U11" s="396" t="s">
        <v>1426</v>
      </c>
      <c r="V11" s="539"/>
      <c r="W11" s="539"/>
      <c r="X11" s="539"/>
      <c r="Y11" s="539"/>
      <c r="Z11" s="539"/>
      <c r="AA11" s="539"/>
    </row>
    <row r="12" spans="1:27" s="263" customFormat="1" x14ac:dyDescent="0.2">
      <c r="A12" s="537"/>
      <c r="B12" s="538"/>
      <c r="C12" s="397" t="s">
        <v>20</v>
      </c>
      <c r="D12" s="397" t="s">
        <v>21</v>
      </c>
      <c r="E12" s="397" t="s">
        <v>22</v>
      </c>
      <c r="F12" s="397" t="s">
        <v>23</v>
      </c>
      <c r="G12" s="397" t="s">
        <v>24</v>
      </c>
      <c r="H12" s="397" t="s">
        <v>63</v>
      </c>
      <c r="I12" s="397" t="s">
        <v>63</v>
      </c>
      <c r="J12" s="397" t="s">
        <v>63</v>
      </c>
      <c r="K12" s="397" t="s">
        <v>63</v>
      </c>
      <c r="L12" s="397" t="s">
        <v>63</v>
      </c>
      <c r="M12" s="397" t="s">
        <v>63</v>
      </c>
      <c r="N12" s="397" t="s">
        <v>63</v>
      </c>
      <c r="O12" s="397" t="s">
        <v>63</v>
      </c>
      <c r="P12" s="397" t="s">
        <v>63</v>
      </c>
      <c r="Q12" s="397" t="s">
        <v>63</v>
      </c>
      <c r="R12" s="397" t="s">
        <v>63</v>
      </c>
      <c r="S12" s="397" t="s">
        <v>63</v>
      </c>
      <c r="T12" s="397" t="s">
        <v>64</v>
      </c>
      <c r="U12" s="397" t="s">
        <v>65</v>
      </c>
      <c r="V12" s="397" t="s">
        <v>66</v>
      </c>
      <c r="W12" s="397" t="s">
        <v>67</v>
      </c>
      <c r="X12" s="397" t="s">
        <v>68</v>
      </c>
      <c r="Y12" s="397" t="s">
        <v>69</v>
      </c>
      <c r="Z12" s="397" t="s">
        <v>70</v>
      </c>
      <c r="AA12" s="397" t="s">
        <v>71</v>
      </c>
    </row>
    <row r="13" spans="1:27" x14ac:dyDescent="0.2">
      <c r="A13" s="398"/>
      <c r="B13" s="399" t="s">
        <v>404</v>
      </c>
      <c r="C13" s="400">
        <v>0</v>
      </c>
      <c r="D13" s="400">
        <v>0</v>
      </c>
      <c r="E13" s="400">
        <v>0</v>
      </c>
      <c r="F13" s="400">
        <v>0</v>
      </c>
      <c r="G13" s="400">
        <v>0</v>
      </c>
      <c r="H13" s="400">
        <v>0</v>
      </c>
      <c r="I13" s="400">
        <v>0</v>
      </c>
      <c r="J13" s="400">
        <v>0</v>
      </c>
      <c r="K13" s="400">
        <v>0</v>
      </c>
      <c r="L13" s="400">
        <v>0</v>
      </c>
      <c r="M13" s="400">
        <v>0</v>
      </c>
      <c r="N13" s="400">
        <v>0</v>
      </c>
      <c r="O13" s="400">
        <v>0</v>
      </c>
      <c r="P13" s="400">
        <v>0</v>
      </c>
      <c r="Q13" s="400">
        <v>0</v>
      </c>
      <c r="R13" s="400">
        <v>0</v>
      </c>
      <c r="S13" s="400">
        <v>0</v>
      </c>
      <c r="T13" s="401">
        <v>0</v>
      </c>
      <c r="U13" s="402" t="e">
        <v>#DIV/0!</v>
      </c>
      <c r="V13" s="401">
        <v>0</v>
      </c>
      <c r="W13" s="401">
        <v>0</v>
      </c>
      <c r="X13" s="401">
        <v>0</v>
      </c>
      <c r="Y13" s="401">
        <v>0</v>
      </c>
      <c r="Z13" s="401">
        <v>0</v>
      </c>
      <c r="AA13" s="401">
        <v>0</v>
      </c>
    </row>
    <row r="14" spans="1:27" s="408" customFormat="1" x14ac:dyDescent="0.2">
      <c r="A14" s="398"/>
      <c r="B14" s="404" t="s">
        <v>405</v>
      </c>
      <c r="C14" s="405">
        <v>0</v>
      </c>
      <c r="D14" s="405">
        <v>0</v>
      </c>
      <c r="E14" s="405">
        <v>0</v>
      </c>
      <c r="F14" s="405">
        <v>0</v>
      </c>
      <c r="G14" s="405">
        <v>0</v>
      </c>
      <c r="H14" s="405">
        <v>0</v>
      </c>
      <c r="I14" s="405">
        <v>0</v>
      </c>
      <c r="J14" s="405">
        <v>0</v>
      </c>
      <c r="K14" s="405">
        <v>0</v>
      </c>
      <c r="L14" s="405">
        <v>0</v>
      </c>
      <c r="M14" s="405">
        <v>0</v>
      </c>
      <c r="N14" s="405">
        <v>0</v>
      </c>
      <c r="O14" s="405">
        <v>0</v>
      </c>
      <c r="P14" s="405">
        <v>0</v>
      </c>
      <c r="Q14" s="405">
        <v>0</v>
      </c>
      <c r="R14" s="405">
        <v>0</v>
      </c>
      <c r="S14" s="405">
        <v>0</v>
      </c>
      <c r="T14" s="406">
        <v>0</v>
      </c>
      <c r="U14" s="407" t="e">
        <v>#DIV/0!</v>
      </c>
      <c r="V14" s="406">
        <v>0</v>
      </c>
      <c r="W14" s="406">
        <v>0</v>
      </c>
      <c r="X14" s="406">
        <v>0</v>
      </c>
      <c r="Y14" s="406">
        <v>0</v>
      </c>
      <c r="Z14" s="406">
        <v>0</v>
      </c>
      <c r="AA14" s="406">
        <v>0</v>
      </c>
    </row>
    <row r="15" spans="1:27" x14ac:dyDescent="0.2">
      <c r="A15" s="398" t="s">
        <v>1120</v>
      </c>
      <c r="B15" s="409" t="s">
        <v>406</v>
      </c>
      <c r="C15" s="253">
        <v>0</v>
      </c>
      <c r="D15" s="253">
        <v>0</v>
      </c>
      <c r="E15" s="253">
        <v>0</v>
      </c>
      <c r="F15" s="253">
        <v>0</v>
      </c>
      <c r="G15" s="253">
        <v>0</v>
      </c>
      <c r="H15" s="285">
        <v>0</v>
      </c>
      <c r="I15" s="285">
        <v>0</v>
      </c>
      <c r="J15" s="285">
        <v>0</v>
      </c>
      <c r="K15" s="285">
        <v>0</v>
      </c>
      <c r="L15" s="285">
        <v>0</v>
      </c>
      <c r="M15" s="285">
        <v>0</v>
      </c>
      <c r="N15" s="285">
        <v>0</v>
      </c>
      <c r="O15" s="285">
        <v>0</v>
      </c>
      <c r="P15" s="285">
        <v>0</v>
      </c>
      <c r="Q15" s="285">
        <v>0</v>
      </c>
      <c r="R15" s="285">
        <v>0</v>
      </c>
      <c r="S15" s="285">
        <v>0</v>
      </c>
      <c r="T15" s="285">
        <v>0</v>
      </c>
      <c r="U15" s="410" t="e">
        <v>#DIV/0!</v>
      </c>
      <c r="V15" s="285">
        <v>0</v>
      </c>
      <c r="W15" s="285">
        <v>0</v>
      </c>
      <c r="X15" s="285">
        <v>0</v>
      </c>
      <c r="Y15" s="285">
        <v>0</v>
      </c>
      <c r="Z15" s="285">
        <v>0</v>
      </c>
      <c r="AA15" s="285">
        <v>0</v>
      </c>
    </row>
    <row r="16" spans="1:27" x14ac:dyDescent="0.2">
      <c r="A16" s="398" t="s">
        <v>1121</v>
      </c>
      <c r="B16" s="409" t="s">
        <v>407</v>
      </c>
      <c r="C16" s="253">
        <v>0</v>
      </c>
      <c r="D16" s="253">
        <v>0</v>
      </c>
      <c r="E16" s="253">
        <v>0</v>
      </c>
      <c r="F16" s="253">
        <v>0</v>
      </c>
      <c r="G16" s="253">
        <v>0</v>
      </c>
      <c r="H16" s="285">
        <v>0</v>
      </c>
      <c r="I16" s="285">
        <v>0</v>
      </c>
      <c r="J16" s="285">
        <v>0</v>
      </c>
      <c r="K16" s="285">
        <v>0</v>
      </c>
      <c r="L16" s="285">
        <v>0</v>
      </c>
      <c r="M16" s="285">
        <v>0</v>
      </c>
      <c r="N16" s="285">
        <v>0</v>
      </c>
      <c r="O16" s="285">
        <v>0</v>
      </c>
      <c r="P16" s="285">
        <v>0</v>
      </c>
      <c r="Q16" s="285">
        <v>0</v>
      </c>
      <c r="R16" s="285">
        <v>0</v>
      </c>
      <c r="S16" s="285">
        <v>0</v>
      </c>
      <c r="T16" s="285">
        <v>0</v>
      </c>
      <c r="U16" s="410" t="e">
        <v>#DIV/0!</v>
      </c>
      <c r="V16" s="285">
        <v>0</v>
      </c>
      <c r="W16" s="285">
        <v>0</v>
      </c>
      <c r="X16" s="285">
        <v>0</v>
      </c>
      <c r="Y16" s="285">
        <v>0</v>
      </c>
      <c r="Z16" s="285">
        <v>0</v>
      </c>
      <c r="AA16" s="285">
        <v>0</v>
      </c>
    </row>
    <row r="17" spans="1:27" x14ac:dyDescent="0.2">
      <c r="A17" s="398" t="s">
        <v>1122</v>
      </c>
      <c r="B17" s="409" t="s">
        <v>408</v>
      </c>
      <c r="C17" s="253">
        <v>0</v>
      </c>
      <c r="D17" s="253">
        <v>0</v>
      </c>
      <c r="E17" s="253">
        <v>0</v>
      </c>
      <c r="F17" s="253">
        <v>0</v>
      </c>
      <c r="G17" s="253">
        <v>0</v>
      </c>
      <c r="H17" s="285">
        <v>0</v>
      </c>
      <c r="I17" s="285">
        <v>0</v>
      </c>
      <c r="J17" s="285">
        <v>0</v>
      </c>
      <c r="K17" s="285">
        <v>0</v>
      </c>
      <c r="L17" s="285">
        <v>0</v>
      </c>
      <c r="M17" s="285">
        <v>0</v>
      </c>
      <c r="N17" s="285">
        <v>0</v>
      </c>
      <c r="O17" s="285">
        <v>0</v>
      </c>
      <c r="P17" s="285">
        <v>0</v>
      </c>
      <c r="Q17" s="285">
        <v>0</v>
      </c>
      <c r="R17" s="285">
        <v>0</v>
      </c>
      <c r="S17" s="285">
        <v>0</v>
      </c>
      <c r="T17" s="285">
        <v>0</v>
      </c>
      <c r="U17" s="410" t="e">
        <v>#DIV/0!</v>
      </c>
      <c r="V17" s="285">
        <v>0</v>
      </c>
      <c r="W17" s="285">
        <v>0</v>
      </c>
      <c r="X17" s="285">
        <v>0</v>
      </c>
      <c r="Y17" s="285">
        <v>0</v>
      </c>
      <c r="Z17" s="285">
        <v>0</v>
      </c>
      <c r="AA17" s="285">
        <v>0</v>
      </c>
    </row>
    <row r="18" spans="1:27" x14ac:dyDescent="0.2">
      <c r="A18" s="398" t="s">
        <v>1123</v>
      </c>
      <c r="B18" s="409" t="s">
        <v>409</v>
      </c>
      <c r="C18" s="253">
        <v>0</v>
      </c>
      <c r="D18" s="253">
        <v>0</v>
      </c>
      <c r="E18" s="253">
        <v>0</v>
      </c>
      <c r="F18" s="253">
        <v>0</v>
      </c>
      <c r="G18" s="253">
        <v>0</v>
      </c>
      <c r="H18" s="285">
        <v>0</v>
      </c>
      <c r="I18" s="285">
        <v>0</v>
      </c>
      <c r="J18" s="285">
        <v>0</v>
      </c>
      <c r="K18" s="285">
        <v>0</v>
      </c>
      <c r="L18" s="285">
        <v>0</v>
      </c>
      <c r="M18" s="285">
        <v>0</v>
      </c>
      <c r="N18" s="285">
        <v>0</v>
      </c>
      <c r="O18" s="285">
        <v>0</v>
      </c>
      <c r="P18" s="285">
        <v>0</v>
      </c>
      <c r="Q18" s="285">
        <v>0</v>
      </c>
      <c r="R18" s="285">
        <v>0</v>
      </c>
      <c r="S18" s="285">
        <v>0</v>
      </c>
      <c r="T18" s="285">
        <v>0</v>
      </c>
      <c r="U18" s="410" t="e">
        <v>#DIV/0!</v>
      </c>
      <c r="V18" s="285">
        <v>0</v>
      </c>
      <c r="W18" s="285">
        <v>0</v>
      </c>
      <c r="X18" s="285">
        <v>0</v>
      </c>
      <c r="Y18" s="285">
        <v>0</v>
      </c>
      <c r="Z18" s="285">
        <v>0</v>
      </c>
      <c r="AA18" s="285">
        <v>0</v>
      </c>
    </row>
    <row r="19" spans="1:27" x14ac:dyDescent="0.2">
      <c r="A19" s="398" t="s">
        <v>1124</v>
      </c>
      <c r="B19" s="409" t="s">
        <v>410</v>
      </c>
      <c r="C19" s="253">
        <v>0</v>
      </c>
      <c r="D19" s="253">
        <v>0</v>
      </c>
      <c r="E19" s="253">
        <v>0</v>
      </c>
      <c r="F19" s="253">
        <v>0</v>
      </c>
      <c r="G19" s="253">
        <v>0</v>
      </c>
      <c r="H19" s="285">
        <v>0</v>
      </c>
      <c r="I19" s="285">
        <v>0</v>
      </c>
      <c r="J19" s="285">
        <v>0</v>
      </c>
      <c r="K19" s="285">
        <v>0</v>
      </c>
      <c r="L19" s="285">
        <v>0</v>
      </c>
      <c r="M19" s="285">
        <v>0</v>
      </c>
      <c r="N19" s="285">
        <v>0</v>
      </c>
      <c r="O19" s="285">
        <v>0</v>
      </c>
      <c r="P19" s="285">
        <v>0</v>
      </c>
      <c r="Q19" s="285">
        <v>0</v>
      </c>
      <c r="R19" s="285">
        <v>0</v>
      </c>
      <c r="S19" s="285">
        <v>0</v>
      </c>
      <c r="T19" s="285">
        <v>0</v>
      </c>
      <c r="U19" s="410" t="e">
        <v>#DIV/0!</v>
      </c>
      <c r="V19" s="285">
        <v>0</v>
      </c>
      <c r="W19" s="285">
        <v>0</v>
      </c>
      <c r="X19" s="285">
        <v>0</v>
      </c>
      <c r="Y19" s="285">
        <v>0</v>
      </c>
      <c r="Z19" s="285">
        <v>0</v>
      </c>
      <c r="AA19" s="285">
        <v>0</v>
      </c>
    </row>
    <row r="20" spans="1:27" x14ac:dyDescent="0.2">
      <c r="A20" s="398" t="s">
        <v>1125</v>
      </c>
      <c r="B20" s="409" t="s">
        <v>411</v>
      </c>
      <c r="C20" s="253">
        <v>0</v>
      </c>
      <c r="D20" s="253">
        <v>0</v>
      </c>
      <c r="E20" s="253">
        <v>0</v>
      </c>
      <c r="F20" s="253">
        <v>0</v>
      </c>
      <c r="G20" s="253">
        <v>0</v>
      </c>
      <c r="H20" s="285">
        <v>0</v>
      </c>
      <c r="I20" s="285">
        <v>0</v>
      </c>
      <c r="J20" s="285">
        <v>0</v>
      </c>
      <c r="K20" s="285">
        <v>0</v>
      </c>
      <c r="L20" s="285">
        <v>0</v>
      </c>
      <c r="M20" s="285">
        <v>0</v>
      </c>
      <c r="N20" s="285">
        <v>0</v>
      </c>
      <c r="O20" s="285">
        <v>0</v>
      </c>
      <c r="P20" s="285">
        <v>0</v>
      </c>
      <c r="Q20" s="285">
        <v>0</v>
      </c>
      <c r="R20" s="285">
        <v>0</v>
      </c>
      <c r="S20" s="285">
        <v>0</v>
      </c>
      <c r="T20" s="285">
        <v>0</v>
      </c>
      <c r="U20" s="410" t="e">
        <v>#DIV/0!</v>
      </c>
      <c r="V20" s="285">
        <v>0</v>
      </c>
      <c r="W20" s="285">
        <v>0</v>
      </c>
      <c r="X20" s="285">
        <v>0</v>
      </c>
      <c r="Y20" s="285">
        <v>0</v>
      </c>
      <c r="Z20" s="285">
        <v>0</v>
      </c>
      <c r="AA20" s="285">
        <v>0</v>
      </c>
    </row>
    <row r="21" spans="1:27" ht="24" x14ac:dyDescent="0.2">
      <c r="A21" s="398" t="s">
        <v>1126</v>
      </c>
      <c r="B21" s="409" t="s">
        <v>412</v>
      </c>
      <c r="C21" s="253">
        <v>0</v>
      </c>
      <c r="D21" s="253">
        <v>0</v>
      </c>
      <c r="E21" s="253">
        <v>0</v>
      </c>
      <c r="F21" s="253">
        <v>0</v>
      </c>
      <c r="G21" s="253">
        <v>0</v>
      </c>
      <c r="H21" s="285">
        <v>0</v>
      </c>
      <c r="I21" s="285">
        <v>0</v>
      </c>
      <c r="J21" s="285">
        <v>0</v>
      </c>
      <c r="K21" s="285">
        <v>0</v>
      </c>
      <c r="L21" s="285">
        <v>0</v>
      </c>
      <c r="M21" s="285">
        <v>0</v>
      </c>
      <c r="N21" s="285">
        <v>0</v>
      </c>
      <c r="O21" s="285">
        <v>0</v>
      </c>
      <c r="P21" s="285">
        <v>0</v>
      </c>
      <c r="Q21" s="285">
        <v>0</v>
      </c>
      <c r="R21" s="285">
        <v>0</v>
      </c>
      <c r="S21" s="285">
        <v>0</v>
      </c>
      <c r="T21" s="285">
        <v>0</v>
      </c>
      <c r="U21" s="410" t="e">
        <v>#DIV/0!</v>
      </c>
      <c r="V21" s="285">
        <v>0</v>
      </c>
      <c r="W21" s="285">
        <v>0</v>
      </c>
      <c r="X21" s="285">
        <v>0</v>
      </c>
      <c r="Y21" s="285">
        <v>0</v>
      </c>
      <c r="Z21" s="285">
        <v>0</v>
      </c>
      <c r="AA21" s="285">
        <v>0</v>
      </c>
    </row>
    <row r="22" spans="1:27" ht="24" x14ac:dyDescent="0.2">
      <c r="A22" s="398" t="s">
        <v>1127</v>
      </c>
      <c r="B22" s="409" t="s">
        <v>413</v>
      </c>
      <c r="C22" s="253">
        <v>0</v>
      </c>
      <c r="D22" s="253">
        <v>0</v>
      </c>
      <c r="E22" s="253">
        <v>0</v>
      </c>
      <c r="F22" s="253">
        <v>0</v>
      </c>
      <c r="G22" s="253">
        <v>0</v>
      </c>
      <c r="H22" s="285">
        <v>0</v>
      </c>
      <c r="I22" s="285">
        <v>0</v>
      </c>
      <c r="J22" s="285">
        <v>0</v>
      </c>
      <c r="K22" s="285">
        <v>0</v>
      </c>
      <c r="L22" s="285">
        <v>0</v>
      </c>
      <c r="M22" s="285">
        <v>0</v>
      </c>
      <c r="N22" s="285">
        <v>0</v>
      </c>
      <c r="O22" s="285">
        <v>0</v>
      </c>
      <c r="P22" s="285">
        <v>0</v>
      </c>
      <c r="Q22" s="285">
        <v>0</v>
      </c>
      <c r="R22" s="285">
        <v>0</v>
      </c>
      <c r="S22" s="285">
        <v>0</v>
      </c>
      <c r="T22" s="285">
        <v>0</v>
      </c>
      <c r="U22" s="410" t="e">
        <v>#DIV/0!</v>
      </c>
      <c r="V22" s="285">
        <v>0</v>
      </c>
      <c r="W22" s="285">
        <v>0</v>
      </c>
      <c r="X22" s="285">
        <v>0</v>
      </c>
      <c r="Y22" s="285">
        <v>0</v>
      </c>
      <c r="Z22" s="285">
        <v>0</v>
      </c>
      <c r="AA22" s="285">
        <v>0</v>
      </c>
    </row>
    <row r="23" spans="1:27" x14ac:dyDescent="0.2">
      <c r="A23" s="398" t="s">
        <v>1128</v>
      </c>
      <c r="B23" s="409" t="s">
        <v>414</v>
      </c>
      <c r="C23" s="253">
        <v>0</v>
      </c>
      <c r="D23" s="253">
        <v>0</v>
      </c>
      <c r="E23" s="253">
        <v>0</v>
      </c>
      <c r="F23" s="253">
        <v>0</v>
      </c>
      <c r="G23" s="253">
        <v>0</v>
      </c>
      <c r="H23" s="285">
        <v>0</v>
      </c>
      <c r="I23" s="285">
        <v>0</v>
      </c>
      <c r="J23" s="285">
        <v>0</v>
      </c>
      <c r="K23" s="285">
        <v>0</v>
      </c>
      <c r="L23" s="285">
        <v>0</v>
      </c>
      <c r="M23" s="285">
        <v>0</v>
      </c>
      <c r="N23" s="285">
        <v>0</v>
      </c>
      <c r="O23" s="285">
        <v>0</v>
      </c>
      <c r="P23" s="285">
        <v>0</v>
      </c>
      <c r="Q23" s="285">
        <v>0</v>
      </c>
      <c r="R23" s="285">
        <v>0</v>
      </c>
      <c r="S23" s="285">
        <v>0</v>
      </c>
      <c r="T23" s="285">
        <v>0</v>
      </c>
      <c r="U23" s="410" t="e">
        <v>#DIV/0!</v>
      </c>
      <c r="V23" s="285">
        <v>0</v>
      </c>
      <c r="W23" s="285">
        <v>0</v>
      </c>
      <c r="X23" s="285">
        <v>0</v>
      </c>
      <c r="Y23" s="285">
        <v>0</v>
      </c>
      <c r="Z23" s="285">
        <v>0</v>
      </c>
      <c r="AA23" s="285">
        <v>0</v>
      </c>
    </row>
    <row r="24" spans="1:27" x14ac:dyDescent="0.2">
      <c r="A24" s="398" t="s">
        <v>1129</v>
      </c>
      <c r="B24" s="409" t="s">
        <v>415</v>
      </c>
      <c r="C24" s="253">
        <v>0</v>
      </c>
      <c r="D24" s="253">
        <v>0</v>
      </c>
      <c r="E24" s="253">
        <v>0</v>
      </c>
      <c r="F24" s="253">
        <v>0</v>
      </c>
      <c r="G24" s="253">
        <v>0</v>
      </c>
      <c r="H24" s="285">
        <v>0</v>
      </c>
      <c r="I24" s="285">
        <v>0</v>
      </c>
      <c r="J24" s="285">
        <v>0</v>
      </c>
      <c r="K24" s="285">
        <v>0</v>
      </c>
      <c r="L24" s="285">
        <v>0</v>
      </c>
      <c r="M24" s="285">
        <v>0</v>
      </c>
      <c r="N24" s="285">
        <v>0</v>
      </c>
      <c r="O24" s="285">
        <v>0</v>
      </c>
      <c r="P24" s="285">
        <v>0</v>
      </c>
      <c r="Q24" s="285">
        <v>0</v>
      </c>
      <c r="R24" s="285">
        <v>0</v>
      </c>
      <c r="S24" s="285">
        <v>0</v>
      </c>
      <c r="T24" s="285">
        <v>0</v>
      </c>
      <c r="U24" s="410" t="e">
        <v>#DIV/0!</v>
      </c>
      <c r="V24" s="285">
        <v>0</v>
      </c>
      <c r="W24" s="285">
        <v>0</v>
      </c>
      <c r="X24" s="285">
        <v>0</v>
      </c>
      <c r="Y24" s="285">
        <v>0</v>
      </c>
      <c r="Z24" s="285">
        <v>0</v>
      </c>
      <c r="AA24" s="285">
        <v>0</v>
      </c>
    </row>
    <row r="25" spans="1:27" x14ac:dyDescent="0.2">
      <c r="A25" s="398" t="s">
        <v>1130</v>
      </c>
      <c r="B25" s="409" t="s">
        <v>416</v>
      </c>
      <c r="C25" s="253">
        <v>0</v>
      </c>
      <c r="D25" s="253">
        <v>0</v>
      </c>
      <c r="E25" s="253">
        <v>0</v>
      </c>
      <c r="F25" s="253">
        <v>0</v>
      </c>
      <c r="G25" s="253">
        <v>0</v>
      </c>
      <c r="H25" s="285">
        <v>0</v>
      </c>
      <c r="I25" s="285">
        <v>0</v>
      </c>
      <c r="J25" s="285">
        <v>0</v>
      </c>
      <c r="K25" s="285">
        <v>0</v>
      </c>
      <c r="L25" s="285">
        <v>0</v>
      </c>
      <c r="M25" s="285">
        <v>0</v>
      </c>
      <c r="N25" s="285">
        <v>0</v>
      </c>
      <c r="O25" s="285">
        <v>0</v>
      </c>
      <c r="P25" s="285">
        <v>0</v>
      </c>
      <c r="Q25" s="285">
        <v>0</v>
      </c>
      <c r="R25" s="285">
        <v>0</v>
      </c>
      <c r="S25" s="285">
        <v>0</v>
      </c>
      <c r="T25" s="285">
        <v>0</v>
      </c>
      <c r="U25" s="410" t="e">
        <v>#DIV/0!</v>
      </c>
      <c r="V25" s="285">
        <v>0</v>
      </c>
      <c r="W25" s="285">
        <v>0</v>
      </c>
      <c r="X25" s="285">
        <v>0</v>
      </c>
      <c r="Y25" s="285">
        <v>0</v>
      </c>
      <c r="Z25" s="285">
        <v>0</v>
      </c>
      <c r="AA25" s="285">
        <v>0</v>
      </c>
    </row>
    <row r="26" spans="1:27" x14ac:dyDescent="0.2">
      <c r="A26" s="398" t="s">
        <v>1131</v>
      </c>
      <c r="B26" s="409" t="s">
        <v>417</v>
      </c>
      <c r="C26" s="253">
        <v>0</v>
      </c>
      <c r="D26" s="253">
        <v>0</v>
      </c>
      <c r="E26" s="253">
        <v>0</v>
      </c>
      <c r="F26" s="253">
        <v>0</v>
      </c>
      <c r="G26" s="253">
        <v>0</v>
      </c>
      <c r="H26" s="285">
        <v>0</v>
      </c>
      <c r="I26" s="285">
        <v>0</v>
      </c>
      <c r="J26" s="285">
        <v>0</v>
      </c>
      <c r="K26" s="285">
        <v>0</v>
      </c>
      <c r="L26" s="285">
        <v>0</v>
      </c>
      <c r="M26" s="285">
        <v>0</v>
      </c>
      <c r="N26" s="285">
        <v>0</v>
      </c>
      <c r="O26" s="285">
        <v>0</v>
      </c>
      <c r="P26" s="285">
        <v>0</v>
      </c>
      <c r="Q26" s="285">
        <v>0</v>
      </c>
      <c r="R26" s="285">
        <v>0</v>
      </c>
      <c r="S26" s="285">
        <v>0</v>
      </c>
      <c r="T26" s="285">
        <v>0</v>
      </c>
      <c r="U26" s="410" t="e">
        <v>#DIV/0!</v>
      </c>
      <c r="V26" s="285">
        <v>0</v>
      </c>
      <c r="W26" s="285">
        <v>0</v>
      </c>
      <c r="X26" s="285">
        <v>0</v>
      </c>
      <c r="Y26" s="285">
        <v>0</v>
      </c>
      <c r="Z26" s="285">
        <v>0</v>
      </c>
      <c r="AA26" s="285">
        <v>0</v>
      </c>
    </row>
    <row r="27" spans="1:27" s="408" customFormat="1" x14ac:dyDescent="0.2">
      <c r="A27" s="398"/>
      <c r="B27" s="404" t="s">
        <v>418</v>
      </c>
      <c r="C27" s="405">
        <v>0</v>
      </c>
      <c r="D27" s="405">
        <v>0</v>
      </c>
      <c r="E27" s="405">
        <v>0</v>
      </c>
      <c r="F27" s="405">
        <v>0</v>
      </c>
      <c r="G27" s="405">
        <v>0</v>
      </c>
      <c r="H27" s="405">
        <v>0</v>
      </c>
      <c r="I27" s="405">
        <v>0</v>
      </c>
      <c r="J27" s="405">
        <v>0</v>
      </c>
      <c r="K27" s="405">
        <v>0</v>
      </c>
      <c r="L27" s="405">
        <v>0</v>
      </c>
      <c r="M27" s="405">
        <v>0</v>
      </c>
      <c r="N27" s="405">
        <v>0</v>
      </c>
      <c r="O27" s="405">
        <v>0</v>
      </c>
      <c r="P27" s="405">
        <v>0</v>
      </c>
      <c r="Q27" s="405">
        <v>0</v>
      </c>
      <c r="R27" s="405">
        <v>0</v>
      </c>
      <c r="S27" s="405">
        <v>0</v>
      </c>
      <c r="T27" s="406">
        <v>0</v>
      </c>
      <c r="U27" s="407" t="e">
        <v>#DIV/0!</v>
      </c>
      <c r="V27" s="406">
        <v>0</v>
      </c>
      <c r="W27" s="406">
        <v>0</v>
      </c>
      <c r="X27" s="406">
        <v>0</v>
      </c>
      <c r="Y27" s="406">
        <v>0</v>
      </c>
      <c r="Z27" s="406">
        <v>0</v>
      </c>
      <c r="AA27" s="406">
        <v>0</v>
      </c>
    </row>
    <row r="28" spans="1:27" x14ac:dyDescent="0.2">
      <c r="A28" s="398" t="s">
        <v>1132</v>
      </c>
      <c r="B28" s="409" t="s">
        <v>419</v>
      </c>
      <c r="C28" s="253">
        <v>0</v>
      </c>
      <c r="D28" s="253">
        <v>0</v>
      </c>
      <c r="E28" s="253">
        <v>0</v>
      </c>
      <c r="F28" s="253">
        <v>0</v>
      </c>
      <c r="G28" s="253">
        <v>0</v>
      </c>
      <c r="H28" s="285">
        <v>0</v>
      </c>
      <c r="I28" s="285">
        <v>0</v>
      </c>
      <c r="J28" s="285">
        <v>0</v>
      </c>
      <c r="K28" s="285">
        <v>0</v>
      </c>
      <c r="L28" s="285">
        <v>0</v>
      </c>
      <c r="M28" s="285">
        <v>0</v>
      </c>
      <c r="N28" s="285">
        <v>0</v>
      </c>
      <c r="O28" s="285">
        <v>0</v>
      </c>
      <c r="P28" s="285">
        <v>0</v>
      </c>
      <c r="Q28" s="285">
        <v>0</v>
      </c>
      <c r="R28" s="285">
        <v>0</v>
      </c>
      <c r="S28" s="285">
        <v>0</v>
      </c>
      <c r="T28" s="285">
        <v>0</v>
      </c>
      <c r="U28" s="410" t="e">
        <v>#DIV/0!</v>
      </c>
      <c r="V28" s="285">
        <v>0</v>
      </c>
      <c r="W28" s="285">
        <v>0</v>
      </c>
      <c r="X28" s="285">
        <v>0</v>
      </c>
      <c r="Y28" s="285">
        <v>0</v>
      </c>
      <c r="Z28" s="285">
        <v>0</v>
      </c>
      <c r="AA28" s="285">
        <v>0</v>
      </c>
    </row>
    <row r="29" spans="1:27" x14ac:dyDescent="0.2">
      <c r="A29" s="398" t="s">
        <v>1133</v>
      </c>
      <c r="B29" s="409" t="s">
        <v>420</v>
      </c>
      <c r="C29" s="253">
        <v>0</v>
      </c>
      <c r="D29" s="253">
        <v>0</v>
      </c>
      <c r="E29" s="253">
        <v>0</v>
      </c>
      <c r="F29" s="253">
        <v>0</v>
      </c>
      <c r="G29" s="253">
        <v>0</v>
      </c>
      <c r="H29" s="285">
        <v>0</v>
      </c>
      <c r="I29" s="285">
        <v>0</v>
      </c>
      <c r="J29" s="285">
        <v>0</v>
      </c>
      <c r="K29" s="285">
        <v>0</v>
      </c>
      <c r="L29" s="285">
        <v>0</v>
      </c>
      <c r="M29" s="285">
        <v>0</v>
      </c>
      <c r="N29" s="285">
        <v>0</v>
      </c>
      <c r="O29" s="285">
        <v>0</v>
      </c>
      <c r="P29" s="285">
        <v>0</v>
      </c>
      <c r="Q29" s="285">
        <v>0</v>
      </c>
      <c r="R29" s="285">
        <v>0</v>
      </c>
      <c r="S29" s="285">
        <v>0</v>
      </c>
      <c r="T29" s="285">
        <v>0</v>
      </c>
      <c r="U29" s="410" t="e">
        <v>#DIV/0!</v>
      </c>
      <c r="V29" s="285">
        <v>0</v>
      </c>
      <c r="W29" s="285">
        <v>0</v>
      </c>
      <c r="X29" s="285">
        <v>0</v>
      </c>
      <c r="Y29" s="285">
        <v>0</v>
      </c>
      <c r="Z29" s="285">
        <v>0</v>
      </c>
      <c r="AA29" s="285">
        <v>0</v>
      </c>
    </row>
    <row r="30" spans="1:27" x14ac:dyDescent="0.2">
      <c r="A30" s="398" t="s">
        <v>1134</v>
      </c>
      <c r="B30" s="409" t="s">
        <v>421</v>
      </c>
      <c r="C30" s="253">
        <v>0</v>
      </c>
      <c r="D30" s="253">
        <v>0</v>
      </c>
      <c r="E30" s="253">
        <v>0</v>
      </c>
      <c r="F30" s="253">
        <v>0</v>
      </c>
      <c r="G30" s="253">
        <v>0</v>
      </c>
      <c r="H30" s="285">
        <v>0</v>
      </c>
      <c r="I30" s="285">
        <v>0</v>
      </c>
      <c r="J30" s="285">
        <v>0</v>
      </c>
      <c r="K30" s="285">
        <v>0</v>
      </c>
      <c r="L30" s="285">
        <v>0</v>
      </c>
      <c r="M30" s="285">
        <v>0</v>
      </c>
      <c r="N30" s="285">
        <v>0</v>
      </c>
      <c r="O30" s="285">
        <v>0</v>
      </c>
      <c r="P30" s="285">
        <v>0</v>
      </c>
      <c r="Q30" s="285">
        <v>0</v>
      </c>
      <c r="R30" s="285">
        <v>0</v>
      </c>
      <c r="S30" s="285">
        <v>0</v>
      </c>
      <c r="T30" s="285">
        <v>0</v>
      </c>
      <c r="U30" s="410" t="e">
        <v>#DIV/0!</v>
      </c>
      <c r="V30" s="285">
        <v>0</v>
      </c>
      <c r="W30" s="285">
        <v>0</v>
      </c>
      <c r="X30" s="285">
        <v>0</v>
      </c>
      <c r="Y30" s="285">
        <v>0</v>
      </c>
      <c r="Z30" s="285">
        <v>0</v>
      </c>
      <c r="AA30" s="285">
        <v>0</v>
      </c>
    </row>
    <row r="31" spans="1:27" x14ac:dyDescent="0.2">
      <c r="A31" s="398" t="s">
        <v>1135</v>
      </c>
      <c r="B31" s="409" t="s">
        <v>422</v>
      </c>
      <c r="C31" s="253">
        <v>0</v>
      </c>
      <c r="D31" s="253">
        <v>0</v>
      </c>
      <c r="E31" s="253">
        <v>0</v>
      </c>
      <c r="F31" s="253">
        <v>0</v>
      </c>
      <c r="G31" s="253">
        <v>0</v>
      </c>
      <c r="H31" s="285">
        <v>0</v>
      </c>
      <c r="I31" s="285">
        <v>0</v>
      </c>
      <c r="J31" s="285">
        <v>0</v>
      </c>
      <c r="K31" s="285">
        <v>0</v>
      </c>
      <c r="L31" s="285">
        <v>0</v>
      </c>
      <c r="M31" s="285">
        <v>0</v>
      </c>
      <c r="N31" s="285">
        <v>0</v>
      </c>
      <c r="O31" s="285">
        <v>0</v>
      </c>
      <c r="P31" s="285">
        <v>0</v>
      </c>
      <c r="Q31" s="285">
        <v>0</v>
      </c>
      <c r="R31" s="285">
        <v>0</v>
      </c>
      <c r="S31" s="285">
        <v>0</v>
      </c>
      <c r="T31" s="285">
        <v>0</v>
      </c>
      <c r="U31" s="410" t="e">
        <v>#DIV/0!</v>
      </c>
      <c r="V31" s="285">
        <v>0</v>
      </c>
      <c r="W31" s="285">
        <v>0</v>
      </c>
      <c r="X31" s="285">
        <v>0</v>
      </c>
      <c r="Y31" s="285">
        <v>0</v>
      </c>
      <c r="Z31" s="285">
        <v>0</v>
      </c>
      <c r="AA31" s="285">
        <v>0</v>
      </c>
    </row>
    <row r="32" spans="1:27" x14ac:dyDescent="0.2">
      <c r="A32" s="398" t="s">
        <v>1136</v>
      </c>
      <c r="B32" s="409" t="s">
        <v>423</v>
      </c>
      <c r="C32" s="253">
        <v>0</v>
      </c>
      <c r="D32" s="253">
        <v>0</v>
      </c>
      <c r="E32" s="253">
        <v>0</v>
      </c>
      <c r="F32" s="253">
        <v>0</v>
      </c>
      <c r="G32" s="253">
        <v>0</v>
      </c>
      <c r="H32" s="285">
        <v>0</v>
      </c>
      <c r="I32" s="285">
        <v>0</v>
      </c>
      <c r="J32" s="285">
        <v>0</v>
      </c>
      <c r="K32" s="285">
        <v>0</v>
      </c>
      <c r="L32" s="285">
        <v>0</v>
      </c>
      <c r="M32" s="285">
        <v>0</v>
      </c>
      <c r="N32" s="285">
        <v>0</v>
      </c>
      <c r="O32" s="285">
        <v>0</v>
      </c>
      <c r="P32" s="285">
        <v>0</v>
      </c>
      <c r="Q32" s="285">
        <v>0</v>
      </c>
      <c r="R32" s="285">
        <v>0</v>
      </c>
      <c r="S32" s="285">
        <v>0</v>
      </c>
      <c r="T32" s="285">
        <v>0</v>
      </c>
      <c r="U32" s="410" t="e">
        <v>#DIV/0!</v>
      </c>
      <c r="V32" s="285">
        <v>0</v>
      </c>
      <c r="W32" s="285">
        <v>0</v>
      </c>
      <c r="X32" s="285">
        <v>0</v>
      </c>
      <c r="Y32" s="285">
        <v>0</v>
      </c>
      <c r="Z32" s="285">
        <v>0</v>
      </c>
      <c r="AA32" s="285">
        <v>0</v>
      </c>
    </row>
    <row r="33" spans="1:27" x14ac:dyDescent="0.2">
      <c r="A33" s="398" t="s">
        <v>1137</v>
      </c>
      <c r="B33" s="409" t="s">
        <v>424</v>
      </c>
      <c r="C33" s="253">
        <v>0</v>
      </c>
      <c r="D33" s="253">
        <v>0</v>
      </c>
      <c r="E33" s="253">
        <v>0</v>
      </c>
      <c r="F33" s="253">
        <v>0</v>
      </c>
      <c r="G33" s="253">
        <v>0</v>
      </c>
      <c r="H33" s="285">
        <v>0</v>
      </c>
      <c r="I33" s="285">
        <v>0</v>
      </c>
      <c r="J33" s="285">
        <v>0</v>
      </c>
      <c r="K33" s="285">
        <v>0</v>
      </c>
      <c r="L33" s="285">
        <v>0</v>
      </c>
      <c r="M33" s="285">
        <v>0</v>
      </c>
      <c r="N33" s="285">
        <v>0</v>
      </c>
      <c r="O33" s="285">
        <v>0</v>
      </c>
      <c r="P33" s="285">
        <v>0</v>
      </c>
      <c r="Q33" s="285">
        <v>0</v>
      </c>
      <c r="R33" s="285">
        <v>0</v>
      </c>
      <c r="S33" s="285">
        <v>0</v>
      </c>
      <c r="T33" s="285">
        <v>0</v>
      </c>
      <c r="U33" s="410" t="e">
        <v>#DIV/0!</v>
      </c>
      <c r="V33" s="285">
        <v>0</v>
      </c>
      <c r="W33" s="285">
        <v>0</v>
      </c>
      <c r="X33" s="285">
        <v>0</v>
      </c>
      <c r="Y33" s="285">
        <v>0</v>
      </c>
      <c r="Z33" s="285">
        <v>0</v>
      </c>
      <c r="AA33" s="285">
        <v>0</v>
      </c>
    </row>
    <row r="34" spans="1:27" x14ac:dyDescent="0.2">
      <c r="A34" s="398" t="s">
        <v>1138</v>
      </c>
      <c r="B34" s="409" t="s">
        <v>425</v>
      </c>
      <c r="C34" s="253">
        <v>0</v>
      </c>
      <c r="D34" s="253">
        <v>0</v>
      </c>
      <c r="E34" s="253">
        <v>0</v>
      </c>
      <c r="F34" s="253">
        <v>0</v>
      </c>
      <c r="G34" s="253">
        <v>0</v>
      </c>
      <c r="H34" s="285">
        <v>0</v>
      </c>
      <c r="I34" s="285">
        <v>0</v>
      </c>
      <c r="J34" s="285">
        <v>0</v>
      </c>
      <c r="K34" s="285">
        <v>0</v>
      </c>
      <c r="L34" s="285">
        <v>0</v>
      </c>
      <c r="M34" s="285">
        <v>0</v>
      </c>
      <c r="N34" s="285">
        <v>0</v>
      </c>
      <c r="O34" s="285">
        <v>0</v>
      </c>
      <c r="P34" s="285">
        <v>0</v>
      </c>
      <c r="Q34" s="285">
        <v>0</v>
      </c>
      <c r="R34" s="285">
        <v>0</v>
      </c>
      <c r="S34" s="285">
        <v>0</v>
      </c>
      <c r="T34" s="285">
        <v>0</v>
      </c>
      <c r="U34" s="410" t="e">
        <v>#DIV/0!</v>
      </c>
      <c r="V34" s="285">
        <v>0</v>
      </c>
      <c r="W34" s="285">
        <v>0</v>
      </c>
      <c r="X34" s="285">
        <v>0</v>
      </c>
      <c r="Y34" s="285">
        <v>0</v>
      </c>
      <c r="Z34" s="285">
        <v>0</v>
      </c>
      <c r="AA34" s="285">
        <v>0</v>
      </c>
    </row>
    <row r="35" spans="1:27" x14ac:dyDescent="0.2">
      <c r="A35" s="398" t="s">
        <v>1139</v>
      </c>
      <c r="B35" s="409" t="s">
        <v>426</v>
      </c>
      <c r="C35" s="253">
        <v>0</v>
      </c>
      <c r="D35" s="253">
        <v>0</v>
      </c>
      <c r="E35" s="253">
        <v>0</v>
      </c>
      <c r="F35" s="253">
        <v>0</v>
      </c>
      <c r="G35" s="253">
        <v>0</v>
      </c>
      <c r="H35" s="285">
        <v>0</v>
      </c>
      <c r="I35" s="285">
        <v>0</v>
      </c>
      <c r="J35" s="285">
        <v>0</v>
      </c>
      <c r="K35" s="285">
        <v>0</v>
      </c>
      <c r="L35" s="285">
        <v>0</v>
      </c>
      <c r="M35" s="285">
        <v>0</v>
      </c>
      <c r="N35" s="285">
        <v>0</v>
      </c>
      <c r="O35" s="285">
        <v>0</v>
      </c>
      <c r="P35" s="285">
        <v>0</v>
      </c>
      <c r="Q35" s="285">
        <v>0</v>
      </c>
      <c r="R35" s="285">
        <v>0</v>
      </c>
      <c r="S35" s="285">
        <v>0</v>
      </c>
      <c r="T35" s="285">
        <v>0</v>
      </c>
      <c r="U35" s="410" t="e">
        <v>#DIV/0!</v>
      </c>
      <c r="V35" s="285">
        <v>0</v>
      </c>
      <c r="W35" s="285">
        <v>0</v>
      </c>
      <c r="X35" s="285">
        <v>0</v>
      </c>
      <c r="Y35" s="285">
        <v>0</v>
      </c>
      <c r="Z35" s="285">
        <v>0</v>
      </c>
      <c r="AA35" s="285">
        <v>0</v>
      </c>
    </row>
    <row r="36" spans="1:27" x14ac:dyDescent="0.2">
      <c r="A36" s="398" t="s">
        <v>1140</v>
      </c>
      <c r="B36" s="409" t="s">
        <v>427</v>
      </c>
      <c r="C36" s="253">
        <v>0</v>
      </c>
      <c r="D36" s="253">
        <v>0</v>
      </c>
      <c r="E36" s="253">
        <v>0</v>
      </c>
      <c r="F36" s="253">
        <v>0</v>
      </c>
      <c r="G36" s="253">
        <v>0</v>
      </c>
      <c r="H36" s="285">
        <v>0</v>
      </c>
      <c r="I36" s="285">
        <v>0</v>
      </c>
      <c r="J36" s="285">
        <v>0</v>
      </c>
      <c r="K36" s="285">
        <v>0</v>
      </c>
      <c r="L36" s="285">
        <v>0</v>
      </c>
      <c r="M36" s="285">
        <v>0</v>
      </c>
      <c r="N36" s="285">
        <v>0</v>
      </c>
      <c r="O36" s="285">
        <v>0</v>
      </c>
      <c r="P36" s="285">
        <v>0</v>
      </c>
      <c r="Q36" s="285">
        <v>0</v>
      </c>
      <c r="R36" s="285">
        <v>0</v>
      </c>
      <c r="S36" s="285">
        <v>0</v>
      </c>
      <c r="T36" s="285">
        <v>0</v>
      </c>
      <c r="U36" s="410" t="e">
        <v>#DIV/0!</v>
      </c>
      <c r="V36" s="285">
        <v>0</v>
      </c>
      <c r="W36" s="285">
        <v>0</v>
      </c>
      <c r="X36" s="285">
        <v>0</v>
      </c>
      <c r="Y36" s="285">
        <v>0</v>
      </c>
      <c r="Z36" s="285">
        <v>0</v>
      </c>
      <c r="AA36" s="285">
        <v>0</v>
      </c>
    </row>
    <row r="37" spans="1:27" s="408" customFormat="1" x14ac:dyDescent="0.2">
      <c r="A37" s="398" t="s">
        <v>1141</v>
      </c>
      <c r="B37" s="404" t="s">
        <v>428</v>
      </c>
      <c r="C37" s="411">
        <v>0</v>
      </c>
      <c r="D37" s="411">
        <v>0</v>
      </c>
      <c r="E37" s="411">
        <v>0</v>
      </c>
      <c r="F37" s="411">
        <v>0</v>
      </c>
      <c r="G37" s="411">
        <v>0</v>
      </c>
      <c r="H37" s="406">
        <v>0</v>
      </c>
      <c r="I37" s="406">
        <v>0</v>
      </c>
      <c r="J37" s="406">
        <v>0</v>
      </c>
      <c r="K37" s="406">
        <v>0</v>
      </c>
      <c r="L37" s="406">
        <v>0</v>
      </c>
      <c r="M37" s="406">
        <v>0</v>
      </c>
      <c r="N37" s="406">
        <v>0</v>
      </c>
      <c r="O37" s="406">
        <v>0</v>
      </c>
      <c r="P37" s="406">
        <v>0</v>
      </c>
      <c r="Q37" s="406">
        <v>0</v>
      </c>
      <c r="R37" s="406">
        <v>0</v>
      </c>
      <c r="S37" s="406">
        <v>0</v>
      </c>
      <c r="T37" s="406">
        <v>0</v>
      </c>
      <c r="U37" s="407" t="e">
        <v>#DIV/0!</v>
      </c>
      <c r="V37" s="406">
        <v>0</v>
      </c>
      <c r="W37" s="406">
        <v>0</v>
      </c>
      <c r="X37" s="406">
        <v>0</v>
      </c>
      <c r="Y37" s="406">
        <v>0</v>
      </c>
      <c r="Z37" s="406">
        <v>0</v>
      </c>
      <c r="AA37" s="406">
        <v>0</v>
      </c>
    </row>
    <row r="38" spans="1:27" s="408" customFormat="1" x14ac:dyDescent="0.2">
      <c r="A38" s="398" t="s">
        <v>1142</v>
      </c>
      <c r="B38" s="404" t="s">
        <v>429</v>
      </c>
      <c r="C38" s="411">
        <v>0</v>
      </c>
      <c r="D38" s="411">
        <v>0</v>
      </c>
      <c r="E38" s="411">
        <v>0</v>
      </c>
      <c r="F38" s="411">
        <v>0</v>
      </c>
      <c r="G38" s="411">
        <v>0</v>
      </c>
      <c r="H38" s="406">
        <v>0</v>
      </c>
      <c r="I38" s="406">
        <v>0</v>
      </c>
      <c r="J38" s="406">
        <v>0</v>
      </c>
      <c r="K38" s="406">
        <v>0</v>
      </c>
      <c r="L38" s="406">
        <v>0</v>
      </c>
      <c r="M38" s="406">
        <v>0</v>
      </c>
      <c r="N38" s="406">
        <v>0</v>
      </c>
      <c r="O38" s="406">
        <v>0</v>
      </c>
      <c r="P38" s="406">
        <v>0</v>
      </c>
      <c r="Q38" s="406">
        <v>0</v>
      </c>
      <c r="R38" s="406">
        <v>0</v>
      </c>
      <c r="S38" s="406">
        <v>0</v>
      </c>
      <c r="T38" s="406">
        <v>0</v>
      </c>
      <c r="U38" s="407" t="e">
        <v>#DIV/0!</v>
      </c>
      <c r="V38" s="406">
        <v>0</v>
      </c>
      <c r="W38" s="406">
        <v>0</v>
      </c>
      <c r="X38" s="406">
        <v>0</v>
      </c>
      <c r="Y38" s="406">
        <v>0</v>
      </c>
      <c r="Z38" s="406">
        <v>0</v>
      </c>
      <c r="AA38" s="406">
        <v>0</v>
      </c>
    </row>
    <row r="39" spans="1:27" s="408" customFormat="1" x14ac:dyDescent="0.2">
      <c r="A39" s="398"/>
      <c r="B39" s="399" t="s">
        <v>430</v>
      </c>
      <c r="C39" s="400">
        <v>145630</v>
      </c>
      <c r="D39" s="400">
        <v>145630</v>
      </c>
      <c r="E39" s="400">
        <v>131279.4</v>
      </c>
      <c r="F39" s="400">
        <v>0</v>
      </c>
      <c r="G39" s="400">
        <v>0</v>
      </c>
      <c r="H39" s="400">
        <v>0</v>
      </c>
      <c r="I39" s="400">
        <v>0</v>
      </c>
      <c r="J39" s="400">
        <v>0</v>
      </c>
      <c r="K39" s="400">
        <v>0</v>
      </c>
      <c r="L39" s="400">
        <v>0</v>
      </c>
      <c r="M39" s="400">
        <v>0</v>
      </c>
      <c r="N39" s="400">
        <v>0</v>
      </c>
      <c r="O39" s="400">
        <v>0</v>
      </c>
      <c r="P39" s="400">
        <v>0</v>
      </c>
      <c r="Q39" s="400">
        <v>0</v>
      </c>
      <c r="R39" s="400">
        <v>0</v>
      </c>
      <c r="S39" s="400">
        <v>0</v>
      </c>
      <c r="T39" s="401">
        <v>0</v>
      </c>
      <c r="U39" s="402">
        <v>0</v>
      </c>
      <c r="V39" s="401">
        <v>145630</v>
      </c>
      <c r="W39" s="401">
        <v>14350.600000000006</v>
      </c>
      <c r="X39" s="401">
        <v>145630</v>
      </c>
      <c r="Y39" s="401">
        <v>131279.4</v>
      </c>
      <c r="Z39" s="401">
        <v>0</v>
      </c>
      <c r="AA39" s="401">
        <v>0</v>
      </c>
    </row>
    <row r="40" spans="1:27" s="408" customFormat="1" x14ac:dyDescent="0.2">
      <c r="A40" s="398" t="s">
        <v>1143</v>
      </c>
      <c r="B40" s="404" t="s">
        <v>431</v>
      </c>
      <c r="C40" s="411">
        <v>0</v>
      </c>
      <c r="D40" s="411">
        <v>0</v>
      </c>
      <c r="E40" s="411">
        <v>0</v>
      </c>
      <c r="F40" s="411">
        <v>0</v>
      </c>
      <c r="G40" s="411">
        <v>0</v>
      </c>
      <c r="H40" s="406">
        <v>0</v>
      </c>
      <c r="I40" s="406">
        <v>0</v>
      </c>
      <c r="J40" s="406">
        <v>0</v>
      </c>
      <c r="K40" s="406">
        <v>0</v>
      </c>
      <c r="L40" s="406">
        <v>0</v>
      </c>
      <c r="M40" s="406">
        <v>0</v>
      </c>
      <c r="N40" s="406">
        <v>0</v>
      </c>
      <c r="O40" s="406">
        <v>0</v>
      </c>
      <c r="P40" s="406">
        <v>0</v>
      </c>
      <c r="Q40" s="406">
        <v>0</v>
      </c>
      <c r="R40" s="406">
        <v>0</v>
      </c>
      <c r="S40" s="406">
        <v>0</v>
      </c>
      <c r="T40" s="406">
        <v>0</v>
      </c>
      <c r="U40" s="407" t="e">
        <v>#DIV/0!</v>
      </c>
      <c r="V40" s="406">
        <v>0</v>
      </c>
      <c r="W40" s="406">
        <v>0</v>
      </c>
      <c r="X40" s="406">
        <v>0</v>
      </c>
      <c r="Y40" s="406">
        <v>0</v>
      </c>
      <c r="Z40" s="406">
        <v>0</v>
      </c>
      <c r="AA40" s="406">
        <v>0</v>
      </c>
    </row>
    <row r="41" spans="1:27" s="408" customFormat="1" x14ac:dyDescent="0.2">
      <c r="A41" s="398" t="s">
        <v>1144</v>
      </c>
      <c r="B41" s="404" t="s">
        <v>432</v>
      </c>
      <c r="C41" s="411">
        <v>0</v>
      </c>
      <c r="D41" s="411">
        <v>0</v>
      </c>
      <c r="E41" s="411">
        <v>0</v>
      </c>
      <c r="F41" s="411">
        <v>0</v>
      </c>
      <c r="G41" s="411">
        <v>0</v>
      </c>
      <c r="H41" s="406">
        <v>0</v>
      </c>
      <c r="I41" s="406">
        <v>0</v>
      </c>
      <c r="J41" s="406">
        <v>0</v>
      </c>
      <c r="K41" s="406">
        <v>0</v>
      </c>
      <c r="L41" s="406">
        <v>0</v>
      </c>
      <c r="M41" s="406">
        <v>0</v>
      </c>
      <c r="N41" s="406">
        <v>0</v>
      </c>
      <c r="O41" s="406">
        <v>0</v>
      </c>
      <c r="P41" s="406">
        <v>0</v>
      </c>
      <c r="Q41" s="406">
        <v>0</v>
      </c>
      <c r="R41" s="406">
        <v>0</v>
      </c>
      <c r="S41" s="406">
        <v>0</v>
      </c>
      <c r="T41" s="406">
        <v>0</v>
      </c>
      <c r="U41" s="407" t="e">
        <v>#DIV/0!</v>
      </c>
      <c r="V41" s="406">
        <v>0</v>
      </c>
      <c r="W41" s="406">
        <v>0</v>
      </c>
      <c r="X41" s="406">
        <v>0</v>
      </c>
      <c r="Y41" s="406">
        <v>0</v>
      </c>
      <c r="Z41" s="406">
        <v>0</v>
      </c>
      <c r="AA41" s="406">
        <v>0</v>
      </c>
    </row>
    <row r="42" spans="1:27" s="408" customFormat="1" x14ac:dyDescent="0.2">
      <c r="A42" s="398"/>
      <c r="B42" s="404" t="s">
        <v>433</v>
      </c>
      <c r="C42" s="405">
        <v>0</v>
      </c>
      <c r="D42" s="405">
        <v>0</v>
      </c>
      <c r="E42" s="405">
        <v>0</v>
      </c>
      <c r="F42" s="405">
        <v>0</v>
      </c>
      <c r="G42" s="405">
        <v>0</v>
      </c>
      <c r="H42" s="405">
        <v>0</v>
      </c>
      <c r="I42" s="405">
        <v>0</v>
      </c>
      <c r="J42" s="405">
        <v>0</v>
      </c>
      <c r="K42" s="405">
        <v>0</v>
      </c>
      <c r="L42" s="405">
        <v>0</v>
      </c>
      <c r="M42" s="405">
        <v>0</v>
      </c>
      <c r="N42" s="405">
        <v>0</v>
      </c>
      <c r="O42" s="405">
        <v>0</v>
      </c>
      <c r="P42" s="405">
        <v>0</v>
      </c>
      <c r="Q42" s="405">
        <v>0</v>
      </c>
      <c r="R42" s="405">
        <v>0</v>
      </c>
      <c r="S42" s="405">
        <v>0</v>
      </c>
      <c r="T42" s="406">
        <v>0</v>
      </c>
      <c r="U42" s="407" t="e">
        <v>#DIV/0!</v>
      </c>
      <c r="V42" s="406">
        <v>0</v>
      </c>
      <c r="W42" s="406">
        <v>0</v>
      </c>
      <c r="X42" s="406">
        <v>0</v>
      </c>
      <c r="Y42" s="406">
        <v>0</v>
      </c>
      <c r="Z42" s="406">
        <v>0</v>
      </c>
      <c r="AA42" s="406">
        <v>0</v>
      </c>
    </row>
    <row r="43" spans="1:27" x14ac:dyDescent="0.2">
      <c r="A43" s="398" t="s">
        <v>1145</v>
      </c>
      <c r="B43" s="409" t="s">
        <v>434</v>
      </c>
      <c r="C43" s="253">
        <v>0</v>
      </c>
      <c r="D43" s="253">
        <v>0</v>
      </c>
      <c r="E43" s="253">
        <v>0</v>
      </c>
      <c r="F43" s="253">
        <v>0</v>
      </c>
      <c r="G43" s="253">
        <v>0</v>
      </c>
      <c r="H43" s="285">
        <v>0</v>
      </c>
      <c r="I43" s="285">
        <v>0</v>
      </c>
      <c r="J43" s="285">
        <v>0</v>
      </c>
      <c r="K43" s="285">
        <v>0</v>
      </c>
      <c r="L43" s="285">
        <v>0</v>
      </c>
      <c r="M43" s="285">
        <v>0</v>
      </c>
      <c r="N43" s="285">
        <v>0</v>
      </c>
      <c r="O43" s="285">
        <v>0</v>
      </c>
      <c r="P43" s="285">
        <v>0</v>
      </c>
      <c r="Q43" s="285">
        <v>0</v>
      </c>
      <c r="R43" s="285">
        <v>0</v>
      </c>
      <c r="S43" s="285">
        <v>0</v>
      </c>
      <c r="T43" s="285">
        <v>0</v>
      </c>
      <c r="U43" s="410" t="e">
        <v>#DIV/0!</v>
      </c>
      <c r="V43" s="285">
        <v>0</v>
      </c>
      <c r="W43" s="285">
        <v>0</v>
      </c>
      <c r="X43" s="285">
        <v>0</v>
      </c>
      <c r="Y43" s="285">
        <v>0</v>
      </c>
      <c r="Z43" s="285">
        <v>0</v>
      </c>
      <c r="AA43" s="285">
        <v>0</v>
      </c>
    </row>
    <row r="44" spans="1:27" x14ac:dyDescent="0.2">
      <c r="A44" s="398" t="s">
        <v>1146</v>
      </c>
      <c r="B44" s="409" t="s">
        <v>435</v>
      </c>
      <c r="C44" s="253">
        <v>0</v>
      </c>
      <c r="D44" s="253">
        <v>0</v>
      </c>
      <c r="E44" s="253">
        <v>0</v>
      </c>
      <c r="F44" s="253">
        <v>0</v>
      </c>
      <c r="G44" s="253">
        <v>0</v>
      </c>
      <c r="H44" s="285">
        <v>0</v>
      </c>
      <c r="I44" s="285">
        <v>0</v>
      </c>
      <c r="J44" s="285">
        <v>0</v>
      </c>
      <c r="K44" s="285">
        <v>0</v>
      </c>
      <c r="L44" s="285">
        <v>0</v>
      </c>
      <c r="M44" s="285">
        <v>0</v>
      </c>
      <c r="N44" s="285">
        <v>0</v>
      </c>
      <c r="O44" s="285">
        <v>0</v>
      </c>
      <c r="P44" s="285">
        <v>0</v>
      </c>
      <c r="Q44" s="285">
        <v>0</v>
      </c>
      <c r="R44" s="285">
        <v>0</v>
      </c>
      <c r="S44" s="285">
        <v>0</v>
      </c>
      <c r="T44" s="285">
        <v>0</v>
      </c>
      <c r="U44" s="410" t="e">
        <v>#DIV/0!</v>
      </c>
      <c r="V44" s="285">
        <v>0</v>
      </c>
      <c r="W44" s="285">
        <v>0</v>
      </c>
      <c r="X44" s="285">
        <v>0</v>
      </c>
      <c r="Y44" s="285">
        <v>0</v>
      </c>
      <c r="Z44" s="285">
        <v>0</v>
      </c>
      <c r="AA44" s="285">
        <v>0</v>
      </c>
    </row>
    <row r="45" spans="1:27" s="408" customFormat="1" x14ac:dyDescent="0.2">
      <c r="A45" s="398"/>
      <c r="B45" s="404" t="s">
        <v>436</v>
      </c>
      <c r="C45" s="405">
        <v>0</v>
      </c>
      <c r="D45" s="405">
        <v>0</v>
      </c>
      <c r="E45" s="405">
        <v>0</v>
      </c>
      <c r="F45" s="405">
        <v>0</v>
      </c>
      <c r="G45" s="405">
        <v>0</v>
      </c>
      <c r="H45" s="405">
        <v>0</v>
      </c>
      <c r="I45" s="405">
        <v>0</v>
      </c>
      <c r="J45" s="405">
        <v>0</v>
      </c>
      <c r="K45" s="405">
        <v>0</v>
      </c>
      <c r="L45" s="405">
        <v>0</v>
      </c>
      <c r="M45" s="405">
        <v>0</v>
      </c>
      <c r="N45" s="405">
        <v>0</v>
      </c>
      <c r="O45" s="405">
        <v>0</v>
      </c>
      <c r="P45" s="405">
        <v>0</v>
      </c>
      <c r="Q45" s="405">
        <v>0</v>
      </c>
      <c r="R45" s="405">
        <v>0</v>
      </c>
      <c r="S45" s="405">
        <v>0</v>
      </c>
      <c r="T45" s="406">
        <v>0</v>
      </c>
      <c r="U45" s="407" t="e">
        <v>#DIV/0!</v>
      </c>
      <c r="V45" s="406">
        <v>0</v>
      </c>
      <c r="W45" s="406">
        <v>0</v>
      </c>
      <c r="X45" s="406">
        <v>0</v>
      </c>
      <c r="Y45" s="406">
        <v>0</v>
      </c>
      <c r="Z45" s="406">
        <v>0</v>
      </c>
      <c r="AA45" s="406">
        <v>0</v>
      </c>
    </row>
    <row r="46" spans="1:27" x14ac:dyDescent="0.2">
      <c r="A46" s="398" t="s">
        <v>1147</v>
      </c>
      <c r="B46" s="409" t="s">
        <v>437</v>
      </c>
      <c r="C46" s="253">
        <v>0</v>
      </c>
      <c r="D46" s="253">
        <v>0</v>
      </c>
      <c r="E46" s="253">
        <v>0</v>
      </c>
      <c r="F46" s="253">
        <v>0</v>
      </c>
      <c r="G46" s="253">
        <v>0</v>
      </c>
      <c r="H46" s="285">
        <v>0</v>
      </c>
      <c r="I46" s="285">
        <v>0</v>
      </c>
      <c r="J46" s="285">
        <v>0</v>
      </c>
      <c r="K46" s="285">
        <v>0</v>
      </c>
      <c r="L46" s="285">
        <v>0</v>
      </c>
      <c r="M46" s="285">
        <v>0</v>
      </c>
      <c r="N46" s="285">
        <v>0</v>
      </c>
      <c r="O46" s="285">
        <v>0</v>
      </c>
      <c r="P46" s="285">
        <v>0</v>
      </c>
      <c r="Q46" s="285">
        <v>0</v>
      </c>
      <c r="R46" s="285">
        <v>0</v>
      </c>
      <c r="S46" s="285">
        <v>0</v>
      </c>
      <c r="T46" s="285">
        <v>0</v>
      </c>
      <c r="U46" s="410" t="e">
        <v>#DIV/0!</v>
      </c>
      <c r="V46" s="285">
        <v>0</v>
      </c>
      <c r="W46" s="285">
        <v>0</v>
      </c>
      <c r="X46" s="285">
        <v>0</v>
      </c>
      <c r="Y46" s="285">
        <v>0</v>
      </c>
      <c r="Z46" s="285">
        <v>0</v>
      </c>
      <c r="AA46" s="285">
        <v>0</v>
      </c>
    </row>
    <row r="47" spans="1:27" x14ac:dyDescent="0.2">
      <c r="A47" s="398" t="s">
        <v>1148</v>
      </c>
      <c r="B47" s="409" t="s">
        <v>438</v>
      </c>
      <c r="C47" s="253">
        <v>0</v>
      </c>
      <c r="D47" s="253">
        <v>0</v>
      </c>
      <c r="E47" s="253">
        <v>0</v>
      </c>
      <c r="F47" s="253">
        <v>0</v>
      </c>
      <c r="G47" s="253">
        <v>0</v>
      </c>
      <c r="H47" s="285">
        <v>0</v>
      </c>
      <c r="I47" s="285">
        <v>0</v>
      </c>
      <c r="J47" s="285">
        <v>0</v>
      </c>
      <c r="K47" s="285">
        <v>0</v>
      </c>
      <c r="L47" s="285">
        <v>0</v>
      </c>
      <c r="M47" s="285">
        <v>0</v>
      </c>
      <c r="N47" s="285">
        <v>0</v>
      </c>
      <c r="O47" s="285">
        <v>0</v>
      </c>
      <c r="P47" s="285">
        <v>0</v>
      </c>
      <c r="Q47" s="285">
        <v>0</v>
      </c>
      <c r="R47" s="285">
        <v>0</v>
      </c>
      <c r="S47" s="285">
        <v>0</v>
      </c>
      <c r="T47" s="285">
        <v>0</v>
      </c>
      <c r="U47" s="410" t="e">
        <v>#DIV/0!</v>
      </c>
      <c r="V47" s="285">
        <v>0</v>
      </c>
      <c r="W47" s="285">
        <v>0</v>
      </c>
      <c r="X47" s="285">
        <v>0</v>
      </c>
      <c r="Y47" s="285">
        <v>0</v>
      </c>
      <c r="Z47" s="285">
        <v>0</v>
      </c>
      <c r="AA47" s="285">
        <v>0</v>
      </c>
    </row>
    <row r="48" spans="1:27" x14ac:dyDescent="0.2">
      <c r="A48" s="398" t="s">
        <v>1149</v>
      </c>
      <c r="B48" s="409" t="s">
        <v>439</v>
      </c>
      <c r="C48" s="253">
        <v>0</v>
      </c>
      <c r="D48" s="253">
        <v>0</v>
      </c>
      <c r="E48" s="253">
        <v>0</v>
      </c>
      <c r="F48" s="253">
        <v>0</v>
      </c>
      <c r="G48" s="253">
        <v>0</v>
      </c>
      <c r="H48" s="285">
        <v>0</v>
      </c>
      <c r="I48" s="285">
        <v>0</v>
      </c>
      <c r="J48" s="285">
        <v>0</v>
      </c>
      <c r="K48" s="285">
        <v>0</v>
      </c>
      <c r="L48" s="285">
        <v>0</v>
      </c>
      <c r="M48" s="285">
        <v>0</v>
      </c>
      <c r="N48" s="285">
        <v>0</v>
      </c>
      <c r="O48" s="285">
        <v>0</v>
      </c>
      <c r="P48" s="285">
        <v>0</v>
      </c>
      <c r="Q48" s="285">
        <v>0</v>
      </c>
      <c r="R48" s="285">
        <v>0</v>
      </c>
      <c r="S48" s="285">
        <v>0</v>
      </c>
      <c r="T48" s="285">
        <v>0</v>
      </c>
      <c r="U48" s="410" t="e">
        <v>#DIV/0!</v>
      </c>
      <c r="V48" s="285">
        <v>0</v>
      </c>
      <c r="W48" s="285">
        <v>0</v>
      </c>
      <c r="X48" s="285">
        <v>0</v>
      </c>
      <c r="Y48" s="285">
        <v>0</v>
      </c>
      <c r="Z48" s="285">
        <v>0</v>
      </c>
      <c r="AA48" s="285">
        <v>0</v>
      </c>
    </row>
    <row r="49" spans="1:28" x14ac:dyDescent="0.2">
      <c r="A49" s="398" t="s">
        <v>1150</v>
      </c>
      <c r="B49" s="409" t="s">
        <v>440</v>
      </c>
      <c r="C49" s="253">
        <v>0</v>
      </c>
      <c r="D49" s="253">
        <v>0</v>
      </c>
      <c r="E49" s="253">
        <v>0</v>
      </c>
      <c r="F49" s="253">
        <v>0</v>
      </c>
      <c r="G49" s="253">
        <v>0</v>
      </c>
      <c r="H49" s="285">
        <v>0</v>
      </c>
      <c r="I49" s="285">
        <v>0</v>
      </c>
      <c r="J49" s="285">
        <v>0</v>
      </c>
      <c r="K49" s="285">
        <v>0</v>
      </c>
      <c r="L49" s="285">
        <v>0</v>
      </c>
      <c r="M49" s="285">
        <v>0</v>
      </c>
      <c r="N49" s="285">
        <v>0</v>
      </c>
      <c r="O49" s="285">
        <v>0</v>
      </c>
      <c r="P49" s="285">
        <v>0</v>
      </c>
      <c r="Q49" s="285">
        <v>0</v>
      </c>
      <c r="R49" s="285">
        <v>0</v>
      </c>
      <c r="S49" s="285">
        <v>0</v>
      </c>
      <c r="T49" s="285">
        <v>0</v>
      </c>
      <c r="U49" s="410" t="e">
        <v>#DIV/0!</v>
      </c>
      <c r="V49" s="285">
        <v>0</v>
      </c>
      <c r="W49" s="285">
        <v>0</v>
      </c>
      <c r="X49" s="285">
        <v>0</v>
      </c>
      <c r="Y49" s="285">
        <v>0</v>
      </c>
      <c r="Z49" s="285">
        <v>0</v>
      </c>
      <c r="AA49" s="285">
        <v>0</v>
      </c>
    </row>
    <row r="50" spans="1:28" s="408" customFormat="1" x14ac:dyDescent="0.2">
      <c r="A50" s="398"/>
      <c r="B50" s="404" t="s">
        <v>441</v>
      </c>
      <c r="C50" s="405">
        <v>0</v>
      </c>
      <c r="D50" s="405">
        <v>0</v>
      </c>
      <c r="E50" s="405">
        <v>0</v>
      </c>
      <c r="F50" s="405">
        <v>0</v>
      </c>
      <c r="G50" s="405">
        <v>0</v>
      </c>
      <c r="H50" s="405">
        <v>0</v>
      </c>
      <c r="I50" s="405">
        <v>0</v>
      </c>
      <c r="J50" s="405">
        <v>0</v>
      </c>
      <c r="K50" s="405">
        <v>0</v>
      </c>
      <c r="L50" s="405">
        <v>0</v>
      </c>
      <c r="M50" s="405">
        <v>0</v>
      </c>
      <c r="N50" s="405">
        <v>0</v>
      </c>
      <c r="O50" s="405">
        <v>0</v>
      </c>
      <c r="P50" s="405">
        <v>0</v>
      </c>
      <c r="Q50" s="405">
        <v>0</v>
      </c>
      <c r="R50" s="405">
        <v>0</v>
      </c>
      <c r="S50" s="405">
        <v>0</v>
      </c>
      <c r="T50" s="406">
        <v>0</v>
      </c>
      <c r="U50" s="407" t="e">
        <v>#DIV/0!</v>
      </c>
      <c r="V50" s="406">
        <v>0</v>
      </c>
      <c r="W50" s="406">
        <v>0</v>
      </c>
      <c r="X50" s="406">
        <v>0</v>
      </c>
      <c r="Y50" s="406">
        <v>0</v>
      </c>
      <c r="Z50" s="406">
        <v>0</v>
      </c>
      <c r="AA50" s="406">
        <v>0</v>
      </c>
    </row>
    <row r="51" spans="1:28" x14ac:dyDescent="0.2">
      <c r="A51" s="398" t="s">
        <v>1151</v>
      </c>
      <c r="B51" s="409" t="s">
        <v>442</v>
      </c>
      <c r="C51" s="253">
        <v>0</v>
      </c>
      <c r="D51" s="253">
        <v>0</v>
      </c>
      <c r="E51" s="253">
        <v>0</v>
      </c>
      <c r="F51" s="253">
        <v>0</v>
      </c>
      <c r="G51" s="253">
        <v>0</v>
      </c>
      <c r="H51" s="285">
        <v>0</v>
      </c>
      <c r="I51" s="285">
        <v>0</v>
      </c>
      <c r="J51" s="285">
        <v>0</v>
      </c>
      <c r="K51" s="285">
        <v>0</v>
      </c>
      <c r="L51" s="285">
        <v>0</v>
      </c>
      <c r="M51" s="285">
        <v>0</v>
      </c>
      <c r="N51" s="285">
        <v>0</v>
      </c>
      <c r="O51" s="285">
        <v>0</v>
      </c>
      <c r="P51" s="285">
        <v>0</v>
      </c>
      <c r="Q51" s="285">
        <v>0</v>
      </c>
      <c r="R51" s="285">
        <v>0</v>
      </c>
      <c r="S51" s="285">
        <v>0</v>
      </c>
      <c r="T51" s="285">
        <v>0</v>
      </c>
      <c r="U51" s="410" t="e">
        <v>#DIV/0!</v>
      </c>
      <c r="V51" s="285">
        <v>0</v>
      </c>
      <c r="W51" s="285">
        <v>0</v>
      </c>
      <c r="X51" s="285">
        <v>0</v>
      </c>
      <c r="Y51" s="285">
        <v>0</v>
      </c>
      <c r="Z51" s="285">
        <v>0</v>
      </c>
      <c r="AA51" s="285">
        <v>0</v>
      </c>
    </row>
    <row r="52" spans="1:28" x14ac:dyDescent="0.2">
      <c r="A52" s="398" t="s">
        <v>1152</v>
      </c>
      <c r="B52" s="409" t="s">
        <v>443</v>
      </c>
      <c r="C52" s="253">
        <v>0</v>
      </c>
      <c r="D52" s="253">
        <v>0</v>
      </c>
      <c r="E52" s="253">
        <v>0</v>
      </c>
      <c r="F52" s="253">
        <v>0</v>
      </c>
      <c r="G52" s="253">
        <v>0</v>
      </c>
      <c r="H52" s="285">
        <v>0</v>
      </c>
      <c r="I52" s="285">
        <v>0</v>
      </c>
      <c r="J52" s="285">
        <v>0</v>
      </c>
      <c r="K52" s="285">
        <v>0</v>
      </c>
      <c r="L52" s="285">
        <v>0</v>
      </c>
      <c r="M52" s="285">
        <v>0</v>
      </c>
      <c r="N52" s="285">
        <v>0</v>
      </c>
      <c r="O52" s="285">
        <v>0</v>
      </c>
      <c r="P52" s="285">
        <v>0</v>
      </c>
      <c r="Q52" s="285">
        <v>0</v>
      </c>
      <c r="R52" s="285">
        <v>0</v>
      </c>
      <c r="S52" s="285">
        <v>0</v>
      </c>
      <c r="T52" s="285">
        <v>0</v>
      </c>
      <c r="U52" s="410" t="e">
        <v>#DIV/0!</v>
      </c>
      <c r="V52" s="285">
        <v>0</v>
      </c>
      <c r="W52" s="285">
        <v>0</v>
      </c>
      <c r="X52" s="285">
        <v>0</v>
      </c>
      <c r="Y52" s="285">
        <v>0</v>
      </c>
      <c r="Z52" s="285">
        <v>0</v>
      </c>
      <c r="AA52" s="285">
        <v>0</v>
      </c>
    </row>
    <row r="53" spans="1:28" x14ac:dyDescent="0.2">
      <c r="A53" s="398" t="s">
        <v>1153</v>
      </c>
      <c r="B53" s="409" t="s">
        <v>444</v>
      </c>
      <c r="C53" s="253">
        <v>0</v>
      </c>
      <c r="D53" s="253">
        <v>0</v>
      </c>
      <c r="E53" s="253">
        <v>0</v>
      </c>
      <c r="F53" s="253">
        <v>0</v>
      </c>
      <c r="G53" s="253">
        <v>0</v>
      </c>
      <c r="H53" s="285">
        <v>0</v>
      </c>
      <c r="I53" s="285">
        <v>0</v>
      </c>
      <c r="J53" s="285">
        <v>0</v>
      </c>
      <c r="K53" s="285">
        <v>0</v>
      </c>
      <c r="L53" s="285">
        <v>0</v>
      </c>
      <c r="M53" s="285">
        <v>0</v>
      </c>
      <c r="N53" s="285">
        <v>0</v>
      </c>
      <c r="O53" s="285">
        <v>0</v>
      </c>
      <c r="P53" s="285">
        <v>0</v>
      </c>
      <c r="Q53" s="285">
        <v>0</v>
      </c>
      <c r="R53" s="285">
        <v>0</v>
      </c>
      <c r="S53" s="285">
        <v>0</v>
      </c>
      <c r="T53" s="285">
        <v>0</v>
      </c>
      <c r="U53" s="410" t="e">
        <v>#DIV/0!</v>
      </c>
      <c r="V53" s="285">
        <v>0</v>
      </c>
      <c r="W53" s="285">
        <v>0</v>
      </c>
      <c r="X53" s="285">
        <v>0</v>
      </c>
      <c r="Y53" s="285">
        <v>0</v>
      </c>
      <c r="Z53" s="285">
        <v>0</v>
      </c>
      <c r="AA53" s="285">
        <v>0</v>
      </c>
    </row>
    <row r="54" spans="1:28" x14ac:dyDescent="0.2">
      <c r="A54" s="398" t="s">
        <v>1154</v>
      </c>
      <c r="B54" s="409" t="s">
        <v>445</v>
      </c>
      <c r="C54" s="253">
        <v>0</v>
      </c>
      <c r="D54" s="253">
        <v>0</v>
      </c>
      <c r="E54" s="253">
        <v>0</v>
      </c>
      <c r="F54" s="253">
        <v>0</v>
      </c>
      <c r="G54" s="253">
        <v>0</v>
      </c>
      <c r="H54" s="285">
        <v>0</v>
      </c>
      <c r="I54" s="285">
        <v>0</v>
      </c>
      <c r="J54" s="285">
        <v>0</v>
      </c>
      <c r="K54" s="285">
        <v>0</v>
      </c>
      <c r="L54" s="285">
        <v>0</v>
      </c>
      <c r="M54" s="285">
        <v>0</v>
      </c>
      <c r="N54" s="285">
        <v>0</v>
      </c>
      <c r="O54" s="285">
        <v>0</v>
      </c>
      <c r="P54" s="285">
        <v>0</v>
      </c>
      <c r="Q54" s="285">
        <v>0</v>
      </c>
      <c r="R54" s="285">
        <v>0</v>
      </c>
      <c r="S54" s="285">
        <v>0</v>
      </c>
      <c r="T54" s="285">
        <v>0</v>
      </c>
      <c r="U54" s="410" t="e">
        <v>#DIV/0!</v>
      </c>
      <c r="V54" s="285">
        <v>0</v>
      </c>
      <c r="W54" s="285">
        <v>0</v>
      </c>
      <c r="X54" s="285">
        <v>0</v>
      </c>
      <c r="Y54" s="285">
        <v>0</v>
      </c>
      <c r="Z54" s="285">
        <v>0</v>
      </c>
      <c r="AA54" s="285">
        <v>0</v>
      </c>
    </row>
    <row r="55" spans="1:28" s="408" customFormat="1" x14ac:dyDescent="0.2">
      <c r="A55" s="398" t="s">
        <v>1155</v>
      </c>
      <c r="B55" s="404" t="s">
        <v>446</v>
      </c>
      <c r="C55" s="411">
        <v>0</v>
      </c>
      <c r="D55" s="411">
        <v>0</v>
      </c>
      <c r="E55" s="411">
        <v>0</v>
      </c>
      <c r="F55" s="411">
        <v>0</v>
      </c>
      <c r="G55" s="411">
        <v>0</v>
      </c>
      <c r="H55" s="406">
        <v>0</v>
      </c>
      <c r="I55" s="406">
        <v>0</v>
      </c>
      <c r="J55" s="406">
        <v>0</v>
      </c>
      <c r="K55" s="406">
        <v>0</v>
      </c>
      <c r="L55" s="406">
        <v>0</v>
      </c>
      <c r="M55" s="406">
        <v>0</v>
      </c>
      <c r="N55" s="406">
        <v>0</v>
      </c>
      <c r="O55" s="406">
        <v>0</v>
      </c>
      <c r="P55" s="406">
        <v>0</v>
      </c>
      <c r="Q55" s="406">
        <v>0</v>
      </c>
      <c r="R55" s="406">
        <v>0</v>
      </c>
      <c r="S55" s="406">
        <v>0</v>
      </c>
      <c r="T55" s="406">
        <v>0</v>
      </c>
      <c r="U55" s="407" t="e">
        <v>#DIV/0!</v>
      </c>
      <c r="V55" s="406">
        <v>0</v>
      </c>
      <c r="W55" s="406">
        <v>0</v>
      </c>
      <c r="X55" s="406">
        <v>0</v>
      </c>
      <c r="Y55" s="406">
        <v>0</v>
      </c>
      <c r="Z55" s="406">
        <v>0</v>
      </c>
      <c r="AA55" s="406">
        <v>0</v>
      </c>
    </row>
    <row r="56" spans="1:28" s="408" customFormat="1" x14ac:dyDescent="0.2">
      <c r="A56" s="398" t="s">
        <v>1156</v>
      </c>
      <c r="B56" s="404" t="s">
        <v>447</v>
      </c>
      <c r="C56" s="411">
        <v>0</v>
      </c>
      <c r="D56" s="411">
        <v>0</v>
      </c>
      <c r="E56" s="411">
        <v>0</v>
      </c>
      <c r="F56" s="411">
        <v>0</v>
      </c>
      <c r="G56" s="411">
        <v>0</v>
      </c>
      <c r="H56" s="406">
        <v>0</v>
      </c>
      <c r="I56" s="406">
        <v>0</v>
      </c>
      <c r="J56" s="406">
        <v>0</v>
      </c>
      <c r="K56" s="406">
        <v>0</v>
      </c>
      <c r="L56" s="406">
        <v>0</v>
      </c>
      <c r="M56" s="406">
        <v>0</v>
      </c>
      <c r="N56" s="406">
        <v>0</v>
      </c>
      <c r="O56" s="406">
        <v>0</v>
      </c>
      <c r="P56" s="406">
        <v>0</v>
      </c>
      <c r="Q56" s="406">
        <v>0</v>
      </c>
      <c r="R56" s="406">
        <v>0</v>
      </c>
      <c r="S56" s="406">
        <v>0</v>
      </c>
      <c r="T56" s="406">
        <v>0</v>
      </c>
      <c r="U56" s="407" t="e">
        <v>#DIV/0!</v>
      </c>
      <c r="V56" s="406">
        <v>0</v>
      </c>
      <c r="W56" s="406">
        <v>0</v>
      </c>
      <c r="X56" s="406">
        <v>0</v>
      </c>
      <c r="Y56" s="406">
        <v>0</v>
      </c>
      <c r="Z56" s="406">
        <v>0</v>
      </c>
      <c r="AA56" s="406">
        <v>0</v>
      </c>
    </row>
    <row r="57" spans="1:28" s="408" customFormat="1" x14ac:dyDescent="0.2">
      <c r="A57" s="398" t="s">
        <v>1157</v>
      </c>
      <c r="B57" s="404" t="s">
        <v>448</v>
      </c>
      <c r="C57" s="411">
        <v>0</v>
      </c>
      <c r="D57" s="411">
        <v>0</v>
      </c>
      <c r="E57" s="411">
        <v>0</v>
      </c>
      <c r="F57" s="411">
        <v>0</v>
      </c>
      <c r="G57" s="411">
        <v>0</v>
      </c>
      <c r="H57" s="406">
        <v>0</v>
      </c>
      <c r="I57" s="406">
        <v>0</v>
      </c>
      <c r="J57" s="406">
        <v>0</v>
      </c>
      <c r="K57" s="406">
        <v>0</v>
      </c>
      <c r="L57" s="406">
        <v>0</v>
      </c>
      <c r="M57" s="406">
        <v>0</v>
      </c>
      <c r="N57" s="406">
        <v>0</v>
      </c>
      <c r="O57" s="406">
        <v>0</v>
      </c>
      <c r="P57" s="406">
        <v>0</v>
      </c>
      <c r="Q57" s="406">
        <v>0</v>
      </c>
      <c r="R57" s="406">
        <v>0</v>
      </c>
      <c r="S57" s="406">
        <v>0</v>
      </c>
      <c r="T57" s="406">
        <v>0</v>
      </c>
      <c r="U57" s="407" t="e">
        <v>#DIV/0!</v>
      </c>
      <c r="V57" s="406">
        <v>0</v>
      </c>
      <c r="W57" s="406">
        <v>0</v>
      </c>
      <c r="X57" s="406">
        <v>0</v>
      </c>
      <c r="Y57" s="406">
        <v>0</v>
      </c>
      <c r="Z57" s="406">
        <v>0</v>
      </c>
      <c r="AA57" s="406">
        <v>0</v>
      </c>
    </row>
    <row r="58" spans="1:28" s="408" customFormat="1" x14ac:dyDescent="0.2">
      <c r="A58" s="398" t="s">
        <v>1158</v>
      </c>
      <c r="B58" s="404" t="s">
        <v>449</v>
      </c>
      <c r="C58" s="411">
        <v>0</v>
      </c>
      <c r="D58" s="411">
        <v>0</v>
      </c>
      <c r="E58" s="411">
        <v>0</v>
      </c>
      <c r="F58" s="411">
        <v>0</v>
      </c>
      <c r="G58" s="411">
        <v>0</v>
      </c>
      <c r="H58" s="406">
        <v>0</v>
      </c>
      <c r="I58" s="406">
        <v>0</v>
      </c>
      <c r="J58" s="406">
        <v>0</v>
      </c>
      <c r="K58" s="406">
        <v>0</v>
      </c>
      <c r="L58" s="406">
        <v>0</v>
      </c>
      <c r="M58" s="406">
        <v>0</v>
      </c>
      <c r="N58" s="406">
        <v>0</v>
      </c>
      <c r="O58" s="406">
        <v>0</v>
      </c>
      <c r="P58" s="406">
        <v>0</v>
      </c>
      <c r="Q58" s="406">
        <v>0</v>
      </c>
      <c r="R58" s="406">
        <v>0</v>
      </c>
      <c r="S58" s="406">
        <v>0</v>
      </c>
      <c r="T58" s="406">
        <v>0</v>
      </c>
      <c r="U58" s="407" t="e">
        <v>#DIV/0!</v>
      </c>
      <c r="V58" s="406">
        <v>0</v>
      </c>
      <c r="W58" s="406">
        <v>0</v>
      </c>
      <c r="X58" s="406">
        <v>0</v>
      </c>
      <c r="Y58" s="406">
        <v>0</v>
      </c>
      <c r="Z58" s="406">
        <v>0</v>
      </c>
      <c r="AA58" s="406">
        <v>0</v>
      </c>
    </row>
    <row r="59" spans="1:28" x14ac:dyDescent="0.2">
      <c r="A59" s="398"/>
      <c r="B59" s="404" t="s">
        <v>450</v>
      </c>
      <c r="C59" s="405">
        <v>0</v>
      </c>
      <c r="D59" s="405">
        <v>0</v>
      </c>
      <c r="E59" s="405">
        <v>0</v>
      </c>
      <c r="F59" s="405">
        <v>0</v>
      </c>
      <c r="G59" s="405">
        <v>0</v>
      </c>
      <c r="H59" s="405">
        <v>0</v>
      </c>
      <c r="I59" s="405">
        <v>0</v>
      </c>
      <c r="J59" s="405">
        <v>0</v>
      </c>
      <c r="K59" s="405">
        <v>0</v>
      </c>
      <c r="L59" s="405">
        <v>0</v>
      </c>
      <c r="M59" s="405">
        <v>0</v>
      </c>
      <c r="N59" s="405">
        <v>0</v>
      </c>
      <c r="O59" s="405">
        <v>0</v>
      </c>
      <c r="P59" s="405">
        <v>0</v>
      </c>
      <c r="Q59" s="405">
        <v>0</v>
      </c>
      <c r="R59" s="405">
        <v>0</v>
      </c>
      <c r="S59" s="405">
        <v>0</v>
      </c>
      <c r="T59" s="406">
        <v>0</v>
      </c>
      <c r="U59" s="407" t="e">
        <v>#DIV/0!</v>
      </c>
      <c r="V59" s="406">
        <v>0</v>
      </c>
      <c r="W59" s="406">
        <v>0</v>
      </c>
      <c r="X59" s="406">
        <v>0</v>
      </c>
      <c r="Y59" s="406">
        <v>0</v>
      </c>
      <c r="Z59" s="406">
        <v>0</v>
      </c>
      <c r="AA59" s="406">
        <v>0</v>
      </c>
      <c r="AB59" s="408"/>
    </row>
    <row r="60" spans="1:28" x14ac:dyDescent="0.2">
      <c r="A60" s="398" t="s">
        <v>1159</v>
      </c>
      <c r="B60" s="409" t="s">
        <v>451</v>
      </c>
      <c r="C60" s="253">
        <v>0</v>
      </c>
      <c r="D60" s="253">
        <v>0</v>
      </c>
      <c r="E60" s="253">
        <v>0</v>
      </c>
      <c r="F60" s="253">
        <v>0</v>
      </c>
      <c r="G60" s="253">
        <v>0</v>
      </c>
      <c r="H60" s="285">
        <v>0</v>
      </c>
      <c r="I60" s="285">
        <v>0</v>
      </c>
      <c r="J60" s="285">
        <v>0</v>
      </c>
      <c r="K60" s="285">
        <v>0</v>
      </c>
      <c r="L60" s="285">
        <v>0</v>
      </c>
      <c r="M60" s="285">
        <v>0</v>
      </c>
      <c r="N60" s="285">
        <v>0</v>
      </c>
      <c r="O60" s="285">
        <v>0</v>
      </c>
      <c r="P60" s="285">
        <v>0</v>
      </c>
      <c r="Q60" s="285">
        <v>0</v>
      </c>
      <c r="R60" s="285">
        <v>0</v>
      </c>
      <c r="S60" s="285">
        <v>0</v>
      </c>
      <c r="T60" s="285">
        <v>0</v>
      </c>
      <c r="U60" s="410" t="e">
        <v>#DIV/0!</v>
      </c>
      <c r="V60" s="285">
        <v>0</v>
      </c>
      <c r="W60" s="285">
        <v>0</v>
      </c>
      <c r="X60" s="285">
        <v>0</v>
      </c>
      <c r="Y60" s="285">
        <v>0</v>
      </c>
      <c r="Z60" s="285">
        <v>0</v>
      </c>
      <c r="AA60" s="285">
        <v>0</v>
      </c>
    </row>
    <row r="61" spans="1:28" x14ac:dyDescent="0.2">
      <c r="A61" s="398" t="s">
        <v>1160</v>
      </c>
      <c r="B61" s="409" t="s">
        <v>452</v>
      </c>
      <c r="C61" s="253">
        <v>0</v>
      </c>
      <c r="D61" s="253">
        <v>0</v>
      </c>
      <c r="E61" s="253">
        <v>0</v>
      </c>
      <c r="F61" s="253">
        <v>0</v>
      </c>
      <c r="G61" s="253">
        <v>0</v>
      </c>
      <c r="H61" s="285">
        <v>0</v>
      </c>
      <c r="I61" s="285">
        <v>0</v>
      </c>
      <c r="J61" s="285">
        <v>0</v>
      </c>
      <c r="K61" s="285">
        <v>0</v>
      </c>
      <c r="L61" s="285">
        <v>0</v>
      </c>
      <c r="M61" s="285">
        <v>0</v>
      </c>
      <c r="N61" s="285">
        <v>0</v>
      </c>
      <c r="O61" s="285">
        <v>0</v>
      </c>
      <c r="P61" s="285">
        <v>0</v>
      </c>
      <c r="Q61" s="285">
        <v>0</v>
      </c>
      <c r="R61" s="285">
        <v>0</v>
      </c>
      <c r="S61" s="285">
        <v>0</v>
      </c>
      <c r="T61" s="285">
        <v>0</v>
      </c>
      <c r="U61" s="410" t="e">
        <v>#DIV/0!</v>
      </c>
      <c r="V61" s="285">
        <v>0</v>
      </c>
      <c r="W61" s="285">
        <v>0</v>
      </c>
      <c r="X61" s="285">
        <v>0</v>
      </c>
      <c r="Y61" s="285">
        <v>0</v>
      </c>
      <c r="Z61" s="285">
        <v>0</v>
      </c>
      <c r="AA61" s="285">
        <v>0</v>
      </c>
    </row>
    <row r="62" spans="1:28" x14ac:dyDescent="0.2">
      <c r="A62" s="398" t="s">
        <v>1161</v>
      </c>
      <c r="B62" s="409" t="s">
        <v>453</v>
      </c>
      <c r="C62" s="253">
        <v>0</v>
      </c>
      <c r="D62" s="253">
        <v>0</v>
      </c>
      <c r="E62" s="253">
        <v>0</v>
      </c>
      <c r="F62" s="253">
        <v>0</v>
      </c>
      <c r="G62" s="253">
        <v>0</v>
      </c>
      <c r="H62" s="285">
        <v>0</v>
      </c>
      <c r="I62" s="285">
        <v>0</v>
      </c>
      <c r="J62" s="285">
        <v>0</v>
      </c>
      <c r="K62" s="285">
        <v>0</v>
      </c>
      <c r="L62" s="285">
        <v>0</v>
      </c>
      <c r="M62" s="285">
        <v>0</v>
      </c>
      <c r="N62" s="285">
        <v>0</v>
      </c>
      <c r="O62" s="285">
        <v>0</v>
      </c>
      <c r="P62" s="285">
        <v>0</v>
      </c>
      <c r="Q62" s="285">
        <v>0</v>
      </c>
      <c r="R62" s="285">
        <v>0</v>
      </c>
      <c r="S62" s="285">
        <v>0</v>
      </c>
      <c r="T62" s="285">
        <v>0</v>
      </c>
      <c r="U62" s="410" t="e">
        <v>#DIV/0!</v>
      </c>
      <c r="V62" s="285">
        <v>0</v>
      </c>
      <c r="W62" s="285">
        <v>0</v>
      </c>
      <c r="X62" s="285">
        <v>0</v>
      </c>
      <c r="Y62" s="285">
        <v>0</v>
      </c>
      <c r="Z62" s="285">
        <v>0</v>
      </c>
      <c r="AA62" s="285">
        <v>0</v>
      </c>
    </row>
    <row r="63" spans="1:28" x14ac:dyDescent="0.2">
      <c r="A63" s="398" t="s">
        <v>1162</v>
      </c>
      <c r="B63" s="409" t="s">
        <v>454</v>
      </c>
      <c r="C63" s="253">
        <v>0</v>
      </c>
      <c r="D63" s="253">
        <v>0</v>
      </c>
      <c r="E63" s="253">
        <v>0</v>
      </c>
      <c r="F63" s="253">
        <v>0</v>
      </c>
      <c r="G63" s="253">
        <v>0</v>
      </c>
      <c r="H63" s="285">
        <v>0</v>
      </c>
      <c r="I63" s="285">
        <v>0</v>
      </c>
      <c r="J63" s="285">
        <v>0</v>
      </c>
      <c r="K63" s="285">
        <v>0</v>
      </c>
      <c r="L63" s="285">
        <v>0</v>
      </c>
      <c r="M63" s="285">
        <v>0</v>
      </c>
      <c r="N63" s="285">
        <v>0</v>
      </c>
      <c r="O63" s="285">
        <v>0</v>
      </c>
      <c r="P63" s="285">
        <v>0</v>
      </c>
      <c r="Q63" s="285">
        <v>0</v>
      </c>
      <c r="R63" s="285">
        <v>0</v>
      </c>
      <c r="S63" s="285">
        <v>0</v>
      </c>
      <c r="T63" s="285">
        <v>0</v>
      </c>
      <c r="U63" s="410" t="e">
        <v>#DIV/0!</v>
      </c>
      <c r="V63" s="285">
        <v>0</v>
      </c>
      <c r="W63" s="285">
        <v>0</v>
      </c>
      <c r="X63" s="285">
        <v>0</v>
      </c>
      <c r="Y63" s="285">
        <v>0</v>
      </c>
      <c r="Z63" s="285">
        <v>0</v>
      </c>
      <c r="AA63" s="285">
        <v>0</v>
      </c>
    </row>
    <row r="64" spans="1:28" x14ac:dyDescent="0.2">
      <c r="A64" s="398" t="s">
        <v>1163</v>
      </c>
      <c r="B64" s="409" t="s">
        <v>455</v>
      </c>
      <c r="C64" s="253">
        <v>0</v>
      </c>
      <c r="D64" s="253">
        <v>0</v>
      </c>
      <c r="E64" s="253">
        <v>0</v>
      </c>
      <c r="F64" s="253">
        <v>0</v>
      </c>
      <c r="G64" s="253">
        <v>0</v>
      </c>
      <c r="H64" s="285">
        <v>0</v>
      </c>
      <c r="I64" s="285">
        <v>0</v>
      </c>
      <c r="J64" s="285">
        <v>0</v>
      </c>
      <c r="K64" s="285">
        <v>0</v>
      </c>
      <c r="L64" s="285">
        <v>0</v>
      </c>
      <c r="M64" s="285">
        <v>0</v>
      </c>
      <c r="N64" s="285">
        <v>0</v>
      </c>
      <c r="O64" s="285">
        <v>0</v>
      </c>
      <c r="P64" s="285">
        <v>0</v>
      </c>
      <c r="Q64" s="285">
        <v>0</v>
      </c>
      <c r="R64" s="285">
        <v>0</v>
      </c>
      <c r="S64" s="285">
        <v>0</v>
      </c>
      <c r="T64" s="285">
        <v>0</v>
      </c>
      <c r="U64" s="410" t="e">
        <v>#DIV/0!</v>
      </c>
      <c r="V64" s="285">
        <v>0</v>
      </c>
      <c r="W64" s="285">
        <v>0</v>
      </c>
      <c r="X64" s="285">
        <v>0</v>
      </c>
      <c r="Y64" s="285">
        <v>0</v>
      </c>
      <c r="Z64" s="285">
        <v>0</v>
      </c>
      <c r="AA64" s="285">
        <v>0</v>
      </c>
    </row>
    <row r="65" spans="1:28" x14ac:dyDescent="0.2">
      <c r="A65" s="398"/>
      <c r="B65" s="404" t="s">
        <v>456</v>
      </c>
      <c r="C65" s="405">
        <v>0</v>
      </c>
      <c r="D65" s="405">
        <v>0</v>
      </c>
      <c r="E65" s="405">
        <v>0</v>
      </c>
      <c r="F65" s="405">
        <v>0</v>
      </c>
      <c r="G65" s="405">
        <v>0</v>
      </c>
      <c r="H65" s="405">
        <v>0</v>
      </c>
      <c r="I65" s="405">
        <v>0</v>
      </c>
      <c r="J65" s="405">
        <v>0</v>
      </c>
      <c r="K65" s="405">
        <v>0</v>
      </c>
      <c r="L65" s="405">
        <v>0</v>
      </c>
      <c r="M65" s="405">
        <v>0</v>
      </c>
      <c r="N65" s="405">
        <v>0</v>
      </c>
      <c r="O65" s="405">
        <v>0</v>
      </c>
      <c r="P65" s="405">
        <v>0</v>
      </c>
      <c r="Q65" s="405">
        <v>0</v>
      </c>
      <c r="R65" s="405">
        <v>0</v>
      </c>
      <c r="S65" s="405">
        <v>0</v>
      </c>
      <c r="T65" s="406">
        <v>0</v>
      </c>
      <c r="U65" s="407" t="e">
        <v>#DIV/0!</v>
      </c>
      <c r="V65" s="406">
        <v>0</v>
      </c>
      <c r="W65" s="406">
        <v>0</v>
      </c>
      <c r="X65" s="406">
        <v>0</v>
      </c>
      <c r="Y65" s="406">
        <v>0</v>
      </c>
      <c r="Z65" s="406">
        <v>0</v>
      </c>
      <c r="AA65" s="406">
        <v>0</v>
      </c>
    </row>
    <row r="66" spans="1:28" x14ac:dyDescent="0.2">
      <c r="A66" s="398" t="s">
        <v>1164</v>
      </c>
      <c r="B66" s="409" t="s">
        <v>457</v>
      </c>
      <c r="C66" s="253">
        <v>0</v>
      </c>
      <c r="D66" s="253">
        <v>0</v>
      </c>
      <c r="E66" s="253">
        <v>0</v>
      </c>
      <c r="F66" s="253">
        <v>0</v>
      </c>
      <c r="G66" s="253">
        <v>0</v>
      </c>
      <c r="H66" s="285">
        <v>0</v>
      </c>
      <c r="I66" s="285">
        <v>0</v>
      </c>
      <c r="J66" s="285">
        <v>0</v>
      </c>
      <c r="K66" s="285">
        <v>0</v>
      </c>
      <c r="L66" s="285">
        <v>0</v>
      </c>
      <c r="M66" s="285">
        <v>0</v>
      </c>
      <c r="N66" s="285">
        <v>0</v>
      </c>
      <c r="O66" s="285">
        <v>0</v>
      </c>
      <c r="P66" s="285">
        <v>0</v>
      </c>
      <c r="Q66" s="285">
        <v>0</v>
      </c>
      <c r="R66" s="285">
        <v>0</v>
      </c>
      <c r="S66" s="285">
        <v>0</v>
      </c>
      <c r="T66" s="285">
        <v>0</v>
      </c>
      <c r="U66" s="410" t="e">
        <v>#DIV/0!</v>
      </c>
      <c r="V66" s="285">
        <v>0</v>
      </c>
      <c r="W66" s="285">
        <v>0</v>
      </c>
      <c r="X66" s="285">
        <v>0</v>
      </c>
      <c r="Y66" s="285">
        <v>0</v>
      </c>
      <c r="Z66" s="285">
        <v>0</v>
      </c>
      <c r="AA66" s="285">
        <v>0</v>
      </c>
    </row>
    <row r="67" spans="1:28" x14ac:dyDescent="0.2">
      <c r="A67" s="398" t="s">
        <v>1165</v>
      </c>
      <c r="B67" s="409" t="s">
        <v>458</v>
      </c>
      <c r="C67" s="253">
        <v>0</v>
      </c>
      <c r="D67" s="253">
        <v>0</v>
      </c>
      <c r="E67" s="253">
        <v>0</v>
      </c>
      <c r="F67" s="253">
        <v>0</v>
      </c>
      <c r="G67" s="253">
        <v>0</v>
      </c>
      <c r="H67" s="285">
        <v>0</v>
      </c>
      <c r="I67" s="285">
        <v>0</v>
      </c>
      <c r="J67" s="285">
        <v>0</v>
      </c>
      <c r="K67" s="285">
        <v>0</v>
      </c>
      <c r="L67" s="285">
        <v>0</v>
      </c>
      <c r="M67" s="285">
        <v>0</v>
      </c>
      <c r="N67" s="285">
        <v>0</v>
      </c>
      <c r="O67" s="285">
        <v>0</v>
      </c>
      <c r="P67" s="285">
        <v>0</v>
      </c>
      <c r="Q67" s="285">
        <v>0</v>
      </c>
      <c r="R67" s="285">
        <v>0</v>
      </c>
      <c r="S67" s="285">
        <v>0</v>
      </c>
      <c r="T67" s="285">
        <v>0</v>
      </c>
      <c r="U67" s="410" t="e">
        <v>#DIV/0!</v>
      </c>
      <c r="V67" s="285">
        <v>0</v>
      </c>
      <c r="W67" s="285">
        <v>0</v>
      </c>
      <c r="X67" s="285">
        <v>0</v>
      </c>
      <c r="Y67" s="285">
        <v>0</v>
      </c>
      <c r="Z67" s="285">
        <v>0</v>
      </c>
      <c r="AA67" s="285">
        <v>0</v>
      </c>
    </row>
    <row r="68" spans="1:28" x14ac:dyDescent="0.2">
      <c r="A68" s="398" t="s">
        <v>1166</v>
      </c>
      <c r="B68" s="409" t="s">
        <v>459</v>
      </c>
      <c r="C68" s="253">
        <v>0</v>
      </c>
      <c r="D68" s="253">
        <v>0</v>
      </c>
      <c r="E68" s="253">
        <v>0</v>
      </c>
      <c r="F68" s="253">
        <v>0</v>
      </c>
      <c r="G68" s="253">
        <v>0</v>
      </c>
      <c r="H68" s="285">
        <v>0</v>
      </c>
      <c r="I68" s="285">
        <v>0</v>
      </c>
      <c r="J68" s="285">
        <v>0</v>
      </c>
      <c r="K68" s="285">
        <v>0</v>
      </c>
      <c r="L68" s="285">
        <v>0</v>
      </c>
      <c r="M68" s="285">
        <v>0</v>
      </c>
      <c r="N68" s="285">
        <v>0</v>
      </c>
      <c r="O68" s="285">
        <v>0</v>
      </c>
      <c r="P68" s="285">
        <v>0</v>
      </c>
      <c r="Q68" s="285">
        <v>0</v>
      </c>
      <c r="R68" s="285">
        <v>0</v>
      </c>
      <c r="S68" s="285">
        <v>0</v>
      </c>
      <c r="T68" s="285">
        <v>0</v>
      </c>
      <c r="U68" s="410" t="e">
        <v>#DIV/0!</v>
      </c>
      <c r="V68" s="285">
        <v>0</v>
      </c>
      <c r="W68" s="285">
        <v>0</v>
      </c>
      <c r="X68" s="285">
        <v>0</v>
      </c>
      <c r="Y68" s="285">
        <v>0</v>
      </c>
      <c r="Z68" s="285">
        <v>0</v>
      </c>
      <c r="AA68" s="285">
        <v>0</v>
      </c>
    </row>
    <row r="69" spans="1:28" x14ac:dyDescent="0.2">
      <c r="A69" s="398" t="s">
        <v>1167</v>
      </c>
      <c r="B69" s="409" t="s">
        <v>460</v>
      </c>
      <c r="C69" s="253">
        <v>0</v>
      </c>
      <c r="D69" s="253">
        <v>0</v>
      </c>
      <c r="E69" s="253">
        <v>0</v>
      </c>
      <c r="F69" s="253">
        <v>0</v>
      </c>
      <c r="G69" s="253">
        <v>0</v>
      </c>
      <c r="H69" s="285">
        <v>0</v>
      </c>
      <c r="I69" s="285">
        <v>0</v>
      </c>
      <c r="J69" s="285">
        <v>0</v>
      </c>
      <c r="K69" s="285">
        <v>0</v>
      </c>
      <c r="L69" s="285">
        <v>0</v>
      </c>
      <c r="M69" s="285">
        <v>0</v>
      </c>
      <c r="N69" s="285">
        <v>0</v>
      </c>
      <c r="O69" s="285">
        <v>0</v>
      </c>
      <c r="P69" s="285">
        <v>0</v>
      </c>
      <c r="Q69" s="285">
        <v>0</v>
      </c>
      <c r="R69" s="285">
        <v>0</v>
      </c>
      <c r="S69" s="285">
        <v>0</v>
      </c>
      <c r="T69" s="285">
        <v>0</v>
      </c>
      <c r="U69" s="410" t="e">
        <v>#DIV/0!</v>
      </c>
      <c r="V69" s="285">
        <v>0</v>
      </c>
      <c r="W69" s="285">
        <v>0</v>
      </c>
      <c r="X69" s="285">
        <v>0</v>
      </c>
      <c r="Y69" s="285">
        <v>0</v>
      </c>
      <c r="Z69" s="285">
        <v>0</v>
      </c>
      <c r="AA69" s="285">
        <v>0</v>
      </c>
    </row>
    <row r="70" spans="1:28" x14ac:dyDescent="0.2">
      <c r="A70" s="398" t="s">
        <v>1168</v>
      </c>
      <c r="B70" s="409" t="s">
        <v>461</v>
      </c>
      <c r="C70" s="253">
        <v>0</v>
      </c>
      <c r="D70" s="253">
        <v>0</v>
      </c>
      <c r="E70" s="253">
        <v>0</v>
      </c>
      <c r="F70" s="253">
        <v>0</v>
      </c>
      <c r="G70" s="253">
        <v>0</v>
      </c>
      <c r="H70" s="285">
        <v>0</v>
      </c>
      <c r="I70" s="285">
        <v>0</v>
      </c>
      <c r="J70" s="285">
        <v>0</v>
      </c>
      <c r="K70" s="285">
        <v>0</v>
      </c>
      <c r="L70" s="285">
        <v>0</v>
      </c>
      <c r="M70" s="285">
        <v>0</v>
      </c>
      <c r="N70" s="285">
        <v>0</v>
      </c>
      <c r="O70" s="285">
        <v>0</v>
      </c>
      <c r="P70" s="285">
        <v>0</v>
      </c>
      <c r="Q70" s="285">
        <v>0</v>
      </c>
      <c r="R70" s="285">
        <v>0</v>
      </c>
      <c r="S70" s="285">
        <v>0</v>
      </c>
      <c r="T70" s="285">
        <v>0</v>
      </c>
      <c r="U70" s="410" t="e">
        <v>#DIV/0!</v>
      </c>
      <c r="V70" s="285">
        <v>0</v>
      </c>
      <c r="W70" s="285">
        <v>0</v>
      </c>
      <c r="X70" s="285">
        <v>0</v>
      </c>
      <c r="Y70" s="285">
        <v>0</v>
      </c>
      <c r="Z70" s="285">
        <v>0</v>
      </c>
      <c r="AA70" s="285">
        <v>0</v>
      </c>
    </row>
    <row r="71" spans="1:28" x14ac:dyDescent="0.2">
      <c r="A71" s="398" t="s">
        <v>1169</v>
      </c>
      <c r="B71" s="409" t="s">
        <v>462</v>
      </c>
      <c r="C71" s="253">
        <v>0</v>
      </c>
      <c r="D71" s="253">
        <v>0</v>
      </c>
      <c r="E71" s="253">
        <v>0</v>
      </c>
      <c r="F71" s="253">
        <v>0</v>
      </c>
      <c r="G71" s="253">
        <v>0</v>
      </c>
      <c r="H71" s="285">
        <v>0</v>
      </c>
      <c r="I71" s="285">
        <v>0</v>
      </c>
      <c r="J71" s="285">
        <v>0</v>
      </c>
      <c r="K71" s="285">
        <v>0</v>
      </c>
      <c r="L71" s="285">
        <v>0</v>
      </c>
      <c r="M71" s="285">
        <v>0</v>
      </c>
      <c r="N71" s="285">
        <v>0</v>
      </c>
      <c r="O71" s="285">
        <v>0</v>
      </c>
      <c r="P71" s="285">
        <v>0</v>
      </c>
      <c r="Q71" s="285">
        <v>0</v>
      </c>
      <c r="R71" s="285">
        <v>0</v>
      </c>
      <c r="S71" s="285">
        <v>0</v>
      </c>
      <c r="T71" s="285">
        <v>0</v>
      </c>
      <c r="U71" s="410" t="e">
        <v>#DIV/0!</v>
      </c>
      <c r="V71" s="285">
        <v>0</v>
      </c>
      <c r="W71" s="285">
        <v>0</v>
      </c>
      <c r="X71" s="285">
        <v>0</v>
      </c>
      <c r="Y71" s="285">
        <v>0</v>
      </c>
      <c r="Z71" s="285">
        <v>0</v>
      </c>
      <c r="AA71" s="285">
        <v>0</v>
      </c>
    </row>
    <row r="72" spans="1:28" x14ac:dyDescent="0.2">
      <c r="A72" s="398"/>
      <c r="B72" s="404" t="s">
        <v>463</v>
      </c>
      <c r="C72" s="405">
        <v>0</v>
      </c>
      <c r="D72" s="405">
        <v>0</v>
      </c>
      <c r="E72" s="405">
        <v>0</v>
      </c>
      <c r="F72" s="405">
        <v>0</v>
      </c>
      <c r="G72" s="405">
        <v>0</v>
      </c>
      <c r="H72" s="405">
        <v>0</v>
      </c>
      <c r="I72" s="405">
        <v>0</v>
      </c>
      <c r="J72" s="405">
        <v>0</v>
      </c>
      <c r="K72" s="405">
        <v>0</v>
      </c>
      <c r="L72" s="405">
        <v>0</v>
      </c>
      <c r="M72" s="405">
        <v>0</v>
      </c>
      <c r="N72" s="405">
        <v>0</v>
      </c>
      <c r="O72" s="405">
        <v>0</v>
      </c>
      <c r="P72" s="405">
        <v>0</v>
      </c>
      <c r="Q72" s="405">
        <v>0</v>
      </c>
      <c r="R72" s="405">
        <v>0</v>
      </c>
      <c r="S72" s="405">
        <v>0</v>
      </c>
      <c r="T72" s="406">
        <v>0</v>
      </c>
      <c r="U72" s="407" t="e">
        <v>#DIV/0!</v>
      </c>
      <c r="V72" s="406">
        <v>0</v>
      </c>
      <c r="W72" s="406">
        <v>0</v>
      </c>
      <c r="X72" s="406">
        <v>0</v>
      </c>
      <c r="Y72" s="406">
        <v>0</v>
      </c>
      <c r="Z72" s="406">
        <v>0</v>
      </c>
      <c r="AA72" s="406">
        <v>0</v>
      </c>
    </row>
    <row r="73" spans="1:28" x14ac:dyDescent="0.2">
      <c r="A73" s="398" t="s">
        <v>1170</v>
      </c>
      <c r="B73" s="409" t="s">
        <v>464</v>
      </c>
      <c r="C73" s="253">
        <v>0</v>
      </c>
      <c r="D73" s="253">
        <v>0</v>
      </c>
      <c r="E73" s="253">
        <v>0</v>
      </c>
      <c r="F73" s="253">
        <v>0</v>
      </c>
      <c r="G73" s="253">
        <v>0</v>
      </c>
      <c r="H73" s="285">
        <v>0</v>
      </c>
      <c r="I73" s="285">
        <v>0</v>
      </c>
      <c r="J73" s="285">
        <v>0</v>
      </c>
      <c r="K73" s="285">
        <v>0</v>
      </c>
      <c r="L73" s="285">
        <v>0</v>
      </c>
      <c r="M73" s="285">
        <v>0</v>
      </c>
      <c r="N73" s="285">
        <v>0</v>
      </c>
      <c r="O73" s="285">
        <v>0</v>
      </c>
      <c r="P73" s="285">
        <v>0</v>
      </c>
      <c r="Q73" s="285">
        <v>0</v>
      </c>
      <c r="R73" s="285">
        <v>0</v>
      </c>
      <c r="S73" s="285">
        <v>0</v>
      </c>
      <c r="T73" s="285">
        <v>0</v>
      </c>
      <c r="U73" s="410" t="e">
        <v>#DIV/0!</v>
      </c>
      <c r="V73" s="285">
        <v>0</v>
      </c>
      <c r="W73" s="285">
        <v>0</v>
      </c>
      <c r="X73" s="285">
        <v>0</v>
      </c>
      <c r="Y73" s="285">
        <v>0</v>
      </c>
      <c r="Z73" s="285">
        <v>0</v>
      </c>
      <c r="AA73" s="285">
        <v>0</v>
      </c>
    </row>
    <row r="74" spans="1:28" x14ac:dyDescent="0.2">
      <c r="A74" s="398" t="s">
        <v>1171</v>
      </c>
      <c r="B74" s="409" t="s">
        <v>465</v>
      </c>
      <c r="C74" s="253">
        <v>0</v>
      </c>
      <c r="D74" s="253">
        <v>0</v>
      </c>
      <c r="E74" s="253">
        <v>0</v>
      </c>
      <c r="F74" s="253">
        <v>0</v>
      </c>
      <c r="G74" s="253">
        <v>0</v>
      </c>
      <c r="H74" s="285">
        <v>0</v>
      </c>
      <c r="I74" s="285">
        <v>0</v>
      </c>
      <c r="J74" s="285">
        <v>0</v>
      </c>
      <c r="K74" s="285">
        <v>0</v>
      </c>
      <c r="L74" s="285">
        <v>0</v>
      </c>
      <c r="M74" s="285">
        <v>0</v>
      </c>
      <c r="N74" s="285">
        <v>0</v>
      </c>
      <c r="O74" s="285">
        <v>0</v>
      </c>
      <c r="P74" s="285">
        <v>0</v>
      </c>
      <c r="Q74" s="285">
        <v>0</v>
      </c>
      <c r="R74" s="285">
        <v>0</v>
      </c>
      <c r="S74" s="285">
        <v>0</v>
      </c>
      <c r="T74" s="285">
        <v>0</v>
      </c>
      <c r="U74" s="410" t="e">
        <v>#DIV/0!</v>
      </c>
      <c r="V74" s="285">
        <v>0</v>
      </c>
      <c r="W74" s="285">
        <v>0</v>
      </c>
      <c r="X74" s="285">
        <v>0</v>
      </c>
      <c r="Y74" s="285">
        <v>0</v>
      </c>
      <c r="Z74" s="285">
        <v>0</v>
      </c>
      <c r="AA74" s="285">
        <v>0</v>
      </c>
    </row>
    <row r="75" spans="1:28" s="408" customFormat="1" x14ac:dyDescent="0.2">
      <c r="A75" s="398" t="s">
        <v>1172</v>
      </c>
      <c r="B75" s="404" t="s">
        <v>466</v>
      </c>
      <c r="C75" s="411">
        <v>0</v>
      </c>
      <c r="D75" s="411">
        <v>0</v>
      </c>
      <c r="E75" s="411">
        <v>0</v>
      </c>
      <c r="F75" s="411">
        <v>0</v>
      </c>
      <c r="G75" s="411">
        <v>0</v>
      </c>
      <c r="H75" s="406">
        <v>0</v>
      </c>
      <c r="I75" s="406">
        <v>0</v>
      </c>
      <c r="J75" s="406">
        <v>0</v>
      </c>
      <c r="K75" s="406">
        <v>0</v>
      </c>
      <c r="L75" s="406">
        <v>0</v>
      </c>
      <c r="M75" s="406">
        <v>0</v>
      </c>
      <c r="N75" s="406">
        <v>0</v>
      </c>
      <c r="O75" s="406">
        <v>0</v>
      </c>
      <c r="P75" s="406">
        <v>0</v>
      </c>
      <c r="Q75" s="406">
        <v>0</v>
      </c>
      <c r="R75" s="406">
        <v>0</v>
      </c>
      <c r="S75" s="406">
        <v>0</v>
      </c>
      <c r="T75" s="406">
        <v>0</v>
      </c>
      <c r="U75" s="407" t="e">
        <v>#DIV/0!</v>
      </c>
      <c r="V75" s="406">
        <v>0</v>
      </c>
      <c r="W75" s="406">
        <v>0</v>
      </c>
      <c r="X75" s="406">
        <v>0</v>
      </c>
      <c r="Y75" s="406">
        <v>0</v>
      </c>
      <c r="Z75" s="406">
        <v>0</v>
      </c>
      <c r="AA75" s="406">
        <v>0</v>
      </c>
    </row>
    <row r="76" spans="1:28" s="408" customFormat="1" x14ac:dyDescent="0.2">
      <c r="A76" s="398" t="s">
        <v>1173</v>
      </c>
      <c r="B76" s="404" t="s">
        <v>467</v>
      </c>
      <c r="C76" s="411">
        <v>0</v>
      </c>
      <c r="D76" s="411">
        <v>0</v>
      </c>
      <c r="E76" s="411">
        <v>0</v>
      </c>
      <c r="F76" s="411">
        <v>0</v>
      </c>
      <c r="G76" s="411">
        <v>0</v>
      </c>
      <c r="H76" s="406">
        <v>0</v>
      </c>
      <c r="I76" s="406">
        <v>0</v>
      </c>
      <c r="J76" s="406">
        <v>0</v>
      </c>
      <c r="K76" s="406">
        <v>0</v>
      </c>
      <c r="L76" s="406">
        <v>0</v>
      </c>
      <c r="M76" s="406">
        <v>0</v>
      </c>
      <c r="N76" s="406">
        <v>0</v>
      </c>
      <c r="O76" s="406">
        <v>0</v>
      </c>
      <c r="P76" s="406">
        <v>0</v>
      </c>
      <c r="Q76" s="406">
        <v>0</v>
      </c>
      <c r="R76" s="406">
        <v>0</v>
      </c>
      <c r="S76" s="406">
        <v>0</v>
      </c>
      <c r="T76" s="406">
        <v>0</v>
      </c>
      <c r="U76" s="407" t="e">
        <v>#DIV/0!</v>
      </c>
      <c r="V76" s="406">
        <v>0</v>
      </c>
      <c r="W76" s="406">
        <v>0</v>
      </c>
      <c r="X76" s="406">
        <v>0</v>
      </c>
      <c r="Y76" s="406">
        <v>0</v>
      </c>
      <c r="Z76" s="406">
        <v>0</v>
      </c>
      <c r="AA76" s="406">
        <v>0</v>
      </c>
    </row>
    <row r="77" spans="1:28" s="408" customFormat="1" x14ac:dyDescent="0.2">
      <c r="A77" s="398" t="s">
        <v>1174</v>
      </c>
      <c r="B77" s="404" t="s">
        <v>468</v>
      </c>
      <c r="C77" s="411">
        <v>0</v>
      </c>
      <c r="D77" s="411">
        <v>0</v>
      </c>
      <c r="E77" s="411">
        <v>0</v>
      </c>
      <c r="F77" s="411">
        <v>0</v>
      </c>
      <c r="G77" s="411">
        <v>0</v>
      </c>
      <c r="H77" s="406">
        <v>0</v>
      </c>
      <c r="I77" s="406">
        <v>0</v>
      </c>
      <c r="J77" s="406">
        <v>0</v>
      </c>
      <c r="K77" s="406">
        <v>0</v>
      </c>
      <c r="L77" s="406">
        <v>0</v>
      </c>
      <c r="M77" s="406">
        <v>0</v>
      </c>
      <c r="N77" s="406">
        <v>0</v>
      </c>
      <c r="O77" s="406">
        <v>0</v>
      </c>
      <c r="P77" s="406">
        <v>0</v>
      </c>
      <c r="Q77" s="406">
        <v>0</v>
      </c>
      <c r="R77" s="406">
        <v>0</v>
      </c>
      <c r="S77" s="406">
        <v>0</v>
      </c>
      <c r="T77" s="406">
        <v>0</v>
      </c>
      <c r="U77" s="407" t="e">
        <v>#DIV/0!</v>
      </c>
      <c r="V77" s="406">
        <v>0</v>
      </c>
      <c r="W77" s="406">
        <v>0</v>
      </c>
      <c r="X77" s="406">
        <v>0</v>
      </c>
      <c r="Y77" s="406">
        <v>0</v>
      </c>
      <c r="Z77" s="406">
        <v>0</v>
      </c>
      <c r="AA77" s="406">
        <v>0</v>
      </c>
    </row>
    <row r="78" spans="1:28" x14ac:dyDescent="0.2">
      <c r="A78" s="398"/>
      <c r="B78" s="404" t="s">
        <v>469</v>
      </c>
      <c r="C78" s="405">
        <v>0</v>
      </c>
      <c r="D78" s="405">
        <v>0</v>
      </c>
      <c r="E78" s="405">
        <v>0</v>
      </c>
      <c r="F78" s="405">
        <v>0</v>
      </c>
      <c r="G78" s="405">
        <v>0</v>
      </c>
      <c r="H78" s="405">
        <v>0</v>
      </c>
      <c r="I78" s="405">
        <v>0</v>
      </c>
      <c r="J78" s="405">
        <v>0</v>
      </c>
      <c r="K78" s="405">
        <v>0</v>
      </c>
      <c r="L78" s="405">
        <v>0</v>
      </c>
      <c r="M78" s="405">
        <v>0</v>
      </c>
      <c r="N78" s="405">
        <v>0</v>
      </c>
      <c r="O78" s="405">
        <v>0</v>
      </c>
      <c r="P78" s="405">
        <v>0</v>
      </c>
      <c r="Q78" s="405">
        <v>0</v>
      </c>
      <c r="R78" s="405">
        <v>0</v>
      </c>
      <c r="S78" s="405">
        <v>0</v>
      </c>
      <c r="T78" s="406">
        <v>0</v>
      </c>
      <c r="U78" s="407" t="e">
        <v>#DIV/0!</v>
      </c>
      <c r="V78" s="406">
        <v>0</v>
      </c>
      <c r="W78" s="406">
        <v>0</v>
      </c>
      <c r="X78" s="406">
        <v>0</v>
      </c>
      <c r="Y78" s="406">
        <v>0</v>
      </c>
      <c r="Z78" s="406">
        <v>0</v>
      </c>
      <c r="AA78" s="406">
        <v>0</v>
      </c>
      <c r="AB78" s="408"/>
    </row>
    <row r="79" spans="1:28" x14ac:dyDescent="0.2">
      <c r="A79" s="398" t="s">
        <v>1175</v>
      </c>
      <c r="B79" s="409" t="s">
        <v>470</v>
      </c>
      <c r="C79" s="253">
        <v>0</v>
      </c>
      <c r="D79" s="253">
        <v>0</v>
      </c>
      <c r="E79" s="253">
        <v>0</v>
      </c>
      <c r="F79" s="253">
        <v>0</v>
      </c>
      <c r="G79" s="253">
        <v>0</v>
      </c>
      <c r="H79" s="285">
        <v>0</v>
      </c>
      <c r="I79" s="285">
        <v>0</v>
      </c>
      <c r="J79" s="285">
        <v>0</v>
      </c>
      <c r="K79" s="285">
        <v>0</v>
      </c>
      <c r="L79" s="285">
        <v>0</v>
      </c>
      <c r="M79" s="285">
        <v>0</v>
      </c>
      <c r="N79" s="285">
        <v>0</v>
      </c>
      <c r="O79" s="285">
        <v>0</v>
      </c>
      <c r="P79" s="285">
        <v>0</v>
      </c>
      <c r="Q79" s="285">
        <v>0</v>
      </c>
      <c r="R79" s="285">
        <v>0</v>
      </c>
      <c r="S79" s="285">
        <v>0</v>
      </c>
      <c r="T79" s="285">
        <v>0</v>
      </c>
      <c r="U79" s="410" t="e">
        <v>#DIV/0!</v>
      </c>
      <c r="V79" s="285">
        <v>0</v>
      </c>
      <c r="W79" s="285">
        <v>0</v>
      </c>
      <c r="X79" s="285">
        <v>0</v>
      </c>
      <c r="Y79" s="285">
        <v>0</v>
      </c>
      <c r="Z79" s="285">
        <v>0</v>
      </c>
      <c r="AA79" s="285">
        <v>0</v>
      </c>
    </row>
    <row r="80" spans="1:28" x14ac:dyDescent="0.2">
      <c r="A80" s="398" t="s">
        <v>1176</v>
      </c>
      <c r="B80" s="409" t="s">
        <v>471</v>
      </c>
      <c r="C80" s="253">
        <v>0</v>
      </c>
      <c r="D80" s="253">
        <v>0</v>
      </c>
      <c r="E80" s="253">
        <v>0</v>
      </c>
      <c r="F80" s="253">
        <v>0</v>
      </c>
      <c r="G80" s="253">
        <v>0</v>
      </c>
      <c r="H80" s="285">
        <v>0</v>
      </c>
      <c r="I80" s="285">
        <v>0</v>
      </c>
      <c r="J80" s="285">
        <v>0</v>
      </c>
      <c r="K80" s="285">
        <v>0</v>
      </c>
      <c r="L80" s="285">
        <v>0</v>
      </c>
      <c r="M80" s="285">
        <v>0</v>
      </c>
      <c r="N80" s="285">
        <v>0</v>
      </c>
      <c r="O80" s="285">
        <v>0</v>
      </c>
      <c r="P80" s="285">
        <v>0</v>
      </c>
      <c r="Q80" s="285">
        <v>0</v>
      </c>
      <c r="R80" s="285">
        <v>0</v>
      </c>
      <c r="S80" s="285">
        <v>0</v>
      </c>
      <c r="T80" s="285">
        <v>0</v>
      </c>
      <c r="U80" s="410" t="e">
        <v>#DIV/0!</v>
      </c>
      <c r="V80" s="285">
        <v>0</v>
      </c>
      <c r="W80" s="285">
        <v>0</v>
      </c>
      <c r="X80" s="285">
        <v>0</v>
      </c>
      <c r="Y80" s="285">
        <v>0</v>
      </c>
      <c r="Z80" s="285">
        <v>0</v>
      </c>
      <c r="AA80" s="285">
        <v>0</v>
      </c>
    </row>
    <row r="81" spans="1:27" x14ac:dyDescent="0.2">
      <c r="A81" s="398"/>
      <c r="B81" s="404" t="s">
        <v>472</v>
      </c>
      <c r="C81" s="405">
        <v>0</v>
      </c>
      <c r="D81" s="405">
        <v>0</v>
      </c>
      <c r="E81" s="405">
        <v>0</v>
      </c>
      <c r="F81" s="405">
        <v>0</v>
      </c>
      <c r="G81" s="405">
        <v>0</v>
      </c>
      <c r="H81" s="405">
        <v>0</v>
      </c>
      <c r="I81" s="405">
        <v>0</v>
      </c>
      <c r="J81" s="405">
        <v>0</v>
      </c>
      <c r="K81" s="405">
        <v>0</v>
      </c>
      <c r="L81" s="405">
        <v>0</v>
      </c>
      <c r="M81" s="405">
        <v>0</v>
      </c>
      <c r="N81" s="405">
        <v>0</v>
      </c>
      <c r="O81" s="405">
        <v>0</v>
      </c>
      <c r="P81" s="405">
        <v>0</v>
      </c>
      <c r="Q81" s="405">
        <v>0</v>
      </c>
      <c r="R81" s="405">
        <v>0</v>
      </c>
      <c r="S81" s="405">
        <v>0</v>
      </c>
      <c r="T81" s="406">
        <v>0</v>
      </c>
      <c r="U81" s="407" t="e">
        <v>#DIV/0!</v>
      </c>
      <c r="V81" s="406">
        <v>0</v>
      </c>
      <c r="W81" s="406">
        <v>0</v>
      </c>
      <c r="X81" s="406">
        <v>0</v>
      </c>
      <c r="Y81" s="406">
        <v>0</v>
      </c>
      <c r="Z81" s="406">
        <v>0</v>
      </c>
      <c r="AA81" s="406">
        <v>0</v>
      </c>
    </row>
    <row r="82" spans="1:27" x14ac:dyDescent="0.2">
      <c r="A82" s="398" t="s">
        <v>1177</v>
      </c>
      <c r="B82" s="412" t="s">
        <v>473</v>
      </c>
      <c r="C82" s="253">
        <v>0</v>
      </c>
      <c r="D82" s="253">
        <v>0</v>
      </c>
      <c r="E82" s="253">
        <v>0</v>
      </c>
      <c r="F82" s="253">
        <v>0</v>
      </c>
      <c r="G82" s="253">
        <v>0</v>
      </c>
      <c r="H82" s="285">
        <v>0</v>
      </c>
      <c r="I82" s="285">
        <v>0</v>
      </c>
      <c r="J82" s="285">
        <v>0</v>
      </c>
      <c r="K82" s="285">
        <v>0</v>
      </c>
      <c r="L82" s="285">
        <v>0</v>
      </c>
      <c r="M82" s="285">
        <v>0</v>
      </c>
      <c r="N82" s="285">
        <v>0</v>
      </c>
      <c r="O82" s="285">
        <v>0</v>
      </c>
      <c r="P82" s="285">
        <v>0</v>
      </c>
      <c r="Q82" s="285">
        <v>0</v>
      </c>
      <c r="R82" s="285">
        <v>0</v>
      </c>
      <c r="S82" s="285">
        <v>0</v>
      </c>
      <c r="T82" s="285">
        <v>0</v>
      </c>
      <c r="U82" s="410" t="e">
        <v>#DIV/0!</v>
      </c>
      <c r="V82" s="285">
        <v>0</v>
      </c>
      <c r="W82" s="285">
        <v>0</v>
      </c>
      <c r="X82" s="285">
        <v>0</v>
      </c>
      <c r="Y82" s="285">
        <v>0</v>
      </c>
      <c r="Z82" s="285">
        <v>0</v>
      </c>
      <c r="AA82" s="285">
        <v>0</v>
      </c>
    </row>
    <row r="83" spans="1:27" x14ac:dyDescent="0.2">
      <c r="A83" s="398" t="s">
        <v>1178</v>
      </c>
      <c r="B83" s="412" t="s">
        <v>474</v>
      </c>
      <c r="C83" s="253">
        <v>0</v>
      </c>
      <c r="D83" s="253">
        <v>0</v>
      </c>
      <c r="E83" s="253">
        <v>0</v>
      </c>
      <c r="F83" s="253">
        <v>0</v>
      </c>
      <c r="G83" s="253">
        <v>0</v>
      </c>
      <c r="H83" s="285">
        <v>0</v>
      </c>
      <c r="I83" s="285">
        <v>0</v>
      </c>
      <c r="J83" s="285">
        <v>0</v>
      </c>
      <c r="K83" s="285">
        <v>0</v>
      </c>
      <c r="L83" s="285">
        <v>0</v>
      </c>
      <c r="M83" s="285">
        <v>0</v>
      </c>
      <c r="N83" s="285">
        <v>0</v>
      </c>
      <c r="O83" s="285">
        <v>0</v>
      </c>
      <c r="P83" s="285">
        <v>0</v>
      </c>
      <c r="Q83" s="285">
        <v>0</v>
      </c>
      <c r="R83" s="285">
        <v>0</v>
      </c>
      <c r="S83" s="285">
        <v>0</v>
      </c>
      <c r="T83" s="285">
        <v>0</v>
      </c>
      <c r="U83" s="410" t="e">
        <v>#DIV/0!</v>
      </c>
      <c r="V83" s="285">
        <v>0</v>
      </c>
      <c r="W83" s="285">
        <v>0</v>
      </c>
      <c r="X83" s="285">
        <v>0</v>
      </c>
      <c r="Y83" s="285">
        <v>0</v>
      </c>
      <c r="Z83" s="285">
        <v>0</v>
      </c>
      <c r="AA83" s="285">
        <v>0</v>
      </c>
    </row>
    <row r="84" spans="1:27" x14ac:dyDescent="0.2">
      <c r="A84" s="398" t="s">
        <v>1179</v>
      </c>
      <c r="B84" s="412" t="s">
        <v>475</v>
      </c>
      <c r="C84" s="253">
        <v>0</v>
      </c>
      <c r="D84" s="253">
        <v>0</v>
      </c>
      <c r="E84" s="253">
        <v>0</v>
      </c>
      <c r="F84" s="253">
        <v>0</v>
      </c>
      <c r="G84" s="253">
        <v>0</v>
      </c>
      <c r="H84" s="285">
        <v>0</v>
      </c>
      <c r="I84" s="285">
        <v>0</v>
      </c>
      <c r="J84" s="285">
        <v>0</v>
      </c>
      <c r="K84" s="285">
        <v>0</v>
      </c>
      <c r="L84" s="285">
        <v>0</v>
      </c>
      <c r="M84" s="285">
        <v>0</v>
      </c>
      <c r="N84" s="285">
        <v>0</v>
      </c>
      <c r="O84" s="285">
        <v>0</v>
      </c>
      <c r="P84" s="285">
        <v>0</v>
      </c>
      <c r="Q84" s="285">
        <v>0</v>
      </c>
      <c r="R84" s="285">
        <v>0</v>
      </c>
      <c r="S84" s="285">
        <v>0</v>
      </c>
      <c r="T84" s="285">
        <v>0</v>
      </c>
      <c r="U84" s="410" t="e">
        <v>#DIV/0!</v>
      </c>
      <c r="V84" s="285">
        <v>0</v>
      </c>
      <c r="W84" s="285">
        <v>0</v>
      </c>
      <c r="X84" s="285">
        <v>0</v>
      </c>
      <c r="Y84" s="285">
        <v>0</v>
      </c>
      <c r="Z84" s="285">
        <v>0</v>
      </c>
      <c r="AA84" s="285">
        <v>0</v>
      </c>
    </row>
    <row r="85" spans="1:27" x14ac:dyDescent="0.2">
      <c r="A85" s="398" t="s">
        <v>1180</v>
      </c>
      <c r="B85" s="412" t="s">
        <v>476</v>
      </c>
      <c r="C85" s="253">
        <v>0</v>
      </c>
      <c r="D85" s="253">
        <v>0</v>
      </c>
      <c r="E85" s="253">
        <v>0</v>
      </c>
      <c r="F85" s="253">
        <v>0</v>
      </c>
      <c r="G85" s="253">
        <v>0</v>
      </c>
      <c r="H85" s="285">
        <v>0</v>
      </c>
      <c r="I85" s="285">
        <v>0</v>
      </c>
      <c r="J85" s="285">
        <v>0</v>
      </c>
      <c r="K85" s="285">
        <v>0</v>
      </c>
      <c r="L85" s="285">
        <v>0</v>
      </c>
      <c r="M85" s="285">
        <v>0</v>
      </c>
      <c r="N85" s="285">
        <v>0</v>
      </c>
      <c r="O85" s="285">
        <v>0</v>
      </c>
      <c r="P85" s="285">
        <v>0</v>
      </c>
      <c r="Q85" s="285">
        <v>0</v>
      </c>
      <c r="R85" s="285">
        <v>0</v>
      </c>
      <c r="S85" s="285">
        <v>0</v>
      </c>
      <c r="T85" s="285">
        <v>0</v>
      </c>
      <c r="U85" s="410" t="e">
        <v>#DIV/0!</v>
      </c>
      <c r="V85" s="285">
        <v>0</v>
      </c>
      <c r="W85" s="285">
        <v>0</v>
      </c>
      <c r="X85" s="285">
        <v>0</v>
      </c>
      <c r="Y85" s="285">
        <v>0</v>
      </c>
      <c r="Z85" s="285">
        <v>0</v>
      </c>
      <c r="AA85" s="285">
        <v>0</v>
      </c>
    </row>
    <row r="86" spans="1:27" x14ac:dyDescent="0.2">
      <c r="A86" s="398" t="s">
        <v>1181</v>
      </c>
      <c r="B86" s="412" t="s">
        <v>477</v>
      </c>
      <c r="C86" s="253">
        <v>0</v>
      </c>
      <c r="D86" s="253">
        <v>0</v>
      </c>
      <c r="E86" s="253">
        <v>0</v>
      </c>
      <c r="F86" s="253">
        <v>0</v>
      </c>
      <c r="G86" s="253">
        <v>0</v>
      </c>
      <c r="H86" s="285">
        <v>0</v>
      </c>
      <c r="I86" s="285">
        <v>0</v>
      </c>
      <c r="J86" s="285">
        <v>0</v>
      </c>
      <c r="K86" s="285">
        <v>0</v>
      </c>
      <c r="L86" s="285">
        <v>0</v>
      </c>
      <c r="M86" s="285">
        <v>0</v>
      </c>
      <c r="N86" s="285">
        <v>0</v>
      </c>
      <c r="O86" s="285">
        <v>0</v>
      </c>
      <c r="P86" s="285">
        <v>0</v>
      </c>
      <c r="Q86" s="285">
        <v>0</v>
      </c>
      <c r="R86" s="285">
        <v>0</v>
      </c>
      <c r="S86" s="285">
        <v>0</v>
      </c>
      <c r="T86" s="285">
        <v>0</v>
      </c>
      <c r="U86" s="410" t="e">
        <v>#DIV/0!</v>
      </c>
      <c r="V86" s="285">
        <v>0</v>
      </c>
      <c r="W86" s="285">
        <v>0</v>
      </c>
      <c r="X86" s="285">
        <v>0</v>
      </c>
      <c r="Y86" s="285">
        <v>0</v>
      </c>
      <c r="Z86" s="285">
        <v>0</v>
      </c>
      <c r="AA86" s="285">
        <v>0</v>
      </c>
    </row>
    <row r="87" spans="1:27" x14ac:dyDescent="0.2">
      <c r="A87" s="398" t="s">
        <v>1182</v>
      </c>
      <c r="B87" s="412" t="s">
        <v>478</v>
      </c>
      <c r="C87" s="253">
        <v>0</v>
      </c>
      <c r="D87" s="253">
        <v>0</v>
      </c>
      <c r="E87" s="253">
        <v>0</v>
      </c>
      <c r="F87" s="253">
        <v>0</v>
      </c>
      <c r="G87" s="253">
        <v>0</v>
      </c>
      <c r="H87" s="285">
        <v>0</v>
      </c>
      <c r="I87" s="285">
        <v>0</v>
      </c>
      <c r="J87" s="285">
        <v>0</v>
      </c>
      <c r="K87" s="285">
        <v>0</v>
      </c>
      <c r="L87" s="285">
        <v>0</v>
      </c>
      <c r="M87" s="285">
        <v>0</v>
      </c>
      <c r="N87" s="285">
        <v>0</v>
      </c>
      <c r="O87" s="285">
        <v>0</v>
      </c>
      <c r="P87" s="285">
        <v>0</v>
      </c>
      <c r="Q87" s="285">
        <v>0</v>
      </c>
      <c r="R87" s="285">
        <v>0</v>
      </c>
      <c r="S87" s="285">
        <v>0</v>
      </c>
      <c r="T87" s="285">
        <v>0</v>
      </c>
      <c r="U87" s="410" t="e">
        <v>#DIV/0!</v>
      </c>
      <c r="V87" s="285">
        <v>0</v>
      </c>
      <c r="W87" s="285">
        <v>0</v>
      </c>
      <c r="X87" s="285">
        <v>0</v>
      </c>
      <c r="Y87" s="285">
        <v>0</v>
      </c>
      <c r="Z87" s="285">
        <v>0</v>
      </c>
      <c r="AA87" s="285">
        <v>0</v>
      </c>
    </row>
    <row r="88" spans="1:27" x14ac:dyDescent="0.2">
      <c r="A88" s="398" t="s">
        <v>1183</v>
      </c>
      <c r="B88" s="412" t="s">
        <v>479</v>
      </c>
      <c r="C88" s="253">
        <v>0</v>
      </c>
      <c r="D88" s="253">
        <v>0</v>
      </c>
      <c r="E88" s="253">
        <v>0</v>
      </c>
      <c r="F88" s="253">
        <v>0</v>
      </c>
      <c r="G88" s="253">
        <v>0</v>
      </c>
      <c r="H88" s="285">
        <v>0</v>
      </c>
      <c r="I88" s="285">
        <v>0</v>
      </c>
      <c r="J88" s="285">
        <v>0</v>
      </c>
      <c r="K88" s="285">
        <v>0</v>
      </c>
      <c r="L88" s="285">
        <v>0</v>
      </c>
      <c r="M88" s="285">
        <v>0</v>
      </c>
      <c r="N88" s="285">
        <v>0</v>
      </c>
      <c r="O88" s="285">
        <v>0</v>
      </c>
      <c r="P88" s="285">
        <v>0</v>
      </c>
      <c r="Q88" s="285">
        <v>0</v>
      </c>
      <c r="R88" s="285">
        <v>0</v>
      </c>
      <c r="S88" s="285">
        <v>0</v>
      </c>
      <c r="T88" s="285">
        <v>0</v>
      </c>
      <c r="U88" s="410" t="e">
        <v>#DIV/0!</v>
      </c>
      <c r="V88" s="285">
        <v>0</v>
      </c>
      <c r="W88" s="285">
        <v>0</v>
      </c>
      <c r="X88" s="285">
        <v>0</v>
      </c>
      <c r="Y88" s="285">
        <v>0</v>
      </c>
      <c r="Z88" s="285">
        <v>0</v>
      </c>
      <c r="AA88" s="285">
        <v>0</v>
      </c>
    </row>
    <row r="89" spans="1:27" x14ac:dyDescent="0.2">
      <c r="A89" s="398" t="s">
        <v>1184</v>
      </c>
      <c r="B89" s="412" t="s">
        <v>480</v>
      </c>
      <c r="C89" s="253">
        <v>0</v>
      </c>
      <c r="D89" s="253">
        <v>0</v>
      </c>
      <c r="E89" s="253">
        <v>0</v>
      </c>
      <c r="F89" s="253">
        <v>0</v>
      </c>
      <c r="G89" s="253">
        <v>0</v>
      </c>
      <c r="H89" s="285">
        <v>0</v>
      </c>
      <c r="I89" s="285">
        <v>0</v>
      </c>
      <c r="J89" s="285">
        <v>0</v>
      </c>
      <c r="K89" s="285">
        <v>0</v>
      </c>
      <c r="L89" s="285">
        <v>0</v>
      </c>
      <c r="M89" s="285">
        <v>0</v>
      </c>
      <c r="N89" s="285">
        <v>0</v>
      </c>
      <c r="O89" s="285">
        <v>0</v>
      </c>
      <c r="P89" s="285">
        <v>0</v>
      </c>
      <c r="Q89" s="285">
        <v>0</v>
      </c>
      <c r="R89" s="285">
        <v>0</v>
      </c>
      <c r="S89" s="285">
        <v>0</v>
      </c>
      <c r="T89" s="285">
        <v>0</v>
      </c>
      <c r="U89" s="410" t="e">
        <v>#DIV/0!</v>
      </c>
      <c r="V89" s="285">
        <v>0</v>
      </c>
      <c r="W89" s="285">
        <v>0</v>
      </c>
      <c r="X89" s="285">
        <v>0</v>
      </c>
      <c r="Y89" s="285">
        <v>0</v>
      </c>
      <c r="Z89" s="285">
        <v>0</v>
      </c>
      <c r="AA89" s="285">
        <v>0</v>
      </c>
    </row>
    <row r="90" spans="1:27" x14ac:dyDescent="0.2">
      <c r="A90" s="398" t="s">
        <v>1185</v>
      </c>
      <c r="B90" s="412" t="s">
        <v>481</v>
      </c>
      <c r="C90" s="253">
        <v>0</v>
      </c>
      <c r="D90" s="253">
        <v>0</v>
      </c>
      <c r="E90" s="253">
        <v>0</v>
      </c>
      <c r="F90" s="253">
        <v>0</v>
      </c>
      <c r="G90" s="253">
        <v>0</v>
      </c>
      <c r="H90" s="285">
        <v>0</v>
      </c>
      <c r="I90" s="285">
        <v>0</v>
      </c>
      <c r="J90" s="285">
        <v>0</v>
      </c>
      <c r="K90" s="285">
        <v>0</v>
      </c>
      <c r="L90" s="285">
        <v>0</v>
      </c>
      <c r="M90" s="285">
        <v>0</v>
      </c>
      <c r="N90" s="285">
        <v>0</v>
      </c>
      <c r="O90" s="285">
        <v>0</v>
      </c>
      <c r="P90" s="285">
        <v>0</v>
      </c>
      <c r="Q90" s="285">
        <v>0</v>
      </c>
      <c r="R90" s="285">
        <v>0</v>
      </c>
      <c r="S90" s="285">
        <v>0</v>
      </c>
      <c r="T90" s="285">
        <v>0</v>
      </c>
      <c r="U90" s="410" t="e">
        <v>#DIV/0!</v>
      </c>
      <c r="V90" s="285">
        <v>0</v>
      </c>
      <c r="W90" s="285">
        <v>0</v>
      </c>
      <c r="X90" s="285">
        <v>0</v>
      </c>
      <c r="Y90" s="285">
        <v>0</v>
      </c>
      <c r="Z90" s="285">
        <v>0</v>
      </c>
      <c r="AA90" s="285">
        <v>0</v>
      </c>
    </row>
    <row r="91" spans="1:27" x14ac:dyDescent="0.2">
      <c r="A91" s="398" t="s">
        <v>1186</v>
      </c>
      <c r="B91" s="412" t="s">
        <v>482</v>
      </c>
      <c r="C91" s="253">
        <v>0</v>
      </c>
      <c r="D91" s="253">
        <v>0</v>
      </c>
      <c r="E91" s="253">
        <v>0</v>
      </c>
      <c r="F91" s="253">
        <v>0</v>
      </c>
      <c r="G91" s="253">
        <v>0</v>
      </c>
      <c r="H91" s="285">
        <v>0</v>
      </c>
      <c r="I91" s="285">
        <v>0</v>
      </c>
      <c r="J91" s="285">
        <v>0</v>
      </c>
      <c r="K91" s="285">
        <v>0</v>
      </c>
      <c r="L91" s="285">
        <v>0</v>
      </c>
      <c r="M91" s="285">
        <v>0</v>
      </c>
      <c r="N91" s="285">
        <v>0</v>
      </c>
      <c r="O91" s="285">
        <v>0</v>
      </c>
      <c r="P91" s="285">
        <v>0</v>
      </c>
      <c r="Q91" s="285">
        <v>0</v>
      </c>
      <c r="R91" s="285">
        <v>0</v>
      </c>
      <c r="S91" s="285">
        <v>0</v>
      </c>
      <c r="T91" s="285">
        <v>0</v>
      </c>
      <c r="U91" s="410" t="e">
        <v>#DIV/0!</v>
      </c>
      <c r="V91" s="285">
        <v>0</v>
      </c>
      <c r="W91" s="285">
        <v>0</v>
      </c>
      <c r="X91" s="285">
        <v>0</v>
      </c>
      <c r="Y91" s="285">
        <v>0</v>
      </c>
      <c r="Z91" s="285">
        <v>0</v>
      </c>
      <c r="AA91" s="285">
        <v>0</v>
      </c>
    </row>
    <row r="92" spans="1:27" x14ac:dyDescent="0.2">
      <c r="A92" s="398" t="s">
        <v>1187</v>
      </c>
      <c r="B92" s="412" t="s">
        <v>483</v>
      </c>
      <c r="C92" s="253">
        <v>0</v>
      </c>
      <c r="D92" s="253">
        <v>0</v>
      </c>
      <c r="E92" s="253">
        <v>0</v>
      </c>
      <c r="F92" s="253">
        <v>0</v>
      </c>
      <c r="G92" s="253">
        <v>0</v>
      </c>
      <c r="H92" s="285">
        <v>0</v>
      </c>
      <c r="I92" s="285">
        <v>0</v>
      </c>
      <c r="J92" s="285">
        <v>0</v>
      </c>
      <c r="K92" s="285">
        <v>0</v>
      </c>
      <c r="L92" s="285">
        <v>0</v>
      </c>
      <c r="M92" s="285">
        <v>0</v>
      </c>
      <c r="N92" s="285">
        <v>0</v>
      </c>
      <c r="O92" s="285">
        <v>0</v>
      </c>
      <c r="P92" s="285">
        <v>0</v>
      </c>
      <c r="Q92" s="285">
        <v>0</v>
      </c>
      <c r="R92" s="285">
        <v>0</v>
      </c>
      <c r="S92" s="285">
        <v>0</v>
      </c>
      <c r="T92" s="285">
        <v>0</v>
      </c>
      <c r="U92" s="410" t="e">
        <v>#DIV/0!</v>
      </c>
      <c r="V92" s="285">
        <v>0</v>
      </c>
      <c r="W92" s="285">
        <v>0</v>
      </c>
      <c r="X92" s="285">
        <v>0</v>
      </c>
      <c r="Y92" s="285">
        <v>0</v>
      </c>
      <c r="Z92" s="285">
        <v>0</v>
      </c>
      <c r="AA92" s="285">
        <v>0</v>
      </c>
    </row>
    <row r="93" spans="1:27" x14ac:dyDescent="0.2">
      <c r="A93" s="398" t="s">
        <v>1188</v>
      </c>
      <c r="B93" s="412" t="s">
        <v>484</v>
      </c>
      <c r="C93" s="253">
        <v>0</v>
      </c>
      <c r="D93" s="253">
        <v>0</v>
      </c>
      <c r="E93" s="253">
        <v>0</v>
      </c>
      <c r="F93" s="253">
        <v>0</v>
      </c>
      <c r="G93" s="253">
        <v>0</v>
      </c>
      <c r="H93" s="285">
        <v>0</v>
      </c>
      <c r="I93" s="285">
        <v>0</v>
      </c>
      <c r="J93" s="285">
        <v>0</v>
      </c>
      <c r="K93" s="285">
        <v>0</v>
      </c>
      <c r="L93" s="285">
        <v>0</v>
      </c>
      <c r="M93" s="285">
        <v>0</v>
      </c>
      <c r="N93" s="285">
        <v>0</v>
      </c>
      <c r="O93" s="285">
        <v>0</v>
      </c>
      <c r="P93" s="285">
        <v>0</v>
      </c>
      <c r="Q93" s="285">
        <v>0</v>
      </c>
      <c r="R93" s="285">
        <v>0</v>
      </c>
      <c r="S93" s="285">
        <v>0</v>
      </c>
      <c r="T93" s="285">
        <v>0</v>
      </c>
      <c r="U93" s="410" t="e">
        <v>#DIV/0!</v>
      </c>
      <c r="V93" s="285">
        <v>0</v>
      </c>
      <c r="W93" s="285">
        <v>0</v>
      </c>
      <c r="X93" s="285">
        <v>0</v>
      </c>
      <c r="Y93" s="285">
        <v>0</v>
      </c>
      <c r="Z93" s="285">
        <v>0</v>
      </c>
      <c r="AA93" s="285">
        <v>0</v>
      </c>
    </row>
    <row r="94" spans="1:27" x14ac:dyDescent="0.2">
      <c r="A94" s="398" t="s">
        <v>1189</v>
      </c>
      <c r="B94" s="412" t="s">
        <v>485</v>
      </c>
      <c r="C94" s="253">
        <v>0</v>
      </c>
      <c r="D94" s="253">
        <v>0</v>
      </c>
      <c r="E94" s="253">
        <v>0</v>
      </c>
      <c r="F94" s="253">
        <v>0</v>
      </c>
      <c r="G94" s="253">
        <v>0</v>
      </c>
      <c r="H94" s="285">
        <v>0</v>
      </c>
      <c r="I94" s="285">
        <v>0</v>
      </c>
      <c r="J94" s="285">
        <v>0</v>
      </c>
      <c r="K94" s="285">
        <v>0</v>
      </c>
      <c r="L94" s="285">
        <v>0</v>
      </c>
      <c r="M94" s="285">
        <v>0</v>
      </c>
      <c r="N94" s="285">
        <v>0</v>
      </c>
      <c r="O94" s="285">
        <v>0</v>
      </c>
      <c r="P94" s="285">
        <v>0</v>
      </c>
      <c r="Q94" s="285">
        <v>0</v>
      </c>
      <c r="R94" s="285">
        <v>0</v>
      </c>
      <c r="S94" s="285">
        <v>0</v>
      </c>
      <c r="T94" s="285">
        <v>0</v>
      </c>
      <c r="U94" s="410" t="e">
        <v>#DIV/0!</v>
      </c>
      <c r="V94" s="285">
        <v>0</v>
      </c>
      <c r="W94" s="285">
        <v>0</v>
      </c>
      <c r="X94" s="285">
        <v>0</v>
      </c>
      <c r="Y94" s="285">
        <v>0</v>
      </c>
      <c r="Z94" s="285">
        <v>0</v>
      </c>
      <c r="AA94" s="285">
        <v>0</v>
      </c>
    </row>
    <row r="95" spans="1:27" x14ac:dyDescent="0.2">
      <c r="A95" s="398" t="s">
        <v>1190</v>
      </c>
      <c r="B95" s="412" t="s">
        <v>486</v>
      </c>
      <c r="C95" s="253">
        <v>0</v>
      </c>
      <c r="D95" s="253">
        <v>0</v>
      </c>
      <c r="E95" s="253">
        <v>0</v>
      </c>
      <c r="F95" s="253">
        <v>0</v>
      </c>
      <c r="G95" s="253">
        <v>0</v>
      </c>
      <c r="H95" s="285">
        <v>0</v>
      </c>
      <c r="I95" s="285">
        <v>0</v>
      </c>
      <c r="J95" s="285">
        <v>0</v>
      </c>
      <c r="K95" s="285">
        <v>0</v>
      </c>
      <c r="L95" s="285">
        <v>0</v>
      </c>
      <c r="M95" s="285">
        <v>0</v>
      </c>
      <c r="N95" s="285">
        <v>0</v>
      </c>
      <c r="O95" s="285">
        <v>0</v>
      </c>
      <c r="P95" s="285">
        <v>0</v>
      </c>
      <c r="Q95" s="285">
        <v>0</v>
      </c>
      <c r="R95" s="285">
        <v>0</v>
      </c>
      <c r="S95" s="285">
        <v>0</v>
      </c>
      <c r="T95" s="285">
        <v>0</v>
      </c>
      <c r="U95" s="410" t="e">
        <v>#DIV/0!</v>
      </c>
      <c r="V95" s="285">
        <v>0</v>
      </c>
      <c r="W95" s="285">
        <v>0</v>
      </c>
      <c r="X95" s="285">
        <v>0</v>
      </c>
      <c r="Y95" s="285">
        <v>0</v>
      </c>
      <c r="Z95" s="285">
        <v>0</v>
      </c>
      <c r="AA95" s="285">
        <v>0</v>
      </c>
    </row>
    <row r="96" spans="1:27" x14ac:dyDescent="0.2">
      <c r="A96" s="398" t="s">
        <v>1191</v>
      </c>
      <c r="B96" s="412" t="s">
        <v>487</v>
      </c>
      <c r="C96" s="253">
        <v>0</v>
      </c>
      <c r="D96" s="253">
        <v>0</v>
      </c>
      <c r="E96" s="253">
        <v>0</v>
      </c>
      <c r="F96" s="253">
        <v>0</v>
      </c>
      <c r="G96" s="253">
        <v>0</v>
      </c>
      <c r="H96" s="285">
        <v>0</v>
      </c>
      <c r="I96" s="285">
        <v>0</v>
      </c>
      <c r="J96" s="285">
        <v>0</v>
      </c>
      <c r="K96" s="285">
        <v>0</v>
      </c>
      <c r="L96" s="285">
        <v>0</v>
      </c>
      <c r="M96" s="285">
        <v>0</v>
      </c>
      <c r="N96" s="285">
        <v>0</v>
      </c>
      <c r="O96" s="285">
        <v>0</v>
      </c>
      <c r="P96" s="285">
        <v>0</v>
      </c>
      <c r="Q96" s="285">
        <v>0</v>
      </c>
      <c r="R96" s="285">
        <v>0</v>
      </c>
      <c r="S96" s="285">
        <v>0</v>
      </c>
      <c r="T96" s="285">
        <v>0</v>
      </c>
      <c r="U96" s="410" t="e">
        <v>#DIV/0!</v>
      </c>
      <c r="V96" s="285">
        <v>0</v>
      </c>
      <c r="W96" s="285">
        <v>0</v>
      </c>
      <c r="X96" s="285">
        <v>0</v>
      </c>
      <c r="Y96" s="285">
        <v>0</v>
      </c>
      <c r="Z96" s="285">
        <v>0</v>
      </c>
      <c r="AA96" s="285">
        <v>0</v>
      </c>
    </row>
    <row r="97" spans="1:27" x14ac:dyDescent="0.2">
      <c r="A97" s="398" t="s">
        <v>1192</v>
      </c>
      <c r="B97" s="412" t="s">
        <v>488</v>
      </c>
      <c r="C97" s="253">
        <v>0</v>
      </c>
      <c r="D97" s="253">
        <v>0</v>
      </c>
      <c r="E97" s="253">
        <v>0</v>
      </c>
      <c r="F97" s="253">
        <v>0</v>
      </c>
      <c r="G97" s="253">
        <v>0</v>
      </c>
      <c r="H97" s="285">
        <v>0</v>
      </c>
      <c r="I97" s="285">
        <v>0</v>
      </c>
      <c r="J97" s="285">
        <v>0</v>
      </c>
      <c r="K97" s="285">
        <v>0</v>
      </c>
      <c r="L97" s="285">
        <v>0</v>
      </c>
      <c r="M97" s="285">
        <v>0</v>
      </c>
      <c r="N97" s="285">
        <v>0</v>
      </c>
      <c r="O97" s="285">
        <v>0</v>
      </c>
      <c r="P97" s="285">
        <v>0</v>
      </c>
      <c r="Q97" s="285">
        <v>0</v>
      </c>
      <c r="R97" s="285">
        <v>0</v>
      </c>
      <c r="S97" s="285">
        <v>0</v>
      </c>
      <c r="T97" s="285">
        <v>0</v>
      </c>
      <c r="U97" s="410" t="e">
        <v>#DIV/0!</v>
      </c>
      <c r="V97" s="285">
        <v>0</v>
      </c>
      <c r="W97" s="285">
        <v>0</v>
      </c>
      <c r="X97" s="285">
        <v>0</v>
      </c>
      <c r="Y97" s="285">
        <v>0</v>
      </c>
      <c r="Z97" s="285">
        <v>0</v>
      </c>
      <c r="AA97" s="285">
        <v>0</v>
      </c>
    </row>
    <row r="98" spans="1:27" x14ac:dyDescent="0.2">
      <c r="A98" s="398" t="s">
        <v>1193</v>
      </c>
      <c r="B98" s="412" t="s">
        <v>489</v>
      </c>
      <c r="C98" s="253">
        <v>0</v>
      </c>
      <c r="D98" s="253">
        <v>0</v>
      </c>
      <c r="E98" s="253">
        <v>0</v>
      </c>
      <c r="F98" s="253">
        <v>0</v>
      </c>
      <c r="G98" s="253">
        <v>0</v>
      </c>
      <c r="H98" s="285">
        <v>0</v>
      </c>
      <c r="I98" s="285">
        <v>0</v>
      </c>
      <c r="J98" s="285">
        <v>0</v>
      </c>
      <c r="K98" s="285">
        <v>0</v>
      </c>
      <c r="L98" s="285">
        <v>0</v>
      </c>
      <c r="M98" s="285">
        <v>0</v>
      </c>
      <c r="N98" s="285">
        <v>0</v>
      </c>
      <c r="O98" s="285">
        <v>0</v>
      </c>
      <c r="P98" s="285">
        <v>0</v>
      </c>
      <c r="Q98" s="285">
        <v>0</v>
      </c>
      <c r="R98" s="285">
        <v>0</v>
      </c>
      <c r="S98" s="285">
        <v>0</v>
      </c>
      <c r="T98" s="285">
        <v>0</v>
      </c>
      <c r="U98" s="410" t="e">
        <v>#DIV/0!</v>
      </c>
      <c r="V98" s="285">
        <v>0</v>
      </c>
      <c r="W98" s="285">
        <v>0</v>
      </c>
      <c r="X98" s="285">
        <v>0</v>
      </c>
      <c r="Y98" s="285">
        <v>0</v>
      </c>
      <c r="Z98" s="285">
        <v>0</v>
      </c>
      <c r="AA98" s="285">
        <v>0</v>
      </c>
    </row>
    <row r="99" spans="1:27" x14ac:dyDescent="0.2">
      <c r="A99" s="398" t="s">
        <v>1194</v>
      </c>
      <c r="B99" s="412" t="s">
        <v>490</v>
      </c>
      <c r="C99" s="253">
        <v>0</v>
      </c>
      <c r="D99" s="253">
        <v>0</v>
      </c>
      <c r="E99" s="253">
        <v>0</v>
      </c>
      <c r="F99" s="253">
        <v>0</v>
      </c>
      <c r="G99" s="253">
        <v>0</v>
      </c>
      <c r="H99" s="285">
        <v>0</v>
      </c>
      <c r="I99" s="285">
        <v>0</v>
      </c>
      <c r="J99" s="285">
        <v>0</v>
      </c>
      <c r="K99" s="285">
        <v>0</v>
      </c>
      <c r="L99" s="285">
        <v>0</v>
      </c>
      <c r="M99" s="285">
        <v>0</v>
      </c>
      <c r="N99" s="285">
        <v>0</v>
      </c>
      <c r="O99" s="285">
        <v>0</v>
      </c>
      <c r="P99" s="285">
        <v>0</v>
      </c>
      <c r="Q99" s="285">
        <v>0</v>
      </c>
      <c r="R99" s="285">
        <v>0</v>
      </c>
      <c r="S99" s="285">
        <v>0</v>
      </c>
      <c r="T99" s="285">
        <v>0</v>
      </c>
      <c r="U99" s="410" t="e">
        <v>#DIV/0!</v>
      </c>
      <c r="V99" s="285">
        <v>0</v>
      </c>
      <c r="W99" s="285">
        <v>0</v>
      </c>
      <c r="X99" s="285">
        <v>0</v>
      </c>
      <c r="Y99" s="285">
        <v>0</v>
      </c>
      <c r="Z99" s="285">
        <v>0</v>
      </c>
      <c r="AA99" s="285">
        <v>0</v>
      </c>
    </row>
    <row r="100" spans="1:27" x14ac:dyDescent="0.2">
      <c r="A100" s="398" t="s">
        <v>1195</v>
      </c>
      <c r="B100" s="412" t="s">
        <v>491</v>
      </c>
      <c r="C100" s="253">
        <v>0</v>
      </c>
      <c r="D100" s="253">
        <v>0</v>
      </c>
      <c r="E100" s="253">
        <v>0</v>
      </c>
      <c r="F100" s="253">
        <v>0</v>
      </c>
      <c r="G100" s="253">
        <v>0</v>
      </c>
      <c r="H100" s="285">
        <v>0</v>
      </c>
      <c r="I100" s="285">
        <v>0</v>
      </c>
      <c r="J100" s="285">
        <v>0</v>
      </c>
      <c r="K100" s="285">
        <v>0</v>
      </c>
      <c r="L100" s="285">
        <v>0</v>
      </c>
      <c r="M100" s="285">
        <v>0</v>
      </c>
      <c r="N100" s="285">
        <v>0</v>
      </c>
      <c r="O100" s="285">
        <v>0</v>
      </c>
      <c r="P100" s="285">
        <v>0</v>
      </c>
      <c r="Q100" s="285">
        <v>0</v>
      </c>
      <c r="R100" s="285">
        <v>0</v>
      </c>
      <c r="S100" s="285">
        <v>0</v>
      </c>
      <c r="T100" s="285">
        <v>0</v>
      </c>
      <c r="U100" s="410" t="e">
        <v>#DIV/0!</v>
      </c>
      <c r="V100" s="285">
        <v>0</v>
      </c>
      <c r="W100" s="285">
        <v>0</v>
      </c>
      <c r="X100" s="285">
        <v>0</v>
      </c>
      <c r="Y100" s="285">
        <v>0</v>
      </c>
      <c r="Z100" s="285">
        <v>0</v>
      </c>
      <c r="AA100" s="285">
        <v>0</v>
      </c>
    </row>
    <row r="101" spans="1:27" x14ac:dyDescent="0.2">
      <c r="A101" s="398" t="s">
        <v>1196</v>
      </c>
      <c r="B101" s="412" t="s">
        <v>492</v>
      </c>
      <c r="C101" s="253">
        <v>0</v>
      </c>
      <c r="D101" s="253">
        <v>0</v>
      </c>
      <c r="E101" s="253">
        <v>0</v>
      </c>
      <c r="F101" s="253">
        <v>0</v>
      </c>
      <c r="G101" s="253">
        <v>0</v>
      </c>
      <c r="H101" s="285">
        <v>0</v>
      </c>
      <c r="I101" s="285">
        <v>0</v>
      </c>
      <c r="J101" s="285">
        <v>0</v>
      </c>
      <c r="K101" s="285">
        <v>0</v>
      </c>
      <c r="L101" s="285">
        <v>0</v>
      </c>
      <c r="M101" s="285">
        <v>0</v>
      </c>
      <c r="N101" s="285">
        <v>0</v>
      </c>
      <c r="O101" s="285">
        <v>0</v>
      </c>
      <c r="P101" s="285">
        <v>0</v>
      </c>
      <c r="Q101" s="285">
        <v>0</v>
      </c>
      <c r="R101" s="285">
        <v>0</v>
      </c>
      <c r="S101" s="285">
        <v>0</v>
      </c>
      <c r="T101" s="285">
        <v>0</v>
      </c>
      <c r="U101" s="410" t="e">
        <v>#DIV/0!</v>
      </c>
      <c r="V101" s="285">
        <v>0</v>
      </c>
      <c r="W101" s="285">
        <v>0</v>
      </c>
      <c r="X101" s="285">
        <v>0</v>
      </c>
      <c r="Y101" s="285">
        <v>0</v>
      </c>
      <c r="Z101" s="285">
        <v>0</v>
      </c>
      <c r="AA101" s="285">
        <v>0</v>
      </c>
    </row>
    <row r="102" spans="1:27" x14ac:dyDescent="0.2">
      <c r="A102" s="398" t="s">
        <v>1197</v>
      </c>
      <c r="B102" s="412" t="s">
        <v>493</v>
      </c>
      <c r="C102" s="253">
        <v>0</v>
      </c>
      <c r="D102" s="253">
        <v>0</v>
      </c>
      <c r="E102" s="253">
        <v>0</v>
      </c>
      <c r="F102" s="253">
        <v>0</v>
      </c>
      <c r="G102" s="253">
        <v>0</v>
      </c>
      <c r="H102" s="285">
        <v>0</v>
      </c>
      <c r="I102" s="285">
        <v>0</v>
      </c>
      <c r="J102" s="285">
        <v>0</v>
      </c>
      <c r="K102" s="285">
        <v>0</v>
      </c>
      <c r="L102" s="285">
        <v>0</v>
      </c>
      <c r="M102" s="285">
        <v>0</v>
      </c>
      <c r="N102" s="285">
        <v>0</v>
      </c>
      <c r="O102" s="285">
        <v>0</v>
      </c>
      <c r="P102" s="285">
        <v>0</v>
      </c>
      <c r="Q102" s="285">
        <v>0</v>
      </c>
      <c r="R102" s="285">
        <v>0</v>
      </c>
      <c r="S102" s="285">
        <v>0</v>
      </c>
      <c r="T102" s="285">
        <v>0</v>
      </c>
      <c r="U102" s="410" t="e">
        <v>#DIV/0!</v>
      </c>
      <c r="V102" s="285">
        <v>0</v>
      </c>
      <c r="W102" s="285">
        <v>0</v>
      </c>
      <c r="X102" s="285">
        <v>0</v>
      </c>
      <c r="Y102" s="285">
        <v>0</v>
      </c>
      <c r="Z102" s="285">
        <v>0</v>
      </c>
      <c r="AA102" s="285">
        <v>0</v>
      </c>
    </row>
    <row r="103" spans="1:27" x14ac:dyDescent="0.2">
      <c r="A103" s="398" t="s">
        <v>1198</v>
      </c>
      <c r="B103" s="412" t="s">
        <v>494</v>
      </c>
      <c r="C103" s="253">
        <v>0</v>
      </c>
      <c r="D103" s="253">
        <v>0</v>
      </c>
      <c r="E103" s="253">
        <v>0</v>
      </c>
      <c r="F103" s="253">
        <v>0</v>
      </c>
      <c r="G103" s="253">
        <v>0</v>
      </c>
      <c r="H103" s="285">
        <v>0</v>
      </c>
      <c r="I103" s="285">
        <v>0</v>
      </c>
      <c r="J103" s="285">
        <v>0</v>
      </c>
      <c r="K103" s="285">
        <v>0</v>
      </c>
      <c r="L103" s="285">
        <v>0</v>
      </c>
      <c r="M103" s="285">
        <v>0</v>
      </c>
      <c r="N103" s="285">
        <v>0</v>
      </c>
      <c r="O103" s="285">
        <v>0</v>
      </c>
      <c r="P103" s="285">
        <v>0</v>
      </c>
      <c r="Q103" s="285">
        <v>0</v>
      </c>
      <c r="R103" s="285">
        <v>0</v>
      </c>
      <c r="S103" s="285">
        <v>0</v>
      </c>
      <c r="T103" s="285">
        <v>0</v>
      </c>
      <c r="U103" s="410" t="e">
        <v>#DIV/0!</v>
      </c>
      <c r="V103" s="285">
        <v>0</v>
      </c>
      <c r="W103" s="285">
        <v>0</v>
      </c>
      <c r="X103" s="285">
        <v>0</v>
      </c>
      <c r="Y103" s="285">
        <v>0</v>
      </c>
      <c r="Z103" s="285">
        <v>0</v>
      </c>
      <c r="AA103" s="285">
        <v>0</v>
      </c>
    </row>
    <row r="104" spans="1:27" ht="24" x14ac:dyDescent="0.2">
      <c r="A104" s="398" t="s">
        <v>1199</v>
      </c>
      <c r="B104" s="412" t="s">
        <v>495</v>
      </c>
      <c r="C104" s="253">
        <v>0</v>
      </c>
      <c r="D104" s="253">
        <v>0</v>
      </c>
      <c r="E104" s="253">
        <v>0</v>
      </c>
      <c r="F104" s="253">
        <v>0</v>
      </c>
      <c r="G104" s="253">
        <v>0</v>
      </c>
      <c r="H104" s="285">
        <v>0</v>
      </c>
      <c r="I104" s="285">
        <v>0</v>
      </c>
      <c r="J104" s="285">
        <v>0</v>
      </c>
      <c r="K104" s="285">
        <v>0</v>
      </c>
      <c r="L104" s="285">
        <v>0</v>
      </c>
      <c r="M104" s="285">
        <v>0</v>
      </c>
      <c r="N104" s="285">
        <v>0</v>
      </c>
      <c r="O104" s="285">
        <v>0</v>
      </c>
      <c r="P104" s="285">
        <v>0</v>
      </c>
      <c r="Q104" s="285">
        <v>0</v>
      </c>
      <c r="R104" s="285">
        <v>0</v>
      </c>
      <c r="S104" s="285">
        <v>0</v>
      </c>
      <c r="T104" s="285">
        <v>0</v>
      </c>
      <c r="U104" s="410" t="e">
        <v>#DIV/0!</v>
      </c>
      <c r="V104" s="285">
        <v>0</v>
      </c>
      <c r="W104" s="285">
        <v>0</v>
      </c>
      <c r="X104" s="285">
        <v>0</v>
      </c>
      <c r="Y104" s="285">
        <v>0</v>
      </c>
      <c r="Z104" s="285">
        <v>0</v>
      </c>
      <c r="AA104" s="285">
        <v>0</v>
      </c>
    </row>
    <row r="105" spans="1:27" x14ac:dyDescent="0.2">
      <c r="A105" s="398" t="s">
        <v>1200</v>
      </c>
      <c r="B105" s="412" t="s">
        <v>496</v>
      </c>
      <c r="C105" s="253">
        <v>0</v>
      </c>
      <c r="D105" s="253">
        <v>0</v>
      </c>
      <c r="E105" s="253">
        <v>0</v>
      </c>
      <c r="F105" s="253">
        <v>0</v>
      </c>
      <c r="G105" s="253">
        <v>0</v>
      </c>
      <c r="H105" s="285">
        <v>0</v>
      </c>
      <c r="I105" s="285">
        <v>0</v>
      </c>
      <c r="J105" s="285">
        <v>0</v>
      </c>
      <c r="K105" s="285">
        <v>0</v>
      </c>
      <c r="L105" s="285">
        <v>0</v>
      </c>
      <c r="M105" s="285">
        <v>0</v>
      </c>
      <c r="N105" s="285">
        <v>0</v>
      </c>
      <c r="O105" s="285">
        <v>0</v>
      </c>
      <c r="P105" s="285">
        <v>0</v>
      </c>
      <c r="Q105" s="285">
        <v>0</v>
      </c>
      <c r="R105" s="285">
        <v>0</v>
      </c>
      <c r="S105" s="285">
        <v>0</v>
      </c>
      <c r="T105" s="285">
        <v>0</v>
      </c>
      <c r="U105" s="410" t="e">
        <v>#DIV/0!</v>
      </c>
      <c r="V105" s="285">
        <v>0</v>
      </c>
      <c r="W105" s="285">
        <v>0</v>
      </c>
      <c r="X105" s="285">
        <v>0</v>
      </c>
      <c r="Y105" s="285">
        <v>0</v>
      </c>
      <c r="Z105" s="285">
        <v>0</v>
      </c>
      <c r="AA105" s="285">
        <v>0</v>
      </c>
    </row>
    <row r="106" spans="1:27" x14ac:dyDescent="0.2">
      <c r="A106" s="398" t="s">
        <v>1201</v>
      </c>
      <c r="B106" s="412" t="s">
        <v>497</v>
      </c>
      <c r="C106" s="253">
        <v>0</v>
      </c>
      <c r="D106" s="253">
        <v>0</v>
      </c>
      <c r="E106" s="253">
        <v>0</v>
      </c>
      <c r="F106" s="253">
        <v>0</v>
      </c>
      <c r="G106" s="253">
        <v>0</v>
      </c>
      <c r="H106" s="285">
        <v>0</v>
      </c>
      <c r="I106" s="285">
        <v>0</v>
      </c>
      <c r="J106" s="285">
        <v>0</v>
      </c>
      <c r="K106" s="285">
        <v>0</v>
      </c>
      <c r="L106" s="285">
        <v>0</v>
      </c>
      <c r="M106" s="285">
        <v>0</v>
      </c>
      <c r="N106" s="285">
        <v>0</v>
      </c>
      <c r="O106" s="285">
        <v>0</v>
      </c>
      <c r="P106" s="285">
        <v>0</v>
      </c>
      <c r="Q106" s="285">
        <v>0</v>
      </c>
      <c r="R106" s="285">
        <v>0</v>
      </c>
      <c r="S106" s="285">
        <v>0</v>
      </c>
      <c r="T106" s="285">
        <v>0</v>
      </c>
      <c r="U106" s="410" t="e">
        <v>#DIV/0!</v>
      </c>
      <c r="V106" s="285">
        <v>0</v>
      </c>
      <c r="W106" s="285">
        <v>0</v>
      </c>
      <c r="X106" s="285">
        <v>0</v>
      </c>
      <c r="Y106" s="285">
        <v>0</v>
      </c>
      <c r="Z106" s="285">
        <v>0</v>
      </c>
      <c r="AA106" s="285">
        <v>0</v>
      </c>
    </row>
    <row r="107" spans="1:27" x14ac:dyDescent="0.2">
      <c r="A107" s="398" t="s">
        <v>1202</v>
      </c>
      <c r="B107" s="412" t="s">
        <v>498</v>
      </c>
      <c r="C107" s="253">
        <v>0</v>
      </c>
      <c r="D107" s="253">
        <v>0</v>
      </c>
      <c r="E107" s="253">
        <v>0</v>
      </c>
      <c r="F107" s="253">
        <v>0</v>
      </c>
      <c r="G107" s="253">
        <v>0</v>
      </c>
      <c r="H107" s="285">
        <v>0</v>
      </c>
      <c r="I107" s="285">
        <v>0</v>
      </c>
      <c r="J107" s="285">
        <v>0</v>
      </c>
      <c r="K107" s="285">
        <v>0</v>
      </c>
      <c r="L107" s="285">
        <v>0</v>
      </c>
      <c r="M107" s="285">
        <v>0</v>
      </c>
      <c r="N107" s="285">
        <v>0</v>
      </c>
      <c r="O107" s="285">
        <v>0</v>
      </c>
      <c r="P107" s="285">
        <v>0</v>
      </c>
      <c r="Q107" s="285">
        <v>0</v>
      </c>
      <c r="R107" s="285">
        <v>0</v>
      </c>
      <c r="S107" s="285">
        <v>0</v>
      </c>
      <c r="T107" s="285">
        <v>0</v>
      </c>
      <c r="U107" s="410" t="e">
        <v>#DIV/0!</v>
      </c>
      <c r="V107" s="285">
        <v>0</v>
      </c>
      <c r="W107" s="285">
        <v>0</v>
      </c>
      <c r="X107" s="285">
        <v>0</v>
      </c>
      <c r="Y107" s="285">
        <v>0</v>
      </c>
      <c r="Z107" s="285">
        <v>0</v>
      </c>
      <c r="AA107" s="285">
        <v>0</v>
      </c>
    </row>
    <row r="108" spans="1:27" x14ac:dyDescent="0.2">
      <c r="A108" s="398"/>
      <c r="B108" s="404" t="s">
        <v>499</v>
      </c>
      <c r="C108" s="405">
        <v>0</v>
      </c>
      <c r="D108" s="405">
        <v>0</v>
      </c>
      <c r="E108" s="405">
        <v>0</v>
      </c>
      <c r="F108" s="405">
        <v>0</v>
      </c>
      <c r="G108" s="405">
        <v>0</v>
      </c>
      <c r="H108" s="405">
        <v>0</v>
      </c>
      <c r="I108" s="405">
        <v>0</v>
      </c>
      <c r="J108" s="405">
        <v>0</v>
      </c>
      <c r="K108" s="405">
        <v>0</v>
      </c>
      <c r="L108" s="405">
        <v>0</v>
      </c>
      <c r="M108" s="405">
        <v>0</v>
      </c>
      <c r="N108" s="405">
        <v>0</v>
      </c>
      <c r="O108" s="405">
        <v>0</v>
      </c>
      <c r="P108" s="405">
        <v>0</v>
      </c>
      <c r="Q108" s="405">
        <v>0</v>
      </c>
      <c r="R108" s="405">
        <v>0</v>
      </c>
      <c r="S108" s="405">
        <v>0</v>
      </c>
      <c r="T108" s="406">
        <v>0</v>
      </c>
      <c r="U108" s="407" t="e">
        <v>#DIV/0!</v>
      </c>
      <c r="V108" s="406">
        <v>0</v>
      </c>
      <c r="W108" s="406">
        <v>0</v>
      </c>
      <c r="X108" s="406">
        <v>0</v>
      </c>
      <c r="Y108" s="406">
        <v>0</v>
      </c>
      <c r="Z108" s="406">
        <v>0</v>
      </c>
      <c r="AA108" s="406">
        <v>0</v>
      </c>
    </row>
    <row r="109" spans="1:27" x14ac:dyDescent="0.2">
      <c r="A109" s="398" t="s">
        <v>1203</v>
      </c>
      <c r="B109" s="412" t="s">
        <v>500</v>
      </c>
      <c r="C109" s="253">
        <v>0</v>
      </c>
      <c r="D109" s="253">
        <v>0</v>
      </c>
      <c r="E109" s="253">
        <v>0</v>
      </c>
      <c r="F109" s="253">
        <v>0</v>
      </c>
      <c r="G109" s="253">
        <v>0</v>
      </c>
      <c r="H109" s="285">
        <v>0</v>
      </c>
      <c r="I109" s="285">
        <v>0</v>
      </c>
      <c r="J109" s="285">
        <v>0</v>
      </c>
      <c r="K109" s="285">
        <v>0</v>
      </c>
      <c r="L109" s="285">
        <v>0</v>
      </c>
      <c r="M109" s="285">
        <v>0</v>
      </c>
      <c r="N109" s="285">
        <v>0</v>
      </c>
      <c r="O109" s="285">
        <v>0</v>
      </c>
      <c r="P109" s="285">
        <v>0</v>
      </c>
      <c r="Q109" s="285">
        <v>0</v>
      </c>
      <c r="R109" s="285">
        <v>0</v>
      </c>
      <c r="S109" s="285">
        <v>0</v>
      </c>
      <c r="T109" s="285">
        <v>0</v>
      </c>
      <c r="U109" s="410" t="e">
        <v>#DIV/0!</v>
      </c>
      <c r="V109" s="285">
        <v>0</v>
      </c>
      <c r="W109" s="285">
        <v>0</v>
      </c>
      <c r="X109" s="285">
        <v>0</v>
      </c>
      <c r="Y109" s="285">
        <v>0</v>
      </c>
      <c r="Z109" s="285">
        <v>0</v>
      </c>
      <c r="AA109" s="285">
        <v>0</v>
      </c>
    </row>
    <row r="110" spans="1:27" x14ac:dyDescent="0.2">
      <c r="A110" s="398" t="s">
        <v>1204</v>
      </c>
      <c r="B110" s="412" t="s">
        <v>501</v>
      </c>
      <c r="C110" s="253">
        <v>0</v>
      </c>
      <c r="D110" s="253">
        <v>0</v>
      </c>
      <c r="E110" s="253">
        <v>0</v>
      </c>
      <c r="F110" s="253">
        <v>0</v>
      </c>
      <c r="G110" s="253">
        <v>0</v>
      </c>
      <c r="H110" s="285">
        <v>0</v>
      </c>
      <c r="I110" s="285">
        <v>0</v>
      </c>
      <c r="J110" s="285">
        <v>0</v>
      </c>
      <c r="K110" s="285">
        <v>0</v>
      </c>
      <c r="L110" s="285">
        <v>0</v>
      </c>
      <c r="M110" s="285">
        <v>0</v>
      </c>
      <c r="N110" s="285">
        <v>0</v>
      </c>
      <c r="O110" s="285">
        <v>0</v>
      </c>
      <c r="P110" s="285">
        <v>0</v>
      </c>
      <c r="Q110" s="285">
        <v>0</v>
      </c>
      <c r="R110" s="285">
        <v>0</v>
      </c>
      <c r="S110" s="285">
        <v>0</v>
      </c>
      <c r="T110" s="285">
        <v>0</v>
      </c>
      <c r="U110" s="410" t="e">
        <v>#DIV/0!</v>
      </c>
      <c r="V110" s="285">
        <v>0</v>
      </c>
      <c r="W110" s="285">
        <v>0</v>
      </c>
      <c r="X110" s="285">
        <v>0</v>
      </c>
      <c r="Y110" s="285">
        <v>0</v>
      </c>
      <c r="Z110" s="285">
        <v>0</v>
      </c>
      <c r="AA110" s="285">
        <v>0</v>
      </c>
    </row>
    <row r="111" spans="1:27" x14ac:dyDescent="0.2">
      <c r="A111" s="398" t="s">
        <v>1205</v>
      </c>
      <c r="B111" s="412" t="s">
        <v>502</v>
      </c>
      <c r="C111" s="253">
        <v>0</v>
      </c>
      <c r="D111" s="253">
        <v>0</v>
      </c>
      <c r="E111" s="253">
        <v>0</v>
      </c>
      <c r="F111" s="253">
        <v>0</v>
      </c>
      <c r="G111" s="253">
        <v>0</v>
      </c>
      <c r="H111" s="285">
        <v>0</v>
      </c>
      <c r="I111" s="285">
        <v>0</v>
      </c>
      <c r="J111" s="285">
        <v>0</v>
      </c>
      <c r="K111" s="285">
        <v>0</v>
      </c>
      <c r="L111" s="285">
        <v>0</v>
      </c>
      <c r="M111" s="285">
        <v>0</v>
      </c>
      <c r="N111" s="285">
        <v>0</v>
      </c>
      <c r="O111" s="285">
        <v>0</v>
      </c>
      <c r="P111" s="285">
        <v>0</v>
      </c>
      <c r="Q111" s="285">
        <v>0</v>
      </c>
      <c r="R111" s="285">
        <v>0</v>
      </c>
      <c r="S111" s="285">
        <v>0</v>
      </c>
      <c r="T111" s="285">
        <v>0</v>
      </c>
      <c r="U111" s="410" t="e">
        <v>#DIV/0!</v>
      </c>
      <c r="V111" s="285">
        <v>0</v>
      </c>
      <c r="W111" s="285">
        <v>0</v>
      </c>
      <c r="X111" s="285">
        <v>0</v>
      </c>
      <c r="Y111" s="285">
        <v>0</v>
      </c>
      <c r="Z111" s="285">
        <v>0</v>
      </c>
      <c r="AA111" s="285">
        <v>0</v>
      </c>
    </row>
    <row r="112" spans="1:27" x14ac:dyDescent="0.2">
      <c r="A112" s="398" t="s">
        <v>1206</v>
      </c>
      <c r="B112" s="412" t="s">
        <v>503</v>
      </c>
      <c r="C112" s="253">
        <v>0</v>
      </c>
      <c r="D112" s="253">
        <v>0</v>
      </c>
      <c r="E112" s="253">
        <v>0</v>
      </c>
      <c r="F112" s="253">
        <v>0</v>
      </c>
      <c r="G112" s="253">
        <v>0</v>
      </c>
      <c r="H112" s="285">
        <v>0</v>
      </c>
      <c r="I112" s="285">
        <v>0</v>
      </c>
      <c r="J112" s="285">
        <v>0</v>
      </c>
      <c r="K112" s="285">
        <v>0</v>
      </c>
      <c r="L112" s="285">
        <v>0</v>
      </c>
      <c r="M112" s="285">
        <v>0</v>
      </c>
      <c r="N112" s="285">
        <v>0</v>
      </c>
      <c r="O112" s="285">
        <v>0</v>
      </c>
      <c r="P112" s="285">
        <v>0</v>
      </c>
      <c r="Q112" s="285">
        <v>0</v>
      </c>
      <c r="R112" s="285">
        <v>0</v>
      </c>
      <c r="S112" s="285">
        <v>0</v>
      </c>
      <c r="T112" s="285">
        <v>0</v>
      </c>
      <c r="U112" s="410" t="e">
        <v>#DIV/0!</v>
      </c>
      <c r="V112" s="285">
        <v>0</v>
      </c>
      <c r="W112" s="285">
        <v>0</v>
      </c>
      <c r="X112" s="285">
        <v>0</v>
      </c>
      <c r="Y112" s="285">
        <v>0</v>
      </c>
      <c r="Z112" s="285">
        <v>0</v>
      </c>
      <c r="AA112" s="285">
        <v>0</v>
      </c>
    </row>
    <row r="113" spans="1:27" x14ac:dyDescent="0.2">
      <c r="A113" s="398"/>
      <c r="B113" s="404" t="s">
        <v>504</v>
      </c>
      <c r="C113" s="405">
        <v>0</v>
      </c>
      <c r="D113" s="405">
        <v>0</v>
      </c>
      <c r="E113" s="405">
        <v>0</v>
      </c>
      <c r="F113" s="405">
        <v>0</v>
      </c>
      <c r="G113" s="405">
        <v>0</v>
      </c>
      <c r="H113" s="405">
        <v>0</v>
      </c>
      <c r="I113" s="405">
        <v>0</v>
      </c>
      <c r="J113" s="405">
        <v>0</v>
      </c>
      <c r="K113" s="405">
        <v>0</v>
      </c>
      <c r="L113" s="405">
        <v>0</v>
      </c>
      <c r="M113" s="405">
        <v>0</v>
      </c>
      <c r="N113" s="405">
        <v>0</v>
      </c>
      <c r="O113" s="405">
        <v>0</v>
      </c>
      <c r="P113" s="405">
        <v>0</v>
      </c>
      <c r="Q113" s="405">
        <v>0</v>
      </c>
      <c r="R113" s="405">
        <v>0</v>
      </c>
      <c r="S113" s="405">
        <v>0</v>
      </c>
      <c r="T113" s="406">
        <v>0</v>
      </c>
      <c r="U113" s="407" t="e">
        <v>#DIV/0!</v>
      </c>
      <c r="V113" s="406">
        <v>0</v>
      </c>
      <c r="W113" s="406">
        <v>0</v>
      </c>
      <c r="X113" s="406">
        <v>0</v>
      </c>
      <c r="Y113" s="406">
        <v>0</v>
      </c>
      <c r="Z113" s="406">
        <v>0</v>
      </c>
      <c r="AA113" s="406">
        <v>0</v>
      </c>
    </row>
    <row r="114" spans="1:27" x14ac:dyDescent="0.2">
      <c r="A114" s="398" t="s">
        <v>1207</v>
      </c>
      <c r="B114" s="412" t="s">
        <v>505</v>
      </c>
      <c r="C114" s="253">
        <v>0</v>
      </c>
      <c r="D114" s="253">
        <v>0</v>
      </c>
      <c r="E114" s="253">
        <v>0</v>
      </c>
      <c r="F114" s="253">
        <v>0</v>
      </c>
      <c r="G114" s="253">
        <v>0</v>
      </c>
      <c r="H114" s="285">
        <v>0</v>
      </c>
      <c r="I114" s="285">
        <v>0</v>
      </c>
      <c r="J114" s="285">
        <v>0</v>
      </c>
      <c r="K114" s="285">
        <v>0</v>
      </c>
      <c r="L114" s="285">
        <v>0</v>
      </c>
      <c r="M114" s="285">
        <v>0</v>
      </c>
      <c r="N114" s="285">
        <v>0</v>
      </c>
      <c r="O114" s="285">
        <v>0</v>
      </c>
      <c r="P114" s="285">
        <v>0</v>
      </c>
      <c r="Q114" s="285">
        <v>0</v>
      </c>
      <c r="R114" s="285">
        <v>0</v>
      </c>
      <c r="S114" s="285">
        <v>0</v>
      </c>
      <c r="T114" s="285">
        <v>0</v>
      </c>
      <c r="U114" s="410" t="e">
        <v>#DIV/0!</v>
      </c>
      <c r="V114" s="285">
        <v>0</v>
      </c>
      <c r="W114" s="285">
        <v>0</v>
      </c>
      <c r="X114" s="285">
        <v>0</v>
      </c>
      <c r="Y114" s="285">
        <v>0</v>
      </c>
      <c r="Z114" s="285">
        <v>0</v>
      </c>
      <c r="AA114" s="285">
        <v>0</v>
      </c>
    </row>
    <row r="115" spans="1:27" x14ac:dyDescent="0.2">
      <c r="A115" s="398" t="s">
        <v>1208</v>
      </c>
      <c r="B115" s="412" t="s">
        <v>506</v>
      </c>
      <c r="C115" s="253">
        <v>0</v>
      </c>
      <c r="D115" s="253">
        <v>0</v>
      </c>
      <c r="E115" s="253">
        <v>0</v>
      </c>
      <c r="F115" s="253">
        <v>0</v>
      </c>
      <c r="G115" s="253">
        <v>0</v>
      </c>
      <c r="H115" s="285">
        <v>0</v>
      </c>
      <c r="I115" s="285">
        <v>0</v>
      </c>
      <c r="J115" s="285">
        <v>0</v>
      </c>
      <c r="K115" s="285">
        <v>0</v>
      </c>
      <c r="L115" s="285">
        <v>0</v>
      </c>
      <c r="M115" s="285">
        <v>0</v>
      </c>
      <c r="N115" s="285">
        <v>0</v>
      </c>
      <c r="O115" s="285">
        <v>0</v>
      </c>
      <c r="P115" s="285">
        <v>0</v>
      </c>
      <c r="Q115" s="285">
        <v>0</v>
      </c>
      <c r="R115" s="285">
        <v>0</v>
      </c>
      <c r="S115" s="285">
        <v>0</v>
      </c>
      <c r="T115" s="285">
        <v>0</v>
      </c>
      <c r="U115" s="410" t="e">
        <v>#DIV/0!</v>
      </c>
      <c r="V115" s="285">
        <v>0</v>
      </c>
      <c r="W115" s="285">
        <v>0</v>
      </c>
      <c r="X115" s="285">
        <v>0</v>
      </c>
      <c r="Y115" s="285">
        <v>0</v>
      </c>
      <c r="Z115" s="285">
        <v>0</v>
      </c>
      <c r="AA115" s="285">
        <v>0</v>
      </c>
    </row>
    <row r="116" spans="1:27" x14ac:dyDescent="0.2">
      <c r="A116" s="398" t="s">
        <v>1209</v>
      </c>
      <c r="B116" s="412" t="s">
        <v>507</v>
      </c>
      <c r="C116" s="253">
        <v>0</v>
      </c>
      <c r="D116" s="253">
        <v>0</v>
      </c>
      <c r="E116" s="253">
        <v>0</v>
      </c>
      <c r="F116" s="253">
        <v>0</v>
      </c>
      <c r="G116" s="253">
        <v>0</v>
      </c>
      <c r="H116" s="285">
        <v>0</v>
      </c>
      <c r="I116" s="285">
        <v>0</v>
      </c>
      <c r="J116" s="285">
        <v>0</v>
      </c>
      <c r="K116" s="285">
        <v>0</v>
      </c>
      <c r="L116" s="285">
        <v>0</v>
      </c>
      <c r="M116" s="285">
        <v>0</v>
      </c>
      <c r="N116" s="285">
        <v>0</v>
      </c>
      <c r="O116" s="285">
        <v>0</v>
      </c>
      <c r="P116" s="285">
        <v>0</v>
      </c>
      <c r="Q116" s="285">
        <v>0</v>
      </c>
      <c r="R116" s="285">
        <v>0</v>
      </c>
      <c r="S116" s="285">
        <v>0</v>
      </c>
      <c r="T116" s="285">
        <v>0</v>
      </c>
      <c r="U116" s="410" t="e">
        <v>#DIV/0!</v>
      </c>
      <c r="V116" s="285">
        <v>0</v>
      </c>
      <c r="W116" s="285">
        <v>0</v>
      </c>
      <c r="X116" s="285">
        <v>0</v>
      </c>
      <c r="Y116" s="285">
        <v>0</v>
      </c>
      <c r="Z116" s="285">
        <v>0</v>
      </c>
      <c r="AA116" s="285">
        <v>0</v>
      </c>
    </row>
    <row r="117" spans="1:27" x14ac:dyDescent="0.2">
      <c r="A117" s="398" t="s">
        <v>1210</v>
      </c>
      <c r="B117" s="412" t="s">
        <v>508</v>
      </c>
      <c r="C117" s="253">
        <v>0</v>
      </c>
      <c r="D117" s="253">
        <v>0</v>
      </c>
      <c r="E117" s="253">
        <v>0</v>
      </c>
      <c r="F117" s="253">
        <v>0</v>
      </c>
      <c r="G117" s="253">
        <v>0</v>
      </c>
      <c r="H117" s="285">
        <v>0</v>
      </c>
      <c r="I117" s="285">
        <v>0</v>
      </c>
      <c r="J117" s="285">
        <v>0</v>
      </c>
      <c r="K117" s="285">
        <v>0</v>
      </c>
      <c r="L117" s="285">
        <v>0</v>
      </c>
      <c r="M117" s="285">
        <v>0</v>
      </c>
      <c r="N117" s="285">
        <v>0</v>
      </c>
      <c r="O117" s="285">
        <v>0</v>
      </c>
      <c r="P117" s="285">
        <v>0</v>
      </c>
      <c r="Q117" s="285">
        <v>0</v>
      </c>
      <c r="R117" s="285">
        <v>0</v>
      </c>
      <c r="S117" s="285">
        <v>0</v>
      </c>
      <c r="T117" s="285">
        <v>0</v>
      </c>
      <c r="U117" s="410" t="e">
        <v>#DIV/0!</v>
      </c>
      <c r="V117" s="285">
        <v>0</v>
      </c>
      <c r="W117" s="285">
        <v>0</v>
      </c>
      <c r="X117" s="285">
        <v>0</v>
      </c>
      <c r="Y117" s="285">
        <v>0</v>
      </c>
      <c r="Z117" s="285">
        <v>0</v>
      </c>
      <c r="AA117" s="285">
        <v>0</v>
      </c>
    </row>
    <row r="118" spans="1:27" x14ac:dyDescent="0.2">
      <c r="A118" s="398" t="s">
        <v>1211</v>
      </c>
      <c r="B118" s="412" t="s">
        <v>509</v>
      </c>
      <c r="C118" s="253">
        <v>0</v>
      </c>
      <c r="D118" s="253">
        <v>0</v>
      </c>
      <c r="E118" s="253">
        <v>0</v>
      </c>
      <c r="F118" s="253">
        <v>0</v>
      </c>
      <c r="G118" s="253">
        <v>0</v>
      </c>
      <c r="H118" s="285">
        <v>0</v>
      </c>
      <c r="I118" s="285">
        <v>0</v>
      </c>
      <c r="J118" s="285">
        <v>0</v>
      </c>
      <c r="K118" s="285">
        <v>0</v>
      </c>
      <c r="L118" s="285">
        <v>0</v>
      </c>
      <c r="M118" s="285">
        <v>0</v>
      </c>
      <c r="N118" s="285">
        <v>0</v>
      </c>
      <c r="O118" s="285">
        <v>0</v>
      </c>
      <c r="P118" s="285">
        <v>0</v>
      </c>
      <c r="Q118" s="285">
        <v>0</v>
      </c>
      <c r="R118" s="285">
        <v>0</v>
      </c>
      <c r="S118" s="285">
        <v>0</v>
      </c>
      <c r="T118" s="285">
        <v>0</v>
      </c>
      <c r="U118" s="410" t="e">
        <v>#DIV/0!</v>
      </c>
      <c r="V118" s="285">
        <v>0</v>
      </c>
      <c r="W118" s="285">
        <v>0</v>
      </c>
      <c r="X118" s="285">
        <v>0</v>
      </c>
      <c r="Y118" s="285">
        <v>0</v>
      </c>
      <c r="Z118" s="285">
        <v>0</v>
      </c>
      <c r="AA118" s="285">
        <v>0</v>
      </c>
    </row>
    <row r="119" spans="1:27" x14ac:dyDescent="0.2">
      <c r="A119" s="398" t="s">
        <v>1212</v>
      </c>
      <c r="B119" s="412" t="s">
        <v>510</v>
      </c>
      <c r="C119" s="253">
        <v>0</v>
      </c>
      <c r="D119" s="253">
        <v>0</v>
      </c>
      <c r="E119" s="253">
        <v>0</v>
      </c>
      <c r="F119" s="253">
        <v>0</v>
      </c>
      <c r="G119" s="253">
        <v>0</v>
      </c>
      <c r="H119" s="285">
        <v>0</v>
      </c>
      <c r="I119" s="285">
        <v>0</v>
      </c>
      <c r="J119" s="285">
        <v>0</v>
      </c>
      <c r="K119" s="285">
        <v>0</v>
      </c>
      <c r="L119" s="285">
        <v>0</v>
      </c>
      <c r="M119" s="285">
        <v>0</v>
      </c>
      <c r="N119" s="285">
        <v>0</v>
      </c>
      <c r="O119" s="285">
        <v>0</v>
      </c>
      <c r="P119" s="285">
        <v>0</v>
      </c>
      <c r="Q119" s="285">
        <v>0</v>
      </c>
      <c r="R119" s="285">
        <v>0</v>
      </c>
      <c r="S119" s="285">
        <v>0</v>
      </c>
      <c r="T119" s="285">
        <v>0</v>
      </c>
      <c r="U119" s="410" t="e">
        <v>#DIV/0!</v>
      </c>
      <c r="V119" s="285">
        <v>0</v>
      </c>
      <c r="W119" s="285">
        <v>0</v>
      </c>
      <c r="X119" s="285">
        <v>0</v>
      </c>
      <c r="Y119" s="285">
        <v>0</v>
      </c>
      <c r="Z119" s="285">
        <v>0</v>
      </c>
      <c r="AA119" s="285">
        <v>0</v>
      </c>
    </row>
    <row r="120" spans="1:27" x14ac:dyDescent="0.2">
      <c r="A120" s="398"/>
      <c r="B120" s="404" t="s">
        <v>511</v>
      </c>
      <c r="C120" s="405">
        <v>39000</v>
      </c>
      <c r="D120" s="405">
        <v>39000</v>
      </c>
      <c r="E120" s="405">
        <v>39000</v>
      </c>
      <c r="F120" s="405">
        <v>0</v>
      </c>
      <c r="G120" s="405">
        <v>0</v>
      </c>
      <c r="H120" s="405">
        <v>0</v>
      </c>
      <c r="I120" s="405">
        <v>0</v>
      </c>
      <c r="J120" s="405">
        <v>0</v>
      </c>
      <c r="K120" s="405">
        <v>0</v>
      </c>
      <c r="L120" s="405">
        <v>0</v>
      </c>
      <c r="M120" s="405">
        <v>0</v>
      </c>
      <c r="N120" s="405">
        <v>0</v>
      </c>
      <c r="O120" s="405">
        <v>0</v>
      </c>
      <c r="P120" s="405">
        <v>0</v>
      </c>
      <c r="Q120" s="405">
        <v>0</v>
      </c>
      <c r="R120" s="405">
        <v>0</v>
      </c>
      <c r="S120" s="405">
        <v>0</v>
      </c>
      <c r="T120" s="406">
        <v>0</v>
      </c>
      <c r="U120" s="407">
        <v>0</v>
      </c>
      <c r="V120" s="406">
        <v>39000</v>
      </c>
      <c r="W120" s="406">
        <v>0</v>
      </c>
      <c r="X120" s="406">
        <v>39000</v>
      </c>
      <c r="Y120" s="406">
        <v>39000</v>
      </c>
      <c r="Z120" s="406">
        <v>0</v>
      </c>
      <c r="AA120" s="406">
        <v>0</v>
      </c>
    </row>
    <row r="121" spans="1:27" x14ac:dyDescent="0.2">
      <c r="A121" s="398" t="s">
        <v>1213</v>
      </c>
      <c r="B121" s="412" t="s">
        <v>512</v>
      </c>
      <c r="C121" s="253">
        <v>0</v>
      </c>
      <c r="D121" s="253">
        <v>0</v>
      </c>
      <c r="E121" s="253">
        <v>0</v>
      </c>
      <c r="F121" s="253">
        <v>0</v>
      </c>
      <c r="G121" s="253">
        <v>0</v>
      </c>
      <c r="H121" s="285">
        <v>0</v>
      </c>
      <c r="I121" s="285">
        <v>0</v>
      </c>
      <c r="J121" s="285">
        <v>0</v>
      </c>
      <c r="K121" s="285">
        <v>0</v>
      </c>
      <c r="L121" s="285">
        <v>0</v>
      </c>
      <c r="M121" s="285">
        <v>0</v>
      </c>
      <c r="N121" s="285">
        <v>0</v>
      </c>
      <c r="O121" s="285">
        <v>0</v>
      </c>
      <c r="P121" s="285">
        <v>0</v>
      </c>
      <c r="Q121" s="285">
        <v>0</v>
      </c>
      <c r="R121" s="285">
        <v>0</v>
      </c>
      <c r="S121" s="285">
        <v>0</v>
      </c>
      <c r="T121" s="285">
        <v>0</v>
      </c>
      <c r="U121" s="410" t="e">
        <v>#DIV/0!</v>
      </c>
      <c r="V121" s="285">
        <v>0</v>
      </c>
      <c r="W121" s="285">
        <v>0</v>
      </c>
      <c r="X121" s="285">
        <v>0</v>
      </c>
      <c r="Y121" s="285">
        <v>0</v>
      </c>
      <c r="Z121" s="285">
        <v>0</v>
      </c>
      <c r="AA121" s="285">
        <v>0</v>
      </c>
    </row>
    <row r="122" spans="1:27" x14ac:dyDescent="0.2">
      <c r="A122" s="398" t="s">
        <v>1214</v>
      </c>
      <c r="B122" s="412" t="s">
        <v>513</v>
      </c>
      <c r="C122" s="253">
        <v>39000</v>
      </c>
      <c r="D122" s="253">
        <v>39000</v>
      </c>
      <c r="E122" s="253">
        <v>39000</v>
      </c>
      <c r="F122" s="253">
        <v>0</v>
      </c>
      <c r="G122" s="253">
        <v>0</v>
      </c>
      <c r="H122" s="285">
        <v>0</v>
      </c>
      <c r="I122" s="285">
        <v>0</v>
      </c>
      <c r="J122" s="285">
        <v>0</v>
      </c>
      <c r="K122" s="285">
        <v>0</v>
      </c>
      <c r="L122" s="285">
        <v>0</v>
      </c>
      <c r="M122" s="285">
        <v>0</v>
      </c>
      <c r="N122" s="285">
        <v>0</v>
      </c>
      <c r="O122" s="285">
        <v>0</v>
      </c>
      <c r="P122" s="285">
        <v>0</v>
      </c>
      <c r="Q122" s="285">
        <v>0</v>
      </c>
      <c r="R122" s="285">
        <v>0</v>
      </c>
      <c r="S122" s="285">
        <v>0</v>
      </c>
      <c r="T122" s="285">
        <v>0</v>
      </c>
      <c r="U122" s="410">
        <v>0</v>
      </c>
      <c r="V122" s="285">
        <v>39000</v>
      </c>
      <c r="W122" s="285">
        <v>0</v>
      </c>
      <c r="X122" s="285">
        <v>39000</v>
      </c>
      <c r="Y122" s="285">
        <v>39000</v>
      </c>
      <c r="Z122" s="285">
        <v>0</v>
      </c>
      <c r="AA122" s="285">
        <v>0</v>
      </c>
    </row>
    <row r="123" spans="1:27" s="408" customFormat="1" x14ac:dyDescent="0.2">
      <c r="A123" s="398" t="s">
        <v>1215</v>
      </c>
      <c r="B123" s="404" t="s">
        <v>514</v>
      </c>
      <c r="C123" s="411">
        <v>0</v>
      </c>
      <c r="D123" s="411">
        <v>0</v>
      </c>
      <c r="E123" s="411">
        <v>0</v>
      </c>
      <c r="F123" s="411">
        <v>0</v>
      </c>
      <c r="G123" s="411">
        <v>0</v>
      </c>
      <c r="H123" s="406">
        <v>0</v>
      </c>
      <c r="I123" s="406">
        <v>0</v>
      </c>
      <c r="J123" s="406">
        <v>0</v>
      </c>
      <c r="K123" s="406">
        <v>0</v>
      </c>
      <c r="L123" s="406">
        <v>0</v>
      </c>
      <c r="M123" s="406">
        <v>0</v>
      </c>
      <c r="N123" s="406">
        <v>0</v>
      </c>
      <c r="O123" s="406">
        <v>0</v>
      </c>
      <c r="P123" s="406">
        <v>0</v>
      </c>
      <c r="Q123" s="406">
        <v>0</v>
      </c>
      <c r="R123" s="406">
        <v>0</v>
      </c>
      <c r="S123" s="406">
        <v>0</v>
      </c>
      <c r="T123" s="406">
        <v>0</v>
      </c>
      <c r="U123" s="407" t="e">
        <v>#DIV/0!</v>
      </c>
      <c r="V123" s="406">
        <v>0</v>
      </c>
      <c r="W123" s="406">
        <v>0</v>
      </c>
      <c r="X123" s="406">
        <v>0</v>
      </c>
      <c r="Y123" s="406">
        <v>0</v>
      </c>
      <c r="Z123" s="406">
        <v>0</v>
      </c>
      <c r="AA123" s="406">
        <v>0</v>
      </c>
    </row>
    <row r="124" spans="1:27" x14ac:dyDescent="0.2">
      <c r="A124" s="398"/>
      <c r="B124" s="404" t="s">
        <v>515</v>
      </c>
      <c r="C124" s="405">
        <v>0</v>
      </c>
      <c r="D124" s="405">
        <v>0</v>
      </c>
      <c r="E124" s="405">
        <v>0</v>
      </c>
      <c r="F124" s="405">
        <v>0</v>
      </c>
      <c r="G124" s="405">
        <v>0</v>
      </c>
      <c r="H124" s="405">
        <v>0</v>
      </c>
      <c r="I124" s="405">
        <v>0</v>
      </c>
      <c r="J124" s="405">
        <v>0</v>
      </c>
      <c r="K124" s="405">
        <v>0</v>
      </c>
      <c r="L124" s="405">
        <v>0</v>
      </c>
      <c r="M124" s="405">
        <v>0</v>
      </c>
      <c r="N124" s="405">
        <v>0</v>
      </c>
      <c r="O124" s="405">
        <v>0</v>
      </c>
      <c r="P124" s="405">
        <v>0</v>
      </c>
      <c r="Q124" s="405">
        <v>0</v>
      </c>
      <c r="R124" s="405">
        <v>0</v>
      </c>
      <c r="S124" s="405">
        <v>0</v>
      </c>
      <c r="T124" s="406">
        <v>0</v>
      </c>
      <c r="U124" s="407" t="e">
        <v>#DIV/0!</v>
      </c>
      <c r="V124" s="406">
        <v>0</v>
      </c>
      <c r="W124" s="406">
        <v>0</v>
      </c>
      <c r="X124" s="406">
        <v>0</v>
      </c>
      <c r="Y124" s="406">
        <v>0</v>
      </c>
      <c r="Z124" s="406">
        <v>0</v>
      </c>
      <c r="AA124" s="406">
        <v>0</v>
      </c>
    </row>
    <row r="125" spans="1:27" x14ac:dyDescent="0.2">
      <c r="A125" s="398" t="s">
        <v>1216</v>
      </c>
      <c r="B125" s="412" t="s">
        <v>516</v>
      </c>
      <c r="C125" s="253">
        <v>0</v>
      </c>
      <c r="D125" s="253">
        <v>0</v>
      </c>
      <c r="E125" s="253">
        <v>0</v>
      </c>
      <c r="F125" s="253">
        <v>0</v>
      </c>
      <c r="G125" s="253">
        <v>0</v>
      </c>
      <c r="H125" s="285">
        <v>0</v>
      </c>
      <c r="I125" s="285">
        <v>0</v>
      </c>
      <c r="J125" s="285">
        <v>0</v>
      </c>
      <c r="K125" s="285">
        <v>0</v>
      </c>
      <c r="L125" s="285">
        <v>0</v>
      </c>
      <c r="M125" s="285">
        <v>0</v>
      </c>
      <c r="N125" s="285">
        <v>0</v>
      </c>
      <c r="O125" s="285">
        <v>0</v>
      </c>
      <c r="P125" s="285">
        <v>0</v>
      </c>
      <c r="Q125" s="285">
        <v>0</v>
      </c>
      <c r="R125" s="285">
        <v>0</v>
      </c>
      <c r="S125" s="285">
        <v>0</v>
      </c>
      <c r="T125" s="285">
        <v>0</v>
      </c>
      <c r="U125" s="410" t="e">
        <v>#DIV/0!</v>
      </c>
      <c r="V125" s="285">
        <v>0</v>
      </c>
      <c r="W125" s="285">
        <v>0</v>
      </c>
      <c r="X125" s="285">
        <v>0</v>
      </c>
      <c r="Y125" s="285">
        <v>0</v>
      </c>
      <c r="Z125" s="285">
        <v>0</v>
      </c>
      <c r="AA125" s="285">
        <v>0</v>
      </c>
    </row>
    <row r="126" spans="1:27" x14ac:dyDescent="0.2">
      <c r="A126" s="398" t="s">
        <v>1217</v>
      </c>
      <c r="B126" s="412" t="s">
        <v>517</v>
      </c>
      <c r="C126" s="253">
        <v>0</v>
      </c>
      <c r="D126" s="253">
        <v>0</v>
      </c>
      <c r="E126" s="253">
        <v>0</v>
      </c>
      <c r="F126" s="253">
        <v>0</v>
      </c>
      <c r="G126" s="253">
        <v>0</v>
      </c>
      <c r="H126" s="285">
        <v>0</v>
      </c>
      <c r="I126" s="285">
        <v>0</v>
      </c>
      <c r="J126" s="285">
        <v>0</v>
      </c>
      <c r="K126" s="285">
        <v>0</v>
      </c>
      <c r="L126" s="285">
        <v>0</v>
      </c>
      <c r="M126" s="285">
        <v>0</v>
      </c>
      <c r="N126" s="285">
        <v>0</v>
      </c>
      <c r="O126" s="285">
        <v>0</v>
      </c>
      <c r="P126" s="285">
        <v>0</v>
      </c>
      <c r="Q126" s="285">
        <v>0</v>
      </c>
      <c r="R126" s="285">
        <v>0</v>
      </c>
      <c r="S126" s="285">
        <v>0</v>
      </c>
      <c r="T126" s="285">
        <v>0</v>
      </c>
      <c r="U126" s="410" t="e">
        <v>#DIV/0!</v>
      </c>
      <c r="V126" s="285">
        <v>0</v>
      </c>
      <c r="W126" s="285">
        <v>0</v>
      </c>
      <c r="X126" s="285">
        <v>0</v>
      </c>
      <c r="Y126" s="285">
        <v>0</v>
      </c>
      <c r="Z126" s="285">
        <v>0</v>
      </c>
      <c r="AA126" s="285">
        <v>0</v>
      </c>
    </row>
    <row r="127" spans="1:27" x14ac:dyDescent="0.2">
      <c r="A127" s="398"/>
      <c r="B127" s="404" t="s">
        <v>518</v>
      </c>
      <c r="C127" s="405">
        <v>63978</v>
      </c>
      <c r="D127" s="405">
        <v>63978</v>
      </c>
      <c r="E127" s="405">
        <v>56627.4</v>
      </c>
      <c r="F127" s="405">
        <v>0</v>
      </c>
      <c r="G127" s="405">
        <v>0</v>
      </c>
      <c r="H127" s="405">
        <v>0</v>
      </c>
      <c r="I127" s="405">
        <v>0</v>
      </c>
      <c r="J127" s="405">
        <v>0</v>
      </c>
      <c r="K127" s="405">
        <v>0</v>
      </c>
      <c r="L127" s="405">
        <v>0</v>
      </c>
      <c r="M127" s="405">
        <v>0</v>
      </c>
      <c r="N127" s="405">
        <v>0</v>
      </c>
      <c r="O127" s="405">
        <v>0</v>
      </c>
      <c r="P127" s="405">
        <v>0</v>
      </c>
      <c r="Q127" s="405">
        <v>0</v>
      </c>
      <c r="R127" s="405">
        <v>0</v>
      </c>
      <c r="S127" s="405">
        <v>0</v>
      </c>
      <c r="T127" s="406">
        <v>0</v>
      </c>
      <c r="U127" s="407">
        <v>0</v>
      </c>
      <c r="V127" s="406">
        <v>63978</v>
      </c>
      <c r="W127" s="406">
        <v>7350.5999999999985</v>
      </c>
      <c r="X127" s="406">
        <v>63978</v>
      </c>
      <c r="Y127" s="406">
        <v>56627.4</v>
      </c>
      <c r="Z127" s="406">
        <v>0</v>
      </c>
      <c r="AA127" s="406">
        <v>0</v>
      </c>
    </row>
    <row r="128" spans="1:27" x14ac:dyDescent="0.2">
      <c r="A128" s="398" t="s">
        <v>1218</v>
      </c>
      <c r="B128" s="412" t="s">
        <v>519</v>
      </c>
      <c r="C128" s="253">
        <v>0</v>
      </c>
      <c r="D128" s="253">
        <v>0</v>
      </c>
      <c r="E128" s="253">
        <v>0</v>
      </c>
      <c r="F128" s="253">
        <v>0</v>
      </c>
      <c r="G128" s="253">
        <v>0</v>
      </c>
      <c r="H128" s="285">
        <v>0</v>
      </c>
      <c r="I128" s="285">
        <v>0</v>
      </c>
      <c r="J128" s="285">
        <v>0</v>
      </c>
      <c r="K128" s="285">
        <v>0</v>
      </c>
      <c r="L128" s="285">
        <v>0</v>
      </c>
      <c r="M128" s="285">
        <v>0</v>
      </c>
      <c r="N128" s="285">
        <v>0</v>
      </c>
      <c r="O128" s="285">
        <v>0</v>
      </c>
      <c r="P128" s="285">
        <v>0</v>
      </c>
      <c r="Q128" s="285">
        <v>0</v>
      </c>
      <c r="R128" s="285">
        <v>0</v>
      </c>
      <c r="S128" s="285">
        <v>0</v>
      </c>
      <c r="T128" s="285">
        <v>0</v>
      </c>
      <c r="U128" s="410" t="e">
        <v>#DIV/0!</v>
      </c>
      <c r="V128" s="285">
        <v>0</v>
      </c>
      <c r="W128" s="285">
        <v>0</v>
      </c>
      <c r="X128" s="285">
        <v>0</v>
      </c>
      <c r="Y128" s="285">
        <v>0</v>
      </c>
      <c r="Z128" s="285">
        <v>0</v>
      </c>
      <c r="AA128" s="285">
        <v>0</v>
      </c>
    </row>
    <row r="129" spans="1:27" x14ac:dyDescent="0.2">
      <c r="A129" s="398" t="s">
        <v>1219</v>
      </c>
      <c r="B129" s="412" t="s">
        <v>520</v>
      </c>
      <c r="C129" s="253">
        <v>63978</v>
      </c>
      <c r="D129" s="253">
        <v>63978</v>
      </c>
      <c r="E129" s="253">
        <v>56627.4</v>
      </c>
      <c r="F129" s="253">
        <v>0</v>
      </c>
      <c r="G129" s="253">
        <v>0</v>
      </c>
      <c r="H129" s="285">
        <v>0</v>
      </c>
      <c r="I129" s="285">
        <v>0</v>
      </c>
      <c r="J129" s="285">
        <v>0</v>
      </c>
      <c r="K129" s="285">
        <v>0</v>
      </c>
      <c r="L129" s="285">
        <v>0</v>
      </c>
      <c r="M129" s="285">
        <v>0</v>
      </c>
      <c r="N129" s="285">
        <v>0</v>
      </c>
      <c r="O129" s="285">
        <v>0</v>
      </c>
      <c r="P129" s="285">
        <v>0</v>
      </c>
      <c r="Q129" s="285">
        <v>0</v>
      </c>
      <c r="R129" s="285">
        <v>0</v>
      </c>
      <c r="S129" s="285">
        <v>0</v>
      </c>
      <c r="T129" s="285">
        <v>0</v>
      </c>
      <c r="U129" s="410">
        <v>0</v>
      </c>
      <c r="V129" s="285">
        <v>63978</v>
      </c>
      <c r="W129" s="285">
        <v>7350.5999999999985</v>
      </c>
      <c r="X129" s="285">
        <v>63978</v>
      </c>
      <c r="Y129" s="285">
        <v>56627.4</v>
      </c>
      <c r="Z129" s="285">
        <v>0</v>
      </c>
      <c r="AA129" s="285">
        <v>0</v>
      </c>
    </row>
    <row r="130" spans="1:27" x14ac:dyDescent="0.2">
      <c r="A130" s="398"/>
      <c r="B130" s="404" t="s">
        <v>521</v>
      </c>
      <c r="C130" s="405">
        <v>42652</v>
      </c>
      <c r="D130" s="405">
        <v>42652</v>
      </c>
      <c r="E130" s="405">
        <v>35652</v>
      </c>
      <c r="F130" s="405">
        <v>0</v>
      </c>
      <c r="G130" s="405">
        <v>0</v>
      </c>
      <c r="H130" s="405">
        <v>0</v>
      </c>
      <c r="I130" s="405">
        <v>0</v>
      </c>
      <c r="J130" s="405">
        <v>0</v>
      </c>
      <c r="K130" s="405">
        <v>0</v>
      </c>
      <c r="L130" s="405">
        <v>0</v>
      </c>
      <c r="M130" s="405">
        <v>0</v>
      </c>
      <c r="N130" s="405">
        <v>0</v>
      </c>
      <c r="O130" s="405">
        <v>0</v>
      </c>
      <c r="P130" s="405">
        <v>0</v>
      </c>
      <c r="Q130" s="405">
        <v>0</v>
      </c>
      <c r="R130" s="405">
        <v>0</v>
      </c>
      <c r="S130" s="405">
        <v>0</v>
      </c>
      <c r="T130" s="406">
        <v>0</v>
      </c>
      <c r="U130" s="407">
        <v>0</v>
      </c>
      <c r="V130" s="406">
        <v>42652</v>
      </c>
      <c r="W130" s="406">
        <v>7000</v>
      </c>
      <c r="X130" s="406">
        <v>42652</v>
      </c>
      <c r="Y130" s="406">
        <v>35652</v>
      </c>
      <c r="Z130" s="406">
        <v>0</v>
      </c>
      <c r="AA130" s="406">
        <v>0</v>
      </c>
    </row>
    <row r="131" spans="1:27" x14ac:dyDescent="0.2">
      <c r="A131" s="398" t="s">
        <v>1220</v>
      </c>
      <c r="B131" s="409" t="s">
        <v>522</v>
      </c>
      <c r="C131" s="253">
        <v>0</v>
      </c>
      <c r="D131" s="253">
        <v>0</v>
      </c>
      <c r="E131" s="253">
        <v>0</v>
      </c>
      <c r="F131" s="253">
        <v>0</v>
      </c>
      <c r="G131" s="253">
        <v>0</v>
      </c>
      <c r="H131" s="285">
        <v>0</v>
      </c>
      <c r="I131" s="285">
        <v>0</v>
      </c>
      <c r="J131" s="285">
        <v>0</v>
      </c>
      <c r="K131" s="285">
        <v>0</v>
      </c>
      <c r="L131" s="285">
        <v>0</v>
      </c>
      <c r="M131" s="285">
        <v>0</v>
      </c>
      <c r="N131" s="285">
        <v>0</v>
      </c>
      <c r="O131" s="285">
        <v>0</v>
      </c>
      <c r="P131" s="285">
        <v>0</v>
      </c>
      <c r="Q131" s="285">
        <v>0</v>
      </c>
      <c r="R131" s="285">
        <v>0</v>
      </c>
      <c r="S131" s="285">
        <v>0</v>
      </c>
      <c r="T131" s="285">
        <v>0</v>
      </c>
      <c r="U131" s="410" t="e">
        <v>#DIV/0!</v>
      </c>
      <c r="V131" s="285">
        <v>0</v>
      </c>
      <c r="W131" s="285">
        <v>0</v>
      </c>
      <c r="X131" s="285">
        <v>0</v>
      </c>
      <c r="Y131" s="285">
        <v>0</v>
      </c>
      <c r="Z131" s="285">
        <v>0</v>
      </c>
      <c r="AA131" s="285">
        <v>0</v>
      </c>
    </row>
    <row r="132" spans="1:27" x14ac:dyDescent="0.2">
      <c r="A132" s="398" t="s">
        <v>1221</v>
      </c>
      <c r="B132" s="409" t="s">
        <v>523</v>
      </c>
      <c r="C132" s="253">
        <v>42652</v>
      </c>
      <c r="D132" s="253">
        <v>42652</v>
      </c>
      <c r="E132" s="253">
        <v>35652</v>
      </c>
      <c r="F132" s="253">
        <v>0</v>
      </c>
      <c r="G132" s="253">
        <v>0</v>
      </c>
      <c r="H132" s="285">
        <v>0</v>
      </c>
      <c r="I132" s="285">
        <v>0</v>
      </c>
      <c r="J132" s="285">
        <v>0</v>
      </c>
      <c r="K132" s="285">
        <v>0</v>
      </c>
      <c r="L132" s="285">
        <v>0</v>
      </c>
      <c r="M132" s="285">
        <v>0</v>
      </c>
      <c r="N132" s="285">
        <v>0</v>
      </c>
      <c r="O132" s="285">
        <v>0</v>
      </c>
      <c r="P132" s="285">
        <v>0</v>
      </c>
      <c r="Q132" s="285">
        <v>0</v>
      </c>
      <c r="R132" s="285">
        <v>0</v>
      </c>
      <c r="S132" s="285">
        <v>0</v>
      </c>
      <c r="T132" s="285">
        <v>0</v>
      </c>
      <c r="U132" s="410">
        <v>0</v>
      </c>
      <c r="V132" s="285">
        <v>42652</v>
      </c>
      <c r="W132" s="285">
        <v>7000</v>
      </c>
      <c r="X132" s="285">
        <v>42652</v>
      </c>
      <c r="Y132" s="285">
        <v>35652</v>
      </c>
      <c r="Z132" s="285">
        <v>0</v>
      </c>
      <c r="AA132" s="285">
        <v>0</v>
      </c>
    </row>
    <row r="133" spans="1:27" ht="24" x14ac:dyDescent="0.2">
      <c r="A133" s="398" t="s">
        <v>1222</v>
      </c>
      <c r="B133" s="409" t="s">
        <v>524</v>
      </c>
      <c r="C133" s="253">
        <v>0</v>
      </c>
      <c r="D133" s="253">
        <v>0</v>
      </c>
      <c r="E133" s="253">
        <v>0</v>
      </c>
      <c r="F133" s="253">
        <v>0</v>
      </c>
      <c r="G133" s="253">
        <v>0</v>
      </c>
      <c r="H133" s="285">
        <v>0</v>
      </c>
      <c r="I133" s="285">
        <v>0</v>
      </c>
      <c r="J133" s="285">
        <v>0</v>
      </c>
      <c r="K133" s="285">
        <v>0</v>
      </c>
      <c r="L133" s="285">
        <v>0</v>
      </c>
      <c r="M133" s="285">
        <v>0</v>
      </c>
      <c r="N133" s="285">
        <v>0</v>
      </c>
      <c r="O133" s="285">
        <v>0</v>
      </c>
      <c r="P133" s="285">
        <v>0</v>
      </c>
      <c r="Q133" s="285">
        <v>0</v>
      </c>
      <c r="R133" s="285">
        <v>0</v>
      </c>
      <c r="S133" s="285">
        <v>0</v>
      </c>
      <c r="T133" s="285">
        <v>0</v>
      </c>
      <c r="U133" s="410" t="e">
        <v>#DIV/0!</v>
      </c>
      <c r="V133" s="285">
        <v>0</v>
      </c>
      <c r="W133" s="285">
        <v>0</v>
      </c>
      <c r="X133" s="285">
        <v>0</v>
      </c>
      <c r="Y133" s="285">
        <v>0</v>
      </c>
      <c r="Z133" s="285">
        <v>0</v>
      </c>
      <c r="AA133" s="285">
        <v>0</v>
      </c>
    </row>
    <row r="134" spans="1:27" x14ac:dyDescent="0.2">
      <c r="A134" s="398"/>
      <c r="B134" s="404" t="s">
        <v>525</v>
      </c>
      <c r="C134" s="405">
        <v>0</v>
      </c>
      <c r="D134" s="405">
        <v>0</v>
      </c>
      <c r="E134" s="405">
        <v>0</v>
      </c>
      <c r="F134" s="405">
        <v>0</v>
      </c>
      <c r="G134" s="405">
        <v>0</v>
      </c>
      <c r="H134" s="405">
        <v>0</v>
      </c>
      <c r="I134" s="405">
        <v>0</v>
      </c>
      <c r="J134" s="405">
        <v>0</v>
      </c>
      <c r="K134" s="405">
        <v>0</v>
      </c>
      <c r="L134" s="405">
        <v>0</v>
      </c>
      <c r="M134" s="405">
        <v>0</v>
      </c>
      <c r="N134" s="405">
        <v>0</v>
      </c>
      <c r="O134" s="405">
        <v>0</v>
      </c>
      <c r="P134" s="405">
        <v>0</v>
      </c>
      <c r="Q134" s="405">
        <v>0</v>
      </c>
      <c r="R134" s="405">
        <v>0</v>
      </c>
      <c r="S134" s="405">
        <v>0</v>
      </c>
      <c r="T134" s="406">
        <v>0</v>
      </c>
      <c r="U134" s="407" t="e">
        <v>#DIV/0!</v>
      </c>
      <c r="V134" s="406">
        <v>0</v>
      </c>
      <c r="W134" s="406">
        <v>0</v>
      </c>
      <c r="X134" s="406">
        <v>0</v>
      </c>
      <c r="Y134" s="406">
        <v>0</v>
      </c>
      <c r="Z134" s="406">
        <v>0</v>
      </c>
      <c r="AA134" s="406">
        <v>0</v>
      </c>
    </row>
    <row r="135" spans="1:27" x14ac:dyDescent="0.2">
      <c r="A135" s="398" t="s">
        <v>1223</v>
      </c>
      <c r="B135" s="412" t="s">
        <v>526</v>
      </c>
      <c r="C135" s="253">
        <v>0</v>
      </c>
      <c r="D135" s="253">
        <v>0</v>
      </c>
      <c r="E135" s="253">
        <v>0</v>
      </c>
      <c r="F135" s="253">
        <v>0</v>
      </c>
      <c r="G135" s="253">
        <v>0</v>
      </c>
      <c r="H135" s="285">
        <v>0</v>
      </c>
      <c r="I135" s="285">
        <v>0</v>
      </c>
      <c r="J135" s="285">
        <v>0</v>
      </c>
      <c r="K135" s="285">
        <v>0</v>
      </c>
      <c r="L135" s="285">
        <v>0</v>
      </c>
      <c r="M135" s="285">
        <v>0</v>
      </c>
      <c r="N135" s="285">
        <v>0</v>
      </c>
      <c r="O135" s="285">
        <v>0</v>
      </c>
      <c r="P135" s="285">
        <v>0</v>
      </c>
      <c r="Q135" s="285">
        <v>0</v>
      </c>
      <c r="R135" s="285">
        <v>0</v>
      </c>
      <c r="S135" s="285">
        <v>0</v>
      </c>
      <c r="T135" s="285">
        <v>0</v>
      </c>
      <c r="U135" s="410" t="e">
        <v>#DIV/0!</v>
      </c>
      <c r="V135" s="285">
        <v>0</v>
      </c>
      <c r="W135" s="285">
        <v>0</v>
      </c>
      <c r="X135" s="285">
        <v>0</v>
      </c>
      <c r="Y135" s="285">
        <v>0</v>
      </c>
      <c r="Z135" s="285">
        <v>0</v>
      </c>
      <c r="AA135" s="285">
        <v>0</v>
      </c>
    </row>
    <row r="136" spans="1:27" x14ac:dyDescent="0.2">
      <c r="A136" s="398" t="s">
        <v>1224</v>
      </c>
      <c r="B136" s="412" t="s">
        <v>527</v>
      </c>
      <c r="C136" s="253">
        <v>0</v>
      </c>
      <c r="D136" s="253">
        <v>0</v>
      </c>
      <c r="E136" s="253">
        <v>0</v>
      </c>
      <c r="F136" s="253">
        <v>0</v>
      </c>
      <c r="G136" s="253">
        <v>0</v>
      </c>
      <c r="H136" s="285">
        <v>0</v>
      </c>
      <c r="I136" s="285">
        <v>0</v>
      </c>
      <c r="J136" s="285">
        <v>0</v>
      </c>
      <c r="K136" s="285">
        <v>0</v>
      </c>
      <c r="L136" s="285">
        <v>0</v>
      </c>
      <c r="M136" s="285">
        <v>0</v>
      </c>
      <c r="N136" s="285">
        <v>0</v>
      </c>
      <c r="O136" s="285">
        <v>0</v>
      </c>
      <c r="P136" s="285">
        <v>0</v>
      </c>
      <c r="Q136" s="285">
        <v>0</v>
      </c>
      <c r="R136" s="285">
        <v>0</v>
      </c>
      <c r="S136" s="285">
        <v>0</v>
      </c>
      <c r="T136" s="285">
        <v>0</v>
      </c>
      <c r="U136" s="410" t="e">
        <v>#DIV/0!</v>
      </c>
      <c r="V136" s="285">
        <v>0</v>
      </c>
      <c r="W136" s="285">
        <v>0</v>
      </c>
      <c r="X136" s="285">
        <v>0</v>
      </c>
      <c r="Y136" s="285">
        <v>0</v>
      </c>
      <c r="Z136" s="285">
        <v>0</v>
      </c>
      <c r="AA136" s="285">
        <v>0</v>
      </c>
    </row>
    <row r="137" spans="1:27" x14ac:dyDescent="0.2">
      <c r="A137" s="398" t="s">
        <v>1225</v>
      </c>
      <c r="B137" s="412" t="s">
        <v>528</v>
      </c>
      <c r="C137" s="253">
        <v>0</v>
      </c>
      <c r="D137" s="253">
        <v>0</v>
      </c>
      <c r="E137" s="253">
        <v>0</v>
      </c>
      <c r="F137" s="253">
        <v>0</v>
      </c>
      <c r="G137" s="253">
        <v>0</v>
      </c>
      <c r="H137" s="285">
        <v>0</v>
      </c>
      <c r="I137" s="285">
        <v>0</v>
      </c>
      <c r="J137" s="285">
        <v>0</v>
      </c>
      <c r="K137" s="285">
        <v>0</v>
      </c>
      <c r="L137" s="285">
        <v>0</v>
      </c>
      <c r="M137" s="285">
        <v>0</v>
      </c>
      <c r="N137" s="285">
        <v>0</v>
      </c>
      <c r="O137" s="285">
        <v>0</v>
      </c>
      <c r="P137" s="285">
        <v>0</v>
      </c>
      <c r="Q137" s="285">
        <v>0</v>
      </c>
      <c r="R137" s="285">
        <v>0</v>
      </c>
      <c r="S137" s="285">
        <v>0</v>
      </c>
      <c r="T137" s="285">
        <v>0</v>
      </c>
      <c r="U137" s="410" t="e">
        <v>#DIV/0!</v>
      </c>
      <c r="V137" s="285">
        <v>0</v>
      </c>
      <c r="W137" s="285">
        <v>0</v>
      </c>
      <c r="X137" s="285">
        <v>0</v>
      </c>
      <c r="Y137" s="285">
        <v>0</v>
      </c>
      <c r="Z137" s="285">
        <v>0</v>
      </c>
      <c r="AA137" s="285">
        <v>0</v>
      </c>
    </row>
    <row r="138" spans="1:27" x14ac:dyDescent="0.2">
      <c r="A138" s="398" t="s">
        <v>1226</v>
      </c>
      <c r="B138" s="412" t="s">
        <v>529</v>
      </c>
      <c r="C138" s="253">
        <v>0</v>
      </c>
      <c r="D138" s="253">
        <v>0</v>
      </c>
      <c r="E138" s="253">
        <v>0</v>
      </c>
      <c r="F138" s="253">
        <v>0</v>
      </c>
      <c r="G138" s="253">
        <v>0</v>
      </c>
      <c r="H138" s="285">
        <v>0</v>
      </c>
      <c r="I138" s="285">
        <v>0</v>
      </c>
      <c r="J138" s="285">
        <v>0</v>
      </c>
      <c r="K138" s="285">
        <v>0</v>
      </c>
      <c r="L138" s="285">
        <v>0</v>
      </c>
      <c r="M138" s="285">
        <v>0</v>
      </c>
      <c r="N138" s="285">
        <v>0</v>
      </c>
      <c r="O138" s="285">
        <v>0</v>
      </c>
      <c r="P138" s="285">
        <v>0</v>
      </c>
      <c r="Q138" s="285">
        <v>0</v>
      </c>
      <c r="R138" s="285">
        <v>0</v>
      </c>
      <c r="S138" s="285">
        <v>0</v>
      </c>
      <c r="T138" s="285">
        <v>0</v>
      </c>
      <c r="U138" s="410" t="e">
        <v>#DIV/0!</v>
      </c>
      <c r="V138" s="285">
        <v>0</v>
      </c>
      <c r="W138" s="285">
        <v>0</v>
      </c>
      <c r="X138" s="285">
        <v>0</v>
      </c>
      <c r="Y138" s="285">
        <v>0</v>
      </c>
      <c r="Z138" s="285">
        <v>0</v>
      </c>
      <c r="AA138" s="285">
        <v>0</v>
      </c>
    </row>
    <row r="139" spans="1:27" x14ac:dyDescent="0.2">
      <c r="A139" s="398" t="s">
        <v>1227</v>
      </c>
      <c r="B139" s="412" t="s">
        <v>530</v>
      </c>
      <c r="C139" s="253">
        <v>0</v>
      </c>
      <c r="D139" s="253">
        <v>0</v>
      </c>
      <c r="E139" s="253">
        <v>0</v>
      </c>
      <c r="F139" s="253">
        <v>0</v>
      </c>
      <c r="G139" s="253">
        <v>0</v>
      </c>
      <c r="H139" s="285">
        <v>0</v>
      </c>
      <c r="I139" s="285">
        <v>0</v>
      </c>
      <c r="J139" s="285">
        <v>0</v>
      </c>
      <c r="K139" s="285">
        <v>0</v>
      </c>
      <c r="L139" s="285">
        <v>0</v>
      </c>
      <c r="M139" s="285">
        <v>0</v>
      </c>
      <c r="N139" s="285">
        <v>0</v>
      </c>
      <c r="O139" s="285">
        <v>0</v>
      </c>
      <c r="P139" s="285">
        <v>0</v>
      </c>
      <c r="Q139" s="285">
        <v>0</v>
      </c>
      <c r="R139" s="285">
        <v>0</v>
      </c>
      <c r="S139" s="285">
        <v>0</v>
      </c>
      <c r="T139" s="285">
        <v>0</v>
      </c>
      <c r="U139" s="410" t="e">
        <v>#DIV/0!</v>
      </c>
      <c r="V139" s="285">
        <v>0</v>
      </c>
      <c r="W139" s="285">
        <v>0</v>
      </c>
      <c r="X139" s="285">
        <v>0</v>
      </c>
      <c r="Y139" s="285">
        <v>0</v>
      </c>
      <c r="Z139" s="285">
        <v>0</v>
      </c>
      <c r="AA139" s="285">
        <v>0</v>
      </c>
    </row>
    <row r="140" spans="1:27" x14ac:dyDescent="0.2">
      <c r="A140" s="398" t="s">
        <v>1228</v>
      </c>
      <c r="B140" s="412" t="s">
        <v>531</v>
      </c>
      <c r="C140" s="253">
        <v>0</v>
      </c>
      <c r="D140" s="253">
        <v>0</v>
      </c>
      <c r="E140" s="253">
        <v>0</v>
      </c>
      <c r="F140" s="253">
        <v>0</v>
      </c>
      <c r="G140" s="253">
        <v>0</v>
      </c>
      <c r="H140" s="285">
        <v>0</v>
      </c>
      <c r="I140" s="285">
        <v>0</v>
      </c>
      <c r="J140" s="285">
        <v>0</v>
      </c>
      <c r="K140" s="285">
        <v>0</v>
      </c>
      <c r="L140" s="285">
        <v>0</v>
      </c>
      <c r="M140" s="285">
        <v>0</v>
      </c>
      <c r="N140" s="285">
        <v>0</v>
      </c>
      <c r="O140" s="285">
        <v>0</v>
      </c>
      <c r="P140" s="285">
        <v>0</v>
      </c>
      <c r="Q140" s="285">
        <v>0</v>
      </c>
      <c r="R140" s="285">
        <v>0</v>
      </c>
      <c r="S140" s="285">
        <v>0</v>
      </c>
      <c r="T140" s="285">
        <v>0</v>
      </c>
      <c r="U140" s="410" t="e">
        <v>#DIV/0!</v>
      </c>
      <c r="V140" s="285">
        <v>0</v>
      </c>
      <c r="W140" s="285">
        <v>0</v>
      </c>
      <c r="X140" s="285">
        <v>0</v>
      </c>
      <c r="Y140" s="285">
        <v>0</v>
      </c>
      <c r="Z140" s="285">
        <v>0</v>
      </c>
      <c r="AA140" s="285">
        <v>0</v>
      </c>
    </row>
    <row r="141" spans="1:27" x14ac:dyDescent="0.2">
      <c r="A141" s="398" t="s">
        <v>1229</v>
      </c>
      <c r="B141" s="412" t="s">
        <v>532</v>
      </c>
      <c r="C141" s="253">
        <v>0</v>
      </c>
      <c r="D141" s="253">
        <v>0</v>
      </c>
      <c r="E141" s="253">
        <v>0</v>
      </c>
      <c r="F141" s="253">
        <v>0</v>
      </c>
      <c r="G141" s="253">
        <v>0</v>
      </c>
      <c r="H141" s="285">
        <v>0</v>
      </c>
      <c r="I141" s="285">
        <v>0</v>
      </c>
      <c r="J141" s="285">
        <v>0</v>
      </c>
      <c r="K141" s="285">
        <v>0</v>
      </c>
      <c r="L141" s="285">
        <v>0</v>
      </c>
      <c r="M141" s="285">
        <v>0</v>
      </c>
      <c r="N141" s="285">
        <v>0</v>
      </c>
      <c r="O141" s="285">
        <v>0</v>
      </c>
      <c r="P141" s="285">
        <v>0</v>
      </c>
      <c r="Q141" s="285">
        <v>0</v>
      </c>
      <c r="R141" s="285">
        <v>0</v>
      </c>
      <c r="S141" s="285">
        <v>0</v>
      </c>
      <c r="T141" s="285">
        <v>0</v>
      </c>
      <c r="U141" s="410" t="e">
        <v>#DIV/0!</v>
      </c>
      <c r="V141" s="285">
        <v>0</v>
      </c>
      <c r="W141" s="285">
        <v>0</v>
      </c>
      <c r="X141" s="285">
        <v>0</v>
      </c>
      <c r="Y141" s="285">
        <v>0</v>
      </c>
      <c r="Z141" s="285">
        <v>0</v>
      </c>
      <c r="AA141" s="285">
        <v>0</v>
      </c>
    </row>
    <row r="142" spans="1:27" s="408" customFormat="1" x14ac:dyDescent="0.2">
      <c r="A142" s="398" t="s">
        <v>1230</v>
      </c>
      <c r="B142" s="404" t="s">
        <v>533</v>
      </c>
      <c r="C142" s="411">
        <v>0</v>
      </c>
      <c r="D142" s="411">
        <v>0</v>
      </c>
      <c r="E142" s="411">
        <v>0</v>
      </c>
      <c r="F142" s="411">
        <v>0</v>
      </c>
      <c r="G142" s="411">
        <v>0</v>
      </c>
      <c r="H142" s="406">
        <v>0</v>
      </c>
      <c r="I142" s="406">
        <v>0</v>
      </c>
      <c r="J142" s="406">
        <v>0</v>
      </c>
      <c r="K142" s="406">
        <v>0</v>
      </c>
      <c r="L142" s="406">
        <v>0</v>
      </c>
      <c r="M142" s="406">
        <v>0</v>
      </c>
      <c r="N142" s="406">
        <v>0</v>
      </c>
      <c r="O142" s="406">
        <v>0</v>
      </c>
      <c r="P142" s="406">
        <v>0</v>
      </c>
      <c r="Q142" s="406">
        <v>0</v>
      </c>
      <c r="R142" s="406">
        <v>0</v>
      </c>
      <c r="S142" s="406">
        <v>0</v>
      </c>
      <c r="T142" s="406">
        <v>0</v>
      </c>
      <c r="U142" s="407" t="e">
        <v>#DIV/0!</v>
      </c>
      <c r="V142" s="406">
        <v>0</v>
      </c>
      <c r="W142" s="406">
        <v>0</v>
      </c>
      <c r="X142" s="406">
        <v>0</v>
      </c>
      <c r="Y142" s="406">
        <v>0</v>
      </c>
      <c r="Z142" s="406">
        <v>0</v>
      </c>
      <c r="AA142" s="406">
        <v>0</v>
      </c>
    </row>
    <row r="143" spans="1:27" s="408" customFormat="1" x14ac:dyDescent="0.2">
      <c r="A143" s="398" t="s">
        <v>1231</v>
      </c>
      <c r="B143" s="404" t="s">
        <v>534</v>
      </c>
      <c r="C143" s="411">
        <v>0</v>
      </c>
      <c r="D143" s="411">
        <v>0</v>
      </c>
      <c r="E143" s="411">
        <v>0</v>
      </c>
      <c r="F143" s="411">
        <v>0</v>
      </c>
      <c r="G143" s="411">
        <v>0</v>
      </c>
      <c r="H143" s="406">
        <v>0</v>
      </c>
      <c r="I143" s="406">
        <v>0</v>
      </c>
      <c r="J143" s="406">
        <v>0</v>
      </c>
      <c r="K143" s="406">
        <v>0</v>
      </c>
      <c r="L143" s="406">
        <v>0</v>
      </c>
      <c r="M143" s="406">
        <v>0</v>
      </c>
      <c r="N143" s="406">
        <v>0</v>
      </c>
      <c r="O143" s="406">
        <v>0</v>
      </c>
      <c r="P143" s="406">
        <v>0</v>
      </c>
      <c r="Q143" s="406">
        <v>0</v>
      </c>
      <c r="R143" s="406">
        <v>0</v>
      </c>
      <c r="S143" s="406">
        <v>0</v>
      </c>
      <c r="T143" s="406">
        <v>0</v>
      </c>
      <c r="U143" s="407" t="e">
        <v>#DIV/0!</v>
      </c>
      <c r="V143" s="406">
        <v>0</v>
      </c>
      <c r="W143" s="406">
        <v>0</v>
      </c>
      <c r="X143" s="406">
        <v>0</v>
      </c>
      <c r="Y143" s="406">
        <v>0</v>
      </c>
      <c r="Z143" s="406">
        <v>0</v>
      </c>
      <c r="AA143" s="406">
        <v>0</v>
      </c>
    </row>
    <row r="144" spans="1:27" x14ac:dyDescent="0.2">
      <c r="A144" s="398"/>
      <c r="B144" s="404" t="s">
        <v>535</v>
      </c>
      <c r="C144" s="405">
        <v>0</v>
      </c>
      <c r="D144" s="405">
        <v>0</v>
      </c>
      <c r="E144" s="405">
        <v>0</v>
      </c>
      <c r="F144" s="405">
        <v>0</v>
      </c>
      <c r="G144" s="405">
        <v>0</v>
      </c>
      <c r="H144" s="405">
        <v>0</v>
      </c>
      <c r="I144" s="405">
        <v>0</v>
      </c>
      <c r="J144" s="405">
        <v>0</v>
      </c>
      <c r="K144" s="405">
        <v>0</v>
      </c>
      <c r="L144" s="405">
        <v>0</v>
      </c>
      <c r="M144" s="405">
        <v>0</v>
      </c>
      <c r="N144" s="405">
        <v>0</v>
      </c>
      <c r="O144" s="405">
        <v>0</v>
      </c>
      <c r="P144" s="405">
        <v>0</v>
      </c>
      <c r="Q144" s="405">
        <v>0</v>
      </c>
      <c r="R144" s="405">
        <v>0</v>
      </c>
      <c r="S144" s="405">
        <v>0</v>
      </c>
      <c r="T144" s="406">
        <v>0</v>
      </c>
      <c r="U144" s="407" t="e">
        <v>#DIV/0!</v>
      </c>
      <c r="V144" s="406">
        <v>0</v>
      </c>
      <c r="W144" s="406">
        <v>0</v>
      </c>
      <c r="X144" s="406">
        <v>0</v>
      </c>
      <c r="Y144" s="406">
        <v>0</v>
      </c>
      <c r="Z144" s="406">
        <v>0</v>
      </c>
      <c r="AA144" s="406">
        <v>0</v>
      </c>
    </row>
    <row r="145" spans="1:27" x14ac:dyDescent="0.2">
      <c r="A145" s="398" t="s">
        <v>1232</v>
      </c>
      <c r="B145" s="412" t="s">
        <v>536</v>
      </c>
      <c r="C145" s="253">
        <v>0</v>
      </c>
      <c r="D145" s="253">
        <v>0</v>
      </c>
      <c r="E145" s="253">
        <v>0</v>
      </c>
      <c r="F145" s="253">
        <v>0</v>
      </c>
      <c r="G145" s="253">
        <v>0</v>
      </c>
      <c r="H145" s="285">
        <v>0</v>
      </c>
      <c r="I145" s="285">
        <v>0</v>
      </c>
      <c r="J145" s="285">
        <v>0</v>
      </c>
      <c r="K145" s="285">
        <v>0</v>
      </c>
      <c r="L145" s="285">
        <v>0</v>
      </c>
      <c r="M145" s="285">
        <v>0</v>
      </c>
      <c r="N145" s="285">
        <v>0</v>
      </c>
      <c r="O145" s="285">
        <v>0</v>
      </c>
      <c r="P145" s="285">
        <v>0</v>
      </c>
      <c r="Q145" s="285">
        <v>0</v>
      </c>
      <c r="R145" s="285">
        <v>0</v>
      </c>
      <c r="S145" s="285">
        <v>0</v>
      </c>
      <c r="T145" s="285">
        <v>0</v>
      </c>
      <c r="U145" s="410" t="e">
        <v>#DIV/0!</v>
      </c>
      <c r="V145" s="285">
        <v>0</v>
      </c>
      <c r="W145" s="285">
        <v>0</v>
      </c>
      <c r="X145" s="285">
        <v>0</v>
      </c>
      <c r="Y145" s="285">
        <v>0</v>
      </c>
      <c r="Z145" s="285">
        <v>0</v>
      </c>
      <c r="AA145" s="285">
        <v>0</v>
      </c>
    </row>
    <row r="146" spans="1:27" x14ac:dyDescent="0.2">
      <c r="A146" s="398" t="s">
        <v>1233</v>
      </c>
      <c r="B146" s="412" t="s">
        <v>537</v>
      </c>
      <c r="C146" s="253">
        <v>0</v>
      </c>
      <c r="D146" s="253">
        <v>0</v>
      </c>
      <c r="E146" s="253">
        <v>0</v>
      </c>
      <c r="F146" s="253">
        <v>0</v>
      </c>
      <c r="G146" s="253">
        <v>0</v>
      </c>
      <c r="H146" s="285">
        <v>0</v>
      </c>
      <c r="I146" s="285">
        <v>0</v>
      </c>
      <c r="J146" s="285">
        <v>0</v>
      </c>
      <c r="K146" s="285">
        <v>0</v>
      </c>
      <c r="L146" s="285">
        <v>0</v>
      </c>
      <c r="M146" s="285">
        <v>0</v>
      </c>
      <c r="N146" s="285">
        <v>0</v>
      </c>
      <c r="O146" s="285">
        <v>0</v>
      </c>
      <c r="P146" s="285">
        <v>0</v>
      </c>
      <c r="Q146" s="285">
        <v>0</v>
      </c>
      <c r="R146" s="285">
        <v>0</v>
      </c>
      <c r="S146" s="285">
        <v>0</v>
      </c>
      <c r="T146" s="285">
        <v>0</v>
      </c>
      <c r="U146" s="410" t="e">
        <v>#DIV/0!</v>
      </c>
      <c r="V146" s="285">
        <v>0</v>
      </c>
      <c r="W146" s="285">
        <v>0</v>
      </c>
      <c r="X146" s="285">
        <v>0</v>
      </c>
      <c r="Y146" s="285">
        <v>0</v>
      </c>
      <c r="Z146" s="285">
        <v>0</v>
      </c>
      <c r="AA146" s="285">
        <v>0</v>
      </c>
    </row>
    <row r="147" spans="1:27" x14ac:dyDescent="0.2">
      <c r="A147" s="398" t="s">
        <v>1234</v>
      </c>
      <c r="B147" s="412" t="s">
        <v>538</v>
      </c>
      <c r="C147" s="253">
        <v>0</v>
      </c>
      <c r="D147" s="253">
        <v>0</v>
      </c>
      <c r="E147" s="253">
        <v>0</v>
      </c>
      <c r="F147" s="253">
        <v>0</v>
      </c>
      <c r="G147" s="253">
        <v>0</v>
      </c>
      <c r="H147" s="285">
        <v>0</v>
      </c>
      <c r="I147" s="285">
        <v>0</v>
      </c>
      <c r="J147" s="285">
        <v>0</v>
      </c>
      <c r="K147" s="285">
        <v>0</v>
      </c>
      <c r="L147" s="285">
        <v>0</v>
      </c>
      <c r="M147" s="285">
        <v>0</v>
      </c>
      <c r="N147" s="285">
        <v>0</v>
      </c>
      <c r="O147" s="285">
        <v>0</v>
      </c>
      <c r="P147" s="285">
        <v>0</v>
      </c>
      <c r="Q147" s="285">
        <v>0</v>
      </c>
      <c r="R147" s="285">
        <v>0</v>
      </c>
      <c r="S147" s="285">
        <v>0</v>
      </c>
      <c r="T147" s="285">
        <v>0</v>
      </c>
      <c r="U147" s="410" t="e">
        <v>#DIV/0!</v>
      </c>
      <c r="V147" s="285">
        <v>0</v>
      </c>
      <c r="W147" s="285">
        <v>0</v>
      </c>
      <c r="X147" s="285">
        <v>0</v>
      </c>
      <c r="Y147" s="285">
        <v>0</v>
      </c>
      <c r="Z147" s="285">
        <v>0</v>
      </c>
      <c r="AA147" s="285">
        <v>0</v>
      </c>
    </row>
    <row r="148" spans="1:27" x14ac:dyDescent="0.2">
      <c r="A148" s="398" t="s">
        <v>1235</v>
      </c>
      <c r="B148" s="412" t="s">
        <v>539</v>
      </c>
      <c r="C148" s="253">
        <v>0</v>
      </c>
      <c r="D148" s="253">
        <v>0</v>
      </c>
      <c r="E148" s="253">
        <v>0</v>
      </c>
      <c r="F148" s="253">
        <v>0</v>
      </c>
      <c r="G148" s="253">
        <v>0</v>
      </c>
      <c r="H148" s="285">
        <v>0</v>
      </c>
      <c r="I148" s="285">
        <v>0</v>
      </c>
      <c r="J148" s="285">
        <v>0</v>
      </c>
      <c r="K148" s="285">
        <v>0</v>
      </c>
      <c r="L148" s="285">
        <v>0</v>
      </c>
      <c r="M148" s="285">
        <v>0</v>
      </c>
      <c r="N148" s="285">
        <v>0</v>
      </c>
      <c r="O148" s="285">
        <v>0</v>
      </c>
      <c r="P148" s="285">
        <v>0</v>
      </c>
      <c r="Q148" s="285">
        <v>0</v>
      </c>
      <c r="R148" s="285">
        <v>0</v>
      </c>
      <c r="S148" s="285">
        <v>0</v>
      </c>
      <c r="T148" s="285">
        <v>0</v>
      </c>
      <c r="U148" s="410" t="e">
        <v>#DIV/0!</v>
      </c>
      <c r="V148" s="285">
        <v>0</v>
      </c>
      <c r="W148" s="285">
        <v>0</v>
      </c>
      <c r="X148" s="285">
        <v>0</v>
      </c>
      <c r="Y148" s="285">
        <v>0</v>
      </c>
      <c r="Z148" s="285">
        <v>0</v>
      </c>
      <c r="AA148" s="285">
        <v>0</v>
      </c>
    </row>
    <row r="149" spans="1:27" x14ac:dyDescent="0.2">
      <c r="A149" s="398" t="s">
        <v>1236</v>
      </c>
      <c r="B149" s="412" t="s">
        <v>540</v>
      </c>
      <c r="C149" s="253">
        <v>0</v>
      </c>
      <c r="D149" s="253">
        <v>0</v>
      </c>
      <c r="E149" s="253">
        <v>0</v>
      </c>
      <c r="F149" s="253">
        <v>0</v>
      </c>
      <c r="G149" s="253">
        <v>0</v>
      </c>
      <c r="H149" s="285">
        <v>0</v>
      </c>
      <c r="I149" s="285">
        <v>0</v>
      </c>
      <c r="J149" s="285">
        <v>0</v>
      </c>
      <c r="K149" s="285">
        <v>0</v>
      </c>
      <c r="L149" s="285">
        <v>0</v>
      </c>
      <c r="M149" s="285">
        <v>0</v>
      </c>
      <c r="N149" s="285">
        <v>0</v>
      </c>
      <c r="O149" s="285">
        <v>0</v>
      </c>
      <c r="P149" s="285">
        <v>0</v>
      </c>
      <c r="Q149" s="285">
        <v>0</v>
      </c>
      <c r="R149" s="285">
        <v>0</v>
      </c>
      <c r="S149" s="285">
        <v>0</v>
      </c>
      <c r="T149" s="285">
        <v>0</v>
      </c>
      <c r="U149" s="410" t="e">
        <v>#DIV/0!</v>
      </c>
      <c r="V149" s="285">
        <v>0</v>
      </c>
      <c r="W149" s="285">
        <v>0</v>
      </c>
      <c r="X149" s="285">
        <v>0</v>
      </c>
      <c r="Y149" s="285">
        <v>0</v>
      </c>
      <c r="Z149" s="285">
        <v>0</v>
      </c>
      <c r="AA149" s="285">
        <v>0</v>
      </c>
    </row>
    <row r="150" spans="1:27" x14ac:dyDescent="0.2">
      <c r="A150" s="398" t="s">
        <v>1237</v>
      </c>
      <c r="B150" s="412" t="s">
        <v>541</v>
      </c>
      <c r="C150" s="253">
        <v>0</v>
      </c>
      <c r="D150" s="253">
        <v>0</v>
      </c>
      <c r="E150" s="253">
        <v>0</v>
      </c>
      <c r="F150" s="253">
        <v>0</v>
      </c>
      <c r="G150" s="253">
        <v>0</v>
      </c>
      <c r="H150" s="285">
        <v>0</v>
      </c>
      <c r="I150" s="285">
        <v>0</v>
      </c>
      <c r="J150" s="285">
        <v>0</v>
      </c>
      <c r="K150" s="285">
        <v>0</v>
      </c>
      <c r="L150" s="285">
        <v>0</v>
      </c>
      <c r="M150" s="285">
        <v>0</v>
      </c>
      <c r="N150" s="285">
        <v>0</v>
      </c>
      <c r="O150" s="285">
        <v>0</v>
      </c>
      <c r="P150" s="285">
        <v>0</v>
      </c>
      <c r="Q150" s="285">
        <v>0</v>
      </c>
      <c r="R150" s="285">
        <v>0</v>
      </c>
      <c r="S150" s="285">
        <v>0</v>
      </c>
      <c r="T150" s="285">
        <v>0</v>
      </c>
      <c r="U150" s="410" t="e">
        <v>#DIV/0!</v>
      </c>
      <c r="V150" s="285">
        <v>0</v>
      </c>
      <c r="W150" s="285">
        <v>0</v>
      </c>
      <c r="X150" s="285">
        <v>0</v>
      </c>
      <c r="Y150" s="285">
        <v>0</v>
      </c>
      <c r="Z150" s="285">
        <v>0</v>
      </c>
      <c r="AA150" s="285">
        <v>0</v>
      </c>
    </row>
    <row r="151" spans="1:27" s="408" customFormat="1" x14ac:dyDescent="0.2">
      <c r="A151" s="398" t="s">
        <v>1238</v>
      </c>
      <c r="B151" s="404" t="s">
        <v>542</v>
      </c>
      <c r="C151" s="411">
        <v>0</v>
      </c>
      <c r="D151" s="411">
        <v>0</v>
      </c>
      <c r="E151" s="411">
        <v>0</v>
      </c>
      <c r="F151" s="411">
        <v>0</v>
      </c>
      <c r="G151" s="411">
        <v>0</v>
      </c>
      <c r="H151" s="406">
        <v>0</v>
      </c>
      <c r="I151" s="406">
        <v>0</v>
      </c>
      <c r="J151" s="406">
        <v>0</v>
      </c>
      <c r="K151" s="406">
        <v>0</v>
      </c>
      <c r="L151" s="406">
        <v>0</v>
      </c>
      <c r="M151" s="406">
        <v>0</v>
      </c>
      <c r="N151" s="406">
        <v>0</v>
      </c>
      <c r="O151" s="406">
        <v>0</v>
      </c>
      <c r="P151" s="406">
        <v>0</v>
      </c>
      <c r="Q151" s="406">
        <v>0</v>
      </c>
      <c r="R151" s="406">
        <v>0</v>
      </c>
      <c r="S151" s="406">
        <v>0</v>
      </c>
      <c r="T151" s="406">
        <v>0</v>
      </c>
      <c r="U151" s="407" t="e">
        <v>#DIV/0!</v>
      </c>
      <c r="V151" s="406">
        <v>0</v>
      </c>
      <c r="W151" s="406">
        <v>0</v>
      </c>
      <c r="X151" s="406">
        <v>0</v>
      </c>
      <c r="Y151" s="406">
        <v>0</v>
      </c>
      <c r="Z151" s="406">
        <v>0</v>
      </c>
      <c r="AA151" s="406">
        <v>0</v>
      </c>
    </row>
    <row r="152" spans="1:27" s="408" customFormat="1" x14ac:dyDescent="0.2">
      <c r="A152" s="398" t="s">
        <v>1239</v>
      </c>
      <c r="B152" s="404" t="s">
        <v>543</v>
      </c>
      <c r="C152" s="411">
        <v>0</v>
      </c>
      <c r="D152" s="411">
        <v>0</v>
      </c>
      <c r="E152" s="411">
        <v>0</v>
      </c>
      <c r="F152" s="411">
        <v>0</v>
      </c>
      <c r="G152" s="411">
        <v>0</v>
      </c>
      <c r="H152" s="406">
        <v>0</v>
      </c>
      <c r="I152" s="406">
        <v>0</v>
      </c>
      <c r="J152" s="406">
        <v>0</v>
      </c>
      <c r="K152" s="406">
        <v>0</v>
      </c>
      <c r="L152" s="406">
        <v>0</v>
      </c>
      <c r="M152" s="406">
        <v>0</v>
      </c>
      <c r="N152" s="406">
        <v>0</v>
      </c>
      <c r="O152" s="406">
        <v>0</v>
      </c>
      <c r="P152" s="406">
        <v>0</v>
      </c>
      <c r="Q152" s="406">
        <v>0</v>
      </c>
      <c r="R152" s="406">
        <v>0</v>
      </c>
      <c r="S152" s="406">
        <v>0</v>
      </c>
      <c r="T152" s="406">
        <v>0</v>
      </c>
      <c r="U152" s="407" t="e">
        <v>#DIV/0!</v>
      </c>
      <c r="V152" s="406">
        <v>0</v>
      </c>
      <c r="W152" s="406">
        <v>0</v>
      </c>
      <c r="X152" s="406">
        <v>0</v>
      </c>
      <c r="Y152" s="406">
        <v>0</v>
      </c>
      <c r="Z152" s="406">
        <v>0</v>
      </c>
      <c r="AA152" s="406">
        <v>0</v>
      </c>
    </row>
    <row r="153" spans="1:27" x14ac:dyDescent="0.2">
      <c r="A153" s="398"/>
      <c r="B153" s="404" t="s">
        <v>544</v>
      </c>
      <c r="C153" s="405">
        <v>0</v>
      </c>
      <c r="D153" s="405">
        <v>0</v>
      </c>
      <c r="E153" s="405">
        <v>0</v>
      </c>
      <c r="F153" s="405">
        <v>0</v>
      </c>
      <c r="G153" s="405">
        <v>0</v>
      </c>
      <c r="H153" s="405">
        <v>0</v>
      </c>
      <c r="I153" s="405">
        <v>0</v>
      </c>
      <c r="J153" s="405">
        <v>0</v>
      </c>
      <c r="K153" s="405">
        <v>0</v>
      </c>
      <c r="L153" s="405">
        <v>0</v>
      </c>
      <c r="M153" s="405">
        <v>0</v>
      </c>
      <c r="N153" s="405">
        <v>0</v>
      </c>
      <c r="O153" s="405">
        <v>0</v>
      </c>
      <c r="P153" s="405">
        <v>0</v>
      </c>
      <c r="Q153" s="405">
        <v>0</v>
      </c>
      <c r="R153" s="405">
        <v>0</v>
      </c>
      <c r="S153" s="405">
        <v>0</v>
      </c>
      <c r="T153" s="406">
        <v>0</v>
      </c>
      <c r="U153" s="407" t="e">
        <v>#DIV/0!</v>
      </c>
      <c r="V153" s="406">
        <v>0</v>
      </c>
      <c r="W153" s="406">
        <v>0</v>
      </c>
      <c r="X153" s="406">
        <v>0</v>
      </c>
      <c r="Y153" s="406">
        <v>0</v>
      </c>
      <c r="Z153" s="406">
        <v>0</v>
      </c>
      <c r="AA153" s="406">
        <v>0</v>
      </c>
    </row>
    <row r="154" spans="1:27" x14ac:dyDescent="0.2">
      <c r="A154" s="398" t="s">
        <v>1240</v>
      </c>
      <c r="B154" s="412" t="s">
        <v>545</v>
      </c>
      <c r="C154" s="253">
        <v>0</v>
      </c>
      <c r="D154" s="253">
        <v>0</v>
      </c>
      <c r="E154" s="253">
        <v>0</v>
      </c>
      <c r="F154" s="253">
        <v>0</v>
      </c>
      <c r="G154" s="253">
        <v>0</v>
      </c>
      <c r="H154" s="285">
        <v>0</v>
      </c>
      <c r="I154" s="285">
        <v>0</v>
      </c>
      <c r="J154" s="285">
        <v>0</v>
      </c>
      <c r="K154" s="285">
        <v>0</v>
      </c>
      <c r="L154" s="285">
        <v>0</v>
      </c>
      <c r="M154" s="285">
        <v>0</v>
      </c>
      <c r="N154" s="285">
        <v>0</v>
      </c>
      <c r="O154" s="285">
        <v>0</v>
      </c>
      <c r="P154" s="285">
        <v>0</v>
      </c>
      <c r="Q154" s="285">
        <v>0</v>
      </c>
      <c r="R154" s="285">
        <v>0</v>
      </c>
      <c r="S154" s="285">
        <v>0</v>
      </c>
      <c r="T154" s="285">
        <v>0</v>
      </c>
      <c r="U154" s="410" t="e">
        <v>#DIV/0!</v>
      </c>
      <c r="V154" s="285">
        <v>0</v>
      </c>
      <c r="W154" s="285">
        <v>0</v>
      </c>
      <c r="X154" s="285">
        <v>0</v>
      </c>
      <c r="Y154" s="285">
        <v>0</v>
      </c>
      <c r="Z154" s="285">
        <v>0</v>
      </c>
      <c r="AA154" s="285">
        <v>0</v>
      </c>
    </row>
    <row r="155" spans="1:27" x14ac:dyDescent="0.2">
      <c r="A155" s="398" t="s">
        <v>1241</v>
      </c>
      <c r="B155" s="412" t="s">
        <v>546</v>
      </c>
      <c r="C155" s="253">
        <v>0</v>
      </c>
      <c r="D155" s="253">
        <v>0</v>
      </c>
      <c r="E155" s="253">
        <v>0</v>
      </c>
      <c r="F155" s="253">
        <v>0</v>
      </c>
      <c r="G155" s="253">
        <v>0</v>
      </c>
      <c r="H155" s="285">
        <v>0</v>
      </c>
      <c r="I155" s="285">
        <v>0</v>
      </c>
      <c r="J155" s="285">
        <v>0</v>
      </c>
      <c r="K155" s="285">
        <v>0</v>
      </c>
      <c r="L155" s="285">
        <v>0</v>
      </c>
      <c r="M155" s="285">
        <v>0</v>
      </c>
      <c r="N155" s="285">
        <v>0</v>
      </c>
      <c r="O155" s="285">
        <v>0</v>
      </c>
      <c r="P155" s="285">
        <v>0</v>
      </c>
      <c r="Q155" s="285">
        <v>0</v>
      </c>
      <c r="R155" s="285">
        <v>0</v>
      </c>
      <c r="S155" s="285">
        <v>0</v>
      </c>
      <c r="T155" s="285">
        <v>0</v>
      </c>
      <c r="U155" s="410" t="e">
        <v>#DIV/0!</v>
      </c>
      <c r="V155" s="285">
        <v>0</v>
      </c>
      <c r="W155" s="285">
        <v>0</v>
      </c>
      <c r="X155" s="285">
        <v>0</v>
      </c>
      <c r="Y155" s="285">
        <v>0</v>
      </c>
      <c r="Z155" s="285">
        <v>0</v>
      </c>
      <c r="AA155" s="285">
        <v>0</v>
      </c>
    </row>
    <row r="156" spans="1:27" x14ac:dyDescent="0.2">
      <c r="A156" s="398" t="s">
        <v>1242</v>
      </c>
      <c r="B156" s="412" t="s">
        <v>547</v>
      </c>
      <c r="C156" s="253">
        <v>0</v>
      </c>
      <c r="D156" s="253">
        <v>0</v>
      </c>
      <c r="E156" s="253">
        <v>0</v>
      </c>
      <c r="F156" s="253">
        <v>0</v>
      </c>
      <c r="G156" s="253">
        <v>0</v>
      </c>
      <c r="H156" s="285">
        <v>0</v>
      </c>
      <c r="I156" s="285">
        <v>0</v>
      </c>
      <c r="J156" s="285">
        <v>0</v>
      </c>
      <c r="K156" s="285">
        <v>0</v>
      </c>
      <c r="L156" s="285">
        <v>0</v>
      </c>
      <c r="M156" s="285">
        <v>0</v>
      </c>
      <c r="N156" s="285">
        <v>0</v>
      </c>
      <c r="O156" s="285">
        <v>0</v>
      </c>
      <c r="P156" s="285">
        <v>0</v>
      </c>
      <c r="Q156" s="285">
        <v>0</v>
      </c>
      <c r="R156" s="285">
        <v>0</v>
      </c>
      <c r="S156" s="285">
        <v>0</v>
      </c>
      <c r="T156" s="285">
        <v>0</v>
      </c>
      <c r="U156" s="410" t="e">
        <v>#DIV/0!</v>
      </c>
      <c r="V156" s="285">
        <v>0</v>
      </c>
      <c r="W156" s="285">
        <v>0</v>
      </c>
      <c r="X156" s="285">
        <v>0</v>
      </c>
      <c r="Y156" s="285">
        <v>0</v>
      </c>
      <c r="Z156" s="285">
        <v>0</v>
      </c>
      <c r="AA156" s="285">
        <v>0</v>
      </c>
    </row>
    <row r="157" spans="1:27" x14ac:dyDescent="0.2">
      <c r="A157" s="398" t="s">
        <v>1243</v>
      </c>
      <c r="B157" s="412" t="s">
        <v>548</v>
      </c>
      <c r="C157" s="253">
        <v>0</v>
      </c>
      <c r="D157" s="253">
        <v>0</v>
      </c>
      <c r="E157" s="253">
        <v>0</v>
      </c>
      <c r="F157" s="253">
        <v>0</v>
      </c>
      <c r="G157" s="253">
        <v>0</v>
      </c>
      <c r="H157" s="285">
        <v>0</v>
      </c>
      <c r="I157" s="285">
        <v>0</v>
      </c>
      <c r="J157" s="285">
        <v>0</v>
      </c>
      <c r="K157" s="285">
        <v>0</v>
      </c>
      <c r="L157" s="285">
        <v>0</v>
      </c>
      <c r="M157" s="285">
        <v>0</v>
      </c>
      <c r="N157" s="285">
        <v>0</v>
      </c>
      <c r="O157" s="285">
        <v>0</v>
      </c>
      <c r="P157" s="285">
        <v>0</v>
      </c>
      <c r="Q157" s="285">
        <v>0</v>
      </c>
      <c r="R157" s="285">
        <v>0</v>
      </c>
      <c r="S157" s="285">
        <v>0</v>
      </c>
      <c r="T157" s="285">
        <v>0</v>
      </c>
      <c r="U157" s="410" t="e">
        <v>#DIV/0!</v>
      </c>
      <c r="V157" s="285">
        <v>0</v>
      </c>
      <c r="W157" s="285">
        <v>0</v>
      </c>
      <c r="X157" s="285">
        <v>0</v>
      </c>
      <c r="Y157" s="285">
        <v>0</v>
      </c>
      <c r="Z157" s="285">
        <v>0</v>
      </c>
      <c r="AA157" s="285">
        <v>0</v>
      </c>
    </row>
    <row r="158" spans="1:27" x14ac:dyDescent="0.2">
      <c r="A158" s="398" t="s">
        <v>1244</v>
      </c>
      <c r="B158" s="412" t="s">
        <v>549</v>
      </c>
      <c r="C158" s="253">
        <v>0</v>
      </c>
      <c r="D158" s="253">
        <v>0</v>
      </c>
      <c r="E158" s="253">
        <v>0</v>
      </c>
      <c r="F158" s="253">
        <v>0</v>
      </c>
      <c r="G158" s="253">
        <v>0</v>
      </c>
      <c r="H158" s="285">
        <v>0</v>
      </c>
      <c r="I158" s="285">
        <v>0</v>
      </c>
      <c r="J158" s="285">
        <v>0</v>
      </c>
      <c r="K158" s="285">
        <v>0</v>
      </c>
      <c r="L158" s="285">
        <v>0</v>
      </c>
      <c r="M158" s="285">
        <v>0</v>
      </c>
      <c r="N158" s="285">
        <v>0</v>
      </c>
      <c r="O158" s="285">
        <v>0</v>
      </c>
      <c r="P158" s="285">
        <v>0</v>
      </c>
      <c r="Q158" s="285">
        <v>0</v>
      </c>
      <c r="R158" s="285">
        <v>0</v>
      </c>
      <c r="S158" s="285">
        <v>0</v>
      </c>
      <c r="T158" s="285">
        <v>0</v>
      </c>
      <c r="U158" s="410" t="e">
        <v>#DIV/0!</v>
      </c>
      <c r="V158" s="285">
        <v>0</v>
      </c>
      <c r="W158" s="285">
        <v>0</v>
      </c>
      <c r="X158" s="285">
        <v>0</v>
      </c>
      <c r="Y158" s="285">
        <v>0</v>
      </c>
      <c r="Z158" s="285">
        <v>0</v>
      </c>
      <c r="AA158" s="285">
        <v>0</v>
      </c>
    </row>
    <row r="159" spans="1:27" x14ac:dyDescent="0.2">
      <c r="A159" s="398" t="s">
        <v>1245</v>
      </c>
      <c r="B159" s="412" t="s">
        <v>550</v>
      </c>
      <c r="C159" s="253">
        <v>0</v>
      </c>
      <c r="D159" s="253">
        <v>0</v>
      </c>
      <c r="E159" s="253">
        <v>0</v>
      </c>
      <c r="F159" s="253">
        <v>0</v>
      </c>
      <c r="G159" s="253">
        <v>0</v>
      </c>
      <c r="H159" s="285">
        <v>0</v>
      </c>
      <c r="I159" s="285">
        <v>0</v>
      </c>
      <c r="J159" s="285">
        <v>0</v>
      </c>
      <c r="K159" s="285">
        <v>0</v>
      </c>
      <c r="L159" s="285">
        <v>0</v>
      </c>
      <c r="M159" s="285">
        <v>0</v>
      </c>
      <c r="N159" s="285">
        <v>0</v>
      </c>
      <c r="O159" s="285">
        <v>0</v>
      </c>
      <c r="P159" s="285">
        <v>0</v>
      </c>
      <c r="Q159" s="285">
        <v>0</v>
      </c>
      <c r="R159" s="285">
        <v>0</v>
      </c>
      <c r="S159" s="285">
        <v>0</v>
      </c>
      <c r="T159" s="285">
        <v>0</v>
      </c>
      <c r="U159" s="410" t="e">
        <v>#DIV/0!</v>
      </c>
      <c r="V159" s="285">
        <v>0</v>
      </c>
      <c r="W159" s="285">
        <v>0</v>
      </c>
      <c r="X159" s="285">
        <v>0</v>
      </c>
      <c r="Y159" s="285">
        <v>0</v>
      </c>
      <c r="Z159" s="285">
        <v>0</v>
      </c>
      <c r="AA159" s="285">
        <v>0</v>
      </c>
    </row>
    <row r="160" spans="1:27" x14ac:dyDescent="0.2">
      <c r="A160" s="398" t="s">
        <v>1246</v>
      </c>
      <c r="B160" s="412" t="s">
        <v>551</v>
      </c>
      <c r="C160" s="253">
        <v>0</v>
      </c>
      <c r="D160" s="253">
        <v>0</v>
      </c>
      <c r="E160" s="253">
        <v>0</v>
      </c>
      <c r="F160" s="253">
        <v>0</v>
      </c>
      <c r="G160" s="253">
        <v>0</v>
      </c>
      <c r="H160" s="285">
        <v>0</v>
      </c>
      <c r="I160" s="285">
        <v>0</v>
      </c>
      <c r="J160" s="285">
        <v>0</v>
      </c>
      <c r="K160" s="285">
        <v>0</v>
      </c>
      <c r="L160" s="285">
        <v>0</v>
      </c>
      <c r="M160" s="285">
        <v>0</v>
      </c>
      <c r="N160" s="285">
        <v>0</v>
      </c>
      <c r="O160" s="285">
        <v>0</v>
      </c>
      <c r="P160" s="285">
        <v>0</v>
      </c>
      <c r="Q160" s="285">
        <v>0</v>
      </c>
      <c r="R160" s="285">
        <v>0</v>
      </c>
      <c r="S160" s="285">
        <v>0</v>
      </c>
      <c r="T160" s="285">
        <v>0</v>
      </c>
      <c r="U160" s="410" t="e">
        <v>#DIV/0!</v>
      </c>
      <c r="V160" s="285">
        <v>0</v>
      </c>
      <c r="W160" s="285">
        <v>0</v>
      </c>
      <c r="X160" s="285">
        <v>0</v>
      </c>
      <c r="Y160" s="285">
        <v>0</v>
      </c>
      <c r="Z160" s="285">
        <v>0</v>
      </c>
      <c r="AA160" s="285">
        <v>0</v>
      </c>
    </row>
    <row r="161" spans="1:27" x14ac:dyDescent="0.2">
      <c r="A161" s="398" t="s">
        <v>1247</v>
      </c>
      <c r="B161" s="412" t="s">
        <v>552</v>
      </c>
      <c r="C161" s="253">
        <v>0</v>
      </c>
      <c r="D161" s="253">
        <v>0</v>
      </c>
      <c r="E161" s="253">
        <v>0</v>
      </c>
      <c r="F161" s="253">
        <v>0</v>
      </c>
      <c r="G161" s="253">
        <v>0</v>
      </c>
      <c r="H161" s="285">
        <v>0</v>
      </c>
      <c r="I161" s="285">
        <v>0</v>
      </c>
      <c r="J161" s="285">
        <v>0</v>
      </c>
      <c r="K161" s="285">
        <v>0</v>
      </c>
      <c r="L161" s="285">
        <v>0</v>
      </c>
      <c r="M161" s="285">
        <v>0</v>
      </c>
      <c r="N161" s="285">
        <v>0</v>
      </c>
      <c r="O161" s="285">
        <v>0</v>
      </c>
      <c r="P161" s="285">
        <v>0</v>
      </c>
      <c r="Q161" s="285">
        <v>0</v>
      </c>
      <c r="R161" s="285">
        <v>0</v>
      </c>
      <c r="S161" s="285">
        <v>0</v>
      </c>
      <c r="T161" s="285">
        <v>0</v>
      </c>
      <c r="U161" s="410" t="e">
        <v>#DIV/0!</v>
      </c>
      <c r="V161" s="285">
        <v>0</v>
      </c>
      <c r="W161" s="285">
        <v>0</v>
      </c>
      <c r="X161" s="285">
        <v>0</v>
      </c>
      <c r="Y161" s="285">
        <v>0</v>
      </c>
      <c r="Z161" s="285">
        <v>0</v>
      </c>
      <c r="AA161" s="285">
        <v>0</v>
      </c>
    </row>
    <row r="162" spans="1:27" x14ac:dyDescent="0.2">
      <c r="A162" s="398" t="s">
        <v>1248</v>
      </c>
      <c r="B162" s="412" t="s">
        <v>553</v>
      </c>
      <c r="C162" s="253">
        <v>0</v>
      </c>
      <c r="D162" s="253">
        <v>0</v>
      </c>
      <c r="E162" s="253">
        <v>0</v>
      </c>
      <c r="F162" s="253">
        <v>0</v>
      </c>
      <c r="G162" s="253">
        <v>0</v>
      </c>
      <c r="H162" s="285">
        <v>0</v>
      </c>
      <c r="I162" s="285">
        <v>0</v>
      </c>
      <c r="J162" s="285">
        <v>0</v>
      </c>
      <c r="K162" s="285">
        <v>0</v>
      </c>
      <c r="L162" s="285">
        <v>0</v>
      </c>
      <c r="M162" s="285">
        <v>0</v>
      </c>
      <c r="N162" s="285">
        <v>0</v>
      </c>
      <c r="O162" s="285">
        <v>0</v>
      </c>
      <c r="P162" s="285">
        <v>0</v>
      </c>
      <c r="Q162" s="285">
        <v>0</v>
      </c>
      <c r="R162" s="285">
        <v>0</v>
      </c>
      <c r="S162" s="285">
        <v>0</v>
      </c>
      <c r="T162" s="285">
        <v>0</v>
      </c>
      <c r="U162" s="410" t="e">
        <v>#DIV/0!</v>
      </c>
      <c r="V162" s="285">
        <v>0</v>
      </c>
      <c r="W162" s="285">
        <v>0</v>
      </c>
      <c r="X162" s="285">
        <v>0</v>
      </c>
      <c r="Y162" s="285">
        <v>0</v>
      </c>
      <c r="Z162" s="285">
        <v>0</v>
      </c>
      <c r="AA162" s="285">
        <v>0</v>
      </c>
    </row>
    <row r="163" spans="1:27" x14ac:dyDescent="0.2">
      <c r="A163" s="398" t="s">
        <v>1249</v>
      </c>
      <c r="B163" s="412" t="s">
        <v>554</v>
      </c>
      <c r="C163" s="253">
        <v>0</v>
      </c>
      <c r="D163" s="253">
        <v>0</v>
      </c>
      <c r="E163" s="253">
        <v>0</v>
      </c>
      <c r="F163" s="253">
        <v>0</v>
      </c>
      <c r="G163" s="253">
        <v>0</v>
      </c>
      <c r="H163" s="285">
        <v>0</v>
      </c>
      <c r="I163" s="285">
        <v>0</v>
      </c>
      <c r="J163" s="285">
        <v>0</v>
      </c>
      <c r="K163" s="285">
        <v>0</v>
      </c>
      <c r="L163" s="285">
        <v>0</v>
      </c>
      <c r="M163" s="285">
        <v>0</v>
      </c>
      <c r="N163" s="285">
        <v>0</v>
      </c>
      <c r="O163" s="285">
        <v>0</v>
      </c>
      <c r="P163" s="285">
        <v>0</v>
      </c>
      <c r="Q163" s="285">
        <v>0</v>
      </c>
      <c r="R163" s="285">
        <v>0</v>
      </c>
      <c r="S163" s="285">
        <v>0</v>
      </c>
      <c r="T163" s="285">
        <v>0</v>
      </c>
      <c r="U163" s="410" t="e">
        <v>#DIV/0!</v>
      </c>
      <c r="V163" s="285">
        <v>0</v>
      </c>
      <c r="W163" s="285">
        <v>0</v>
      </c>
      <c r="X163" s="285">
        <v>0</v>
      </c>
      <c r="Y163" s="285">
        <v>0</v>
      </c>
      <c r="Z163" s="285">
        <v>0</v>
      </c>
      <c r="AA163" s="285">
        <v>0</v>
      </c>
    </row>
    <row r="164" spans="1:27" x14ac:dyDescent="0.2">
      <c r="A164" s="398" t="s">
        <v>1250</v>
      </c>
      <c r="B164" s="412" t="s">
        <v>555</v>
      </c>
      <c r="C164" s="253">
        <v>0</v>
      </c>
      <c r="D164" s="253">
        <v>0</v>
      </c>
      <c r="E164" s="253">
        <v>0</v>
      </c>
      <c r="F164" s="253">
        <v>0</v>
      </c>
      <c r="G164" s="253">
        <v>0</v>
      </c>
      <c r="H164" s="285">
        <v>0</v>
      </c>
      <c r="I164" s="285">
        <v>0</v>
      </c>
      <c r="J164" s="285">
        <v>0</v>
      </c>
      <c r="K164" s="285">
        <v>0</v>
      </c>
      <c r="L164" s="285">
        <v>0</v>
      </c>
      <c r="M164" s="285">
        <v>0</v>
      </c>
      <c r="N164" s="285">
        <v>0</v>
      </c>
      <c r="O164" s="285">
        <v>0</v>
      </c>
      <c r="P164" s="285">
        <v>0</v>
      </c>
      <c r="Q164" s="285">
        <v>0</v>
      </c>
      <c r="R164" s="285">
        <v>0</v>
      </c>
      <c r="S164" s="285">
        <v>0</v>
      </c>
      <c r="T164" s="285">
        <v>0</v>
      </c>
      <c r="U164" s="410" t="e">
        <v>#DIV/0!</v>
      </c>
      <c r="V164" s="285">
        <v>0</v>
      </c>
      <c r="W164" s="285">
        <v>0</v>
      </c>
      <c r="X164" s="285">
        <v>0</v>
      </c>
      <c r="Y164" s="285">
        <v>0</v>
      </c>
      <c r="Z164" s="285">
        <v>0</v>
      </c>
      <c r="AA164" s="285">
        <v>0</v>
      </c>
    </row>
    <row r="165" spans="1:27" x14ac:dyDescent="0.2">
      <c r="A165" s="398" t="s">
        <v>1251</v>
      </c>
      <c r="B165" s="412" t="s">
        <v>556</v>
      </c>
      <c r="C165" s="253">
        <v>0</v>
      </c>
      <c r="D165" s="253">
        <v>0</v>
      </c>
      <c r="E165" s="253">
        <v>0</v>
      </c>
      <c r="F165" s="253">
        <v>0</v>
      </c>
      <c r="G165" s="253">
        <v>0</v>
      </c>
      <c r="H165" s="285">
        <v>0</v>
      </c>
      <c r="I165" s="285">
        <v>0</v>
      </c>
      <c r="J165" s="285">
        <v>0</v>
      </c>
      <c r="K165" s="285">
        <v>0</v>
      </c>
      <c r="L165" s="285">
        <v>0</v>
      </c>
      <c r="M165" s="285">
        <v>0</v>
      </c>
      <c r="N165" s="285">
        <v>0</v>
      </c>
      <c r="O165" s="285">
        <v>0</v>
      </c>
      <c r="P165" s="285">
        <v>0</v>
      </c>
      <c r="Q165" s="285">
        <v>0</v>
      </c>
      <c r="R165" s="285">
        <v>0</v>
      </c>
      <c r="S165" s="285">
        <v>0</v>
      </c>
      <c r="T165" s="285">
        <v>0</v>
      </c>
      <c r="U165" s="410" t="e">
        <v>#DIV/0!</v>
      </c>
      <c r="V165" s="285">
        <v>0</v>
      </c>
      <c r="W165" s="285">
        <v>0</v>
      </c>
      <c r="X165" s="285">
        <v>0</v>
      </c>
      <c r="Y165" s="285">
        <v>0</v>
      </c>
      <c r="Z165" s="285">
        <v>0</v>
      </c>
      <c r="AA165" s="285">
        <v>0</v>
      </c>
    </row>
    <row r="166" spans="1:27" x14ac:dyDescent="0.2">
      <c r="A166" s="398"/>
      <c r="B166" s="404" t="s">
        <v>557</v>
      </c>
      <c r="C166" s="405">
        <v>0</v>
      </c>
      <c r="D166" s="405">
        <v>0</v>
      </c>
      <c r="E166" s="405">
        <v>0</v>
      </c>
      <c r="F166" s="405">
        <v>0</v>
      </c>
      <c r="G166" s="405">
        <v>0</v>
      </c>
      <c r="H166" s="405">
        <v>0</v>
      </c>
      <c r="I166" s="405">
        <v>0</v>
      </c>
      <c r="J166" s="405">
        <v>0</v>
      </c>
      <c r="K166" s="405">
        <v>0</v>
      </c>
      <c r="L166" s="405">
        <v>0</v>
      </c>
      <c r="M166" s="405">
        <v>0</v>
      </c>
      <c r="N166" s="405">
        <v>0</v>
      </c>
      <c r="O166" s="405">
        <v>0</v>
      </c>
      <c r="P166" s="405">
        <v>0</v>
      </c>
      <c r="Q166" s="405">
        <v>0</v>
      </c>
      <c r="R166" s="405">
        <v>0</v>
      </c>
      <c r="S166" s="405">
        <v>0</v>
      </c>
      <c r="T166" s="406">
        <v>0</v>
      </c>
      <c r="U166" s="407" t="e">
        <v>#DIV/0!</v>
      </c>
      <c r="V166" s="406">
        <v>0</v>
      </c>
      <c r="W166" s="406">
        <v>0</v>
      </c>
      <c r="X166" s="406">
        <v>0</v>
      </c>
      <c r="Y166" s="406">
        <v>0</v>
      </c>
      <c r="Z166" s="406">
        <v>0</v>
      </c>
      <c r="AA166" s="406">
        <v>0</v>
      </c>
    </row>
    <row r="167" spans="1:27" x14ac:dyDescent="0.2">
      <c r="A167" s="398" t="s">
        <v>1252</v>
      </c>
      <c r="B167" s="412" t="s">
        <v>558</v>
      </c>
      <c r="C167" s="253">
        <v>0</v>
      </c>
      <c r="D167" s="253">
        <v>0</v>
      </c>
      <c r="E167" s="253">
        <v>0</v>
      </c>
      <c r="F167" s="253">
        <v>0</v>
      </c>
      <c r="G167" s="253">
        <v>0</v>
      </c>
      <c r="H167" s="285">
        <v>0</v>
      </c>
      <c r="I167" s="285">
        <v>0</v>
      </c>
      <c r="J167" s="285">
        <v>0</v>
      </c>
      <c r="K167" s="285">
        <v>0</v>
      </c>
      <c r="L167" s="285">
        <v>0</v>
      </c>
      <c r="M167" s="285">
        <v>0</v>
      </c>
      <c r="N167" s="285">
        <v>0</v>
      </c>
      <c r="O167" s="285">
        <v>0</v>
      </c>
      <c r="P167" s="285">
        <v>0</v>
      </c>
      <c r="Q167" s="285">
        <v>0</v>
      </c>
      <c r="R167" s="285">
        <v>0</v>
      </c>
      <c r="S167" s="285">
        <v>0</v>
      </c>
      <c r="T167" s="285">
        <v>0</v>
      </c>
      <c r="U167" s="410" t="e">
        <v>#DIV/0!</v>
      </c>
      <c r="V167" s="285">
        <v>0</v>
      </c>
      <c r="W167" s="285">
        <v>0</v>
      </c>
      <c r="X167" s="285">
        <v>0</v>
      </c>
      <c r="Y167" s="285">
        <v>0</v>
      </c>
      <c r="Z167" s="285">
        <v>0</v>
      </c>
      <c r="AA167" s="285">
        <v>0</v>
      </c>
    </row>
    <row r="168" spans="1:27" x14ac:dyDescent="0.2">
      <c r="A168" s="398" t="s">
        <v>1253</v>
      </c>
      <c r="B168" s="412" t="s">
        <v>559</v>
      </c>
      <c r="C168" s="253">
        <v>0</v>
      </c>
      <c r="D168" s="253">
        <v>0</v>
      </c>
      <c r="E168" s="253">
        <v>0</v>
      </c>
      <c r="F168" s="253">
        <v>0</v>
      </c>
      <c r="G168" s="253">
        <v>0</v>
      </c>
      <c r="H168" s="285">
        <v>0</v>
      </c>
      <c r="I168" s="285">
        <v>0</v>
      </c>
      <c r="J168" s="285">
        <v>0</v>
      </c>
      <c r="K168" s="285">
        <v>0</v>
      </c>
      <c r="L168" s="285">
        <v>0</v>
      </c>
      <c r="M168" s="285">
        <v>0</v>
      </c>
      <c r="N168" s="285">
        <v>0</v>
      </c>
      <c r="O168" s="285">
        <v>0</v>
      </c>
      <c r="P168" s="285">
        <v>0</v>
      </c>
      <c r="Q168" s="285">
        <v>0</v>
      </c>
      <c r="R168" s="285">
        <v>0</v>
      </c>
      <c r="S168" s="285">
        <v>0</v>
      </c>
      <c r="T168" s="285">
        <v>0</v>
      </c>
      <c r="U168" s="410" t="e">
        <v>#DIV/0!</v>
      </c>
      <c r="V168" s="285">
        <v>0</v>
      </c>
      <c r="W168" s="285">
        <v>0</v>
      </c>
      <c r="X168" s="285">
        <v>0</v>
      </c>
      <c r="Y168" s="285">
        <v>0</v>
      </c>
      <c r="Z168" s="285">
        <v>0</v>
      </c>
      <c r="AA168" s="285">
        <v>0</v>
      </c>
    </row>
    <row r="169" spans="1:27" x14ac:dyDescent="0.2">
      <c r="A169" s="398" t="s">
        <v>1254</v>
      </c>
      <c r="B169" s="412" t="s">
        <v>560</v>
      </c>
      <c r="C169" s="253">
        <v>0</v>
      </c>
      <c r="D169" s="253">
        <v>0</v>
      </c>
      <c r="E169" s="253">
        <v>0</v>
      </c>
      <c r="F169" s="253">
        <v>0</v>
      </c>
      <c r="G169" s="253">
        <v>0</v>
      </c>
      <c r="H169" s="285">
        <v>0</v>
      </c>
      <c r="I169" s="285">
        <v>0</v>
      </c>
      <c r="J169" s="285">
        <v>0</v>
      </c>
      <c r="K169" s="285">
        <v>0</v>
      </c>
      <c r="L169" s="285">
        <v>0</v>
      </c>
      <c r="M169" s="285">
        <v>0</v>
      </c>
      <c r="N169" s="285">
        <v>0</v>
      </c>
      <c r="O169" s="285">
        <v>0</v>
      </c>
      <c r="P169" s="285">
        <v>0</v>
      </c>
      <c r="Q169" s="285">
        <v>0</v>
      </c>
      <c r="R169" s="285">
        <v>0</v>
      </c>
      <c r="S169" s="285">
        <v>0</v>
      </c>
      <c r="T169" s="285">
        <v>0</v>
      </c>
      <c r="U169" s="410" t="e">
        <v>#DIV/0!</v>
      </c>
      <c r="V169" s="285">
        <v>0</v>
      </c>
      <c r="W169" s="285">
        <v>0</v>
      </c>
      <c r="X169" s="285">
        <v>0</v>
      </c>
      <c r="Y169" s="285">
        <v>0</v>
      </c>
      <c r="Z169" s="285">
        <v>0</v>
      </c>
      <c r="AA169" s="285">
        <v>0</v>
      </c>
    </row>
    <row r="170" spans="1:27" x14ac:dyDescent="0.2">
      <c r="A170" s="398"/>
      <c r="B170" s="399" t="s">
        <v>561</v>
      </c>
      <c r="C170" s="400">
        <v>0</v>
      </c>
      <c r="D170" s="400">
        <v>0</v>
      </c>
      <c r="E170" s="400">
        <v>0</v>
      </c>
      <c r="F170" s="400">
        <v>0</v>
      </c>
      <c r="G170" s="400">
        <v>0</v>
      </c>
      <c r="H170" s="400">
        <v>0</v>
      </c>
      <c r="I170" s="400">
        <v>0</v>
      </c>
      <c r="J170" s="400">
        <v>0</v>
      </c>
      <c r="K170" s="400">
        <v>0</v>
      </c>
      <c r="L170" s="400">
        <v>0</v>
      </c>
      <c r="M170" s="400">
        <v>0</v>
      </c>
      <c r="N170" s="400">
        <v>0</v>
      </c>
      <c r="O170" s="400">
        <v>0</v>
      </c>
      <c r="P170" s="400">
        <v>0</v>
      </c>
      <c r="Q170" s="400">
        <v>0</v>
      </c>
      <c r="R170" s="400">
        <v>0</v>
      </c>
      <c r="S170" s="400">
        <v>0</v>
      </c>
      <c r="T170" s="401">
        <v>0</v>
      </c>
      <c r="U170" s="402" t="e">
        <v>#DIV/0!</v>
      </c>
      <c r="V170" s="401">
        <v>0</v>
      </c>
      <c r="W170" s="401">
        <v>0</v>
      </c>
      <c r="X170" s="401">
        <v>0</v>
      </c>
      <c r="Y170" s="401">
        <v>0</v>
      </c>
      <c r="Z170" s="401">
        <v>0</v>
      </c>
      <c r="AA170" s="401">
        <v>0</v>
      </c>
    </row>
    <row r="171" spans="1:27" x14ac:dyDescent="0.2">
      <c r="A171" s="398"/>
      <c r="B171" s="404" t="s">
        <v>562</v>
      </c>
      <c r="C171" s="405">
        <v>0</v>
      </c>
      <c r="D171" s="405">
        <v>0</v>
      </c>
      <c r="E171" s="405">
        <v>0</v>
      </c>
      <c r="F171" s="405">
        <v>0</v>
      </c>
      <c r="G171" s="405">
        <v>0</v>
      </c>
      <c r="H171" s="405">
        <v>0</v>
      </c>
      <c r="I171" s="405">
        <v>0</v>
      </c>
      <c r="J171" s="405">
        <v>0</v>
      </c>
      <c r="K171" s="405">
        <v>0</v>
      </c>
      <c r="L171" s="405">
        <v>0</v>
      </c>
      <c r="M171" s="405">
        <v>0</v>
      </c>
      <c r="N171" s="405">
        <v>0</v>
      </c>
      <c r="O171" s="405">
        <v>0</v>
      </c>
      <c r="P171" s="405">
        <v>0</v>
      </c>
      <c r="Q171" s="405">
        <v>0</v>
      </c>
      <c r="R171" s="405">
        <v>0</v>
      </c>
      <c r="S171" s="405">
        <v>0</v>
      </c>
      <c r="T171" s="406">
        <v>0</v>
      </c>
      <c r="U171" s="407" t="e">
        <v>#DIV/0!</v>
      </c>
      <c r="V171" s="406">
        <v>0</v>
      </c>
      <c r="W171" s="406">
        <v>0</v>
      </c>
      <c r="X171" s="406">
        <v>0</v>
      </c>
      <c r="Y171" s="406">
        <v>0</v>
      </c>
      <c r="Z171" s="406">
        <v>0</v>
      </c>
      <c r="AA171" s="406">
        <v>0</v>
      </c>
    </row>
    <row r="172" spans="1:27" x14ac:dyDescent="0.2">
      <c r="A172" s="398"/>
      <c r="B172" s="412" t="s">
        <v>563</v>
      </c>
      <c r="C172" s="413">
        <v>0</v>
      </c>
      <c r="D172" s="413">
        <v>0</v>
      </c>
      <c r="E172" s="413">
        <v>0</v>
      </c>
      <c r="F172" s="413">
        <v>0</v>
      </c>
      <c r="G172" s="413">
        <v>0</v>
      </c>
      <c r="H172" s="413">
        <v>0</v>
      </c>
      <c r="I172" s="413">
        <v>0</v>
      </c>
      <c r="J172" s="413">
        <v>0</v>
      </c>
      <c r="K172" s="413">
        <v>0</v>
      </c>
      <c r="L172" s="413">
        <v>0</v>
      </c>
      <c r="M172" s="413">
        <v>0</v>
      </c>
      <c r="N172" s="413">
        <v>0</v>
      </c>
      <c r="O172" s="413">
        <v>0</v>
      </c>
      <c r="P172" s="413">
        <v>0</v>
      </c>
      <c r="Q172" s="413">
        <v>0</v>
      </c>
      <c r="R172" s="413">
        <v>0</v>
      </c>
      <c r="S172" s="413">
        <v>0</v>
      </c>
      <c r="T172" s="285">
        <v>0</v>
      </c>
      <c r="U172" s="410" t="e">
        <v>#DIV/0!</v>
      </c>
      <c r="V172" s="285">
        <v>0</v>
      </c>
      <c r="W172" s="285">
        <v>0</v>
      </c>
      <c r="X172" s="285">
        <v>0</v>
      </c>
      <c r="Y172" s="285">
        <v>0</v>
      </c>
      <c r="Z172" s="285">
        <v>0</v>
      </c>
      <c r="AA172" s="285">
        <v>0</v>
      </c>
    </row>
    <row r="173" spans="1:27" x14ac:dyDescent="0.2">
      <c r="A173" s="398" t="s">
        <v>1255</v>
      </c>
      <c r="B173" s="414" t="s">
        <v>564</v>
      </c>
      <c r="C173" s="253">
        <v>0</v>
      </c>
      <c r="D173" s="253">
        <v>0</v>
      </c>
      <c r="E173" s="253">
        <v>0</v>
      </c>
      <c r="F173" s="253">
        <v>0</v>
      </c>
      <c r="G173" s="253">
        <v>0</v>
      </c>
      <c r="H173" s="285">
        <v>0</v>
      </c>
      <c r="I173" s="285">
        <v>0</v>
      </c>
      <c r="J173" s="285">
        <v>0</v>
      </c>
      <c r="K173" s="285">
        <v>0</v>
      </c>
      <c r="L173" s="285">
        <v>0</v>
      </c>
      <c r="M173" s="285">
        <v>0</v>
      </c>
      <c r="N173" s="285">
        <v>0</v>
      </c>
      <c r="O173" s="285">
        <v>0</v>
      </c>
      <c r="P173" s="285">
        <v>0</v>
      </c>
      <c r="Q173" s="285">
        <v>0</v>
      </c>
      <c r="R173" s="285">
        <v>0</v>
      </c>
      <c r="S173" s="285">
        <v>0</v>
      </c>
      <c r="T173" s="285">
        <v>0</v>
      </c>
      <c r="U173" s="410" t="e">
        <v>#DIV/0!</v>
      </c>
      <c r="V173" s="285">
        <v>0</v>
      </c>
      <c r="W173" s="285">
        <v>0</v>
      </c>
      <c r="X173" s="285">
        <v>0</v>
      </c>
      <c r="Y173" s="285">
        <v>0</v>
      </c>
      <c r="Z173" s="285">
        <v>0</v>
      </c>
      <c r="AA173" s="285">
        <v>0</v>
      </c>
    </row>
    <row r="174" spans="1:27" x14ac:dyDescent="0.2">
      <c r="A174" s="398" t="s">
        <v>1256</v>
      </c>
      <c r="B174" s="414" t="s">
        <v>565</v>
      </c>
      <c r="C174" s="253">
        <v>0</v>
      </c>
      <c r="D174" s="253">
        <v>0</v>
      </c>
      <c r="E174" s="253">
        <v>0</v>
      </c>
      <c r="F174" s="253">
        <v>0</v>
      </c>
      <c r="G174" s="253">
        <v>0</v>
      </c>
      <c r="H174" s="285">
        <v>0</v>
      </c>
      <c r="I174" s="285">
        <v>0</v>
      </c>
      <c r="J174" s="285">
        <v>0</v>
      </c>
      <c r="K174" s="285">
        <v>0</v>
      </c>
      <c r="L174" s="285">
        <v>0</v>
      </c>
      <c r="M174" s="285">
        <v>0</v>
      </c>
      <c r="N174" s="285">
        <v>0</v>
      </c>
      <c r="O174" s="285">
        <v>0</v>
      </c>
      <c r="P174" s="285">
        <v>0</v>
      </c>
      <c r="Q174" s="285">
        <v>0</v>
      </c>
      <c r="R174" s="285">
        <v>0</v>
      </c>
      <c r="S174" s="285">
        <v>0</v>
      </c>
      <c r="T174" s="285">
        <v>0</v>
      </c>
      <c r="U174" s="410" t="e">
        <v>#DIV/0!</v>
      </c>
      <c r="V174" s="285">
        <v>0</v>
      </c>
      <c r="W174" s="285">
        <v>0</v>
      </c>
      <c r="X174" s="285">
        <v>0</v>
      </c>
      <c r="Y174" s="285">
        <v>0</v>
      </c>
      <c r="Z174" s="285">
        <v>0</v>
      </c>
      <c r="AA174" s="285">
        <v>0</v>
      </c>
    </row>
    <row r="175" spans="1:27" x14ac:dyDescent="0.2">
      <c r="A175" s="398"/>
      <c r="B175" s="412" t="s">
        <v>1257</v>
      </c>
      <c r="C175" s="253">
        <v>0</v>
      </c>
      <c r="D175" s="253">
        <v>0</v>
      </c>
      <c r="E175" s="253">
        <v>0</v>
      </c>
      <c r="F175" s="253">
        <v>0</v>
      </c>
      <c r="G175" s="253">
        <v>0</v>
      </c>
      <c r="H175" s="253">
        <v>0</v>
      </c>
      <c r="I175" s="253">
        <v>0</v>
      </c>
      <c r="J175" s="253">
        <v>0</v>
      </c>
      <c r="K175" s="253">
        <v>0</v>
      </c>
      <c r="L175" s="253">
        <v>0</v>
      </c>
      <c r="M175" s="253">
        <v>0</v>
      </c>
      <c r="N175" s="253">
        <v>0</v>
      </c>
      <c r="O175" s="253">
        <v>0</v>
      </c>
      <c r="P175" s="253">
        <v>0</v>
      </c>
      <c r="Q175" s="253">
        <v>0</v>
      </c>
      <c r="R175" s="253">
        <v>0</v>
      </c>
      <c r="S175" s="253">
        <v>0</v>
      </c>
      <c r="T175" s="285">
        <v>0</v>
      </c>
      <c r="U175" s="410" t="e">
        <v>#DIV/0!</v>
      </c>
      <c r="V175" s="285">
        <v>0</v>
      </c>
      <c r="W175" s="285">
        <v>0</v>
      </c>
      <c r="X175" s="285">
        <v>0</v>
      </c>
      <c r="Y175" s="285">
        <v>0</v>
      </c>
      <c r="Z175" s="285">
        <v>0</v>
      </c>
      <c r="AA175" s="285">
        <v>0</v>
      </c>
    </row>
    <row r="176" spans="1:27" x14ac:dyDescent="0.2">
      <c r="A176" s="398" t="s">
        <v>1258</v>
      </c>
      <c r="B176" s="414" t="s">
        <v>1259</v>
      </c>
      <c r="C176" s="253">
        <v>0</v>
      </c>
      <c r="D176" s="253">
        <v>0</v>
      </c>
      <c r="E176" s="253">
        <v>0</v>
      </c>
      <c r="F176" s="253">
        <v>0</v>
      </c>
      <c r="G176" s="253">
        <v>0</v>
      </c>
      <c r="H176" s="285">
        <v>0</v>
      </c>
      <c r="I176" s="285">
        <v>0</v>
      </c>
      <c r="J176" s="285">
        <v>0</v>
      </c>
      <c r="K176" s="285">
        <v>0</v>
      </c>
      <c r="L176" s="285">
        <v>0</v>
      </c>
      <c r="M176" s="285">
        <v>0</v>
      </c>
      <c r="N176" s="285">
        <v>0</v>
      </c>
      <c r="O176" s="285">
        <v>0</v>
      </c>
      <c r="P176" s="285">
        <v>0</v>
      </c>
      <c r="Q176" s="285">
        <v>0</v>
      </c>
      <c r="R176" s="285">
        <v>0</v>
      </c>
      <c r="S176" s="285">
        <v>0</v>
      </c>
      <c r="T176" s="285">
        <v>0</v>
      </c>
      <c r="U176" s="410" t="e">
        <v>#DIV/0!</v>
      </c>
      <c r="V176" s="285">
        <v>0</v>
      </c>
      <c r="W176" s="285">
        <v>0</v>
      </c>
      <c r="X176" s="285">
        <v>0</v>
      </c>
      <c r="Y176" s="285">
        <v>0</v>
      </c>
      <c r="Z176" s="285">
        <v>0</v>
      </c>
      <c r="AA176" s="285">
        <v>0</v>
      </c>
    </row>
    <row r="177" spans="1:27" x14ac:dyDescent="0.2">
      <c r="A177" s="415" t="s">
        <v>1260</v>
      </c>
      <c r="B177" s="414" t="s">
        <v>1261</v>
      </c>
      <c r="C177" s="253">
        <v>0</v>
      </c>
      <c r="D177" s="253">
        <v>0</v>
      </c>
      <c r="E177" s="253">
        <v>0</v>
      </c>
      <c r="F177" s="253">
        <v>0</v>
      </c>
      <c r="G177" s="253">
        <v>0</v>
      </c>
      <c r="H177" s="285">
        <v>0</v>
      </c>
      <c r="I177" s="285">
        <v>0</v>
      </c>
      <c r="J177" s="285">
        <v>0</v>
      </c>
      <c r="K177" s="285">
        <v>0</v>
      </c>
      <c r="L177" s="285">
        <v>0</v>
      </c>
      <c r="M177" s="285">
        <v>0</v>
      </c>
      <c r="N177" s="285">
        <v>0</v>
      </c>
      <c r="O177" s="285">
        <v>0</v>
      </c>
      <c r="P177" s="285">
        <v>0</v>
      </c>
      <c r="Q177" s="285">
        <v>0</v>
      </c>
      <c r="R177" s="285">
        <v>0</v>
      </c>
      <c r="S177" s="285">
        <v>0</v>
      </c>
      <c r="T177" s="285">
        <v>0</v>
      </c>
      <c r="U177" s="410" t="e">
        <v>#DIV/0!</v>
      </c>
      <c r="V177" s="285">
        <v>0</v>
      </c>
      <c r="W177" s="285">
        <v>0</v>
      </c>
      <c r="X177" s="285">
        <v>0</v>
      </c>
      <c r="Y177" s="285">
        <v>0</v>
      </c>
      <c r="Z177" s="285">
        <v>0</v>
      </c>
      <c r="AA177" s="285">
        <v>0</v>
      </c>
    </row>
    <row r="178" spans="1:27" x14ac:dyDescent="0.2">
      <c r="A178" s="398" t="s">
        <v>1262</v>
      </c>
      <c r="B178" s="412" t="s">
        <v>566</v>
      </c>
      <c r="C178" s="253">
        <v>0</v>
      </c>
      <c r="D178" s="253">
        <v>0</v>
      </c>
      <c r="E178" s="253">
        <v>0</v>
      </c>
      <c r="F178" s="253">
        <v>0</v>
      </c>
      <c r="G178" s="253">
        <v>0</v>
      </c>
      <c r="H178" s="285">
        <v>0</v>
      </c>
      <c r="I178" s="285">
        <v>0</v>
      </c>
      <c r="J178" s="285">
        <v>0</v>
      </c>
      <c r="K178" s="285">
        <v>0</v>
      </c>
      <c r="L178" s="285">
        <v>0</v>
      </c>
      <c r="M178" s="285">
        <v>0</v>
      </c>
      <c r="N178" s="285">
        <v>0</v>
      </c>
      <c r="O178" s="285">
        <v>0</v>
      </c>
      <c r="P178" s="285">
        <v>0</v>
      </c>
      <c r="Q178" s="285">
        <v>0</v>
      </c>
      <c r="R178" s="285">
        <v>0</v>
      </c>
      <c r="S178" s="285">
        <v>0</v>
      </c>
      <c r="T178" s="285">
        <v>0</v>
      </c>
      <c r="U178" s="410" t="e">
        <v>#DIV/0!</v>
      </c>
      <c r="V178" s="285">
        <v>0</v>
      </c>
      <c r="W178" s="285">
        <v>0</v>
      </c>
      <c r="X178" s="285">
        <v>0</v>
      </c>
      <c r="Y178" s="285">
        <v>0</v>
      </c>
      <c r="Z178" s="285">
        <v>0</v>
      </c>
      <c r="AA178" s="285">
        <v>0</v>
      </c>
    </row>
    <row r="179" spans="1:27" x14ac:dyDescent="0.2">
      <c r="A179" s="398" t="s">
        <v>1263</v>
      </c>
      <c r="B179" s="412" t="s">
        <v>567</v>
      </c>
      <c r="C179" s="253">
        <v>0</v>
      </c>
      <c r="D179" s="253">
        <v>0</v>
      </c>
      <c r="E179" s="253">
        <v>0</v>
      </c>
      <c r="F179" s="253">
        <v>0</v>
      </c>
      <c r="G179" s="253">
        <v>0</v>
      </c>
      <c r="H179" s="285">
        <v>0</v>
      </c>
      <c r="I179" s="285">
        <v>0</v>
      </c>
      <c r="J179" s="285">
        <v>0</v>
      </c>
      <c r="K179" s="285">
        <v>0</v>
      </c>
      <c r="L179" s="285">
        <v>0</v>
      </c>
      <c r="M179" s="285">
        <v>0</v>
      </c>
      <c r="N179" s="285">
        <v>0</v>
      </c>
      <c r="O179" s="285">
        <v>0</v>
      </c>
      <c r="P179" s="285">
        <v>0</v>
      </c>
      <c r="Q179" s="285">
        <v>0</v>
      </c>
      <c r="R179" s="285">
        <v>0</v>
      </c>
      <c r="S179" s="285">
        <v>0</v>
      </c>
      <c r="T179" s="285">
        <v>0</v>
      </c>
      <c r="U179" s="410" t="e">
        <v>#DIV/0!</v>
      </c>
      <c r="V179" s="285">
        <v>0</v>
      </c>
      <c r="W179" s="285">
        <v>0</v>
      </c>
      <c r="X179" s="285">
        <v>0</v>
      </c>
      <c r="Y179" s="285">
        <v>0</v>
      </c>
      <c r="Z179" s="285">
        <v>0</v>
      </c>
      <c r="AA179" s="285">
        <v>0</v>
      </c>
    </row>
    <row r="180" spans="1:27" x14ac:dyDescent="0.2">
      <c r="A180" s="398"/>
      <c r="B180" s="404" t="s">
        <v>568</v>
      </c>
      <c r="C180" s="405">
        <v>0</v>
      </c>
      <c r="D180" s="405">
        <v>0</v>
      </c>
      <c r="E180" s="405">
        <v>0</v>
      </c>
      <c r="F180" s="405">
        <v>0</v>
      </c>
      <c r="G180" s="405">
        <v>0</v>
      </c>
      <c r="H180" s="405">
        <v>0</v>
      </c>
      <c r="I180" s="405">
        <v>0</v>
      </c>
      <c r="J180" s="405">
        <v>0</v>
      </c>
      <c r="K180" s="405">
        <v>0</v>
      </c>
      <c r="L180" s="405">
        <v>0</v>
      </c>
      <c r="M180" s="405">
        <v>0</v>
      </c>
      <c r="N180" s="405">
        <v>0</v>
      </c>
      <c r="O180" s="405">
        <v>0</v>
      </c>
      <c r="P180" s="405">
        <v>0</v>
      </c>
      <c r="Q180" s="405">
        <v>0</v>
      </c>
      <c r="R180" s="405">
        <v>0</v>
      </c>
      <c r="S180" s="405">
        <v>0</v>
      </c>
      <c r="T180" s="406">
        <v>0</v>
      </c>
      <c r="U180" s="407" t="e">
        <v>#DIV/0!</v>
      </c>
      <c r="V180" s="406">
        <v>0</v>
      </c>
      <c r="W180" s="406">
        <v>0</v>
      </c>
      <c r="X180" s="406">
        <v>0</v>
      </c>
      <c r="Y180" s="406">
        <v>0</v>
      </c>
      <c r="Z180" s="406">
        <v>0</v>
      </c>
      <c r="AA180" s="406">
        <v>0</v>
      </c>
    </row>
    <row r="181" spans="1:27" x14ac:dyDescent="0.2">
      <c r="A181" s="398" t="s">
        <v>1264</v>
      </c>
      <c r="B181" s="412" t="s">
        <v>569</v>
      </c>
      <c r="C181" s="253">
        <v>0</v>
      </c>
      <c r="D181" s="253">
        <v>0</v>
      </c>
      <c r="E181" s="253">
        <v>0</v>
      </c>
      <c r="F181" s="253">
        <v>0</v>
      </c>
      <c r="G181" s="253">
        <v>0</v>
      </c>
      <c r="H181" s="285">
        <v>0</v>
      </c>
      <c r="I181" s="285">
        <v>0</v>
      </c>
      <c r="J181" s="285">
        <v>0</v>
      </c>
      <c r="K181" s="285">
        <v>0</v>
      </c>
      <c r="L181" s="285">
        <v>0</v>
      </c>
      <c r="M181" s="285">
        <v>0</v>
      </c>
      <c r="N181" s="285">
        <v>0</v>
      </c>
      <c r="O181" s="285">
        <v>0</v>
      </c>
      <c r="P181" s="285">
        <v>0</v>
      </c>
      <c r="Q181" s="285">
        <v>0</v>
      </c>
      <c r="R181" s="285">
        <v>0</v>
      </c>
      <c r="S181" s="285">
        <v>0</v>
      </c>
      <c r="T181" s="285">
        <v>0</v>
      </c>
      <c r="U181" s="410" t="e">
        <v>#DIV/0!</v>
      </c>
      <c r="V181" s="285">
        <v>0</v>
      </c>
      <c r="W181" s="285">
        <v>0</v>
      </c>
      <c r="X181" s="285">
        <v>0</v>
      </c>
      <c r="Y181" s="285">
        <v>0</v>
      </c>
      <c r="Z181" s="285">
        <v>0</v>
      </c>
      <c r="AA181" s="285">
        <v>0</v>
      </c>
    </row>
    <row r="182" spans="1:27" x14ac:dyDescent="0.2">
      <c r="A182" s="398" t="s">
        <v>1265</v>
      </c>
      <c r="B182" s="412" t="s">
        <v>570</v>
      </c>
      <c r="C182" s="253">
        <v>0</v>
      </c>
      <c r="D182" s="253">
        <v>0</v>
      </c>
      <c r="E182" s="253">
        <v>0</v>
      </c>
      <c r="F182" s="253">
        <v>0</v>
      </c>
      <c r="G182" s="253">
        <v>0</v>
      </c>
      <c r="H182" s="285">
        <v>0</v>
      </c>
      <c r="I182" s="285">
        <v>0</v>
      </c>
      <c r="J182" s="285">
        <v>0</v>
      </c>
      <c r="K182" s="285">
        <v>0</v>
      </c>
      <c r="L182" s="285">
        <v>0</v>
      </c>
      <c r="M182" s="285">
        <v>0</v>
      </c>
      <c r="N182" s="285">
        <v>0</v>
      </c>
      <c r="O182" s="285">
        <v>0</v>
      </c>
      <c r="P182" s="285">
        <v>0</v>
      </c>
      <c r="Q182" s="285">
        <v>0</v>
      </c>
      <c r="R182" s="285">
        <v>0</v>
      </c>
      <c r="S182" s="285">
        <v>0</v>
      </c>
      <c r="T182" s="285">
        <v>0</v>
      </c>
      <c r="U182" s="410" t="e">
        <v>#DIV/0!</v>
      </c>
      <c r="V182" s="285">
        <v>0</v>
      </c>
      <c r="W182" s="285">
        <v>0</v>
      </c>
      <c r="X182" s="285">
        <v>0</v>
      </c>
      <c r="Y182" s="285">
        <v>0</v>
      </c>
      <c r="Z182" s="285">
        <v>0</v>
      </c>
      <c r="AA182" s="285">
        <v>0</v>
      </c>
    </row>
    <row r="183" spans="1:27" x14ac:dyDescent="0.2">
      <c r="A183" s="398" t="s">
        <v>1266</v>
      </c>
      <c r="B183" s="412" t="s">
        <v>571</v>
      </c>
      <c r="C183" s="253">
        <v>0</v>
      </c>
      <c r="D183" s="253">
        <v>0</v>
      </c>
      <c r="E183" s="253">
        <v>0</v>
      </c>
      <c r="F183" s="253">
        <v>0</v>
      </c>
      <c r="G183" s="253">
        <v>0</v>
      </c>
      <c r="H183" s="285">
        <v>0</v>
      </c>
      <c r="I183" s="285">
        <v>0</v>
      </c>
      <c r="J183" s="285">
        <v>0</v>
      </c>
      <c r="K183" s="285">
        <v>0</v>
      </c>
      <c r="L183" s="285">
        <v>0</v>
      </c>
      <c r="M183" s="285">
        <v>0</v>
      </c>
      <c r="N183" s="285">
        <v>0</v>
      </c>
      <c r="O183" s="285">
        <v>0</v>
      </c>
      <c r="P183" s="285">
        <v>0</v>
      </c>
      <c r="Q183" s="285">
        <v>0</v>
      </c>
      <c r="R183" s="285">
        <v>0</v>
      </c>
      <c r="S183" s="285">
        <v>0</v>
      </c>
      <c r="T183" s="285">
        <v>0</v>
      </c>
      <c r="U183" s="410" t="e">
        <v>#DIV/0!</v>
      </c>
      <c r="V183" s="285">
        <v>0</v>
      </c>
      <c r="W183" s="285">
        <v>0</v>
      </c>
      <c r="X183" s="285">
        <v>0</v>
      </c>
      <c r="Y183" s="285">
        <v>0</v>
      </c>
      <c r="Z183" s="285">
        <v>0</v>
      </c>
      <c r="AA183" s="285">
        <v>0</v>
      </c>
    </row>
    <row r="184" spans="1:27" x14ac:dyDescent="0.2">
      <c r="A184" s="398"/>
      <c r="B184" s="404" t="s">
        <v>572</v>
      </c>
      <c r="C184" s="405">
        <v>0</v>
      </c>
      <c r="D184" s="405">
        <v>0</v>
      </c>
      <c r="E184" s="405">
        <v>0</v>
      </c>
      <c r="F184" s="405">
        <v>0</v>
      </c>
      <c r="G184" s="405">
        <v>0</v>
      </c>
      <c r="H184" s="405">
        <v>0</v>
      </c>
      <c r="I184" s="405">
        <v>0</v>
      </c>
      <c r="J184" s="405">
        <v>0</v>
      </c>
      <c r="K184" s="405">
        <v>0</v>
      </c>
      <c r="L184" s="405">
        <v>0</v>
      </c>
      <c r="M184" s="405">
        <v>0</v>
      </c>
      <c r="N184" s="405">
        <v>0</v>
      </c>
      <c r="O184" s="405">
        <v>0</v>
      </c>
      <c r="P184" s="405">
        <v>0</v>
      </c>
      <c r="Q184" s="405">
        <v>0</v>
      </c>
      <c r="R184" s="405">
        <v>0</v>
      </c>
      <c r="S184" s="405">
        <v>0</v>
      </c>
      <c r="T184" s="406">
        <v>0</v>
      </c>
      <c r="U184" s="407" t="e">
        <v>#DIV/0!</v>
      </c>
      <c r="V184" s="406">
        <v>0</v>
      </c>
      <c r="W184" s="406">
        <v>0</v>
      </c>
      <c r="X184" s="406">
        <v>0</v>
      </c>
      <c r="Y184" s="406">
        <v>0</v>
      </c>
      <c r="Z184" s="406">
        <v>0</v>
      </c>
      <c r="AA184" s="406">
        <v>0</v>
      </c>
    </row>
    <row r="185" spans="1:27" x14ac:dyDescent="0.2">
      <c r="A185" s="398" t="s">
        <v>1267</v>
      </c>
      <c r="B185" s="412" t="s">
        <v>573</v>
      </c>
      <c r="C185" s="253">
        <v>0</v>
      </c>
      <c r="D185" s="253">
        <v>0</v>
      </c>
      <c r="E185" s="253">
        <v>0</v>
      </c>
      <c r="F185" s="253">
        <v>0</v>
      </c>
      <c r="G185" s="253">
        <v>0</v>
      </c>
      <c r="H185" s="285">
        <v>0</v>
      </c>
      <c r="I185" s="285">
        <v>0</v>
      </c>
      <c r="J185" s="285">
        <v>0</v>
      </c>
      <c r="K185" s="285">
        <v>0</v>
      </c>
      <c r="L185" s="285">
        <v>0</v>
      </c>
      <c r="M185" s="285">
        <v>0</v>
      </c>
      <c r="N185" s="285">
        <v>0</v>
      </c>
      <c r="O185" s="285">
        <v>0</v>
      </c>
      <c r="P185" s="285">
        <v>0</v>
      </c>
      <c r="Q185" s="285">
        <v>0</v>
      </c>
      <c r="R185" s="285">
        <v>0</v>
      </c>
      <c r="S185" s="285">
        <v>0</v>
      </c>
      <c r="T185" s="285">
        <v>0</v>
      </c>
      <c r="U185" s="410" t="e">
        <v>#DIV/0!</v>
      </c>
      <c r="V185" s="285">
        <v>0</v>
      </c>
      <c r="W185" s="285">
        <v>0</v>
      </c>
      <c r="X185" s="285">
        <v>0</v>
      </c>
      <c r="Y185" s="285">
        <v>0</v>
      </c>
      <c r="Z185" s="285">
        <v>0</v>
      </c>
      <c r="AA185" s="285">
        <v>0</v>
      </c>
    </row>
    <row r="186" spans="1:27" x14ac:dyDescent="0.2">
      <c r="A186" s="398" t="s">
        <v>1268</v>
      </c>
      <c r="B186" s="412" t="s">
        <v>574</v>
      </c>
      <c r="C186" s="253">
        <v>0</v>
      </c>
      <c r="D186" s="253">
        <v>0</v>
      </c>
      <c r="E186" s="253">
        <v>0</v>
      </c>
      <c r="F186" s="253">
        <v>0</v>
      </c>
      <c r="G186" s="253">
        <v>0</v>
      </c>
      <c r="H186" s="285">
        <v>0</v>
      </c>
      <c r="I186" s="285">
        <v>0</v>
      </c>
      <c r="J186" s="285">
        <v>0</v>
      </c>
      <c r="K186" s="285">
        <v>0</v>
      </c>
      <c r="L186" s="285">
        <v>0</v>
      </c>
      <c r="M186" s="285">
        <v>0</v>
      </c>
      <c r="N186" s="285">
        <v>0</v>
      </c>
      <c r="O186" s="285">
        <v>0</v>
      </c>
      <c r="P186" s="285">
        <v>0</v>
      </c>
      <c r="Q186" s="285">
        <v>0</v>
      </c>
      <c r="R186" s="285">
        <v>0</v>
      </c>
      <c r="S186" s="285">
        <v>0</v>
      </c>
      <c r="T186" s="285">
        <v>0</v>
      </c>
      <c r="U186" s="410" t="e">
        <v>#DIV/0!</v>
      </c>
      <c r="V186" s="285">
        <v>0</v>
      </c>
      <c r="W186" s="285">
        <v>0</v>
      </c>
      <c r="X186" s="285">
        <v>0</v>
      </c>
      <c r="Y186" s="285">
        <v>0</v>
      </c>
      <c r="Z186" s="285">
        <v>0</v>
      </c>
      <c r="AA186" s="285">
        <v>0</v>
      </c>
    </row>
    <row r="187" spans="1:27" x14ac:dyDescent="0.2">
      <c r="A187" s="398" t="s">
        <v>1269</v>
      </c>
      <c r="B187" s="412" t="s">
        <v>575</v>
      </c>
      <c r="C187" s="253">
        <v>0</v>
      </c>
      <c r="D187" s="253">
        <v>0</v>
      </c>
      <c r="E187" s="253">
        <v>0</v>
      </c>
      <c r="F187" s="253">
        <v>0</v>
      </c>
      <c r="G187" s="253">
        <v>0</v>
      </c>
      <c r="H187" s="285">
        <v>0</v>
      </c>
      <c r="I187" s="285">
        <v>0</v>
      </c>
      <c r="J187" s="285">
        <v>0</v>
      </c>
      <c r="K187" s="285">
        <v>0</v>
      </c>
      <c r="L187" s="285">
        <v>0</v>
      </c>
      <c r="M187" s="285">
        <v>0</v>
      </c>
      <c r="N187" s="285">
        <v>0</v>
      </c>
      <c r="O187" s="285">
        <v>0</v>
      </c>
      <c r="P187" s="285">
        <v>0</v>
      </c>
      <c r="Q187" s="285">
        <v>0</v>
      </c>
      <c r="R187" s="285">
        <v>0</v>
      </c>
      <c r="S187" s="285">
        <v>0</v>
      </c>
      <c r="T187" s="285">
        <v>0</v>
      </c>
      <c r="U187" s="410" t="e">
        <v>#DIV/0!</v>
      </c>
      <c r="V187" s="285">
        <v>0</v>
      </c>
      <c r="W187" s="285">
        <v>0</v>
      </c>
      <c r="X187" s="285">
        <v>0</v>
      </c>
      <c r="Y187" s="285">
        <v>0</v>
      </c>
      <c r="Z187" s="285">
        <v>0</v>
      </c>
      <c r="AA187" s="285">
        <v>0</v>
      </c>
    </row>
    <row r="188" spans="1:27" x14ac:dyDescent="0.2">
      <c r="A188" s="398" t="s">
        <v>1270</v>
      </c>
      <c r="B188" s="412" t="s">
        <v>576</v>
      </c>
      <c r="C188" s="253">
        <v>0</v>
      </c>
      <c r="D188" s="253">
        <v>0</v>
      </c>
      <c r="E188" s="253">
        <v>0</v>
      </c>
      <c r="F188" s="253">
        <v>0</v>
      </c>
      <c r="G188" s="253">
        <v>0</v>
      </c>
      <c r="H188" s="285">
        <v>0</v>
      </c>
      <c r="I188" s="285">
        <v>0</v>
      </c>
      <c r="J188" s="285">
        <v>0</v>
      </c>
      <c r="K188" s="285">
        <v>0</v>
      </c>
      <c r="L188" s="285">
        <v>0</v>
      </c>
      <c r="M188" s="285">
        <v>0</v>
      </c>
      <c r="N188" s="285">
        <v>0</v>
      </c>
      <c r="O188" s="285">
        <v>0</v>
      </c>
      <c r="P188" s="285">
        <v>0</v>
      </c>
      <c r="Q188" s="285">
        <v>0</v>
      </c>
      <c r="R188" s="285">
        <v>0</v>
      </c>
      <c r="S188" s="285">
        <v>0</v>
      </c>
      <c r="T188" s="285">
        <v>0</v>
      </c>
      <c r="U188" s="410" t="e">
        <v>#DIV/0!</v>
      </c>
      <c r="V188" s="285">
        <v>0</v>
      </c>
      <c r="W188" s="285">
        <v>0</v>
      </c>
      <c r="X188" s="285">
        <v>0</v>
      </c>
      <c r="Y188" s="285">
        <v>0</v>
      </c>
      <c r="Z188" s="285">
        <v>0</v>
      </c>
      <c r="AA188" s="285">
        <v>0</v>
      </c>
    </row>
    <row r="189" spans="1:27" x14ac:dyDescent="0.2">
      <c r="A189" s="398" t="s">
        <v>1271</v>
      </c>
      <c r="B189" s="412" t="s">
        <v>577</v>
      </c>
      <c r="C189" s="253">
        <v>0</v>
      </c>
      <c r="D189" s="253">
        <v>0</v>
      </c>
      <c r="E189" s="253">
        <v>0</v>
      </c>
      <c r="F189" s="253">
        <v>0</v>
      </c>
      <c r="G189" s="253">
        <v>0</v>
      </c>
      <c r="H189" s="285">
        <v>0</v>
      </c>
      <c r="I189" s="285">
        <v>0</v>
      </c>
      <c r="J189" s="285">
        <v>0</v>
      </c>
      <c r="K189" s="285">
        <v>0</v>
      </c>
      <c r="L189" s="285">
        <v>0</v>
      </c>
      <c r="M189" s="285">
        <v>0</v>
      </c>
      <c r="N189" s="285">
        <v>0</v>
      </c>
      <c r="O189" s="285">
        <v>0</v>
      </c>
      <c r="P189" s="285">
        <v>0</v>
      </c>
      <c r="Q189" s="285">
        <v>0</v>
      </c>
      <c r="R189" s="285">
        <v>0</v>
      </c>
      <c r="S189" s="285">
        <v>0</v>
      </c>
      <c r="T189" s="285">
        <v>0</v>
      </c>
      <c r="U189" s="410" t="e">
        <v>#DIV/0!</v>
      </c>
      <c r="V189" s="285">
        <v>0</v>
      </c>
      <c r="W189" s="285">
        <v>0</v>
      </c>
      <c r="X189" s="285">
        <v>0</v>
      </c>
      <c r="Y189" s="285">
        <v>0</v>
      </c>
      <c r="Z189" s="285">
        <v>0</v>
      </c>
      <c r="AA189" s="285">
        <v>0</v>
      </c>
    </row>
    <row r="190" spans="1:27" ht="24" x14ac:dyDescent="0.2">
      <c r="A190" s="398" t="s">
        <v>1272</v>
      </c>
      <c r="B190" s="412" t="s">
        <v>578</v>
      </c>
      <c r="C190" s="253">
        <v>0</v>
      </c>
      <c r="D190" s="253">
        <v>0</v>
      </c>
      <c r="E190" s="253">
        <v>0</v>
      </c>
      <c r="F190" s="253">
        <v>0</v>
      </c>
      <c r="G190" s="253">
        <v>0</v>
      </c>
      <c r="H190" s="285">
        <v>0</v>
      </c>
      <c r="I190" s="285">
        <v>0</v>
      </c>
      <c r="J190" s="285">
        <v>0</v>
      </c>
      <c r="K190" s="285">
        <v>0</v>
      </c>
      <c r="L190" s="285">
        <v>0</v>
      </c>
      <c r="M190" s="285">
        <v>0</v>
      </c>
      <c r="N190" s="285">
        <v>0</v>
      </c>
      <c r="O190" s="285">
        <v>0</v>
      </c>
      <c r="P190" s="285">
        <v>0</v>
      </c>
      <c r="Q190" s="285">
        <v>0</v>
      </c>
      <c r="R190" s="285">
        <v>0</v>
      </c>
      <c r="S190" s="285">
        <v>0</v>
      </c>
      <c r="T190" s="285">
        <v>0</v>
      </c>
      <c r="U190" s="410" t="e">
        <v>#DIV/0!</v>
      </c>
      <c r="V190" s="285">
        <v>0</v>
      </c>
      <c r="W190" s="285">
        <v>0</v>
      </c>
      <c r="X190" s="285">
        <v>0</v>
      </c>
      <c r="Y190" s="285">
        <v>0</v>
      </c>
      <c r="Z190" s="285">
        <v>0</v>
      </c>
      <c r="AA190" s="285">
        <v>0</v>
      </c>
    </row>
    <row r="191" spans="1:27" x14ac:dyDescent="0.2">
      <c r="A191" s="398" t="s">
        <v>1273</v>
      </c>
      <c r="B191" s="412" t="s">
        <v>579</v>
      </c>
      <c r="C191" s="253">
        <v>0</v>
      </c>
      <c r="D191" s="253">
        <v>0</v>
      </c>
      <c r="E191" s="253">
        <v>0</v>
      </c>
      <c r="F191" s="253">
        <v>0</v>
      </c>
      <c r="G191" s="253">
        <v>0</v>
      </c>
      <c r="H191" s="285">
        <v>0</v>
      </c>
      <c r="I191" s="285">
        <v>0</v>
      </c>
      <c r="J191" s="285">
        <v>0</v>
      </c>
      <c r="K191" s="285">
        <v>0</v>
      </c>
      <c r="L191" s="285">
        <v>0</v>
      </c>
      <c r="M191" s="285">
        <v>0</v>
      </c>
      <c r="N191" s="285">
        <v>0</v>
      </c>
      <c r="O191" s="285">
        <v>0</v>
      </c>
      <c r="P191" s="285">
        <v>0</v>
      </c>
      <c r="Q191" s="285">
        <v>0</v>
      </c>
      <c r="R191" s="285">
        <v>0</v>
      </c>
      <c r="S191" s="285">
        <v>0</v>
      </c>
      <c r="T191" s="285">
        <v>0</v>
      </c>
      <c r="U191" s="410" t="e">
        <v>#DIV/0!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  <c r="AA191" s="285">
        <v>0</v>
      </c>
    </row>
    <row r="192" spans="1:27" x14ac:dyDescent="0.2">
      <c r="A192" s="398" t="s">
        <v>1274</v>
      </c>
      <c r="B192" s="412" t="s">
        <v>580</v>
      </c>
      <c r="C192" s="253">
        <v>0</v>
      </c>
      <c r="D192" s="253">
        <v>0</v>
      </c>
      <c r="E192" s="253">
        <v>0</v>
      </c>
      <c r="F192" s="253">
        <v>0</v>
      </c>
      <c r="G192" s="253">
        <v>0</v>
      </c>
      <c r="H192" s="285">
        <v>0</v>
      </c>
      <c r="I192" s="285">
        <v>0</v>
      </c>
      <c r="J192" s="285">
        <v>0</v>
      </c>
      <c r="K192" s="285">
        <v>0</v>
      </c>
      <c r="L192" s="285">
        <v>0</v>
      </c>
      <c r="M192" s="285">
        <v>0</v>
      </c>
      <c r="N192" s="285">
        <v>0</v>
      </c>
      <c r="O192" s="285">
        <v>0</v>
      </c>
      <c r="P192" s="285">
        <v>0</v>
      </c>
      <c r="Q192" s="285">
        <v>0</v>
      </c>
      <c r="R192" s="285">
        <v>0</v>
      </c>
      <c r="S192" s="285">
        <v>0</v>
      </c>
      <c r="T192" s="285">
        <v>0</v>
      </c>
      <c r="U192" s="410" t="e">
        <v>#DIV/0!</v>
      </c>
      <c r="V192" s="285">
        <v>0</v>
      </c>
      <c r="W192" s="285">
        <v>0</v>
      </c>
      <c r="X192" s="285">
        <v>0</v>
      </c>
      <c r="Y192" s="285">
        <v>0</v>
      </c>
      <c r="Z192" s="285">
        <v>0</v>
      </c>
      <c r="AA192" s="285">
        <v>0</v>
      </c>
    </row>
    <row r="193" spans="1:27" x14ac:dyDescent="0.2">
      <c r="A193" s="398" t="s">
        <v>1275</v>
      </c>
      <c r="B193" s="412" t="s">
        <v>581</v>
      </c>
      <c r="C193" s="253">
        <v>0</v>
      </c>
      <c r="D193" s="253">
        <v>0</v>
      </c>
      <c r="E193" s="253">
        <v>0</v>
      </c>
      <c r="F193" s="253">
        <v>0</v>
      </c>
      <c r="G193" s="253">
        <v>0</v>
      </c>
      <c r="H193" s="285">
        <v>0</v>
      </c>
      <c r="I193" s="285">
        <v>0</v>
      </c>
      <c r="J193" s="285">
        <v>0</v>
      </c>
      <c r="K193" s="285">
        <v>0</v>
      </c>
      <c r="L193" s="285">
        <v>0</v>
      </c>
      <c r="M193" s="285">
        <v>0</v>
      </c>
      <c r="N193" s="285">
        <v>0</v>
      </c>
      <c r="O193" s="285">
        <v>0</v>
      </c>
      <c r="P193" s="285">
        <v>0</v>
      </c>
      <c r="Q193" s="285">
        <v>0</v>
      </c>
      <c r="R193" s="285">
        <v>0</v>
      </c>
      <c r="S193" s="285">
        <v>0</v>
      </c>
      <c r="T193" s="285">
        <v>0</v>
      </c>
      <c r="U193" s="410" t="e">
        <v>#DIV/0!</v>
      </c>
      <c r="V193" s="285">
        <v>0</v>
      </c>
      <c r="W193" s="285">
        <v>0</v>
      </c>
      <c r="X193" s="285">
        <v>0</v>
      </c>
      <c r="Y193" s="285">
        <v>0</v>
      </c>
      <c r="Z193" s="285">
        <v>0</v>
      </c>
      <c r="AA193" s="285">
        <v>0</v>
      </c>
    </row>
    <row r="194" spans="1:27" x14ac:dyDescent="0.2">
      <c r="A194" s="398" t="s">
        <v>1276</v>
      </c>
      <c r="B194" s="412" t="s">
        <v>582</v>
      </c>
      <c r="C194" s="253">
        <v>0</v>
      </c>
      <c r="D194" s="253">
        <v>0</v>
      </c>
      <c r="E194" s="253">
        <v>0</v>
      </c>
      <c r="F194" s="253">
        <v>0</v>
      </c>
      <c r="G194" s="253">
        <v>0</v>
      </c>
      <c r="H194" s="285">
        <v>0</v>
      </c>
      <c r="I194" s="285">
        <v>0</v>
      </c>
      <c r="J194" s="285">
        <v>0</v>
      </c>
      <c r="K194" s="285">
        <v>0</v>
      </c>
      <c r="L194" s="285">
        <v>0</v>
      </c>
      <c r="M194" s="285">
        <v>0</v>
      </c>
      <c r="N194" s="285">
        <v>0</v>
      </c>
      <c r="O194" s="285">
        <v>0</v>
      </c>
      <c r="P194" s="285">
        <v>0</v>
      </c>
      <c r="Q194" s="285">
        <v>0</v>
      </c>
      <c r="R194" s="285">
        <v>0</v>
      </c>
      <c r="S194" s="285">
        <v>0</v>
      </c>
      <c r="T194" s="285">
        <v>0</v>
      </c>
      <c r="U194" s="410" t="e">
        <v>#DIV/0!</v>
      </c>
      <c r="V194" s="285">
        <v>0</v>
      </c>
      <c r="W194" s="285">
        <v>0</v>
      </c>
      <c r="X194" s="285">
        <v>0</v>
      </c>
      <c r="Y194" s="285">
        <v>0</v>
      </c>
      <c r="Z194" s="285">
        <v>0</v>
      </c>
      <c r="AA194" s="285">
        <v>0</v>
      </c>
    </row>
    <row r="195" spans="1:27" x14ac:dyDescent="0.2">
      <c r="A195" s="398" t="s">
        <v>1277</v>
      </c>
      <c r="B195" s="412" t="s">
        <v>583</v>
      </c>
      <c r="C195" s="253">
        <v>0</v>
      </c>
      <c r="D195" s="253">
        <v>0</v>
      </c>
      <c r="E195" s="253">
        <v>0</v>
      </c>
      <c r="F195" s="253">
        <v>0</v>
      </c>
      <c r="G195" s="253">
        <v>0</v>
      </c>
      <c r="H195" s="285">
        <v>0</v>
      </c>
      <c r="I195" s="285">
        <v>0</v>
      </c>
      <c r="J195" s="285">
        <v>0</v>
      </c>
      <c r="K195" s="285">
        <v>0</v>
      </c>
      <c r="L195" s="285">
        <v>0</v>
      </c>
      <c r="M195" s="285">
        <v>0</v>
      </c>
      <c r="N195" s="285">
        <v>0</v>
      </c>
      <c r="O195" s="285">
        <v>0</v>
      </c>
      <c r="P195" s="285">
        <v>0</v>
      </c>
      <c r="Q195" s="285">
        <v>0</v>
      </c>
      <c r="R195" s="285">
        <v>0</v>
      </c>
      <c r="S195" s="285">
        <v>0</v>
      </c>
      <c r="T195" s="285">
        <v>0</v>
      </c>
      <c r="U195" s="410" t="e">
        <v>#DIV/0!</v>
      </c>
      <c r="V195" s="285">
        <v>0</v>
      </c>
      <c r="W195" s="285">
        <v>0</v>
      </c>
      <c r="X195" s="285">
        <v>0</v>
      </c>
      <c r="Y195" s="285">
        <v>0</v>
      </c>
      <c r="Z195" s="285">
        <v>0</v>
      </c>
      <c r="AA195" s="285">
        <v>0</v>
      </c>
    </row>
    <row r="196" spans="1:27" x14ac:dyDescent="0.2">
      <c r="A196" s="398" t="s">
        <v>1278</v>
      </c>
      <c r="B196" s="412" t="s">
        <v>584</v>
      </c>
      <c r="C196" s="253">
        <v>0</v>
      </c>
      <c r="D196" s="253">
        <v>0</v>
      </c>
      <c r="E196" s="253">
        <v>0</v>
      </c>
      <c r="F196" s="253">
        <v>0</v>
      </c>
      <c r="G196" s="253">
        <v>0</v>
      </c>
      <c r="H196" s="285">
        <v>0</v>
      </c>
      <c r="I196" s="285">
        <v>0</v>
      </c>
      <c r="J196" s="285">
        <v>0</v>
      </c>
      <c r="K196" s="285">
        <v>0</v>
      </c>
      <c r="L196" s="285">
        <v>0</v>
      </c>
      <c r="M196" s="285">
        <v>0</v>
      </c>
      <c r="N196" s="285">
        <v>0</v>
      </c>
      <c r="O196" s="285">
        <v>0</v>
      </c>
      <c r="P196" s="285">
        <v>0</v>
      </c>
      <c r="Q196" s="285">
        <v>0</v>
      </c>
      <c r="R196" s="285">
        <v>0</v>
      </c>
      <c r="S196" s="285">
        <v>0</v>
      </c>
      <c r="T196" s="285">
        <v>0</v>
      </c>
      <c r="U196" s="410" t="e">
        <v>#DIV/0!</v>
      </c>
      <c r="V196" s="285">
        <v>0</v>
      </c>
      <c r="W196" s="285">
        <v>0</v>
      </c>
      <c r="X196" s="285">
        <v>0</v>
      </c>
      <c r="Y196" s="285">
        <v>0</v>
      </c>
      <c r="Z196" s="285">
        <v>0</v>
      </c>
      <c r="AA196" s="285">
        <v>0</v>
      </c>
    </row>
    <row r="197" spans="1:27" x14ac:dyDescent="0.2">
      <c r="A197" s="398" t="s">
        <v>1279</v>
      </c>
      <c r="B197" s="412" t="s">
        <v>585</v>
      </c>
      <c r="C197" s="253">
        <v>0</v>
      </c>
      <c r="D197" s="253">
        <v>0</v>
      </c>
      <c r="E197" s="253">
        <v>0</v>
      </c>
      <c r="F197" s="253">
        <v>0</v>
      </c>
      <c r="G197" s="253">
        <v>0</v>
      </c>
      <c r="H197" s="285">
        <v>0</v>
      </c>
      <c r="I197" s="285">
        <v>0</v>
      </c>
      <c r="J197" s="285">
        <v>0</v>
      </c>
      <c r="K197" s="285">
        <v>0</v>
      </c>
      <c r="L197" s="285">
        <v>0</v>
      </c>
      <c r="M197" s="285">
        <v>0</v>
      </c>
      <c r="N197" s="285">
        <v>0</v>
      </c>
      <c r="O197" s="285">
        <v>0</v>
      </c>
      <c r="P197" s="285">
        <v>0</v>
      </c>
      <c r="Q197" s="285">
        <v>0</v>
      </c>
      <c r="R197" s="285">
        <v>0</v>
      </c>
      <c r="S197" s="285">
        <v>0</v>
      </c>
      <c r="T197" s="285">
        <v>0</v>
      </c>
      <c r="U197" s="410" t="e">
        <v>#DIV/0!</v>
      </c>
      <c r="V197" s="285">
        <v>0</v>
      </c>
      <c r="W197" s="285">
        <v>0</v>
      </c>
      <c r="X197" s="285">
        <v>0</v>
      </c>
      <c r="Y197" s="285">
        <v>0</v>
      </c>
      <c r="Z197" s="285">
        <v>0</v>
      </c>
      <c r="AA197" s="285">
        <v>0</v>
      </c>
    </row>
    <row r="198" spans="1:27" x14ac:dyDescent="0.2">
      <c r="A198" s="398" t="s">
        <v>1280</v>
      </c>
      <c r="B198" s="412" t="s">
        <v>586</v>
      </c>
      <c r="C198" s="253">
        <v>0</v>
      </c>
      <c r="D198" s="253">
        <v>0</v>
      </c>
      <c r="E198" s="253">
        <v>0</v>
      </c>
      <c r="F198" s="253">
        <v>0</v>
      </c>
      <c r="G198" s="253">
        <v>0</v>
      </c>
      <c r="H198" s="285">
        <v>0</v>
      </c>
      <c r="I198" s="285">
        <v>0</v>
      </c>
      <c r="J198" s="285">
        <v>0</v>
      </c>
      <c r="K198" s="285">
        <v>0</v>
      </c>
      <c r="L198" s="285">
        <v>0</v>
      </c>
      <c r="M198" s="285">
        <v>0</v>
      </c>
      <c r="N198" s="285">
        <v>0</v>
      </c>
      <c r="O198" s="285">
        <v>0</v>
      </c>
      <c r="P198" s="285">
        <v>0</v>
      </c>
      <c r="Q198" s="285">
        <v>0</v>
      </c>
      <c r="R198" s="285">
        <v>0</v>
      </c>
      <c r="S198" s="285">
        <v>0</v>
      </c>
      <c r="T198" s="285">
        <v>0</v>
      </c>
      <c r="U198" s="410" t="e">
        <v>#DIV/0!</v>
      </c>
      <c r="V198" s="285">
        <v>0</v>
      </c>
      <c r="W198" s="285">
        <v>0</v>
      </c>
      <c r="X198" s="285">
        <v>0</v>
      </c>
      <c r="Y198" s="285">
        <v>0</v>
      </c>
      <c r="Z198" s="285">
        <v>0</v>
      </c>
      <c r="AA198" s="285">
        <v>0</v>
      </c>
    </row>
    <row r="199" spans="1:27" x14ac:dyDescent="0.2">
      <c r="A199" s="398" t="s">
        <v>1281</v>
      </c>
      <c r="B199" s="412" t="s">
        <v>587</v>
      </c>
      <c r="C199" s="253">
        <v>0</v>
      </c>
      <c r="D199" s="253">
        <v>0</v>
      </c>
      <c r="E199" s="253">
        <v>0</v>
      </c>
      <c r="F199" s="253">
        <v>0</v>
      </c>
      <c r="G199" s="253">
        <v>0</v>
      </c>
      <c r="H199" s="285">
        <v>0</v>
      </c>
      <c r="I199" s="285">
        <v>0</v>
      </c>
      <c r="J199" s="285">
        <v>0</v>
      </c>
      <c r="K199" s="285">
        <v>0</v>
      </c>
      <c r="L199" s="285">
        <v>0</v>
      </c>
      <c r="M199" s="285">
        <v>0</v>
      </c>
      <c r="N199" s="285">
        <v>0</v>
      </c>
      <c r="O199" s="285">
        <v>0</v>
      </c>
      <c r="P199" s="285">
        <v>0</v>
      </c>
      <c r="Q199" s="285">
        <v>0</v>
      </c>
      <c r="R199" s="285">
        <v>0</v>
      </c>
      <c r="S199" s="285">
        <v>0</v>
      </c>
      <c r="T199" s="285">
        <v>0</v>
      </c>
      <c r="U199" s="410" t="e">
        <v>#DIV/0!</v>
      </c>
      <c r="V199" s="285">
        <v>0</v>
      </c>
      <c r="W199" s="285">
        <v>0</v>
      </c>
      <c r="X199" s="285">
        <v>0</v>
      </c>
      <c r="Y199" s="285">
        <v>0</v>
      </c>
      <c r="Z199" s="285">
        <v>0</v>
      </c>
      <c r="AA199" s="285">
        <v>0</v>
      </c>
    </row>
    <row r="200" spans="1:27" x14ac:dyDescent="0.2">
      <c r="A200" s="398" t="s">
        <v>1282</v>
      </c>
      <c r="B200" s="412" t="s">
        <v>588</v>
      </c>
      <c r="C200" s="253">
        <v>0</v>
      </c>
      <c r="D200" s="253">
        <v>0</v>
      </c>
      <c r="E200" s="253">
        <v>0</v>
      </c>
      <c r="F200" s="253">
        <v>0</v>
      </c>
      <c r="G200" s="253">
        <v>0</v>
      </c>
      <c r="H200" s="285">
        <v>0</v>
      </c>
      <c r="I200" s="285">
        <v>0</v>
      </c>
      <c r="J200" s="285">
        <v>0</v>
      </c>
      <c r="K200" s="285">
        <v>0</v>
      </c>
      <c r="L200" s="285">
        <v>0</v>
      </c>
      <c r="M200" s="285">
        <v>0</v>
      </c>
      <c r="N200" s="285">
        <v>0</v>
      </c>
      <c r="O200" s="285">
        <v>0</v>
      </c>
      <c r="P200" s="285">
        <v>0</v>
      </c>
      <c r="Q200" s="285">
        <v>0</v>
      </c>
      <c r="R200" s="285">
        <v>0</v>
      </c>
      <c r="S200" s="285">
        <v>0</v>
      </c>
      <c r="T200" s="285">
        <v>0</v>
      </c>
      <c r="U200" s="410" t="e">
        <v>#DIV/0!</v>
      </c>
      <c r="V200" s="285">
        <v>0</v>
      </c>
      <c r="W200" s="285">
        <v>0</v>
      </c>
      <c r="X200" s="285">
        <v>0</v>
      </c>
      <c r="Y200" s="285">
        <v>0</v>
      </c>
      <c r="Z200" s="285">
        <v>0</v>
      </c>
      <c r="AA200" s="285">
        <v>0</v>
      </c>
    </row>
    <row r="201" spans="1:27" x14ac:dyDescent="0.2">
      <c r="A201" s="398" t="s">
        <v>1283</v>
      </c>
      <c r="B201" s="412" t="s">
        <v>589</v>
      </c>
      <c r="C201" s="253">
        <v>0</v>
      </c>
      <c r="D201" s="253">
        <v>0</v>
      </c>
      <c r="E201" s="253">
        <v>0</v>
      </c>
      <c r="F201" s="253">
        <v>0</v>
      </c>
      <c r="G201" s="253">
        <v>0</v>
      </c>
      <c r="H201" s="285">
        <v>0</v>
      </c>
      <c r="I201" s="285">
        <v>0</v>
      </c>
      <c r="J201" s="285">
        <v>0</v>
      </c>
      <c r="K201" s="285">
        <v>0</v>
      </c>
      <c r="L201" s="285">
        <v>0</v>
      </c>
      <c r="M201" s="285">
        <v>0</v>
      </c>
      <c r="N201" s="285">
        <v>0</v>
      </c>
      <c r="O201" s="285">
        <v>0</v>
      </c>
      <c r="P201" s="285">
        <v>0</v>
      </c>
      <c r="Q201" s="285">
        <v>0</v>
      </c>
      <c r="R201" s="285">
        <v>0</v>
      </c>
      <c r="S201" s="285">
        <v>0</v>
      </c>
      <c r="T201" s="285">
        <v>0</v>
      </c>
      <c r="U201" s="410" t="e">
        <v>#DIV/0!</v>
      </c>
      <c r="V201" s="285">
        <v>0</v>
      </c>
      <c r="W201" s="285">
        <v>0</v>
      </c>
      <c r="X201" s="285">
        <v>0</v>
      </c>
      <c r="Y201" s="285">
        <v>0</v>
      </c>
      <c r="Z201" s="285">
        <v>0</v>
      </c>
      <c r="AA201" s="285">
        <v>0</v>
      </c>
    </row>
    <row r="202" spans="1:27" x14ac:dyDescent="0.2">
      <c r="A202" s="398" t="s">
        <v>1284</v>
      </c>
      <c r="B202" s="412" t="s">
        <v>590</v>
      </c>
      <c r="C202" s="253">
        <v>0</v>
      </c>
      <c r="D202" s="253">
        <v>0</v>
      </c>
      <c r="E202" s="253">
        <v>0</v>
      </c>
      <c r="F202" s="253">
        <v>0</v>
      </c>
      <c r="G202" s="253">
        <v>0</v>
      </c>
      <c r="H202" s="285">
        <v>0</v>
      </c>
      <c r="I202" s="285">
        <v>0</v>
      </c>
      <c r="J202" s="285">
        <v>0</v>
      </c>
      <c r="K202" s="285">
        <v>0</v>
      </c>
      <c r="L202" s="285">
        <v>0</v>
      </c>
      <c r="M202" s="285">
        <v>0</v>
      </c>
      <c r="N202" s="285">
        <v>0</v>
      </c>
      <c r="O202" s="285">
        <v>0</v>
      </c>
      <c r="P202" s="285">
        <v>0</v>
      </c>
      <c r="Q202" s="285">
        <v>0</v>
      </c>
      <c r="R202" s="285">
        <v>0</v>
      </c>
      <c r="S202" s="285">
        <v>0</v>
      </c>
      <c r="T202" s="285">
        <v>0</v>
      </c>
      <c r="U202" s="410" t="e">
        <v>#DIV/0!</v>
      </c>
      <c r="V202" s="285">
        <v>0</v>
      </c>
      <c r="W202" s="285">
        <v>0</v>
      </c>
      <c r="X202" s="285">
        <v>0</v>
      </c>
      <c r="Y202" s="285">
        <v>0</v>
      </c>
      <c r="Z202" s="285">
        <v>0</v>
      </c>
      <c r="AA202" s="285">
        <v>0</v>
      </c>
    </row>
    <row r="203" spans="1:27" x14ac:dyDescent="0.2">
      <c r="A203" s="398" t="s">
        <v>1285</v>
      </c>
      <c r="B203" s="412" t="s">
        <v>591</v>
      </c>
      <c r="C203" s="253">
        <v>0</v>
      </c>
      <c r="D203" s="253">
        <v>0</v>
      </c>
      <c r="E203" s="253">
        <v>0</v>
      </c>
      <c r="F203" s="253">
        <v>0</v>
      </c>
      <c r="G203" s="253">
        <v>0</v>
      </c>
      <c r="H203" s="285">
        <v>0</v>
      </c>
      <c r="I203" s="285">
        <v>0</v>
      </c>
      <c r="J203" s="285">
        <v>0</v>
      </c>
      <c r="K203" s="285">
        <v>0</v>
      </c>
      <c r="L203" s="285">
        <v>0</v>
      </c>
      <c r="M203" s="285">
        <v>0</v>
      </c>
      <c r="N203" s="285">
        <v>0</v>
      </c>
      <c r="O203" s="285">
        <v>0</v>
      </c>
      <c r="P203" s="285">
        <v>0</v>
      </c>
      <c r="Q203" s="285">
        <v>0</v>
      </c>
      <c r="R203" s="285">
        <v>0</v>
      </c>
      <c r="S203" s="285">
        <v>0</v>
      </c>
      <c r="T203" s="285">
        <v>0</v>
      </c>
      <c r="U203" s="410" t="e">
        <v>#DIV/0!</v>
      </c>
      <c r="V203" s="285">
        <v>0</v>
      </c>
      <c r="W203" s="285">
        <v>0</v>
      </c>
      <c r="X203" s="285">
        <v>0</v>
      </c>
      <c r="Y203" s="285">
        <v>0</v>
      </c>
      <c r="Z203" s="285">
        <v>0</v>
      </c>
      <c r="AA203" s="285">
        <v>0</v>
      </c>
    </row>
    <row r="204" spans="1:27" x14ac:dyDescent="0.2">
      <c r="A204" s="398" t="s">
        <v>1286</v>
      </c>
      <c r="B204" s="412" t="s">
        <v>592</v>
      </c>
      <c r="C204" s="253">
        <v>0</v>
      </c>
      <c r="D204" s="253">
        <v>0</v>
      </c>
      <c r="E204" s="253">
        <v>0</v>
      </c>
      <c r="F204" s="253">
        <v>0</v>
      </c>
      <c r="G204" s="253">
        <v>0</v>
      </c>
      <c r="H204" s="285">
        <v>0</v>
      </c>
      <c r="I204" s="285">
        <v>0</v>
      </c>
      <c r="J204" s="285">
        <v>0</v>
      </c>
      <c r="K204" s="285">
        <v>0</v>
      </c>
      <c r="L204" s="285">
        <v>0</v>
      </c>
      <c r="M204" s="285">
        <v>0</v>
      </c>
      <c r="N204" s="285">
        <v>0</v>
      </c>
      <c r="O204" s="285">
        <v>0</v>
      </c>
      <c r="P204" s="285">
        <v>0</v>
      </c>
      <c r="Q204" s="285">
        <v>0</v>
      </c>
      <c r="R204" s="285">
        <v>0</v>
      </c>
      <c r="S204" s="285">
        <v>0</v>
      </c>
      <c r="T204" s="285">
        <v>0</v>
      </c>
      <c r="U204" s="410" t="e">
        <v>#DIV/0!</v>
      </c>
      <c r="V204" s="285">
        <v>0</v>
      </c>
      <c r="W204" s="285">
        <v>0</v>
      </c>
      <c r="X204" s="285">
        <v>0</v>
      </c>
      <c r="Y204" s="285">
        <v>0</v>
      </c>
      <c r="Z204" s="285">
        <v>0</v>
      </c>
      <c r="AA204" s="285">
        <v>0</v>
      </c>
    </row>
    <row r="205" spans="1:27" x14ac:dyDescent="0.2">
      <c r="A205" s="398" t="s">
        <v>1287</v>
      </c>
      <c r="B205" s="412" t="s">
        <v>593</v>
      </c>
      <c r="C205" s="253">
        <v>0</v>
      </c>
      <c r="D205" s="253">
        <v>0</v>
      </c>
      <c r="E205" s="253">
        <v>0</v>
      </c>
      <c r="F205" s="253">
        <v>0</v>
      </c>
      <c r="G205" s="253">
        <v>0</v>
      </c>
      <c r="H205" s="285">
        <v>0</v>
      </c>
      <c r="I205" s="285">
        <v>0</v>
      </c>
      <c r="J205" s="285">
        <v>0</v>
      </c>
      <c r="K205" s="285">
        <v>0</v>
      </c>
      <c r="L205" s="285">
        <v>0</v>
      </c>
      <c r="M205" s="285">
        <v>0</v>
      </c>
      <c r="N205" s="285">
        <v>0</v>
      </c>
      <c r="O205" s="285">
        <v>0</v>
      </c>
      <c r="P205" s="285">
        <v>0</v>
      </c>
      <c r="Q205" s="285">
        <v>0</v>
      </c>
      <c r="R205" s="285">
        <v>0</v>
      </c>
      <c r="S205" s="285">
        <v>0</v>
      </c>
      <c r="T205" s="285">
        <v>0</v>
      </c>
      <c r="U205" s="410" t="e">
        <v>#DIV/0!</v>
      </c>
      <c r="V205" s="285">
        <v>0</v>
      </c>
      <c r="W205" s="285">
        <v>0</v>
      </c>
      <c r="X205" s="285">
        <v>0</v>
      </c>
      <c r="Y205" s="285">
        <v>0</v>
      </c>
      <c r="Z205" s="285">
        <v>0</v>
      </c>
      <c r="AA205" s="285">
        <v>0</v>
      </c>
    </row>
    <row r="206" spans="1:27" x14ac:dyDescent="0.2">
      <c r="A206" s="398" t="s">
        <v>1288</v>
      </c>
      <c r="B206" s="412" t="s">
        <v>594</v>
      </c>
      <c r="C206" s="253">
        <v>0</v>
      </c>
      <c r="D206" s="253">
        <v>0</v>
      </c>
      <c r="E206" s="253">
        <v>0</v>
      </c>
      <c r="F206" s="253">
        <v>0</v>
      </c>
      <c r="G206" s="253">
        <v>0</v>
      </c>
      <c r="H206" s="285">
        <v>0</v>
      </c>
      <c r="I206" s="285">
        <v>0</v>
      </c>
      <c r="J206" s="285">
        <v>0</v>
      </c>
      <c r="K206" s="285">
        <v>0</v>
      </c>
      <c r="L206" s="285">
        <v>0</v>
      </c>
      <c r="M206" s="285">
        <v>0</v>
      </c>
      <c r="N206" s="285">
        <v>0</v>
      </c>
      <c r="O206" s="285">
        <v>0</v>
      </c>
      <c r="P206" s="285">
        <v>0</v>
      </c>
      <c r="Q206" s="285">
        <v>0</v>
      </c>
      <c r="R206" s="285">
        <v>0</v>
      </c>
      <c r="S206" s="285">
        <v>0</v>
      </c>
      <c r="T206" s="285">
        <v>0</v>
      </c>
      <c r="U206" s="410" t="e">
        <v>#DIV/0!</v>
      </c>
      <c r="V206" s="285">
        <v>0</v>
      </c>
      <c r="W206" s="285">
        <v>0</v>
      </c>
      <c r="X206" s="285">
        <v>0</v>
      </c>
      <c r="Y206" s="285">
        <v>0</v>
      </c>
      <c r="Z206" s="285">
        <v>0</v>
      </c>
      <c r="AA206" s="285">
        <v>0</v>
      </c>
    </row>
    <row r="207" spans="1:27" x14ac:dyDescent="0.2">
      <c r="A207" s="398" t="s">
        <v>1289</v>
      </c>
      <c r="B207" s="412" t="s">
        <v>595</v>
      </c>
      <c r="C207" s="253">
        <v>0</v>
      </c>
      <c r="D207" s="253">
        <v>0</v>
      </c>
      <c r="E207" s="253">
        <v>0</v>
      </c>
      <c r="F207" s="253">
        <v>0</v>
      </c>
      <c r="G207" s="253">
        <v>0</v>
      </c>
      <c r="H207" s="285">
        <v>0</v>
      </c>
      <c r="I207" s="285">
        <v>0</v>
      </c>
      <c r="J207" s="285">
        <v>0</v>
      </c>
      <c r="K207" s="285">
        <v>0</v>
      </c>
      <c r="L207" s="285">
        <v>0</v>
      </c>
      <c r="M207" s="285">
        <v>0</v>
      </c>
      <c r="N207" s="285">
        <v>0</v>
      </c>
      <c r="O207" s="285">
        <v>0</v>
      </c>
      <c r="P207" s="285">
        <v>0</v>
      </c>
      <c r="Q207" s="285">
        <v>0</v>
      </c>
      <c r="R207" s="285">
        <v>0</v>
      </c>
      <c r="S207" s="285">
        <v>0</v>
      </c>
      <c r="T207" s="285">
        <v>0</v>
      </c>
      <c r="U207" s="410" t="e">
        <v>#DIV/0!</v>
      </c>
      <c r="V207" s="285">
        <v>0</v>
      </c>
      <c r="W207" s="285">
        <v>0</v>
      </c>
      <c r="X207" s="285">
        <v>0</v>
      </c>
      <c r="Y207" s="285">
        <v>0</v>
      </c>
      <c r="Z207" s="285">
        <v>0</v>
      </c>
      <c r="AA207" s="285">
        <v>0</v>
      </c>
    </row>
    <row r="208" spans="1:27" x14ac:dyDescent="0.2">
      <c r="A208" s="398" t="s">
        <v>1290</v>
      </c>
      <c r="B208" s="412" t="s">
        <v>596</v>
      </c>
      <c r="C208" s="253">
        <v>0</v>
      </c>
      <c r="D208" s="253">
        <v>0</v>
      </c>
      <c r="E208" s="253">
        <v>0</v>
      </c>
      <c r="F208" s="253">
        <v>0</v>
      </c>
      <c r="G208" s="253">
        <v>0</v>
      </c>
      <c r="H208" s="285">
        <v>0</v>
      </c>
      <c r="I208" s="285">
        <v>0</v>
      </c>
      <c r="J208" s="285">
        <v>0</v>
      </c>
      <c r="K208" s="285">
        <v>0</v>
      </c>
      <c r="L208" s="285">
        <v>0</v>
      </c>
      <c r="M208" s="285">
        <v>0</v>
      </c>
      <c r="N208" s="285">
        <v>0</v>
      </c>
      <c r="O208" s="285">
        <v>0</v>
      </c>
      <c r="P208" s="285">
        <v>0</v>
      </c>
      <c r="Q208" s="285">
        <v>0</v>
      </c>
      <c r="R208" s="285">
        <v>0</v>
      </c>
      <c r="S208" s="285">
        <v>0</v>
      </c>
      <c r="T208" s="285">
        <v>0</v>
      </c>
      <c r="U208" s="410" t="e">
        <v>#DIV/0!</v>
      </c>
      <c r="V208" s="285">
        <v>0</v>
      </c>
      <c r="W208" s="285">
        <v>0</v>
      </c>
      <c r="X208" s="285">
        <v>0</v>
      </c>
      <c r="Y208" s="285">
        <v>0</v>
      </c>
      <c r="Z208" s="285">
        <v>0</v>
      </c>
      <c r="AA208" s="285">
        <v>0</v>
      </c>
    </row>
    <row r="209" spans="1:27" x14ac:dyDescent="0.2">
      <c r="A209" s="398" t="s">
        <v>1291</v>
      </c>
      <c r="B209" s="412" t="s">
        <v>597</v>
      </c>
      <c r="C209" s="253">
        <v>0</v>
      </c>
      <c r="D209" s="253">
        <v>0</v>
      </c>
      <c r="E209" s="253">
        <v>0</v>
      </c>
      <c r="F209" s="253">
        <v>0</v>
      </c>
      <c r="G209" s="253">
        <v>0</v>
      </c>
      <c r="H209" s="285">
        <v>0</v>
      </c>
      <c r="I209" s="285">
        <v>0</v>
      </c>
      <c r="J209" s="285">
        <v>0</v>
      </c>
      <c r="K209" s="285">
        <v>0</v>
      </c>
      <c r="L209" s="285">
        <v>0</v>
      </c>
      <c r="M209" s="285">
        <v>0</v>
      </c>
      <c r="N209" s="285">
        <v>0</v>
      </c>
      <c r="O209" s="285">
        <v>0</v>
      </c>
      <c r="P209" s="285">
        <v>0</v>
      </c>
      <c r="Q209" s="285">
        <v>0</v>
      </c>
      <c r="R209" s="285">
        <v>0</v>
      </c>
      <c r="S209" s="285">
        <v>0</v>
      </c>
      <c r="T209" s="285">
        <v>0</v>
      </c>
      <c r="U209" s="410" t="e">
        <v>#DIV/0!</v>
      </c>
      <c r="V209" s="285">
        <v>0</v>
      </c>
      <c r="W209" s="285">
        <v>0</v>
      </c>
      <c r="X209" s="285">
        <v>0</v>
      </c>
      <c r="Y209" s="285">
        <v>0</v>
      </c>
      <c r="Z209" s="285">
        <v>0</v>
      </c>
      <c r="AA209" s="285">
        <v>0</v>
      </c>
    </row>
    <row r="210" spans="1:27" x14ac:dyDescent="0.2">
      <c r="A210" s="398" t="s">
        <v>1292</v>
      </c>
      <c r="B210" s="412" t="s">
        <v>598</v>
      </c>
      <c r="C210" s="253">
        <v>0</v>
      </c>
      <c r="D210" s="253">
        <v>0</v>
      </c>
      <c r="E210" s="253">
        <v>0</v>
      </c>
      <c r="F210" s="253">
        <v>0</v>
      </c>
      <c r="G210" s="253">
        <v>0</v>
      </c>
      <c r="H210" s="285">
        <v>0</v>
      </c>
      <c r="I210" s="285">
        <v>0</v>
      </c>
      <c r="J210" s="285">
        <v>0</v>
      </c>
      <c r="K210" s="285">
        <v>0</v>
      </c>
      <c r="L210" s="285">
        <v>0</v>
      </c>
      <c r="M210" s="285">
        <v>0</v>
      </c>
      <c r="N210" s="285">
        <v>0</v>
      </c>
      <c r="O210" s="285">
        <v>0</v>
      </c>
      <c r="P210" s="285">
        <v>0</v>
      </c>
      <c r="Q210" s="285">
        <v>0</v>
      </c>
      <c r="R210" s="285">
        <v>0</v>
      </c>
      <c r="S210" s="285">
        <v>0</v>
      </c>
      <c r="T210" s="285">
        <v>0</v>
      </c>
      <c r="U210" s="410" t="e">
        <v>#DIV/0!</v>
      </c>
      <c r="V210" s="285">
        <v>0</v>
      </c>
      <c r="W210" s="285">
        <v>0</v>
      </c>
      <c r="X210" s="285">
        <v>0</v>
      </c>
      <c r="Y210" s="285">
        <v>0</v>
      </c>
      <c r="Z210" s="285">
        <v>0</v>
      </c>
      <c r="AA210" s="285">
        <v>0</v>
      </c>
    </row>
    <row r="211" spans="1:27" ht="24" x14ac:dyDescent="0.2">
      <c r="A211" s="398" t="s">
        <v>1293</v>
      </c>
      <c r="B211" s="412" t="s">
        <v>599</v>
      </c>
      <c r="C211" s="253">
        <v>0</v>
      </c>
      <c r="D211" s="253">
        <v>0</v>
      </c>
      <c r="E211" s="253">
        <v>0</v>
      </c>
      <c r="F211" s="253">
        <v>0</v>
      </c>
      <c r="G211" s="253">
        <v>0</v>
      </c>
      <c r="H211" s="285">
        <v>0</v>
      </c>
      <c r="I211" s="285">
        <v>0</v>
      </c>
      <c r="J211" s="285">
        <v>0</v>
      </c>
      <c r="K211" s="285">
        <v>0</v>
      </c>
      <c r="L211" s="285">
        <v>0</v>
      </c>
      <c r="M211" s="285">
        <v>0</v>
      </c>
      <c r="N211" s="285">
        <v>0</v>
      </c>
      <c r="O211" s="285">
        <v>0</v>
      </c>
      <c r="P211" s="285">
        <v>0</v>
      </c>
      <c r="Q211" s="285">
        <v>0</v>
      </c>
      <c r="R211" s="285">
        <v>0</v>
      </c>
      <c r="S211" s="285">
        <v>0</v>
      </c>
      <c r="T211" s="285">
        <v>0</v>
      </c>
      <c r="U211" s="410" t="e">
        <v>#DIV/0!</v>
      </c>
      <c r="V211" s="285">
        <v>0</v>
      </c>
      <c r="W211" s="285">
        <v>0</v>
      </c>
      <c r="X211" s="285">
        <v>0</v>
      </c>
      <c r="Y211" s="285">
        <v>0</v>
      </c>
      <c r="Z211" s="285">
        <v>0</v>
      </c>
      <c r="AA211" s="285">
        <v>0</v>
      </c>
    </row>
    <row r="212" spans="1:27" x14ac:dyDescent="0.2">
      <c r="A212" s="398" t="s">
        <v>1294</v>
      </c>
      <c r="B212" s="412" t="s">
        <v>600</v>
      </c>
      <c r="C212" s="253">
        <v>0</v>
      </c>
      <c r="D212" s="253">
        <v>0</v>
      </c>
      <c r="E212" s="253">
        <v>0</v>
      </c>
      <c r="F212" s="253">
        <v>0</v>
      </c>
      <c r="G212" s="253">
        <v>0</v>
      </c>
      <c r="H212" s="285">
        <v>0</v>
      </c>
      <c r="I212" s="285">
        <v>0</v>
      </c>
      <c r="J212" s="285">
        <v>0</v>
      </c>
      <c r="K212" s="285">
        <v>0</v>
      </c>
      <c r="L212" s="285">
        <v>0</v>
      </c>
      <c r="M212" s="285">
        <v>0</v>
      </c>
      <c r="N212" s="285">
        <v>0</v>
      </c>
      <c r="O212" s="285">
        <v>0</v>
      </c>
      <c r="P212" s="285">
        <v>0</v>
      </c>
      <c r="Q212" s="285">
        <v>0</v>
      </c>
      <c r="R212" s="285">
        <v>0</v>
      </c>
      <c r="S212" s="285">
        <v>0</v>
      </c>
      <c r="T212" s="285">
        <v>0</v>
      </c>
      <c r="U212" s="410" t="e">
        <v>#DIV/0!</v>
      </c>
      <c r="V212" s="285">
        <v>0</v>
      </c>
      <c r="W212" s="285">
        <v>0</v>
      </c>
      <c r="X212" s="285">
        <v>0</v>
      </c>
      <c r="Y212" s="285">
        <v>0</v>
      </c>
      <c r="Z212" s="285">
        <v>0</v>
      </c>
      <c r="AA212" s="285">
        <v>0</v>
      </c>
    </row>
    <row r="213" spans="1:27" x14ac:dyDescent="0.2">
      <c r="A213" s="398" t="s">
        <v>1295</v>
      </c>
      <c r="B213" s="412" t="s">
        <v>601</v>
      </c>
      <c r="C213" s="253">
        <v>0</v>
      </c>
      <c r="D213" s="253">
        <v>0</v>
      </c>
      <c r="E213" s="253">
        <v>0</v>
      </c>
      <c r="F213" s="253">
        <v>0</v>
      </c>
      <c r="G213" s="253">
        <v>0</v>
      </c>
      <c r="H213" s="285">
        <v>0</v>
      </c>
      <c r="I213" s="285">
        <v>0</v>
      </c>
      <c r="J213" s="285">
        <v>0</v>
      </c>
      <c r="K213" s="285">
        <v>0</v>
      </c>
      <c r="L213" s="285">
        <v>0</v>
      </c>
      <c r="M213" s="285">
        <v>0</v>
      </c>
      <c r="N213" s="285">
        <v>0</v>
      </c>
      <c r="O213" s="285">
        <v>0</v>
      </c>
      <c r="P213" s="285">
        <v>0</v>
      </c>
      <c r="Q213" s="285">
        <v>0</v>
      </c>
      <c r="R213" s="285">
        <v>0</v>
      </c>
      <c r="S213" s="285">
        <v>0</v>
      </c>
      <c r="T213" s="285">
        <v>0</v>
      </c>
      <c r="U213" s="410" t="e">
        <v>#DIV/0!</v>
      </c>
      <c r="V213" s="285">
        <v>0</v>
      </c>
      <c r="W213" s="285">
        <v>0</v>
      </c>
      <c r="X213" s="285">
        <v>0</v>
      </c>
      <c r="Y213" s="285">
        <v>0</v>
      </c>
      <c r="Z213" s="285">
        <v>0</v>
      </c>
      <c r="AA213" s="285">
        <v>0</v>
      </c>
    </row>
    <row r="214" spans="1:27" x14ac:dyDescent="0.2">
      <c r="A214" s="398" t="s">
        <v>1296</v>
      </c>
      <c r="B214" s="412" t="s">
        <v>602</v>
      </c>
      <c r="C214" s="253">
        <v>0</v>
      </c>
      <c r="D214" s="253">
        <v>0</v>
      </c>
      <c r="E214" s="253">
        <v>0</v>
      </c>
      <c r="F214" s="253">
        <v>0</v>
      </c>
      <c r="G214" s="253">
        <v>0</v>
      </c>
      <c r="H214" s="285">
        <v>0</v>
      </c>
      <c r="I214" s="285">
        <v>0</v>
      </c>
      <c r="J214" s="285">
        <v>0</v>
      </c>
      <c r="K214" s="285">
        <v>0</v>
      </c>
      <c r="L214" s="285">
        <v>0</v>
      </c>
      <c r="M214" s="285">
        <v>0</v>
      </c>
      <c r="N214" s="285">
        <v>0</v>
      </c>
      <c r="O214" s="285">
        <v>0</v>
      </c>
      <c r="P214" s="285">
        <v>0</v>
      </c>
      <c r="Q214" s="285">
        <v>0</v>
      </c>
      <c r="R214" s="285">
        <v>0</v>
      </c>
      <c r="S214" s="285">
        <v>0</v>
      </c>
      <c r="T214" s="285">
        <v>0</v>
      </c>
      <c r="U214" s="410" t="e">
        <v>#DIV/0!</v>
      </c>
      <c r="V214" s="285">
        <v>0</v>
      </c>
      <c r="W214" s="285">
        <v>0</v>
      </c>
      <c r="X214" s="285">
        <v>0</v>
      </c>
      <c r="Y214" s="285">
        <v>0</v>
      </c>
      <c r="Z214" s="285">
        <v>0</v>
      </c>
      <c r="AA214" s="285">
        <v>0</v>
      </c>
    </row>
    <row r="215" spans="1:27" x14ac:dyDescent="0.2">
      <c r="A215" s="398" t="s">
        <v>1297</v>
      </c>
      <c r="B215" s="412" t="s">
        <v>603</v>
      </c>
      <c r="C215" s="253">
        <v>0</v>
      </c>
      <c r="D215" s="253">
        <v>0</v>
      </c>
      <c r="E215" s="253">
        <v>0</v>
      </c>
      <c r="F215" s="253">
        <v>0</v>
      </c>
      <c r="G215" s="253">
        <v>0</v>
      </c>
      <c r="H215" s="285">
        <v>0</v>
      </c>
      <c r="I215" s="285">
        <v>0</v>
      </c>
      <c r="J215" s="285">
        <v>0</v>
      </c>
      <c r="K215" s="285">
        <v>0</v>
      </c>
      <c r="L215" s="285">
        <v>0</v>
      </c>
      <c r="M215" s="285">
        <v>0</v>
      </c>
      <c r="N215" s="285">
        <v>0</v>
      </c>
      <c r="O215" s="285">
        <v>0</v>
      </c>
      <c r="P215" s="285">
        <v>0</v>
      </c>
      <c r="Q215" s="285">
        <v>0</v>
      </c>
      <c r="R215" s="285">
        <v>0</v>
      </c>
      <c r="S215" s="285">
        <v>0</v>
      </c>
      <c r="T215" s="285">
        <v>0</v>
      </c>
      <c r="U215" s="410" t="e">
        <v>#DIV/0!</v>
      </c>
      <c r="V215" s="285">
        <v>0</v>
      </c>
      <c r="W215" s="285">
        <v>0</v>
      </c>
      <c r="X215" s="285">
        <v>0</v>
      </c>
      <c r="Y215" s="285">
        <v>0</v>
      </c>
      <c r="Z215" s="285">
        <v>0</v>
      </c>
      <c r="AA215" s="285">
        <v>0</v>
      </c>
    </row>
    <row r="216" spans="1:27" x14ac:dyDescent="0.2">
      <c r="A216" s="398"/>
      <c r="B216" s="404" t="s">
        <v>604</v>
      </c>
      <c r="C216" s="405">
        <v>0</v>
      </c>
      <c r="D216" s="405">
        <v>0</v>
      </c>
      <c r="E216" s="405">
        <v>0</v>
      </c>
      <c r="F216" s="405">
        <v>0</v>
      </c>
      <c r="G216" s="405">
        <v>0</v>
      </c>
      <c r="H216" s="405">
        <v>0</v>
      </c>
      <c r="I216" s="405">
        <v>0</v>
      </c>
      <c r="J216" s="405">
        <v>0</v>
      </c>
      <c r="K216" s="405">
        <v>0</v>
      </c>
      <c r="L216" s="405">
        <v>0</v>
      </c>
      <c r="M216" s="405">
        <v>0</v>
      </c>
      <c r="N216" s="405">
        <v>0</v>
      </c>
      <c r="O216" s="405">
        <v>0</v>
      </c>
      <c r="P216" s="405">
        <v>0</v>
      </c>
      <c r="Q216" s="405">
        <v>0</v>
      </c>
      <c r="R216" s="405">
        <v>0</v>
      </c>
      <c r="S216" s="405">
        <v>0</v>
      </c>
      <c r="T216" s="406">
        <v>0</v>
      </c>
      <c r="U216" s="407" t="e">
        <v>#DIV/0!</v>
      </c>
      <c r="V216" s="406">
        <v>0</v>
      </c>
      <c r="W216" s="406">
        <v>0</v>
      </c>
      <c r="X216" s="406">
        <v>0</v>
      </c>
      <c r="Y216" s="406">
        <v>0</v>
      </c>
      <c r="Z216" s="406">
        <v>0</v>
      </c>
      <c r="AA216" s="406">
        <v>0</v>
      </c>
    </row>
    <row r="217" spans="1:27" x14ac:dyDescent="0.2">
      <c r="A217" s="398" t="s">
        <v>1298</v>
      </c>
      <c r="B217" s="412" t="s">
        <v>605</v>
      </c>
      <c r="C217" s="253">
        <v>0</v>
      </c>
      <c r="D217" s="253">
        <v>0</v>
      </c>
      <c r="E217" s="253">
        <v>0</v>
      </c>
      <c r="F217" s="253">
        <v>0</v>
      </c>
      <c r="G217" s="253">
        <v>0</v>
      </c>
      <c r="H217" s="285">
        <v>0</v>
      </c>
      <c r="I217" s="285">
        <v>0</v>
      </c>
      <c r="J217" s="285">
        <v>0</v>
      </c>
      <c r="K217" s="285">
        <v>0</v>
      </c>
      <c r="L217" s="285">
        <v>0</v>
      </c>
      <c r="M217" s="285">
        <v>0</v>
      </c>
      <c r="N217" s="285">
        <v>0</v>
      </c>
      <c r="O217" s="285">
        <v>0</v>
      </c>
      <c r="P217" s="285">
        <v>0</v>
      </c>
      <c r="Q217" s="285">
        <v>0</v>
      </c>
      <c r="R217" s="285">
        <v>0</v>
      </c>
      <c r="S217" s="285">
        <v>0</v>
      </c>
      <c r="T217" s="285">
        <v>0</v>
      </c>
      <c r="U217" s="410" t="e">
        <v>#DIV/0!</v>
      </c>
      <c r="V217" s="285">
        <v>0</v>
      </c>
      <c r="W217" s="285">
        <v>0</v>
      </c>
      <c r="X217" s="285">
        <v>0</v>
      </c>
      <c r="Y217" s="285">
        <v>0</v>
      </c>
      <c r="Z217" s="285">
        <v>0</v>
      </c>
      <c r="AA217" s="285">
        <v>0</v>
      </c>
    </row>
    <row r="218" spans="1:27" x14ac:dyDescent="0.2">
      <c r="A218" s="398" t="s">
        <v>1299</v>
      </c>
      <c r="B218" s="412" t="s">
        <v>606</v>
      </c>
      <c r="C218" s="253">
        <v>0</v>
      </c>
      <c r="D218" s="253">
        <v>0</v>
      </c>
      <c r="E218" s="253">
        <v>0</v>
      </c>
      <c r="F218" s="253">
        <v>0</v>
      </c>
      <c r="G218" s="253">
        <v>0</v>
      </c>
      <c r="H218" s="285">
        <v>0</v>
      </c>
      <c r="I218" s="285">
        <v>0</v>
      </c>
      <c r="J218" s="285">
        <v>0</v>
      </c>
      <c r="K218" s="285">
        <v>0</v>
      </c>
      <c r="L218" s="285">
        <v>0</v>
      </c>
      <c r="M218" s="285">
        <v>0</v>
      </c>
      <c r="N218" s="285">
        <v>0</v>
      </c>
      <c r="O218" s="285">
        <v>0</v>
      </c>
      <c r="P218" s="285">
        <v>0</v>
      </c>
      <c r="Q218" s="285">
        <v>0</v>
      </c>
      <c r="R218" s="285">
        <v>0</v>
      </c>
      <c r="S218" s="285">
        <v>0</v>
      </c>
      <c r="T218" s="285">
        <v>0</v>
      </c>
      <c r="U218" s="410" t="e">
        <v>#DIV/0!</v>
      </c>
      <c r="V218" s="285">
        <v>0</v>
      </c>
      <c r="W218" s="285">
        <v>0</v>
      </c>
      <c r="X218" s="285">
        <v>0</v>
      </c>
      <c r="Y218" s="285">
        <v>0</v>
      </c>
      <c r="Z218" s="285">
        <v>0</v>
      </c>
      <c r="AA218" s="285">
        <v>0</v>
      </c>
    </row>
    <row r="219" spans="1:27" ht="24" x14ac:dyDescent="0.2">
      <c r="A219" s="398" t="s">
        <v>1300</v>
      </c>
      <c r="B219" s="412" t="s">
        <v>607</v>
      </c>
      <c r="C219" s="253">
        <v>0</v>
      </c>
      <c r="D219" s="253">
        <v>0</v>
      </c>
      <c r="E219" s="253">
        <v>0</v>
      </c>
      <c r="F219" s="253">
        <v>0</v>
      </c>
      <c r="G219" s="253">
        <v>0</v>
      </c>
      <c r="H219" s="285">
        <v>0</v>
      </c>
      <c r="I219" s="285">
        <v>0</v>
      </c>
      <c r="J219" s="285">
        <v>0</v>
      </c>
      <c r="K219" s="285">
        <v>0</v>
      </c>
      <c r="L219" s="285">
        <v>0</v>
      </c>
      <c r="M219" s="285">
        <v>0</v>
      </c>
      <c r="N219" s="285">
        <v>0</v>
      </c>
      <c r="O219" s="285">
        <v>0</v>
      </c>
      <c r="P219" s="285">
        <v>0</v>
      </c>
      <c r="Q219" s="285">
        <v>0</v>
      </c>
      <c r="R219" s="285">
        <v>0</v>
      </c>
      <c r="S219" s="285">
        <v>0</v>
      </c>
      <c r="T219" s="285">
        <v>0</v>
      </c>
      <c r="U219" s="410" t="e">
        <v>#DIV/0!</v>
      </c>
      <c r="V219" s="285">
        <v>0</v>
      </c>
      <c r="W219" s="285">
        <v>0</v>
      </c>
      <c r="X219" s="285">
        <v>0</v>
      </c>
      <c r="Y219" s="285">
        <v>0</v>
      </c>
      <c r="Z219" s="285">
        <v>0</v>
      </c>
      <c r="AA219" s="285">
        <v>0</v>
      </c>
    </row>
    <row r="220" spans="1:27" x14ac:dyDescent="0.2">
      <c r="A220" s="398"/>
      <c r="B220" s="404" t="s">
        <v>608</v>
      </c>
      <c r="C220" s="405">
        <v>0</v>
      </c>
      <c r="D220" s="405">
        <v>0</v>
      </c>
      <c r="E220" s="405">
        <v>0</v>
      </c>
      <c r="F220" s="405">
        <v>0</v>
      </c>
      <c r="G220" s="405">
        <v>0</v>
      </c>
      <c r="H220" s="405">
        <v>0</v>
      </c>
      <c r="I220" s="405">
        <v>0</v>
      </c>
      <c r="J220" s="405">
        <v>0</v>
      </c>
      <c r="K220" s="405">
        <v>0</v>
      </c>
      <c r="L220" s="405">
        <v>0</v>
      </c>
      <c r="M220" s="405">
        <v>0</v>
      </c>
      <c r="N220" s="405">
        <v>0</v>
      </c>
      <c r="O220" s="405">
        <v>0</v>
      </c>
      <c r="P220" s="405">
        <v>0</v>
      </c>
      <c r="Q220" s="405">
        <v>0</v>
      </c>
      <c r="R220" s="405">
        <v>0</v>
      </c>
      <c r="S220" s="405">
        <v>0</v>
      </c>
      <c r="T220" s="406">
        <v>0</v>
      </c>
      <c r="U220" s="407" t="e">
        <v>#DIV/0!</v>
      </c>
      <c r="V220" s="406">
        <v>0</v>
      </c>
      <c r="W220" s="406">
        <v>0</v>
      </c>
      <c r="X220" s="406">
        <v>0</v>
      </c>
      <c r="Y220" s="406">
        <v>0</v>
      </c>
      <c r="Z220" s="406">
        <v>0</v>
      </c>
      <c r="AA220" s="406">
        <v>0</v>
      </c>
    </row>
    <row r="221" spans="1:27" x14ac:dyDescent="0.2">
      <c r="A221" s="398" t="s">
        <v>1301</v>
      </c>
      <c r="B221" s="412" t="s">
        <v>609</v>
      </c>
      <c r="C221" s="253">
        <v>0</v>
      </c>
      <c r="D221" s="253">
        <v>0</v>
      </c>
      <c r="E221" s="253">
        <v>0</v>
      </c>
      <c r="F221" s="253">
        <v>0</v>
      </c>
      <c r="G221" s="253">
        <v>0</v>
      </c>
      <c r="H221" s="285">
        <v>0</v>
      </c>
      <c r="I221" s="285">
        <v>0</v>
      </c>
      <c r="J221" s="285">
        <v>0</v>
      </c>
      <c r="K221" s="285">
        <v>0</v>
      </c>
      <c r="L221" s="285">
        <v>0</v>
      </c>
      <c r="M221" s="285">
        <v>0</v>
      </c>
      <c r="N221" s="285">
        <v>0</v>
      </c>
      <c r="O221" s="285">
        <v>0</v>
      </c>
      <c r="P221" s="285">
        <v>0</v>
      </c>
      <c r="Q221" s="285">
        <v>0</v>
      </c>
      <c r="R221" s="285">
        <v>0</v>
      </c>
      <c r="S221" s="285">
        <v>0</v>
      </c>
      <c r="T221" s="285">
        <v>0</v>
      </c>
      <c r="U221" s="410" t="e">
        <v>#DIV/0!</v>
      </c>
      <c r="V221" s="285">
        <v>0</v>
      </c>
      <c r="W221" s="285">
        <v>0</v>
      </c>
      <c r="X221" s="285">
        <v>0</v>
      </c>
      <c r="Y221" s="285">
        <v>0</v>
      </c>
      <c r="Z221" s="285">
        <v>0</v>
      </c>
      <c r="AA221" s="285">
        <v>0</v>
      </c>
    </row>
    <row r="222" spans="1:27" x14ac:dyDescent="0.2">
      <c r="A222" s="398" t="s">
        <v>1302</v>
      </c>
      <c r="B222" s="412" t="s">
        <v>610</v>
      </c>
      <c r="C222" s="253">
        <v>0</v>
      </c>
      <c r="D222" s="253">
        <v>0</v>
      </c>
      <c r="E222" s="253">
        <v>0</v>
      </c>
      <c r="F222" s="253">
        <v>0</v>
      </c>
      <c r="G222" s="253">
        <v>0</v>
      </c>
      <c r="H222" s="285">
        <v>0</v>
      </c>
      <c r="I222" s="285">
        <v>0</v>
      </c>
      <c r="J222" s="285">
        <v>0</v>
      </c>
      <c r="K222" s="285">
        <v>0</v>
      </c>
      <c r="L222" s="285">
        <v>0</v>
      </c>
      <c r="M222" s="285">
        <v>0</v>
      </c>
      <c r="N222" s="285">
        <v>0</v>
      </c>
      <c r="O222" s="285">
        <v>0</v>
      </c>
      <c r="P222" s="285">
        <v>0</v>
      </c>
      <c r="Q222" s="285">
        <v>0</v>
      </c>
      <c r="R222" s="285">
        <v>0</v>
      </c>
      <c r="S222" s="285">
        <v>0</v>
      </c>
      <c r="T222" s="285">
        <v>0</v>
      </c>
      <c r="U222" s="410" t="e">
        <v>#DIV/0!</v>
      </c>
      <c r="V222" s="285">
        <v>0</v>
      </c>
      <c r="W222" s="285">
        <v>0</v>
      </c>
      <c r="X222" s="285">
        <v>0</v>
      </c>
      <c r="Y222" s="285">
        <v>0</v>
      </c>
      <c r="Z222" s="285">
        <v>0</v>
      </c>
      <c r="AA222" s="285">
        <v>0</v>
      </c>
    </row>
    <row r="223" spans="1:27" x14ac:dyDescent="0.2">
      <c r="A223" s="398" t="s">
        <v>1303</v>
      </c>
      <c r="B223" s="412" t="s">
        <v>611</v>
      </c>
      <c r="C223" s="253">
        <v>0</v>
      </c>
      <c r="D223" s="253">
        <v>0</v>
      </c>
      <c r="E223" s="253">
        <v>0</v>
      </c>
      <c r="F223" s="253">
        <v>0</v>
      </c>
      <c r="G223" s="253">
        <v>0</v>
      </c>
      <c r="H223" s="285">
        <v>0</v>
      </c>
      <c r="I223" s="285">
        <v>0</v>
      </c>
      <c r="J223" s="285">
        <v>0</v>
      </c>
      <c r="K223" s="285">
        <v>0</v>
      </c>
      <c r="L223" s="285">
        <v>0</v>
      </c>
      <c r="M223" s="285">
        <v>0</v>
      </c>
      <c r="N223" s="285">
        <v>0</v>
      </c>
      <c r="O223" s="285">
        <v>0</v>
      </c>
      <c r="P223" s="285">
        <v>0</v>
      </c>
      <c r="Q223" s="285">
        <v>0</v>
      </c>
      <c r="R223" s="285">
        <v>0</v>
      </c>
      <c r="S223" s="285">
        <v>0</v>
      </c>
      <c r="T223" s="285">
        <v>0</v>
      </c>
      <c r="U223" s="410" t="e">
        <v>#DIV/0!</v>
      </c>
      <c r="V223" s="285">
        <v>0</v>
      </c>
      <c r="W223" s="285">
        <v>0</v>
      </c>
      <c r="X223" s="285">
        <v>0</v>
      </c>
      <c r="Y223" s="285">
        <v>0</v>
      </c>
      <c r="Z223" s="285">
        <v>0</v>
      </c>
      <c r="AA223" s="285">
        <v>0</v>
      </c>
    </row>
    <row r="224" spans="1:27" x14ac:dyDescent="0.2">
      <c r="A224" s="398"/>
      <c r="B224" s="404" t="s">
        <v>612</v>
      </c>
      <c r="C224" s="405">
        <v>0</v>
      </c>
      <c r="D224" s="405">
        <v>0</v>
      </c>
      <c r="E224" s="405">
        <v>0</v>
      </c>
      <c r="F224" s="405">
        <v>0</v>
      </c>
      <c r="G224" s="405">
        <v>0</v>
      </c>
      <c r="H224" s="405">
        <v>0</v>
      </c>
      <c r="I224" s="405">
        <v>0</v>
      </c>
      <c r="J224" s="405">
        <v>0</v>
      </c>
      <c r="K224" s="405">
        <v>0</v>
      </c>
      <c r="L224" s="405">
        <v>0</v>
      </c>
      <c r="M224" s="405">
        <v>0</v>
      </c>
      <c r="N224" s="405">
        <v>0</v>
      </c>
      <c r="O224" s="405">
        <v>0</v>
      </c>
      <c r="P224" s="405">
        <v>0</v>
      </c>
      <c r="Q224" s="405">
        <v>0</v>
      </c>
      <c r="R224" s="405">
        <v>0</v>
      </c>
      <c r="S224" s="405">
        <v>0</v>
      </c>
      <c r="T224" s="406">
        <v>0</v>
      </c>
      <c r="U224" s="407" t="e">
        <v>#DIV/0!</v>
      </c>
      <c r="V224" s="406">
        <v>0</v>
      </c>
      <c r="W224" s="406">
        <v>0</v>
      </c>
      <c r="X224" s="406">
        <v>0</v>
      </c>
      <c r="Y224" s="406">
        <v>0</v>
      </c>
      <c r="Z224" s="406">
        <v>0</v>
      </c>
      <c r="AA224" s="406">
        <v>0</v>
      </c>
    </row>
    <row r="225" spans="1:27" x14ac:dyDescent="0.2">
      <c r="A225" s="398" t="s">
        <v>1304</v>
      </c>
      <c r="B225" s="412" t="s">
        <v>613</v>
      </c>
      <c r="C225" s="253">
        <v>0</v>
      </c>
      <c r="D225" s="253">
        <v>0</v>
      </c>
      <c r="E225" s="253">
        <v>0</v>
      </c>
      <c r="F225" s="253">
        <v>0</v>
      </c>
      <c r="G225" s="253">
        <v>0</v>
      </c>
      <c r="H225" s="285">
        <v>0</v>
      </c>
      <c r="I225" s="285">
        <v>0</v>
      </c>
      <c r="J225" s="285">
        <v>0</v>
      </c>
      <c r="K225" s="285">
        <v>0</v>
      </c>
      <c r="L225" s="285">
        <v>0</v>
      </c>
      <c r="M225" s="285">
        <v>0</v>
      </c>
      <c r="N225" s="285">
        <v>0</v>
      </c>
      <c r="O225" s="285">
        <v>0</v>
      </c>
      <c r="P225" s="285">
        <v>0</v>
      </c>
      <c r="Q225" s="285">
        <v>0</v>
      </c>
      <c r="R225" s="285">
        <v>0</v>
      </c>
      <c r="S225" s="285">
        <v>0</v>
      </c>
      <c r="T225" s="285">
        <v>0</v>
      </c>
      <c r="U225" s="410" t="e">
        <v>#DIV/0!</v>
      </c>
      <c r="V225" s="285">
        <v>0</v>
      </c>
      <c r="W225" s="285">
        <v>0</v>
      </c>
      <c r="X225" s="285">
        <v>0</v>
      </c>
      <c r="Y225" s="285">
        <v>0</v>
      </c>
      <c r="Z225" s="285">
        <v>0</v>
      </c>
      <c r="AA225" s="285">
        <v>0</v>
      </c>
    </row>
    <row r="226" spans="1:27" x14ac:dyDescent="0.2">
      <c r="A226" s="398" t="s">
        <v>1305</v>
      </c>
      <c r="B226" s="412" t="s">
        <v>614</v>
      </c>
      <c r="C226" s="253">
        <v>0</v>
      </c>
      <c r="D226" s="253">
        <v>0</v>
      </c>
      <c r="E226" s="253">
        <v>0</v>
      </c>
      <c r="F226" s="253">
        <v>0</v>
      </c>
      <c r="G226" s="253">
        <v>0</v>
      </c>
      <c r="H226" s="285">
        <v>0</v>
      </c>
      <c r="I226" s="285">
        <v>0</v>
      </c>
      <c r="J226" s="285">
        <v>0</v>
      </c>
      <c r="K226" s="285">
        <v>0</v>
      </c>
      <c r="L226" s="285">
        <v>0</v>
      </c>
      <c r="M226" s="285">
        <v>0</v>
      </c>
      <c r="N226" s="285">
        <v>0</v>
      </c>
      <c r="O226" s="285">
        <v>0</v>
      </c>
      <c r="P226" s="285">
        <v>0</v>
      </c>
      <c r="Q226" s="285">
        <v>0</v>
      </c>
      <c r="R226" s="285">
        <v>0</v>
      </c>
      <c r="S226" s="285">
        <v>0</v>
      </c>
      <c r="T226" s="285">
        <v>0</v>
      </c>
      <c r="U226" s="410" t="e">
        <v>#DIV/0!</v>
      </c>
      <c r="V226" s="285">
        <v>0</v>
      </c>
      <c r="W226" s="285">
        <v>0</v>
      </c>
      <c r="X226" s="285">
        <v>0</v>
      </c>
      <c r="Y226" s="285">
        <v>0</v>
      </c>
      <c r="Z226" s="285">
        <v>0</v>
      </c>
      <c r="AA226" s="285">
        <v>0</v>
      </c>
    </row>
    <row r="227" spans="1:27" x14ac:dyDescent="0.2">
      <c r="A227" s="398" t="s">
        <v>1306</v>
      </c>
      <c r="B227" s="412" t="s">
        <v>615</v>
      </c>
      <c r="C227" s="253">
        <v>0</v>
      </c>
      <c r="D227" s="253">
        <v>0</v>
      </c>
      <c r="E227" s="253">
        <v>0</v>
      </c>
      <c r="F227" s="253">
        <v>0</v>
      </c>
      <c r="G227" s="253">
        <v>0</v>
      </c>
      <c r="H227" s="285">
        <v>0</v>
      </c>
      <c r="I227" s="285">
        <v>0</v>
      </c>
      <c r="J227" s="285">
        <v>0</v>
      </c>
      <c r="K227" s="285">
        <v>0</v>
      </c>
      <c r="L227" s="285">
        <v>0</v>
      </c>
      <c r="M227" s="285">
        <v>0</v>
      </c>
      <c r="N227" s="285">
        <v>0</v>
      </c>
      <c r="O227" s="285">
        <v>0</v>
      </c>
      <c r="P227" s="285">
        <v>0</v>
      </c>
      <c r="Q227" s="285">
        <v>0</v>
      </c>
      <c r="R227" s="285">
        <v>0</v>
      </c>
      <c r="S227" s="285">
        <v>0</v>
      </c>
      <c r="T227" s="285">
        <v>0</v>
      </c>
      <c r="U227" s="410" t="e">
        <v>#DIV/0!</v>
      </c>
      <c r="V227" s="285">
        <v>0</v>
      </c>
      <c r="W227" s="285">
        <v>0</v>
      </c>
      <c r="X227" s="285">
        <v>0</v>
      </c>
      <c r="Y227" s="285">
        <v>0</v>
      </c>
      <c r="Z227" s="285">
        <v>0</v>
      </c>
      <c r="AA227" s="285">
        <v>0</v>
      </c>
    </row>
    <row r="228" spans="1:27" x14ac:dyDescent="0.2">
      <c r="A228" s="398" t="s">
        <v>1307</v>
      </c>
      <c r="B228" s="412" t="s">
        <v>616</v>
      </c>
      <c r="C228" s="253">
        <v>0</v>
      </c>
      <c r="D228" s="253">
        <v>0</v>
      </c>
      <c r="E228" s="253">
        <v>0</v>
      </c>
      <c r="F228" s="253">
        <v>0</v>
      </c>
      <c r="G228" s="253">
        <v>0</v>
      </c>
      <c r="H228" s="285">
        <v>0</v>
      </c>
      <c r="I228" s="285">
        <v>0</v>
      </c>
      <c r="J228" s="285">
        <v>0</v>
      </c>
      <c r="K228" s="285">
        <v>0</v>
      </c>
      <c r="L228" s="285">
        <v>0</v>
      </c>
      <c r="M228" s="285">
        <v>0</v>
      </c>
      <c r="N228" s="285">
        <v>0</v>
      </c>
      <c r="O228" s="285">
        <v>0</v>
      </c>
      <c r="P228" s="285">
        <v>0</v>
      </c>
      <c r="Q228" s="285">
        <v>0</v>
      </c>
      <c r="R228" s="285">
        <v>0</v>
      </c>
      <c r="S228" s="285">
        <v>0</v>
      </c>
      <c r="T228" s="285">
        <v>0</v>
      </c>
      <c r="U228" s="410" t="e">
        <v>#DIV/0!</v>
      </c>
      <c r="V228" s="285">
        <v>0</v>
      </c>
      <c r="W228" s="285">
        <v>0</v>
      </c>
      <c r="X228" s="285">
        <v>0</v>
      </c>
      <c r="Y228" s="285">
        <v>0</v>
      </c>
      <c r="Z228" s="285">
        <v>0</v>
      </c>
      <c r="AA228" s="285">
        <v>0</v>
      </c>
    </row>
    <row r="229" spans="1:27" x14ac:dyDescent="0.2">
      <c r="A229" s="398" t="s">
        <v>1308</v>
      </c>
      <c r="B229" s="412" t="s">
        <v>617</v>
      </c>
      <c r="C229" s="253">
        <v>0</v>
      </c>
      <c r="D229" s="253">
        <v>0</v>
      </c>
      <c r="E229" s="253">
        <v>0</v>
      </c>
      <c r="F229" s="253">
        <v>0</v>
      </c>
      <c r="G229" s="253">
        <v>0</v>
      </c>
      <c r="H229" s="285">
        <v>0</v>
      </c>
      <c r="I229" s="285">
        <v>0</v>
      </c>
      <c r="J229" s="285">
        <v>0</v>
      </c>
      <c r="K229" s="285">
        <v>0</v>
      </c>
      <c r="L229" s="285">
        <v>0</v>
      </c>
      <c r="M229" s="285">
        <v>0</v>
      </c>
      <c r="N229" s="285">
        <v>0</v>
      </c>
      <c r="O229" s="285">
        <v>0</v>
      </c>
      <c r="P229" s="285">
        <v>0</v>
      </c>
      <c r="Q229" s="285">
        <v>0</v>
      </c>
      <c r="R229" s="285">
        <v>0</v>
      </c>
      <c r="S229" s="285">
        <v>0</v>
      </c>
      <c r="T229" s="285">
        <v>0</v>
      </c>
      <c r="U229" s="410" t="e">
        <v>#DIV/0!</v>
      </c>
      <c r="V229" s="285">
        <v>0</v>
      </c>
      <c r="W229" s="285">
        <v>0</v>
      </c>
      <c r="X229" s="285">
        <v>0</v>
      </c>
      <c r="Y229" s="285">
        <v>0</v>
      </c>
      <c r="Z229" s="285">
        <v>0</v>
      </c>
      <c r="AA229" s="285">
        <v>0</v>
      </c>
    </row>
    <row r="230" spans="1:27" x14ac:dyDescent="0.2">
      <c r="A230" s="398" t="s">
        <v>1309</v>
      </c>
      <c r="B230" s="412" t="s">
        <v>618</v>
      </c>
      <c r="C230" s="253">
        <v>0</v>
      </c>
      <c r="D230" s="253">
        <v>0</v>
      </c>
      <c r="E230" s="253">
        <v>0</v>
      </c>
      <c r="F230" s="253">
        <v>0</v>
      </c>
      <c r="G230" s="253">
        <v>0</v>
      </c>
      <c r="H230" s="285">
        <v>0</v>
      </c>
      <c r="I230" s="285">
        <v>0</v>
      </c>
      <c r="J230" s="285">
        <v>0</v>
      </c>
      <c r="K230" s="285">
        <v>0</v>
      </c>
      <c r="L230" s="285">
        <v>0</v>
      </c>
      <c r="M230" s="285">
        <v>0</v>
      </c>
      <c r="N230" s="285">
        <v>0</v>
      </c>
      <c r="O230" s="285">
        <v>0</v>
      </c>
      <c r="P230" s="285">
        <v>0</v>
      </c>
      <c r="Q230" s="285">
        <v>0</v>
      </c>
      <c r="R230" s="285">
        <v>0</v>
      </c>
      <c r="S230" s="285">
        <v>0</v>
      </c>
      <c r="T230" s="285">
        <v>0</v>
      </c>
      <c r="U230" s="410" t="e">
        <v>#DIV/0!</v>
      </c>
      <c r="V230" s="285">
        <v>0</v>
      </c>
      <c r="W230" s="285">
        <v>0</v>
      </c>
      <c r="X230" s="285">
        <v>0</v>
      </c>
      <c r="Y230" s="285">
        <v>0</v>
      </c>
      <c r="Z230" s="285">
        <v>0</v>
      </c>
      <c r="AA230" s="285">
        <v>0</v>
      </c>
    </row>
    <row r="231" spans="1:27" x14ac:dyDescent="0.2">
      <c r="A231" s="398" t="s">
        <v>1310</v>
      </c>
      <c r="B231" s="412" t="s">
        <v>619</v>
      </c>
      <c r="C231" s="253">
        <v>0</v>
      </c>
      <c r="D231" s="253">
        <v>0</v>
      </c>
      <c r="E231" s="253">
        <v>0</v>
      </c>
      <c r="F231" s="253">
        <v>0</v>
      </c>
      <c r="G231" s="253">
        <v>0</v>
      </c>
      <c r="H231" s="285">
        <v>0</v>
      </c>
      <c r="I231" s="285">
        <v>0</v>
      </c>
      <c r="J231" s="285">
        <v>0</v>
      </c>
      <c r="K231" s="285">
        <v>0</v>
      </c>
      <c r="L231" s="285">
        <v>0</v>
      </c>
      <c r="M231" s="285">
        <v>0</v>
      </c>
      <c r="N231" s="285">
        <v>0</v>
      </c>
      <c r="O231" s="285">
        <v>0</v>
      </c>
      <c r="P231" s="285">
        <v>0</v>
      </c>
      <c r="Q231" s="285">
        <v>0</v>
      </c>
      <c r="R231" s="285">
        <v>0</v>
      </c>
      <c r="S231" s="285">
        <v>0</v>
      </c>
      <c r="T231" s="285">
        <v>0</v>
      </c>
      <c r="U231" s="410" t="e">
        <v>#DIV/0!</v>
      </c>
      <c r="V231" s="285">
        <v>0</v>
      </c>
      <c r="W231" s="285">
        <v>0</v>
      </c>
      <c r="X231" s="285">
        <v>0</v>
      </c>
      <c r="Y231" s="285">
        <v>0</v>
      </c>
      <c r="Z231" s="285">
        <v>0</v>
      </c>
      <c r="AA231" s="285">
        <v>0</v>
      </c>
    </row>
    <row r="232" spans="1:27" s="408" customFormat="1" x14ac:dyDescent="0.2">
      <c r="A232" s="398" t="s">
        <v>1311</v>
      </c>
      <c r="B232" s="404" t="s">
        <v>620</v>
      </c>
      <c r="C232" s="411">
        <v>0</v>
      </c>
      <c r="D232" s="411">
        <v>0</v>
      </c>
      <c r="E232" s="411">
        <v>0</v>
      </c>
      <c r="F232" s="411">
        <v>0</v>
      </c>
      <c r="G232" s="411">
        <v>0</v>
      </c>
      <c r="H232" s="406">
        <v>0</v>
      </c>
      <c r="I232" s="406">
        <v>0</v>
      </c>
      <c r="J232" s="406">
        <v>0</v>
      </c>
      <c r="K232" s="406">
        <v>0</v>
      </c>
      <c r="L232" s="406">
        <v>0</v>
      </c>
      <c r="M232" s="406">
        <v>0</v>
      </c>
      <c r="N232" s="406">
        <v>0</v>
      </c>
      <c r="O232" s="406">
        <v>0</v>
      </c>
      <c r="P232" s="406">
        <v>0</v>
      </c>
      <c r="Q232" s="406">
        <v>0</v>
      </c>
      <c r="R232" s="406">
        <v>0</v>
      </c>
      <c r="S232" s="406">
        <v>0</v>
      </c>
      <c r="T232" s="406">
        <v>0</v>
      </c>
      <c r="U232" s="407" t="e">
        <v>#DIV/0!</v>
      </c>
      <c r="V232" s="406">
        <v>0</v>
      </c>
      <c r="W232" s="406">
        <v>0</v>
      </c>
      <c r="X232" s="406">
        <v>0</v>
      </c>
      <c r="Y232" s="406">
        <v>0</v>
      </c>
      <c r="Z232" s="406">
        <v>0</v>
      </c>
      <c r="AA232" s="406">
        <v>0</v>
      </c>
    </row>
    <row r="233" spans="1:27" s="408" customFormat="1" x14ac:dyDescent="0.2">
      <c r="A233" s="398" t="s">
        <v>1312</v>
      </c>
      <c r="B233" s="404" t="s">
        <v>621</v>
      </c>
      <c r="C233" s="411">
        <v>0</v>
      </c>
      <c r="D233" s="411">
        <v>0</v>
      </c>
      <c r="E233" s="411">
        <v>0</v>
      </c>
      <c r="F233" s="411">
        <v>0</v>
      </c>
      <c r="G233" s="411">
        <v>0</v>
      </c>
      <c r="H233" s="406">
        <v>0</v>
      </c>
      <c r="I233" s="406">
        <v>0</v>
      </c>
      <c r="J233" s="406">
        <v>0</v>
      </c>
      <c r="K233" s="406">
        <v>0</v>
      </c>
      <c r="L233" s="406">
        <v>0</v>
      </c>
      <c r="M233" s="406">
        <v>0</v>
      </c>
      <c r="N233" s="406">
        <v>0</v>
      </c>
      <c r="O233" s="406">
        <v>0</v>
      </c>
      <c r="P233" s="406">
        <v>0</v>
      </c>
      <c r="Q233" s="406">
        <v>0</v>
      </c>
      <c r="R233" s="406">
        <v>0</v>
      </c>
      <c r="S233" s="406">
        <v>0</v>
      </c>
      <c r="T233" s="406">
        <v>0</v>
      </c>
      <c r="U233" s="407" t="e">
        <v>#DIV/0!</v>
      </c>
      <c r="V233" s="406">
        <v>0</v>
      </c>
      <c r="W233" s="406">
        <v>0</v>
      </c>
      <c r="X233" s="406">
        <v>0</v>
      </c>
      <c r="Y233" s="406">
        <v>0</v>
      </c>
      <c r="Z233" s="406">
        <v>0</v>
      </c>
      <c r="AA233" s="406">
        <v>0</v>
      </c>
    </row>
    <row r="234" spans="1:27" s="408" customFormat="1" x14ac:dyDescent="0.2">
      <c r="A234" s="398" t="s">
        <v>1313</v>
      </c>
      <c r="B234" s="404" t="s">
        <v>622</v>
      </c>
      <c r="C234" s="411">
        <v>0</v>
      </c>
      <c r="D234" s="411">
        <v>0</v>
      </c>
      <c r="E234" s="411">
        <v>0</v>
      </c>
      <c r="F234" s="411">
        <v>0</v>
      </c>
      <c r="G234" s="411">
        <v>0</v>
      </c>
      <c r="H234" s="406">
        <v>0</v>
      </c>
      <c r="I234" s="406">
        <v>0</v>
      </c>
      <c r="J234" s="406">
        <v>0</v>
      </c>
      <c r="K234" s="406">
        <v>0</v>
      </c>
      <c r="L234" s="406">
        <v>0</v>
      </c>
      <c r="M234" s="406">
        <v>0</v>
      </c>
      <c r="N234" s="406">
        <v>0</v>
      </c>
      <c r="O234" s="406">
        <v>0</v>
      </c>
      <c r="P234" s="406">
        <v>0</v>
      </c>
      <c r="Q234" s="406">
        <v>0</v>
      </c>
      <c r="R234" s="406">
        <v>0</v>
      </c>
      <c r="S234" s="406">
        <v>0</v>
      </c>
      <c r="T234" s="406">
        <v>0</v>
      </c>
      <c r="U234" s="407" t="e">
        <v>#DIV/0!</v>
      </c>
      <c r="V234" s="406">
        <v>0</v>
      </c>
      <c r="W234" s="406">
        <v>0</v>
      </c>
      <c r="X234" s="406">
        <v>0</v>
      </c>
      <c r="Y234" s="406">
        <v>0</v>
      </c>
      <c r="Z234" s="406">
        <v>0</v>
      </c>
      <c r="AA234" s="406">
        <v>0</v>
      </c>
    </row>
    <row r="235" spans="1:27" s="408" customFormat="1" x14ac:dyDescent="0.2">
      <c r="A235" s="398" t="s">
        <v>1314</v>
      </c>
      <c r="B235" s="404" t="s">
        <v>623</v>
      </c>
      <c r="C235" s="411">
        <v>0</v>
      </c>
      <c r="D235" s="411">
        <v>0</v>
      </c>
      <c r="E235" s="411">
        <v>0</v>
      </c>
      <c r="F235" s="411">
        <v>0</v>
      </c>
      <c r="G235" s="411">
        <v>0</v>
      </c>
      <c r="H235" s="406">
        <v>0</v>
      </c>
      <c r="I235" s="406">
        <v>0</v>
      </c>
      <c r="J235" s="406">
        <v>0</v>
      </c>
      <c r="K235" s="406">
        <v>0</v>
      </c>
      <c r="L235" s="406">
        <v>0</v>
      </c>
      <c r="M235" s="406">
        <v>0</v>
      </c>
      <c r="N235" s="406">
        <v>0</v>
      </c>
      <c r="O235" s="406">
        <v>0</v>
      </c>
      <c r="P235" s="406">
        <v>0</v>
      </c>
      <c r="Q235" s="406">
        <v>0</v>
      </c>
      <c r="R235" s="406">
        <v>0</v>
      </c>
      <c r="S235" s="406">
        <v>0</v>
      </c>
      <c r="T235" s="406">
        <v>0</v>
      </c>
      <c r="U235" s="407" t="e">
        <v>#DIV/0!</v>
      </c>
      <c r="V235" s="406">
        <v>0</v>
      </c>
      <c r="W235" s="406">
        <v>0</v>
      </c>
      <c r="X235" s="406">
        <v>0</v>
      </c>
      <c r="Y235" s="406">
        <v>0</v>
      </c>
      <c r="Z235" s="406">
        <v>0</v>
      </c>
      <c r="AA235" s="406">
        <v>0</v>
      </c>
    </row>
    <row r="236" spans="1:27" x14ac:dyDescent="0.2">
      <c r="A236" s="398"/>
      <c r="B236" s="404" t="s">
        <v>624</v>
      </c>
      <c r="C236" s="405">
        <v>0</v>
      </c>
      <c r="D236" s="405">
        <v>0</v>
      </c>
      <c r="E236" s="405">
        <v>0</v>
      </c>
      <c r="F236" s="405">
        <v>0</v>
      </c>
      <c r="G236" s="405">
        <v>0</v>
      </c>
      <c r="H236" s="405">
        <v>0</v>
      </c>
      <c r="I236" s="405">
        <v>0</v>
      </c>
      <c r="J236" s="405">
        <v>0</v>
      </c>
      <c r="K236" s="405">
        <v>0</v>
      </c>
      <c r="L236" s="405">
        <v>0</v>
      </c>
      <c r="M236" s="405">
        <v>0</v>
      </c>
      <c r="N236" s="405">
        <v>0</v>
      </c>
      <c r="O236" s="405">
        <v>0</v>
      </c>
      <c r="P236" s="405">
        <v>0</v>
      </c>
      <c r="Q236" s="405">
        <v>0</v>
      </c>
      <c r="R236" s="405">
        <v>0</v>
      </c>
      <c r="S236" s="405">
        <v>0</v>
      </c>
      <c r="T236" s="406">
        <v>0</v>
      </c>
      <c r="U236" s="407" t="e">
        <v>#DIV/0!</v>
      </c>
      <c r="V236" s="406">
        <v>0</v>
      </c>
      <c r="W236" s="406">
        <v>0</v>
      </c>
      <c r="X236" s="406">
        <v>0</v>
      </c>
      <c r="Y236" s="406">
        <v>0</v>
      </c>
      <c r="Z236" s="406">
        <v>0</v>
      </c>
      <c r="AA236" s="406">
        <v>0</v>
      </c>
    </row>
    <row r="237" spans="1:27" x14ac:dyDescent="0.2">
      <c r="A237" s="398"/>
      <c r="B237" s="412" t="s">
        <v>625</v>
      </c>
      <c r="C237" s="413">
        <v>0</v>
      </c>
      <c r="D237" s="413">
        <v>0</v>
      </c>
      <c r="E237" s="413">
        <v>0</v>
      </c>
      <c r="F237" s="413">
        <v>0</v>
      </c>
      <c r="G237" s="413">
        <v>0</v>
      </c>
      <c r="H237" s="413">
        <v>0</v>
      </c>
      <c r="I237" s="413">
        <v>0</v>
      </c>
      <c r="J237" s="413">
        <v>0</v>
      </c>
      <c r="K237" s="413">
        <v>0</v>
      </c>
      <c r="L237" s="413">
        <v>0</v>
      </c>
      <c r="M237" s="413">
        <v>0</v>
      </c>
      <c r="N237" s="413">
        <v>0</v>
      </c>
      <c r="O237" s="413">
        <v>0</v>
      </c>
      <c r="P237" s="413">
        <v>0</v>
      </c>
      <c r="Q237" s="413">
        <v>0</v>
      </c>
      <c r="R237" s="413">
        <v>0</v>
      </c>
      <c r="S237" s="413">
        <v>0</v>
      </c>
      <c r="T237" s="285">
        <v>0</v>
      </c>
      <c r="U237" s="410" t="e">
        <v>#DIV/0!</v>
      </c>
      <c r="V237" s="285">
        <v>0</v>
      </c>
      <c r="W237" s="285">
        <v>0</v>
      </c>
      <c r="X237" s="285">
        <v>0</v>
      </c>
      <c r="Y237" s="285">
        <v>0</v>
      </c>
      <c r="Z237" s="285">
        <v>0</v>
      </c>
      <c r="AA237" s="285">
        <v>0</v>
      </c>
    </row>
    <row r="238" spans="1:27" x14ac:dyDescent="0.2">
      <c r="A238" s="398"/>
      <c r="B238" s="414" t="s">
        <v>626</v>
      </c>
      <c r="C238" s="413">
        <v>0</v>
      </c>
      <c r="D238" s="413">
        <v>0</v>
      </c>
      <c r="E238" s="413">
        <v>0</v>
      </c>
      <c r="F238" s="413">
        <v>0</v>
      </c>
      <c r="G238" s="413">
        <v>0</v>
      </c>
      <c r="H238" s="413">
        <v>0</v>
      </c>
      <c r="I238" s="413">
        <v>0</v>
      </c>
      <c r="J238" s="413">
        <v>0</v>
      </c>
      <c r="K238" s="413">
        <v>0</v>
      </c>
      <c r="L238" s="413">
        <v>0</v>
      </c>
      <c r="M238" s="413">
        <v>0</v>
      </c>
      <c r="N238" s="413">
        <v>0</v>
      </c>
      <c r="O238" s="413">
        <v>0</v>
      </c>
      <c r="P238" s="413">
        <v>0</v>
      </c>
      <c r="Q238" s="413">
        <v>0</v>
      </c>
      <c r="R238" s="413">
        <v>0</v>
      </c>
      <c r="S238" s="413">
        <v>0</v>
      </c>
      <c r="T238" s="285">
        <v>0</v>
      </c>
      <c r="U238" s="410" t="e">
        <v>#DIV/0!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  <c r="AA238" s="285">
        <v>0</v>
      </c>
    </row>
    <row r="239" spans="1:27" ht="24" x14ac:dyDescent="0.2">
      <c r="A239" s="398" t="s">
        <v>1315</v>
      </c>
      <c r="B239" s="416" t="s">
        <v>627</v>
      </c>
      <c r="C239" s="253">
        <v>0</v>
      </c>
      <c r="D239" s="253">
        <v>0</v>
      </c>
      <c r="E239" s="253">
        <v>0</v>
      </c>
      <c r="F239" s="253">
        <v>0</v>
      </c>
      <c r="G239" s="253">
        <v>0</v>
      </c>
      <c r="H239" s="285">
        <v>0</v>
      </c>
      <c r="I239" s="285">
        <v>0</v>
      </c>
      <c r="J239" s="285">
        <v>0</v>
      </c>
      <c r="K239" s="285">
        <v>0</v>
      </c>
      <c r="L239" s="285">
        <v>0</v>
      </c>
      <c r="M239" s="285">
        <v>0</v>
      </c>
      <c r="N239" s="285">
        <v>0</v>
      </c>
      <c r="O239" s="285">
        <v>0</v>
      </c>
      <c r="P239" s="285">
        <v>0</v>
      </c>
      <c r="Q239" s="285">
        <v>0</v>
      </c>
      <c r="R239" s="285">
        <v>0</v>
      </c>
      <c r="S239" s="285">
        <v>0</v>
      </c>
      <c r="T239" s="285">
        <v>0</v>
      </c>
      <c r="U239" s="410" t="e">
        <v>#DIV/0!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  <c r="AA239" s="285">
        <v>0</v>
      </c>
    </row>
    <row r="240" spans="1:27" ht="24" x14ac:dyDescent="0.2">
      <c r="A240" s="398" t="s">
        <v>1316</v>
      </c>
      <c r="B240" s="416" t="s">
        <v>628</v>
      </c>
      <c r="C240" s="253">
        <v>0</v>
      </c>
      <c r="D240" s="253">
        <v>0</v>
      </c>
      <c r="E240" s="253">
        <v>0</v>
      </c>
      <c r="F240" s="253">
        <v>0</v>
      </c>
      <c r="G240" s="253">
        <v>0</v>
      </c>
      <c r="H240" s="285">
        <v>0</v>
      </c>
      <c r="I240" s="285">
        <v>0</v>
      </c>
      <c r="J240" s="285">
        <v>0</v>
      </c>
      <c r="K240" s="285">
        <v>0</v>
      </c>
      <c r="L240" s="285">
        <v>0</v>
      </c>
      <c r="M240" s="285">
        <v>0</v>
      </c>
      <c r="N240" s="285">
        <v>0</v>
      </c>
      <c r="O240" s="285">
        <v>0</v>
      </c>
      <c r="P240" s="285">
        <v>0</v>
      </c>
      <c r="Q240" s="285">
        <v>0</v>
      </c>
      <c r="R240" s="285">
        <v>0</v>
      </c>
      <c r="S240" s="285">
        <v>0</v>
      </c>
      <c r="T240" s="285">
        <v>0</v>
      </c>
      <c r="U240" s="410" t="e">
        <v>#DIV/0!</v>
      </c>
      <c r="V240" s="285">
        <v>0</v>
      </c>
      <c r="W240" s="285">
        <v>0</v>
      </c>
      <c r="X240" s="285">
        <v>0</v>
      </c>
      <c r="Y240" s="285">
        <v>0</v>
      </c>
      <c r="Z240" s="285">
        <v>0</v>
      </c>
      <c r="AA240" s="285">
        <v>0</v>
      </c>
    </row>
    <row r="241" spans="1:27" x14ac:dyDescent="0.2">
      <c r="A241" s="398"/>
      <c r="B241" s="414" t="s">
        <v>1317</v>
      </c>
      <c r="C241" s="253">
        <v>0</v>
      </c>
      <c r="D241" s="253">
        <v>0</v>
      </c>
      <c r="E241" s="253">
        <v>0</v>
      </c>
      <c r="F241" s="253">
        <v>0</v>
      </c>
      <c r="G241" s="253">
        <v>0</v>
      </c>
      <c r="H241" s="253">
        <v>0</v>
      </c>
      <c r="I241" s="253">
        <v>0</v>
      </c>
      <c r="J241" s="253">
        <v>0</v>
      </c>
      <c r="K241" s="253">
        <v>0</v>
      </c>
      <c r="L241" s="253">
        <v>0</v>
      </c>
      <c r="M241" s="253">
        <v>0</v>
      </c>
      <c r="N241" s="253">
        <v>0</v>
      </c>
      <c r="O241" s="253">
        <v>0</v>
      </c>
      <c r="P241" s="253">
        <v>0</v>
      </c>
      <c r="Q241" s="253">
        <v>0</v>
      </c>
      <c r="R241" s="253">
        <v>0</v>
      </c>
      <c r="S241" s="253">
        <v>0</v>
      </c>
      <c r="T241" s="285">
        <v>0</v>
      </c>
      <c r="U241" s="410" t="e">
        <v>#DIV/0!</v>
      </c>
      <c r="V241" s="285">
        <v>0</v>
      </c>
      <c r="W241" s="285">
        <v>0</v>
      </c>
      <c r="X241" s="285">
        <v>0</v>
      </c>
      <c r="Y241" s="285">
        <v>0</v>
      </c>
      <c r="Z241" s="285">
        <v>0</v>
      </c>
      <c r="AA241" s="285">
        <v>0</v>
      </c>
    </row>
    <row r="242" spans="1:27" x14ac:dyDescent="0.2">
      <c r="A242" s="398" t="s">
        <v>1318</v>
      </c>
      <c r="B242" s="416" t="s">
        <v>1319</v>
      </c>
      <c r="C242" s="253">
        <v>0</v>
      </c>
      <c r="D242" s="253">
        <v>0</v>
      </c>
      <c r="E242" s="253">
        <v>0</v>
      </c>
      <c r="F242" s="253">
        <v>0</v>
      </c>
      <c r="G242" s="253">
        <v>0</v>
      </c>
      <c r="H242" s="285">
        <v>0</v>
      </c>
      <c r="I242" s="285">
        <v>0</v>
      </c>
      <c r="J242" s="285">
        <v>0</v>
      </c>
      <c r="K242" s="285">
        <v>0</v>
      </c>
      <c r="L242" s="285">
        <v>0</v>
      </c>
      <c r="M242" s="285">
        <v>0</v>
      </c>
      <c r="N242" s="285">
        <v>0</v>
      </c>
      <c r="O242" s="285">
        <v>0</v>
      </c>
      <c r="P242" s="285">
        <v>0</v>
      </c>
      <c r="Q242" s="285">
        <v>0</v>
      </c>
      <c r="R242" s="285">
        <v>0</v>
      </c>
      <c r="S242" s="285">
        <v>0</v>
      </c>
      <c r="T242" s="285">
        <v>0</v>
      </c>
      <c r="U242" s="410" t="e">
        <v>#DIV/0!</v>
      </c>
      <c r="V242" s="285">
        <v>0</v>
      </c>
      <c r="W242" s="285">
        <v>0</v>
      </c>
      <c r="X242" s="285">
        <v>0</v>
      </c>
      <c r="Y242" s="285">
        <v>0</v>
      </c>
      <c r="Z242" s="285">
        <v>0</v>
      </c>
      <c r="AA242" s="285">
        <v>0</v>
      </c>
    </row>
    <row r="243" spans="1:27" x14ac:dyDescent="0.2">
      <c r="A243" s="415" t="s">
        <v>1320</v>
      </c>
      <c r="B243" s="416" t="s">
        <v>1321</v>
      </c>
      <c r="C243" s="253">
        <v>0</v>
      </c>
      <c r="D243" s="253">
        <v>0</v>
      </c>
      <c r="E243" s="253">
        <v>0</v>
      </c>
      <c r="F243" s="253">
        <v>0</v>
      </c>
      <c r="G243" s="253">
        <v>0</v>
      </c>
      <c r="H243" s="285">
        <v>0</v>
      </c>
      <c r="I243" s="285">
        <v>0</v>
      </c>
      <c r="J243" s="285">
        <v>0</v>
      </c>
      <c r="K243" s="285">
        <v>0</v>
      </c>
      <c r="L243" s="285">
        <v>0</v>
      </c>
      <c r="M243" s="285">
        <v>0</v>
      </c>
      <c r="N243" s="285">
        <v>0</v>
      </c>
      <c r="O243" s="285">
        <v>0</v>
      </c>
      <c r="P243" s="285">
        <v>0</v>
      </c>
      <c r="Q243" s="285">
        <v>0</v>
      </c>
      <c r="R243" s="285">
        <v>0</v>
      </c>
      <c r="S243" s="285">
        <v>0</v>
      </c>
      <c r="T243" s="285">
        <v>0</v>
      </c>
      <c r="U243" s="410" t="e">
        <v>#DIV/0!</v>
      </c>
      <c r="V243" s="285">
        <v>0</v>
      </c>
      <c r="W243" s="285">
        <v>0</v>
      </c>
      <c r="X243" s="285">
        <v>0</v>
      </c>
      <c r="Y243" s="285">
        <v>0</v>
      </c>
      <c r="Z243" s="285">
        <v>0</v>
      </c>
      <c r="AA243" s="285">
        <v>0</v>
      </c>
    </row>
    <row r="244" spans="1:27" x14ac:dyDescent="0.2">
      <c r="A244" s="398" t="s">
        <v>1322</v>
      </c>
      <c r="B244" s="414" t="s">
        <v>629</v>
      </c>
      <c r="C244" s="253">
        <v>0</v>
      </c>
      <c r="D244" s="253">
        <v>0</v>
      </c>
      <c r="E244" s="253">
        <v>0</v>
      </c>
      <c r="F244" s="253">
        <v>0</v>
      </c>
      <c r="G244" s="253">
        <v>0</v>
      </c>
      <c r="H244" s="285">
        <v>0</v>
      </c>
      <c r="I244" s="285">
        <v>0</v>
      </c>
      <c r="J244" s="285">
        <v>0</v>
      </c>
      <c r="K244" s="285">
        <v>0</v>
      </c>
      <c r="L244" s="285">
        <v>0</v>
      </c>
      <c r="M244" s="285">
        <v>0</v>
      </c>
      <c r="N244" s="285">
        <v>0</v>
      </c>
      <c r="O244" s="285">
        <v>0</v>
      </c>
      <c r="P244" s="285">
        <v>0</v>
      </c>
      <c r="Q244" s="285">
        <v>0</v>
      </c>
      <c r="R244" s="285">
        <v>0</v>
      </c>
      <c r="S244" s="285">
        <v>0</v>
      </c>
      <c r="T244" s="285">
        <v>0</v>
      </c>
      <c r="U244" s="410" t="e">
        <v>#DIV/0!</v>
      </c>
      <c r="V244" s="285">
        <v>0</v>
      </c>
      <c r="W244" s="285">
        <v>0</v>
      </c>
      <c r="X244" s="285">
        <v>0</v>
      </c>
      <c r="Y244" s="285">
        <v>0</v>
      </c>
      <c r="Z244" s="285">
        <v>0</v>
      </c>
      <c r="AA244" s="285">
        <v>0</v>
      </c>
    </row>
    <row r="245" spans="1:27" x14ac:dyDescent="0.2">
      <c r="A245" s="398" t="s">
        <v>1323</v>
      </c>
      <c r="B245" s="414" t="s">
        <v>630</v>
      </c>
      <c r="C245" s="253">
        <v>0</v>
      </c>
      <c r="D245" s="253">
        <v>0</v>
      </c>
      <c r="E245" s="253">
        <v>0</v>
      </c>
      <c r="F245" s="253">
        <v>0</v>
      </c>
      <c r="G245" s="253">
        <v>0</v>
      </c>
      <c r="H245" s="285">
        <v>0</v>
      </c>
      <c r="I245" s="285">
        <v>0</v>
      </c>
      <c r="J245" s="285">
        <v>0</v>
      </c>
      <c r="K245" s="285">
        <v>0</v>
      </c>
      <c r="L245" s="285">
        <v>0</v>
      </c>
      <c r="M245" s="285">
        <v>0</v>
      </c>
      <c r="N245" s="285">
        <v>0</v>
      </c>
      <c r="O245" s="285">
        <v>0</v>
      </c>
      <c r="P245" s="285">
        <v>0</v>
      </c>
      <c r="Q245" s="285">
        <v>0</v>
      </c>
      <c r="R245" s="285">
        <v>0</v>
      </c>
      <c r="S245" s="285">
        <v>0</v>
      </c>
      <c r="T245" s="285">
        <v>0</v>
      </c>
      <c r="U245" s="410" t="e">
        <v>#DIV/0!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  <c r="AA245" s="285">
        <v>0</v>
      </c>
    </row>
    <row r="246" spans="1:27" x14ac:dyDescent="0.2">
      <c r="A246" s="398" t="s">
        <v>1324</v>
      </c>
      <c r="B246" s="412" t="s">
        <v>631</v>
      </c>
      <c r="C246" s="253">
        <v>0</v>
      </c>
      <c r="D246" s="253">
        <v>0</v>
      </c>
      <c r="E246" s="253">
        <v>0</v>
      </c>
      <c r="F246" s="253">
        <v>0</v>
      </c>
      <c r="G246" s="253">
        <v>0</v>
      </c>
      <c r="H246" s="285">
        <v>0</v>
      </c>
      <c r="I246" s="285">
        <v>0</v>
      </c>
      <c r="J246" s="285">
        <v>0</v>
      </c>
      <c r="K246" s="285">
        <v>0</v>
      </c>
      <c r="L246" s="285">
        <v>0</v>
      </c>
      <c r="M246" s="285">
        <v>0</v>
      </c>
      <c r="N246" s="285">
        <v>0</v>
      </c>
      <c r="O246" s="285">
        <v>0</v>
      </c>
      <c r="P246" s="285">
        <v>0</v>
      </c>
      <c r="Q246" s="285">
        <v>0</v>
      </c>
      <c r="R246" s="285">
        <v>0</v>
      </c>
      <c r="S246" s="285">
        <v>0</v>
      </c>
      <c r="T246" s="285">
        <v>0</v>
      </c>
      <c r="U246" s="410" t="e">
        <v>#DIV/0!</v>
      </c>
      <c r="V246" s="285">
        <v>0</v>
      </c>
      <c r="W246" s="285">
        <v>0</v>
      </c>
      <c r="X246" s="285">
        <v>0</v>
      </c>
      <c r="Y246" s="285">
        <v>0</v>
      </c>
      <c r="Z246" s="285">
        <v>0</v>
      </c>
      <c r="AA246" s="285">
        <v>0</v>
      </c>
    </row>
    <row r="247" spans="1:27" x14ac:dyDescent="0.2">
      <c r="A247" s="398" t="s">
        <v>1325</v>
      </c>
      <c r="B247" s="412" t="s">
        <v>632</v>
      </c>
      <c r="C247" s="253">
        <v>0</v>
      </c>
      <c r="D247" s="253">
        <v>0</v>
      </c>
      <c r="E247" s="253">
        <v>0</v>
      </c>
      <c r="F247" s="253">
        <v>0</v>
      </c>
      <c r="G247" s="253">
        <v>0</v>
      </c>
      <c r="H247" s="285">
        <v>0</v>
      </c>
      <c r="I247" s="285">
        <v>0</v>
      </c>
      <c r="J247" s="285">
        <v>0</v>
      </c>
      <c r="K247" s="285">
        <v>0</v>
      </c>
      <c r="L247" s="285">
        <v>0</v>
      </c>
      <c r="M247" s="285">
        <v>0</v>
      </c>
      <c r="N247" s="285">
        <v>0</v>
      </c>
      <c r="O247" s="285">
        <v>0</v>
      </c>
      <c r="P247" s="285">
        <v>0</v>
      </c>
      <c r="Q247" s="285">
        <v>0</v>
      </c>
      <c r="R247" s="285">
        <v>0</v>
      </c>
      <c r="S247" s="285">
        <v>0</v>
      </c>
      <c r="T247" s="285">
        <v>0</v>
      </c>
      <c r="U247" s="410" t="e">
        <v>#DIV/0!</v>
      </c>
      <c r="V247" s="285">
        <v>0</v>
      </c>
      <c r="W247" s="285">
        <v>0</v>
      </c>
      <c r="X247" s="285">
        <v>0</v>
      </c>
      <c r="Y247" s="285">
        <v>0</v>
      </c>
      <c r="Z247" s="285">
        <v>0</v>
      </c>
      <c r="AA247" s="285">
        <v>0</v>
      </c>
    </row>
    <row r="248" spans="1:27" x14ac:dyDescent="0.2">
      <c r="A248" s="398" t="s">
        <v>1326</v>
      </c>
      <c r="B248" s="412" t="s">
        <v>633</v>
      </c>
      <c r="C248" s="253">
        <v>0</v>
      </c>
      <c r="D248" s="253">
        <v>0</v>
      </c>
      <c r="E248" s="253">
        <v>0</v>
      </c>
      <c r="F248" s="253">
        <v>0</v>
      </c>
      <c r="G248" s="253">
        <v>0</v>
      </c>
      <c r="H248" s="285">
        <v>0</v>
      </c>
      <c r="I248" s="285">
        <v>0</v>
      </c>
      <c r="J248" s="285">
        <v>0</v>
      </c>
      <c r="K248" s="285">
        <v>0</v>
      </c>
      <c r="L248" s="285">
        <v>0</v>
      </c>
      <c r="M248" s="285">
        <v>0</v>
      </c>
      <c r="N248" s="285">
        <v>0</v>
      </c>
      <c r="O248" s="285">
        <v>0</v>
      </c>
      <c r="P248" s="285">
        <v>0</v>
      </c>
      <c r="Q248" s="285">
        <v>0</v>
      </c>
      <c r="R248" s="285">
        <v>0</v>
      </c>
      <c r="S248" s="285">
        <v>0</v>
      </c>
      <c r="T248" s="285">
        <v>0</v>
      </c>
      <c r="U248" s="410" t="e">
        <v>#DIV/0!</v>
      </c>
      <c r="V248" s="285">
        <v>0</v>
      </c>
      <c r="W248" s="285">
        <v>0</v>
      </c>
      <c r="X248" s="285">
        <v>0</v>
      </c>
      <c r="Y248" s="285">
        <v>0</v>
      </c>
      <c r="Z248" s="285">
        <v>0</v>
      </c>
      <c r="AA248" s="285">
        <v>0</v>
      </c>
    </row>
    <row r="249" spans="1:27" x14ac:dyDescent="0.2">
      <c r="A249" s="398" t="s">
        <v>1327</v>
      </c>
      <c r="B249" s="412" t="s">
        <v>634</v>
      </c>
      <c r="C249" s="253">
        <v>0</v>
      </c>
      <c r="D249" s="253">
        <v>0</v>
      </c>
      <c r="E249" s="253">
        <v>0</v>
      </c>
      <c r="F249" s="253">
        <v>0</v>
      </c>
      <c r="G249" s="253">
        <v>0</v>
      </c>
      <c r="H249" s="285">
        <v>0</v>
      </c>
      <c r="I249" s="285">
        <v>0</v>
      </c>
      <c r="J249" s="285">
        <v>0</v>
      </c>
      <c r="K249" s="285">
        <v>0</v>
      </c>
      <c r="L249" s="285">
        <v>0</v>
      </c>
      <c r="M249" s="285">
        <v>0</v>
      </c>
      <c r="N249" s="285">
        <v>0</v>
      </c>
      <c r="O249" s="285">
        <v>0</v>
      </c>
      <c r="P249" s="285">
        <v>0</v>
      </c>
      <c r="Q249" s="285">
        <v>0</v>
      </c>
      <c r="R249" s="285">
        <v>0</v>
      </c>
      <c r="S249" s="285">
        <v>0</v>
      </c>
      <c r="T249" s="285">
        <v>0</v>
      </c>
      <c r="U249" s="410" t="e">
        <v>#DIV/0!</v>
      </c>
      <c r="V249" s="285">
        <v>0</v>
      </c>
      <c r="W249" s="285">
        <v>0</v>
      </c>
      <c r="X249" s="285">
        <v>0</v>
      </c>
      <c r="Y249" s="285">
        <v>0</v>
      </c>
      <c r="Z249" s="285">
        <v>0</v>
      </c>
      <c r="AA249" s="285">
        <v>0</v>
      </c>
    </row>
    <row r="250" spans="1:27" x14ac:dyDescent="0.2">
      <c r="A250" s="398" t="s">
        <v>1328</v>
      </c>
      <c r="B250" s="412" t="s">
        <v>635</v>
      </c>
      <c r="C250" s="253">
        <v>0</v>
      </c>
      <c r="D250" s="253">
        <v>0</v>
      </c>
      <c r="E250" s="253">
        <v>0</v>
      </c>
      <c r="F250" s="253">
        <v>0</v>
      </c>
      <c r="G250" s="253">
        <v>0</v>
      </c>
      <c r="H250" s="285">
        <v>0</v>
      </c>
      <c r="I250" s="285">
        <v>0</v>
      </c>
      <c r="J250" s="285">
        <v>0</v>
      </c>
      <c r="K250" s="285">
        <v>0</v>
      </c>
      <c r="L250" s="285">
        <v>0</v>
      </c>
      <c r="M250" s="285">
        <v>0</v>
      </c>
      <c r="N250" s="285">
        <v>0</v>
      </c>
      <c r="O250" s="285">
        <v>0</v>
      </c>
      <c r="P250" s="285">
        <v>0</v>
      </c>
      <c r="Q250" s="285">
        <v>0</v>
      </c>
      <c r="R250" s="285">
        <v>0</v>
      </c>
      <c r="S250" s="285">
        <v>0</v>
      </c>
      <c r="T250" s="285">
        <v>0</v>
      </c>
      <c r="U250" s="410" t="e">
        <v>#DIV/0!</v>
      </c>
      <c r="V250" s="285">
        <v>0</v>
      </c>
      <c r="W250" s="285">
        <v>0</v>
      </c>
      <c r="X250" s="285">
        <v>0</v>
      </c>
      <c r="Y250" s="285">
        <v>0</v>
      </c>
      <c r="Z250" s="285">
        <v>0</v>
      </c>
      <c r="AA250" s="285">
        <v>0</v>
      </c>
    </row>
    <row r="251" spans="1:27" x14ac:dyDescent="0.2">
      <c r="A251" s="398"/>
      <c r="B251" s="404" t="s">
        <v>636</v>
      </c>
      <c r="C251" s="405">
        <v>0</v>
      </c>
      <c r="D251" s="405">
        <v>0</v>
      </c>
      <c r="E251" s="405">
        <v>0</v>
      </c>
      <c r="F251" s="405">
        <v>0</v>
      </c>
      <c r="G251" s="405">
        <v>0</v>
      </c>
      <c r="H251" s="405">
        <v>0</v>
      </c>
      <c r="I251" s="405">
        <v>0</v>
      </c>
      <c r="J251" s="405">
        <v>0</v>
      </c>
      <c r="K251" s="405">
        <v>0</v>
      </c>
      <c r="L251" s="405">
        <v>0</v>
      </c>
      <c r="M251" s="405">
        <v>0</v>
      </c>
      <c r="N251" s="405">
        <v>0</v>
      </c>
      <c r="O251" s="405">
        <v>0</v>
      </c>
      <c r="P251" s="405">
        <v>0</v>
      </c>
      <c r="Q251" s="405">
        <v>0</v>
      </c>
      <c r="R251" s="405">
        <v>0</v>
      </c>
      <c r="S251" s="405">
        <v>0</v>
      </c>
      <c r="T251" s="406">
        <v>0</v>
      </c>
      <c r="U251" s="407" t="e">
        <v>#DIV/0!</v>
      </c>
      <c r="V251" s="406">
        <v>0</v>
      </c>
      <c r="W251" s="406">
        <v>0</v>
      </c>
      <c r="X251" s="406">
        <v>0</v>
      </c>
      <c r="Y251" s="406">
        <v>0</v>
      </c>
      <c r="Z251" s="406">
        <v>0</v>
      </c>
      <c r="AA251" s="406">
        <v>0</v>
      </c>
    </row>
    <row r="252" spans="1:27" x14ac:dyDescent="0.2">
      <c r="A252" s="398" t="s">
        <v>1329</v>
      </c>
      <c r="B252" s="412" t="s">
        <v>637</v>
      </c>
      <c r="C252" s="253">
        <v>0</v>
      </c>
      <c r="D252" s="253">
        <v>0</v>
      </c>
      <c r="E252" s="253">
        <v>0</v>
      </c>
      <c r="F252" s="253">
        <v>0</v>
      </c>
      <c r="G252" s="253">
        <v>0</v>
      </c>
      <c r="H252" s="285">
        <v>0</v>
      </c>
      <c r="I252" s="285">
        <v>0</v>
      </c>
      <c r="J252" s="285">
        <v>0</v>
      </c>
      <c r="K252" s="285">
        <v>0</v>
      </c>
      <c r="L252" s="285">
        <v>0</v>
      </c>
      <c r="M252" s="285">
        <v>0</v>
      </c>
      <c r="N252" s="285">
        <v>0</v>
      </c>
      <c r="O252" s="285">
        <v>0</v>
      </c>
      <c r="P252" s="285">
        <v>0</v>
      </c>
      <c r="Q252" s="285">
        <v>0</v>
      </c>
      <c r="R252" s="285">
        <v>0</v>
      </c>
      <c r="S252" s="285">
        <v>0</v>
      </c>
      <c r="T252" s="285">
        <v>0</v>
      </c>
      <c r="U252" s="410" t="e">
        <v>#DIV/0!</v>
      </c>
      <c r="V252" s="285">
        <v>0</v>
      </c>
      <c r="W252" s="285">
        <v>0</v>
      </c>
      <c r="X252" s="285">
        <v>0</v>
      </c>
      <c r="Y252" s="285">
        <v>0</v>
      </c>
      <c r="Z252" s="285">
        <v>0</v>
      </c>
      <c r="AA252" s="285">
        <v>0</v>
      </c>
    </row>
    <row r="253" spans="1:27" x14ac:dyDescent="0.2">
      <c r="A253" s="398" t="s">
        <v>1330</v>
      </c>
      <c r="B253" s="412" t="s">
        <v>638</v>
      </c>
      <c r="C253" s="253">
        <v>0</v>
      </c>
      <c r="D253" s="253">
        <v>0</v>
      </c>
      <c r="E253" s="253">
        <v>0</v>
      </c>
      <c r="F253" s="253">
        <v>0</v>
      </c>
      <c r="G253" s="253">
        <v>0</v>
      </c>
      <c r="H253" s="285">
        <v>0</v>
      </c>
      <c r="I253" s="285">
        <v>0</v>
      </c>
      <c r="J253" s="285">
        <v>0</v>
      </c>
      <c r="K253" s="285">
        <v>0</v>
      </c>
      <c r="L253" s="285">
        <v>0</v>
      </c>
      <c r="M253" s="285">
        <v>0</v>
      </c>
      <c r="N253" s="285">
        <v>0</v>
      </c>
      <c r="O253" s="285">
        <v>0</v>
      </c>
      <c r="P253" s="285">
        <v>0</v>
      </c>
      <c r="Q253" s="285">
        <v>0</v>
      </c>
      <c r="R253" s="285">
        <v>0</v>
      </c>
      <c r="S253" s="285">
        <v>0</v>
      </c>
      <c r="T253" s="285">
        <v>0</v>
      </c>
      <c r="U253" s="410" t="e">
        <v>#DIV/0!</v>
      </c>
      <c r="V253" s="285">
        <v>0</v>
      </c>
      <c r="W253" s="285">
        <v>0</v>
      </c>
      <c r="X253" s="285">
        <v>0</v>
      </c>
      <c r="Y253" s="285">
        <v>0</v>
      </c>
      <c r="Z253" s="285">
        <v>0</v>
      </c>
      <c r="AA253" s="285">
        <v>0</v>
      </c>
    </row>
    <row r="254" spans="1:27" x14ac:dyDescent="0.2">
      <c r="A254" s="398" t="s">
        <v>1331</v>
      </c>
      <c r="B254" s="412" t="s">
        <v>639</v>
      </c>
      <c r="C254" s="253">
        <v>0</v>
      </c>
      <c r="D254" s="253">
        <v>0</v>
      </c>
      <c r="E254" s="253">
        <v>0</v>
      </c>
      <c r="F254" s="253">
        <v>0</v>
      </c>
      <c r="G254" s="253">
        <v>0</v>
      </c>
      <c r="H254" s="285">
        <v>0</v>
      </c>
      <c r="I254" s="285">
        <v>0</v>
      </c>
      <c r="J254" s="285">
        <v>0</v>
      </c>
      <c r="K254" s="285">
        <v>0</v>
      </c>
      <c r="L254" s="285">
        <v>0</v>
      </c>
      <c r="M254" s="285">
        <v>0</v>
      </c>
      <c r="N254" s="285">
        <v>0</v>
      </c>
      <c r="O254" s="285">
        <v>0</v>
      </c>
      <c r="P254" s="285">
        <v>0</v>
      </c>
      <c r="Q254" s="285">
        <v>0</v>
      </c>
      <c r="R254" s="285">
        <v>0</v>
      </c>
      <c r="S254" s="285">
        <v>0</v>
      </c>
      <c r="T254" s="285">
        <v>0</v>
      </c>
      <c r="U254" s="410" t="e">
        <v>#DIV/0!</v>
      </c>
      <c r="V254" s="285">
        <v>0</v>
      </c>
      <c r="W254" s="285">
        <v>0</v>
      </c>
      <c r="X254" s="285">
        <v>0</v>
      </c>
      <c r="Y254" s="285">
        <v>0</v>
      </c>
      <c r="Z254" s="285">
        <v>0</v>
      </c>
      <c r="AA254" s="285">
        <v>0</v>
      </c>
    </row>
    <row r="255" spans="1:27" x14ac:dyDescent="0.2">
      <c r="A255" s="398"/>
      <c r="B255" s="404" t="s">
        <v>640</v>
      </c>
      <c r="C255" s="405">
        <v>0</v>
      </c>
      <c r="D255" s="405">
        <v>0</v>
      </c>
      <c r="E255" s="405">
        <v>0</v>
      </c>
      <c r="F255" s="405">
        <v>0</v>
      </c>
      <c r="G255" s="405">
        <v>0</v>
      </c>
      <c r="H255" s="405">
        <v>0</v>
      </c>
      <c r="I255" s="405">
        <v>0</v>
      </c>
      <c r="J255" s="405">
        <v>0</v>
      </c>
      <c r="K255" s="405">
        <v>0</v>
      </c>
      <c r="L255" s="405">
        <v>0</v>
      </c>
      <c r="M255" s="405">
        <v>0</v>
      </c>
      <c r="N255" s="405">
        <v>0</v>
      </c>
      <c r="O255" s="405">
        <v>0</v>
      </c>
      <c r="P255" s="405">
        <v>0</v>
      </c>
      <c r="Q255" s="405">
        <v>0</v>
      </c>
      <c r="R255" s="405">
        <v>0</v>
      </c>
      <c r="S255" s="405">
        <v>0</v>
      </c>
      <c r="T255" s="406">
        <v>0</v>
      </c>
      <c r="U255" s="407" t="e">
        <v>#DIV/0!</v>
      </c>
      <c r="V255" s="406">
        <v>0</v>
      </c>
      <c r="W255" s="406">
        <v>0</v>
      </c>
      <c r="X255" s="406">
        <v>0</v>
      </c>
      <c r="Y255" s="406">
        <v>0</v>
      </c>
      <c r="Z255" s="406">
        <v>0</v>
      </c>
      <c r="AA255" s="406">
        <v>0</v>
      </c>
    </row>
    <row r="256" spans="1:27" x14ac:dyDescent="0.2">
      <c r="A256" s="398" t="s">
        <v>1332</v>
      </c>
      <c r="B256" s="412" t="s">
        <v>641</v>
      </c>
      <c r="C256" s="253">
        <v>0</v>
      </c>
      <c r="D256" s="253">
        <v>0</v>
      </c>
      <c r="E256" s="253">
        <v>0</v>
      </c>
      <c r="F256" s="253">
        <v>0</v>
      </c>
      <c r="G256" s="253">
        <v>0</v>
      </c>
      <c r="H256" s="285">
        <v>0</v>
      </c>
      <c r="I256" s="285">
        <v>0</v>
      </c>
      <c r="J256" s="285">
        <v>0</v>
      </c>
      <c r="K256" s="285">
        <v>0</v>
      </c>
      <c r="L256" s="285">
        <v>0</v>
      </c>
      <c r="M256" s="285">
        <v>0</v>
      </c>
      <c r="N256" s="285">
        <v>0</v>
      </c>
      <c r="O256" s="285">
        <v>0</v>
      </c>
      <c r="P256" s="285">
        <v>0</v>
      </c>
      <c r="Q256" s="285">
        <v>0</v>
      </c>
      <c r="R256" s="285">
        <v>0</v>
      </c>
      <c r="S256" s="285">
        <v>0</v>
      </c>
      <c r="T256" s="285">
        <v>0</v>
      </c>
      <c r="U256" s="410" t="e">
        <v>#DIV/0!</v>
      </c>
      <c r="V256" s="285">
        <v>0</v>
      </c>
      <c r="W256" s="285">
        <v>0</v>
      </c>
      <c r="X256" s="285">
        <v>0</v>
      </c>
      <c r="Y256" s="285">
        <v>0</v>
      </c>
      <c r="Z256" s="285">
        <v>0</v>
      </c>
      <c r="AA256" s="285">
        <v>0</v>
      </c>
    </row>
    <row r="257" spans="1:27" x14ac:dyDescent="0.2">
      <c r="A257" s="398" t="s">
        <v>1333</v>
      </c>
      <c r="B257" s="412" t="s">
        <v>642</v>
      </c>
      <c r="C257" s="253">
        <v>0</v>
      </c>
      <c r="D257" s="253">
        <v>0</v>
      </c>
      <c r="E257" s="253">
        <v>0</v>
      </c>
      <c r="F257" s="253">
        <v>0</v>
      </c>
      <c r="G257" s="253">
        <v>0</v>
      </c>
      <c r="H257" s="285">
        <v>0</v>
      </c>
      <c r="I257" s="285">
        <v>0</v>
      </c>
      <c r="J257" s="285">
        <v>0</v>
      </c>
      <c r="K257" s="285">
        <v>0</v>
      </c>
      <c r="L257" s="285">
        <v>0</v>
      </c>
      <c r="M257" s="285">
        <v>0</v>
      </c>
      <c r="N257" s="285">
        <v>0</v>
      </c>
      <c r="O257" s="285">
        <v>0</v>
      </c>
      <c r="P257" s="285">
        <v>0</v>
      </c>
      <c r="Q257" s="285">
        <v>0</v>
      </c>
      <c r="R257" s="285">
        <v>0</v>
      </c>
      <c r="S257" s="285">
        <v>0</v>
      </c>
      <c r="T257" s="285">
        <v>0</v>
      </c>
      <c r="U257" s="410" t="e">
        <v>#DIV/0!</v>
      </c>
      <c r="V257" s="285">
        <v>0</v>
      </c>
      <c r="W257" s="285">
        <v>0</v>
      </c>
      <c r="X257" s="285">
        <v>0</v>
      </c>
      <c r="Y257" s="285">
        <v>0</v>
      </c>
      <c r="Z257" s="285">
        <v>0</v>
      </c>
      <c r="AA257" s="285">
        <v>0</v>
      </c>
    </row>
    <row r="258" spans="1:27" x14ac:dyDescent="0.2">
      <c r="A258" s="398" t="s">
        <v>1334</v>
      </c>
      <c r="B258" s="412" t="s">
        <v>643</v>
      </c>
      <c r="C258" s="253">
        <v>0</v>
      </c>
      <c r="D258" s="253">
        <v>0</v>
      </c>
      <c r="E258" s="253">
        <v>0</v>
      </c>
      <c r="F258" s="253">
        <v>0</v>
      </c>
      <c r="G258" s="253">
        <v>0</v>
      </c>
      <c r="H258" s="285">
        <v>0</v>
      </c>
      <c r="I258" s="285">
        <v>0</v>
      </c>
      <c r="J258" s="285">
        <v>0</v>
      </c>
      <c r="K258" s="285">
        <v>0</v>
      </c>
      <c r="L258" s="285">
        <v>0</v>
      </c>
      <c r="M258" s="285">
        <v>0</v>
      </c>
      <c r="N258" s="285">
        <v>0</v>
      </c>
      <c r="O258" s="285">
        <v>0</v>
      </c>
      <c r="P258" s="285">
        <v>0</v>
      </c>
      <c r="Q258" s="285">
        <v>0</v>
      </c>
      <c r="R258" s="285">
        <v>0</v>
      </c>
      <c r="S258" s="285">
        <v>0</v>
      </c>
      <c r="T258" s="285">
        <v>0</v>
      </c>
      <c r="U258" s="410" t="e">
        <v>#DIV/0!</v>
      </c>
      <c r="V258" s="285">
        <v>0</v>
      </c>
      <c r="W258" s="285">
        <v>0</v>
      </c>
      <c r="X258" s="285">
        <v>0</v>
      </c>
      <c r="Y258" s="285">
        <v>0</v>
      </c>
      <c r="Z258" s="285">
        <v>0</v>
      </c>
      <c r="AA258" s="285">
        <v>0</v>
      </c>
    </row>
    <row r="259" spans="1:27" x14ac:dyDescent="0.2">
      <c r="A259" s="398" t="s">
        <v>1335</v>
      </c>
      <c r="B259" s="412" t="s">
        <v>644</v>
      </c>
      <c r="C259" s="253">
        <v>0</v>
      </c>
      <c r="D259" s="253">
        <v>0</v>
      </c>
      <c r="E259" s="253">
        <v>0</v>
      </c>
      <c r="F259" s="253">
        <v>0</v>
      </c>
      <c r="G259" s="253">
        <v>0</v>
      </c>
      <c r="H259" s="285">
        <v>0</v>
      </c>
      <c r="I259" s="285">
        <v>0</v>
      </c>
      <c r="J259" s="285">
        <v>0</v>
      </c>
      <c r="K259" s="285">
        <v>0</v>
      </c>
      <c r="L259" s="285">
        <v>0</v>
      </c>
      <c r="M259" s="285">
        <v>0</v>
      </c>
      <c r="N259" s="285">
        <v>0</v>
      </c>
      <c r="O259" s="285">
        <v>0</v>
      </c>
      <c r="P259" s="285">
        <v>0</v>
      </c>
      <c r="Q259" s="285">
        <v>0</v>
      </c>
      <c r="R259" s="285">
        <v>0</v>
      </c>
      <c r="S259" s="285">
        <v>0</v>
      </c>
      <c r="T259" s="285">
        <v>0</v>
      </c>
      <c r="U259" s="410" t="e">
        <v>#DIV/0!</v>
      </c>
      <c r="V259" s="285">
        <v>0</v>
      </c>
      <c r="W259" s="285">
        <v>0</v>
      </c>
      <c r="X259" s="285">
        <v>0</v>
      </c>
      <c r="Y259" s="285">
        <v>0</v>
      </c>
      <c r="Z259" s="285">
        <v>0</v>
      </c>
      <c r="AA259" s="285">
        <v>0</v>
      </c>
    </row>
    <row r="260" spans="1:27" x14ac:dyDescent="0.2">
      <c r="A260" s="398" t="s">
        <v>1336</v>
      </c>
      <c r="B260" s="412" t="s">
        <v>645</v>
      </c>
      <c r="C260" s="253">
        <v>0</v>
      </c>
      <c r="D260" s="253">
        <v>0</v>
      </c>
      <c r="E260" s="253">
        <v>0</v>
      </c>
      <c r="F260" s="253">
        <v>0</v>
      </c>
      <c r="G260" s="253">
        <v>0</v>
      </c>
      <c r="H260" s="285">
        <v>0</v>
      </c>
      <c r="I260" s="285">
        <v>0</v>
      </c>
      <c r="J260" s="285">
        <v>0</v>
      </c>
      <c r="K260" s="285">
        <v>0</v>
      </c>
      <c r="L260" s="285">
        <v>0</v>
      </c>
      <c r="M260" s="285">
        <v>0</v>
      </c>
      <c r="N260" s="285">
        <v>0</v>
      </c>
      <c r="O260" s="285">
        <v>0</v>
      </c>
      <c r="P260" s="285">
        <v>0</v>
      </c>
      <c r="Q260" s="285">
        <v>0</v>
      </c>
      <c r="R260" s="285">
        <v>0</v>
      </c>
      <c r="S260" s="285">
        <v>0</v>
      </c>
      <c r="T260" s="285">
        <v>0</v>
      </c>
      <c r="U260" s="410" t="e">
        <v>#DIV/0!</v>
      </c>
      <c r="V260" s="285">
        <v>0</v>
      </c>
      <c r="W260" s="285">
        <v>0</v>
      </c>
      <c r="X260" s="285">
        <v>0</v>
      </c>
      <c r="Y260" s="285">
        <v>0</v>
      </c>
      <c r="Z260" s="285">
        <v>0</v>
      </c>
      <c r="AA260" s="285">
        <v>0</v>
      </c>
    </row>
    <row r="261" spans="1:27" x14ac:dyDescent="0.2">
      <c r="A261" s="398" t="s">
        <v>1337</v>
      </c>
      <c r="B261" s="412" t="s">
        <v>646</v>
      </c>
      <c r="C261" s="253">
        <v>0</v>
      </c>
      <c r="D261" s="253">
        <v>0</v>
      </c>
      <c r="E261" s="253">
        <v>0</v>
      </c>
      <c r="F261" s="253">
        <v>0</v>
      </c>
      <c r="G261" s="253">
        <v>0</v>
      </c>
      <c r="H261" s="285">
        <v>0</v>
      </c>
      <c r="I261" s="285">
        <v>0</v>
      </c>
      <c r="J261" s="285">
        <v>0</v>
      </c>
      <c r="K261" s="285">
        <v>0</v>
      </c>
      <c r="L261" s="285">
        <v>0</v>
      </c>
      <c r="M261" s="285">
        <v>0</v>
      </c>
      <c r="N261" s="285">
        <v>0</v>
      </c>
      <c r="O261" s="285">
        <v>0</v>
      </c>
      <c r="P261" s="285">
        <v>0</v>
      </c>
      <c r="Q261" s="285">
        <v>0</v>
      </c>
      <c r="R261" s="285">
        <v>0</v>
      </c>
      <c r="S261" s="285">
        <v>0</v>
      </c>
      <c r="T261" s="285">
        <v>0</v>
      </c>
      <c r="U261" s="410" t="e">
        <v>#DIV/0!</v>
      </c>
      <c r="V261" s="285">
        <v>0</v>
      </c>
      <c r="W261" s="285">
        <v>0</v>
      </c>
      <c r="X261" s="285">
        <v>0</v>
      </c>
      <c r="Y261" s="285">
        <v>0</v>
      </c>
      <c r="Z261" s="285">
        <v>0</v>
      </c>
      <c r="AA261" s="285">
        <v>0</v>
      </c>
    </row>
    <row r="262" spans="1:27" x14ac:dyDescent="0.2">
      <c r="A262" s="398"/>
      <c r="B262" s="399" t="s">
        <v>647</v>
      </c>
      <c r="C262" s="400">
        <v>0</v>
      </c>
      <c r="D262" s="400">
        <v>0</v>
      </c>
      <c r="E262" s="400">
        <v>0</v>
      </c>
      <c r="F262" s="400">
        <v>0</v>
      </c>
      <c r="G262" s="400">
        <v>0</v>
      </c>
      <c r="H262" s="400">
        <v>0</v>
      </c>
      <c r="I262" s="400">
        <v>0</v>
      </c>
      <c r="J262" s="400">
        <v>0</v>
      </c>
      <c r="K262" s="400">
        <v>0</v>
      </c>
      <c r="L262" s="400">
        <v>0</v>
      </c>
      <c r="M262" s="400">
        <v>0</v>
      </c>
      <c r="N262" s="400">
        <v>0</v>
      </c>
      <c r="O262" s="400">
        <v>0</v>
      </c>
      <c r="P262" s="400">
        <v>0</v>
      </c>
      <c r="Q262" s="400">
        <v>0</v>
      </c>
      <c r="R262" s="400">
        <v>0</v>
      </c>
      <c r="S262" s="400">
        <v>0</v>
      </c>
      <c r="T262" s="401">
        <v>0</v>
      </c>
      <c r="U262" s="402" t="e">
        <v>#DIV/0!</v>
      </c>
      <c r="V262" s="401">
        <v>0</v>
      </c>
      <c r="W262" s="401">
        <v>0</v>
      </c>
      <c r="X262" s="401">
        <v>0</v>
      </c>
      <c r="Y262" s="401">
        <v>0</v>
      </c>
      <c r="Z262" s="401">
        <v>0</v>
      </c>
      <c r="AA262" s="401">
        <v>0</v>
      </c>
    </row>
    <row r="263" spans="1:27" x14ac:dyDescent="0.2">
      <c r="A263" s="398"/>
      <c r="B263" s="404" t="s">
        <v>648</v>
      </c>
      <c r="C263" s="405">
        <v>0</v>
      </c>
      <c r="D263" s="405">
        <v>0</v>
      </c>
      <c r="E263" s="405">
        <v>0</v>
      </c>
      <c r="F263" s="405">
        <v>0</v>
      </c>
      <c r="G263" s="405">
        <v>0</v>
      </c>
      <c r="H263" s="405">
        <v>0</v>
      </c>
      <c r="I263" s="405">
        <v>0</v>
      </c>
      <c r="J263" s="405">
        <v>0</v>
      </c>
      <c r="K263" s="405">
        <v>0</v>
      </c>
      <c r="L263" s="405">
        <v>0</v>
      </c>
      <c r="M263" s="405">
        <v>0</v>
      </c>
      <c r="N263" s="405">
        <v>0</v>
      </c>
      <c r="O263" s="405">
        <v>0</v>
      </c>
      <c r="P263" s="405">
        <v>0</v>
      </c>
      <c r="Q263" s="405">
        <v>0</v>
      </c>
      <c r="R263" s="405">
        <v>0</v>
      </c>
      <c r="S263" s="405">
        <v>0</v>
      </c>
      <c r="T263" s="406">
        <v>0</v>
      </c>
      <c r="U263" s="407" t="e">
        <v>#DIV/0!</v>
      </c>
      <c r="V263" s="406">
        <v>0</v>
      </c>
      <c r="W263" s="406">
        <v>0</v>
      </c>
      <c r="X263" s="406">
        <v>0</v>
      </c>
      <c r="Y263" s="406">
        <v>0</v>
      </c>
      <c r="Z263" s="406">
        <v>0</v>
      </c>
      <c r="AA263" s="406">
        <v>0</v>
      </c>
    </row>
    <row r="264" spans="1:27" x14ac:dyDescent="0.2">
      <c r="A264" s="398" t="s">
        <v>1338</v>
      </c>
      <c r="B264" s="412" t="s">
        <v>649</v>
      </c>
      <c r="C264" s="253">
        <v>0</v>
      </c>
      <c r="D264" s="253">
        <v>0</v>
      </c>
      <c r="E264" s="253">
        <v>0</v>
      </c>
      <c r="F264" s="253">
        <v>0</v>
      </c>
      <c r="G264" s="253">
        <v>0</v>
      </c>
      <c r="H264" s="285">
        <v>0</v>
      </c>
      <c r="I264" s="285">
        <v>0</v>
      </c>
      <c r="J264" s="285">
        <v>0</v>
      </c>
      <c r="K264" s="285">
        <v>0</v>
      </c>
      <c r="L264" s="285">
        <v>0</v>
      </c>
      <c r="M264" s="285">
        <v>0</v>
      </c>
      <c r="N264" s="285">
        <v>0</v>
      </c>
      <c r="O264" s="285">
        <v>0</v>
      </c>
      <c r="P264" s="285">
        <v>0</v>
      </c>
      <c r="Q264" s="285">
        <v>0</v>
      </c>
      <c r="R264" s="285">
        <v>0</v>
      </c>
      <c r="S264" s="285">
        <v>0</v>
      </c>
      <c r="T264" s="285">
        <v>0</v>
      </c>
      <c r="U264" s="410" t="e">
        <v>#DIV/0!</v>
      </c>
      <c r="V264" s="285">
        <v>0</v>
      </c>
      <c r="W264" s="285">
        <v>0</v>
      </c>
      <c r="X264" s="285">
        <v>0</v>
      </c>
      <c r="Y264" s="285">
        <v>0</v>
      </c>
      <c r="Z264" s="285">
        <v>0</v>
      </c>
      <c r="AA264" s="285">
        <v>0</v>
      </c>
    </row>
    <row r="265" spans="1:27" x14ac:dyDescent="0.2">
      <c r="A265" s="398" t="s">
        <v>1339</v>
      </c>
      <c r="B265" s="412" t="s">
        <v>650</v>
      </c>
      <c r="C265" s="253">
        <v>0</v>
      </c>
      <c r="D265" s="253">
        <v>0</v>
      </c>
      <c r="E265" s="253">
        <v>0</v>
      </c>
      <c r="F265" s="253">
        <v>0</v>
      </c>
      <c r="G265" s="253">
        <v>0</v>
      </c>
      <c r="H265" s="285">
        <v>0</v>
      </c>
      <c r="I265" s="285">
        <v>0</v>
      </c>
      <c r="J265" s="285">
        <v>0</v>
      </c>
      <c r="K265" s="285">
        <v>0</v>
      </c>
      <c r="L265" s="285">
        <v>0</v>
      </c>
      <c r="M265" s="285">
        <v>0</v>
      </c>
      <c r="N265" s="285">
        <v>0</v>
      </c>
      <c r="O265" s="285">
        <v>0</v>
      </c>
      <c r="P265" s="285">
        <v>0</v>
      </c>
      <c r="Q265" s="285">
        <v>0</v>
      </c>
      <c r="R265" s="285">
        <v>0</v>
      </c>
      <c r="S265" s="285">
        <v>0</v>
      </c>
      <c r="T265" s="285">
        <v>0</v>
      </c>
      <c r="U265" s="410" t="e">
        <v>#DIV/0!</v>
      </c>
      <c r="V265" s="285">
        <v>0</v>
      </c>
      <c r="W265" s="285">
        <v>0</v>
      </c>
      <c r="X265" s="285">
        <v>0</v>
      </c>
      <c r="Y265" s="285">
        <v>0</v>
      </c>
      <c r="Z265" s="285">
        <v>0</v>
      </c>
      <c r="AA265" s="285">
        <v>0</v>
      </c>
    </row>
    <row r="266" spans="1:27" x14ac:dyDescent="0.2">
      <c r="A266" s="398" t="s">
        <v>1340</v>
      </c>
      <c r="B266" s="412" t="s">
        <v>651</v>
      </c>
      <c r="C266" s="253">
        <v>0</v>
      </c>
      <c r="D266" s="253">
        <v>0</v>
      </c>
      <c r="E266" s="253">
        <v>0</v>
      </c>
      <c r="F266" s="253">
        <v>0</v>
      </c>
      <c r="G266" s="253">
        <v>0</v>
      </c>
      <c r="H266" s="285">
        <v>0</v>
      </c>
      <c r="I266" s="285">
        <v>0</v>
      </c>
      <c r="J266" s="285">
        <v>0</v>
      </c>
      <c r="K266" s="285">
        <v>0</v>
      </c>
      <c r="L266" s="285">
        <v>0</v>
      </c>
      <c r="M266" s="285">
        <v>0</v>
      </c>
      <c r="N266" s="285">
        <v>0</v>
      </c>
      <c r="O266" s="285">
        <v>0</v>
      </c>
      <c r="P266" s="285">
        <v>0</v>
      </c>
      <c r="Q266" s="285">
        <v>0</v>
      </c>
      <c r="R266" s="285">
        <v>0</v>
      </c>
      <c r="S266" s="285">
        <v>0</v>
      </c>
      <c r="T266" s="285">
        <v>0</v>
      </c>
      <c r="U266" s="410" t="e">
        <v>#DIV/0!</v>
      </c>
      <c r="V266" s="285">
        <v>0</v>
      </c>
      <c r="W266" s="285">
        <v>0</v>
      </c>
      <c r="X266" s="285">
        <v>0</v>
      </c>
      <c r="Y266" s="285">
        <v>0</v>
      </c>
      <c r="Z266" s="285">
        <v>0</v>
      </c>
      <c r="AA266" s="285">
        <v>0</v>
      </c>
    </row>
    <row r="267" spans="1:27" x14ac:dyDescent="0.2">
      <c r="A267" s="398" t="s">
        <v>1341</v>
      </c>
      <c r="B267" s="412" t="s">
        <v>652</v>
      </c>
      <c r="C267" s="253">
        <v>0</v>
      </c>
      <c r="D267" s="253">
        <v>0</v>
      </c>
      <c r="E267" s="253">
        <v>0</v>
      </c>
      <c r="F267" s="253">
        <v>0</v>
      </c>
      <c r="G267" s="253">
        <v>0</v>
      </c>
      <c r="H267" s="285">
        <v>0</v>
      </c>
      <c r="I267" s="285">
        <v>0</v>
      </c>
      <c r="J267" s="285">
        <v>0</v>
      </c>
      <c r="K267" s="285">
        <v>0</v>
      </c>
      <c r="L267" s="285">
        <v>0</v>
      </c>
      <c r="M267" s="285">
        <v>0</v>
      </c>
      <c r="N267" s="285">
        <v>0</v>
      </c>
      <c r="O267" s="285">
        <v>0</v>
      </c>
      <c r="P267" s="285">
        <v>0</v>
      </c>
      <c r="Q267" s="285">
        <v>0</v>
      </c>
      <c r="R267" s="285">
        <v>0</v>
      </c>
      <c r="S267" s="285">
        <v>0</v>
      </c>
      <c r="T267" s="285">
        <v>0</v>
      </c>
      <c r="U267" s="410" t="e">
        <v>#DIV/0!</v>
      </c>
      <c r="V267" s="285">
        <v>0</v>
      </c>
      <c r="W267" s="285">
        <v>0</v>
      </c>
      <c r="X267" s="285">
        <v>0</v>
      </c>
      <c r="Y267" s="285">
        <v>0</v>
      </c>
      <c r="Z267" s="285">
        <v>0</v>
      </c>
      <c r="AA267" s="285">
        <v>0</v>
      </c>
    </row>
    <row r="268" spans="1:27" x14ac:dyDescent="0.2">
      <c r="A268" s="398" t="s">
        <v>1342</v>
      </c>
      <c r="B268" s="412" t="s">
        <v>653</v>
      </c>
      <c r="C268" s="253">
        <v>0</v>
      </c>
      <c r="D268" s="253">
        <v>0</v>
      </c>
      <c r="E268" s="253">
        <v>0</v>
      </c>
      <c r="F268" s="253">
        <v>0</v>
      </c>
      <c r="G268" s="253">
        <v>0</v>
      </c>
      <c r="H268" s="285">
        <v>0</v>
      </c>
      <c r="I268" s="285">
        <v>0</v>
      </c>
      <c r="J268" s="285">
        <v>0</v>
      </c>
      <c r="K268" s="285">
        <v>0</v>
      </c>
      <c r="L268" s="285">
        <v>0</v>
      </c>
      <c r="M268" s="285">
        <v>0</v>
      </c>
      <c r="N268" s="285">
        <v>0</v>
      </c>
      <c r="O268" s="285">
        <v>0</v>
      </c>
      <c r="P268" s="285">
        <v>0</v>
      </c>
      <c r="Q268" s="285">
        <v>0</v>
      </c>
      <c r="R268" s="285">
        <v>0</v>
      </c>
      <c r="S268" s="285">
        <v>0</v>
      </c>
      <c r="T268" s="285">
        <v>0</v>
      </c>
      <c r="U268" s="410" t="e">
        <v>#DIV/0!</v>
      </c>
      <c r="V268" s="285">
        <v>0</v>
      </c>
      <c r="W268" s="285">
        <v>0</v>
      </c>
      <c r="X268" s="285">
        <v>0</v>
      </c>
      <c r="Y268" s="285">
        <v>0</v>
      </c>
      <c r="Z268" s="285">
        <v>0</v>
      </c>
      <c r="AA268" s="285">
        <v>0</v>
      </c>
    </row>
    <row r="269" spans="1:27" x14ac:dyDescent="0.2">
      <c r="A269" s="398" t="s">
        <v>1343</v>
      </c>
      <c r="B269" s="412" t="s">
        <v>654</v>
      </c>
      <c r="C269" s="253">
        <v>0</v>
      </c>
      <c r="D269" s="253">
        <v>0</v>
      </c>
      <c r="E269" s="253">
        <v>0</v>
      </c>
      <c r="F269" s="253">
        <v>0</v>
      </c>
      <c r="G269" s="253">
        <v>0</v>
      </c>
      <c r="H269" s="285">
        <v>0</v>
      </c>
      <c r="I269" s="285">
        <v>0</v>
      </c>
      <c r="J269" s="285">
        <v>0</v>
      </c>
      <c r="K269" s="285">
        <v>0</v>
      </c>
      <c r="L269" s="285">
        <v>0</v>
      </c>
      <c r="M269" s="285">
        <v>0</v>
      </c>
      <c r="N269" s="285">
        <v>0</v>
      </c>
      <c r="O269" s="285">
        <v>0</v>
      </c>
      <c r="P269" s="285">
        <v>0</v>
      </c>
      <c r="Q269" s="285">
        <v>0</v>
      </c>
      <c r="R269" s="285">
        <v>0</v>
      </c>
      <c r="S269" s="285">
        <v>0</v>
      </c>
      <c r="T269" s="285">
        <v>0</v>
      </c>
      <c r="U269" s="410" t="e">
        <v>#DIV/0!</v>
      </c>
      <c r="V269" s="285">
        <v>0</v>
      </c>
      <c r="W269" s="285">
        <v>0</v>
      </c>
      <c r="X269" s="285">
        <v>0</v>
      </c>
      <c r="Y269" s="285">
        <v>0</v>
      </c>
      <c r="Z269" s="285">
        <v>0</v>
      </c>
      <c r="AA269" s="285">
        <v>0</v>
      </c>
    </row>
    <row r="270" spans="1:27" x14ac:dyDescent="0.2">
      <c r="A270" s="398" t="s">
        <v>1344</v>
      </c>
      <c r="B270" s="412" t="s">
        <v>655</v>
      </c>
      <c r="C270" s="253">
        <v>0</v>
      </c>
      <c r="D270" s="253">
        <v>0</v>
      </c>
      <c r="E270" s="253">
        <v>0</v>
      </c>
      <c r="F270" s="253">
        <v>0</v>
      </c>
      <c r="G270" s="253">
        <v>0</v>
      </c>
      <c r="H270" s="285">
        <v>0</v>
      </c>
      <c r="I270" s="285">
        <v>0</v>
      </c>
      <c r="J270" s="285">
        <v>0</v>
      </c>
      <c r="K270" s="285">
        <v>0</v>
      </c>
      <c r="L270" s="285">
        <v>0</v>
      </c>
      <c r="M270" s="285">
        <v>0</v>
      </c>
      <c r="N270" s="285">
        <v>0</v>
      </c>
      <c r="O270" s="285">
        <v>0</v>
      </c>
      <c r="P270" s="285">
        <v>0</v>
      </c>
      <c r="Q270" s="285">
        <v>0</v>
      </c>
      <c r="R270" s="285">
        <v>0</v>
      </c>
      <c r="S270" s="285">
        <v>0</v>
      </c>
      <c r="T270" s="285">
        <v>0</v>
      </c>
      <c r="U270" s="410" t="e">
        <v>#DIV/0!</v>
      </c>
      <c r="V270" s="285">
        <v>0</v>
      </c>
      <c r="W270" s="285">
        <v>0</v>
      </c>
      <c r="X270" s="285">
        <v>0</v>
      </c>
      <c r="Y270" s="285">
        <v>0</v>
      </c>
      <c r="Z270" s="285">
        <v>0</v>
      </c>
      <c r="AA270" s="285">
        <v>0</v>
      </c>
    </row>
    <row r="271" spans="1:27" x14ac:dyDescent="0.2">
      <c r="A271" s="398" t="s">
        <v>1345</v>
      </c>
      <c r="B271" s="412" t="s">
        <v>656</v>
      </c>
      <c r="C271" s="253">
        <v>0</v>
      </c>
      <c r="D271" s="253">
        <v>0</v>
      </c>
      <c r="E271" s="253">
        <v>0</v>
      </c>
      <c r="F271" s="253">
        <v>0</v>
      </c>
      <c r="G271" s="253">
        <v>0</v>
      </c>
      <c r="H271" s="285">
        <v>0</v>
      </c>
      <c r="I271" s="285">
        <v>0</v>
      </c>
      <c r="J271" s="285">
        <v>0</v>
      </c>
      <c r="K271" s="285">
        <v>0</v>
      </c>
      <c r="L271" s="285">
        <v>0</v>
      </c>
      <c r="M271" s="285">
        <v>0</v>
      </c>
      <c r="N271" s="285">
        <v>0</v>
      </c>
      <c r="O271" s="285">
        <v>0</v>
      </c>
      <c r="P271" s="285">
        <v>0</v>
      </c>
      <c r="Q271" s="285">
        <v>0</v>
      </c>
      <c r="R271" s="285">
        <v>0</v>
      </c>
      <c r="S271" s="285">
        <v>0</v>
      </c>
      <c r="T271" s="285">
        <v>0</v>
      </c>
      <c r="U271" s="410" t="e">
        <v>#DIV/0!</v>
      </c>
      <c r="V271" s="285">
        <v>0</v>
      </c>
      <c r="W271" s="285">
        <v>0</v>
      </c>
      <c r="X271" s="285">
        <v>0</v>
      </c>
      <c r="Y271" s="285">
        <v>0</v>
      </c>
      <c r="Z271" s="285">
        <v>0</v>
      </c>
      <c r="AA271" s="285">
        <v>0</v>
      </c>
    </row>
    <row r="272" spans="1:27" x14ac:dyDescent="0.2">
      <c r="A272" s="398" t="s">
        <v>1346</v>
      </c>
      <c r="B272" s="412" t="s">
        <v>657</v>
      </c>
      <c r="C272" s="253">
        <v>0</v>
      </c>
      <c r="D272" s="253">
        <v>0</v>
      </c>
      <c r="E272" s="253">
        <v>0</v>
      </c>
      <c r="F272" s="253">
        <v>0</v>
      </c>
      <c r="G272" s="253">
        <v>0</v>
      </c>
      <c r="H272" s="285">
        <v>0</v>
      </c>
      <c r="I272" s="285">
        <v>0</v>
      </c>
      <c r="J272" s="285">
        <v>0</v>
      </c>
      <c r="K272" s="285">
        <v>0</v>
      </c>
      <c r="L272" s="285">
        <v>0</v>
      </c>
      <c r="M272" s="285">
        <v>0</v>
      </c>
      <c r="N272" s="285">
        <v>0</v>
      </c>
      <c r="O272" s="285">
        <v>0</v>
      </c>
      <c r="P272" s="285">
        <v>0</v>
      </c>
      <c r="Q272" s="285">
        <v>0</v>
      </c>
      <c r="R272" s="285">
        <v>0</v>
      </c>
      <c r="S272" s="285">
        <v>0</v>
      </c>
      <c r="T272" s="285">
        <v>0</v>
      </c>
      <c r="U272" s="410" t="e">
        <v>#DIV/0!</v>
      </c>
      <c r="V272" s="285">
        <v>0</v>
      </c>
      <c r="W272" s="285">
        <v>0</v>
      </c>
      <c r="X272" s="285">
        <v>0</v>
      </c>
      <c r="Y272" s="285">
        <v>0</v>
      </c>
      <c r="Z272" s="285">
        <v>0</v>
      </c>
      <c r="AA272" s="285">
        <v>0</v>
      </c>
    </row>
    <row r="273" spans="1:27" x14ac:dyDescent="0.2">
      <c r="A273" s="398" t="s">
        <v>1347</v>
      </c>
      <c r="B273" s="412" t="s">
        <v>658</v>
      </c>
      <c r="C273" s="253">
        <v>0</v>
      </c>
      <c r="D273" s="253">
        <v>0</v>
      </c>
      <c r="E273" s="253">
        <v>0</v>
      </c>
      <c r="F273" s="253">
        <v>0</v>
      </c>
      <c r="G273" s="253">
        <v>0</v>
      </c>
      <c r="H273" s="285">
        <v>0</v>
      </c>
      <c r="I273" s="285">
        <v>0</v>
      </c>
      <c r="J273" s="285">
        <v>0</v>
      </c>
      <c r="K273" s="285">
        <v>0</v>
      </c>
      <c r="L273" s="285">
        <v>0</v>
      </c>
      <c r="M273" s="285">
        <v>0</v>
      </c>
      <c r="N273" s="285">
        <v>0</v>
      </c>
      <c r="O273" s="285">
        <v>0</v>
      </c>
      <c r="P273" s="285">
        <v>0</v>
      </c>
      <c r="Q273" s="285">
        <v>0</v>
      </c>
      <c r="R273" s="285">
        <v>0</v>
      </c>
      <c r="S273" s="285">
        <v>0</v>
      </c>
      <c r="T273" s="285">
        <v>0</v>
      </c>
      <c r="U273" s="410" t="e">
        <v>#DIV/0!</v>
      </c>
      <c r="V273" s="285">
        <v>0</v>
      </c>
      <c r="W273" s="285">
        <v>0</v>
      </c>
      <c r="X273" s="285">
        <v>0</v>
      </c>
      <c r="Y273" s="285">
        <v>0</v>
      </c>
      <c r="Z273" s="285">
        <v>0</v>
      </c>
      <c r="AA273" s="285">
        <v>0</v>
      </c>
    </row>
    <row r="274" spans="1:27" x14ac:dyDescent="0.2">
      <c r="A274" s="398" t="s">
        <v>1348</v>
      </c>
      <c r="B274" s="412" t="s">
        <v>659</v>
      </c>
      <c r="C274" s="253">
        <v>0</v>
      </c>
      <c r="D274" s="253">
        <v>0</v>
      </c>
      <c r="E274" s="253">
        <v>0</v>
      </c>
      <c r="F274" s="253">
        <v>0</v>
      </c>
      <c r="G274" s="253">
        <v>0</v>
      </c>
      <c r="H274" s="285">
        <v>0</v>
      </c>
      <c r="I274" s="285">
        <v>0</v>
      </c>
      <c r="J274" s="285">
        <v>0</v>
      </c>
      <c r="K274" s="285">
        <v>0</v>
      </c>
      <c r="L274" s="285">
        <v>0</v>
      </c>
      <c r="M274" s="285">
        <v>0</v>
      </c>
      <c r="N274" s="285">
        <v>0</v>
      </c>
      <c r="O274" s="285">
        <v>0</v>
      </c>
      <c r="P274" s="285">
        <v>0</v>
      </c>
      <c r="Q274" s="285">
        <v>0</v>
      </c>
      <c r="R274" s="285">
        <v>0</v>
      </c>
      <c r="S274" s="285">
        <v>0</v>
      </c>
      <c r="T274" s="285">
        <v>0</v>
      </c>
      <c r="U274" s="410" t="e">
        <v>#DIV/0!</v>
      </c>
      <c r="V274" s="285">
        <v>0</v>
      </c>
      <c r="W274" s="285">
        <v>0</v>
      </c>
      <c r="X274" s="285">
        <v>0</v>
      </c>
      <c r="Y274" s="285">
        <v>0</v>
      </c>
      <c r="Z274" s="285">
        <v>0</v>
      </c>
      <c r="AA274" s="285">
        <v>0</v>
      </c>
    </row>
    <row r="275" spans="1:27" x14ac:dyDescent="0.2">
      <c r="A275" s="398" t="s">
        <v>1349</v>
      </c>
      <c r="B275" s="412" t="s">
        <v>660</v>
      </c>
      <c r="C275" s="253">
        <v>0</v>
      </c>
      <c r="D275" s="253">
        <v>0</v>
      </c>
      <c r="E275" s="253">
        <v>0</v>
      </c>
      <c r="F275" s="253">
        <v>0</v>
      </c>
      <c r="G275" s="253">
        <v>0</v>
      </c>
      <c r="H275" s="285">
        <v>0</v>
      </c>
      <c r="I275" s="285">
        <v>0</v>
      </c>
      <c r="J275" s="285">
        <v>0</v>
      </c>
      <c r="K275" s="285">
        <v>0</v>
      </c>
      <c r="L275" s="285">
        <v>0</v>
      </c>
      <c r="M275" s="285">
        <v>0</v>
      </c>
      <c r="N275" s="285">
        <v>0</v>
      </c>
      <c r="O275" s="285">
        <v>0</v>
      </c>
      <c r="P275" s="285">
        <v>0</v>
      </c>
      <c r="Q275" s="285">
        <v>0</v>
      </c>
      <c r="R275" s="285">
        <v>0</v>
      </c>
      <c r="S275" s="285">
        <v>0</v>
      </c>
      <c r="T275" s="285">
        <v>0</v>
      </c>
      <c r="U275" s="410" t="e">
        <v>#DIV/0!</v>
      </c>
      <c r="V275" s="285">
        <v>0</v>
      </c>
      <c r="W275" s="285">
        <v>0</v>
      </c>
      <c r="X275" s="285">
        <v>0</v>
      </c>
      <c r="Y275" s="285">
        <v>0</v>
      </c>
      <c r="Z275" s="285">
        <v>0</v>
      </c>
      <c r="AA275" s="285">
        <v>0</v>
      </c>
    </row>
    <row r="276" spans="1:27" x14ac:dyDescent="0.2">
      <c r="A276" s="398" t="s">
        <v>1350</v>
      </c>
      <c r="B276" s="412" t="s">
        <v>661</v>
      </c>
      <c r="C276" s="253">
        <v>0</v>
      </c>
      <c r="D276" s="253">
        <v>0</v>
      </c>
      <c r="E276" s="253">
        <v>0</v>
      </c>
      <c r="F276" s="253">
        <v>0</v>
      </c>
      <c r="G276" s="253">
        <v>0</v>
      </c>
      <c r="H276" s="285">
        <v>0</v>
      </c>
      <c r="I276" s="285">
        <v>0</v>
      </c>
      <c r="J276" s="285">
        <v>0</v>
      </c>
      <c r="K276" s="285">
        <v>0</v>
      </c>
      <c r="L276" s="285">
        <v>0</v>
      </c>
      <c r="M276" s="285">
        <v>0</v>
      </c>
      <c r="N276" s="285">
        <v>0</v>
      </c>
      <c r="O276" s="285">
        <v>0</v>
      </c>
      <c r="P276" s="285">
        <v>0</v>
      </c>
      <c r="Q276" s="285">
        <v>0</v>
      </c>
      <c r="R276" s="285">
        <v>0</v>
      </c>
      <c r="S276" s="285">
        <v>0</v>
      </c>
      <c r="T276" s="285">
        <v>0</v>
      </c>
      <c r="U276" s="410" t="e">
        <v>#DIV/0!</v>
      </c>
      <c r="V276" s="285">
        <v>0</v>
      </c>
      <c r="W276" s="285">
        <v>0</v>
      </c>
      <c r="X276" s="285">
        <v>0</v>
      </c>
      <c r="Y276" s="285">
        <v>0</v>
      </c>
      <c r="Z276" s="285">
        <v>0</v>
      </c>
      <c r="AA276" s="285">
        <v>0</v>
      </c>
    </row>
    <row r="277" spans="1:27" x14ac:dyDescent="0.2">
      <c r="A277" s="398" t="s">
        <v>1351</v>
      </c>
      <c r="B277" s="412" t="s">
        <v>662</v>
      </c>
      <c r="C277" s="253">
        <v>0</v>
      </c>
      <c r="D277" s="253">
        <v>0</v>
      </c>
      <c r="E277" s="253">
        <v>0</v>
      </c>
      <c r="F277" s="253">
        <v>0</v>
      </c>
      <c r="G277" s="253">
        <v>0</v>
      </c>
      <c r="H277" s="285">
        <v>0</v>
      </c>
      <c r="I277" s="285">
        <v>0</v>
      </c>
      <c r="J277" s="285">
        <v>0</v>
      </c>
      <c r="K277" s="285">
        <v>0</v>
      </c>
      <c r="L277" s="285">
        <v>0</v>
      </c>
      <c r="M277" s="285">
        <v>0</v>
      </c>
      <c r="N277" s="285">
        <v>0</v>
      </c>
      <c r="O277" s="285">
        <v>0</v>
      </c>
      <c r="P277" s="285">
        <v>0</v>
      </c>
      <c r="Q277" s="285">
        <v>0</v>
      </c>
      <c r="R277" s="285">
        <v>0</v>
      </c>
      <c r="S277" s="285">
        <v>0</v>
      </c>
      <c r="T277" s="285">
        <v>0</v>
      </c>
      <c r="U277" s="410" t="e">
        <v>#DIV/0!</v>
      </c>
      <c r="V277" s="285">
        <v>0</v>
      </c>
      <c r="W277" s="285">
        <v>0</v>
      </c>
      <c r="X277" s="285">
        <v>0</v>
      </c>
      <c r="Y277" s="285">
        <v>0</v>
      </c>
      <c r="Z277" s="285">
        <v>0</v>
      </c>
      <c r="AA277" s="285">
        <v>0</v>
      </c>
    </row>
    <row r="278" spans="1:27" s="408" customFormat="1" x14ac:dyDescent="0.2">
      <c r="A278" s="398" t="s">
        <v>1352</v>
      </c>
      <c r="B278" s="404" t="s">
        <v>663</v>
      </c>
      <c r="C278" s="411">
        <v>0</v>
      </c>
      <c r="D278" s="411">
        <v>0</v>
      </c>
      <c r="E278" s="411">
        <v>0</v>
      </c>
      <c r="F278" s="411">
        <v>0</v>
      </c>
      <c r="G278" s="411">
        <v>0</v>
      </c>
      <c r="H278" s="406">
        <v>0</v>
      </c>
      <c r="I278" s="406">
        <v>0</v>
      </c>
      <c r="J278" s="406">
        <v>0</v>
      </c>
      <c r="K278" s="406">
        <v>0</v>
      </c>
      <c r="L278" s="406">
        <v>0</v>
      </c>
      <c r="M278" s="406">
        <v>0</v>
      </c>
      <c r="N278" s="406">
        <v>0</v>
      </c>
      <c r="O278" s="406">
        <v>0</v>
      </c>
      <c r="P278" s="406">
        <v>0</v>
      </c>
      <c r="Q278" s="406">
        <v>0</v>
      </c>
      <c r="R278" s="406">
        <v>0</v>
      </c>
      <c r="S278" s="406">
        <v>0</v>
      </c>
      <c r="T278" s="406">
        <v>0</v>
      </c>
      <c r="U278" s="407" t="e">
        <v>#DIV/0!</v>
      </c>
      <c r="V278" s="406">
        <v>0</v>
      </c>
      <c r="W278" s="406">
        <v>0</v>
      </c>
      <c r="X278" s="406">
        <v>0</v>
      </c>
      <c r="Y278" s="406">
        <v>0</v>
      </c>
      <c r="Z278" s="406">
        <v>0</v>
      </c>
      <c r="AA278" s="406">
        <v>0</v>
      </c>
    </row>
    <row r="279" spans="1:27" x14ac:dyDescent="0.2">
      <c r="A279" s="398"/>
      <c r="B279" s="399" t="s">
        <v>664</v>
      </c>
      <c r="C279" s="400">
        <v>0</v>
      </c>
      <c r="D279" s="400">
        <v>0</v>
      </c>
      <c r="E279" s="400">
        <v>0</v>
      </c>
      <c r="F279" s="400">
        <v>0</v>
      </c>
      <c r="G279" s="400">
        <v>0</v>
      </c>
      <c r="H279" s="400">
        <v>0</v>
      </c>
      <c r="I279" s="400">
        <v>0</v>
      </c>
      <c r="J279" s="400">
        <v>0</v>
      </c>
      <c r="K279" s="400">
        <v>0</v>
      </c>
      <c r="L279" s="400">
        <v>0</v>
      </c>
      <c r="M279" s="400">
        <v>0</v>
      </c>
      <c r="N279" s="400">
        <v>0</v>
      </c>
      <c r="O279" s="400">
        <v>0</v>
      </c>
      <c r="P279" s="400">
        <v>0</v>
      </c>
      <c r="Q279" s="400">
        <v>0</v>
      </c>
      <c r="R279" s="400">
        <v>0</v>
      </c>
      <c r="S279" s="400">
        <v>0</v>
      </c>
      <c r="T279" s="401">
        <v>0</v>
      </c>
      <c r="U279" s="402" t="e">
        <v>#DIV/0!</v>
      </c>
      <c r="V279" s="401">
        <v>0</v>
      </c>
      <c r="W279" s="401">
        <v>0</v>
      </c>
      <c r="X279" s="401">
        <v>0</v>
      </c>
      <c r="Y279" s="401">
        <v>0</v>
      </c>
      <c r="Z279" s="401">
        <v>0</v>
      </c>
      <c r="AA279" s="401">
        <v>0</v>
      </c>
    </row>
    <row r="280" spans="1:27" x14ac:dyDescent="0.2">
      <c r="A280" s="398"/>
      <c r="B280" s="404" t="s">
        <v>665</v>
      </c>
      <c r="C280" s="405">
        <v>0</v>
      </c>
      <c r="D280" s="405">
        <v>0</v>
      </c>
      <c r="E280" s="405">
        <v>0</v>
      </c>
      <c r="F280" s="405">
        <v>0</v>
      </c>
      <c r="G280" s="405">
        <v>0</v>
      </c>
      <c r="H280" s="405">
        <v>0</v>
      </c>
      <c r="I280" s="405">
        <v>0</v>
      </c>
      <c r="J280" s="405">
        <v>0</v>
      </c>
      <c r="K280" s="405">
        <v>0</v>
      </c>
      <c r="L280" s="405">
        <v>0</v>
      </c>
      <c r="M280" s="405">
        <v>0</v>
      </c>
      <c r="N280" s="405">
        <v>0</v>
      </c>
      <c r="O280" s="405">
        <v>0</v>
      </c>
      <c r="P280" s="405">
        <v>0</v>
      </c>
      <c r="Q280" s="405">
        <v>0</v>
      </c>
      <c r="R280" s="405">
        <v>0</v>
      </c>
      <c r="S280" s="405">
        <v>0</v>
      </c>
      <c r="T280" s="406">
        <v>0</v>
      </c>
      <c r="U280" s="407" t="e">
        <v>#DIV/0!</v>
      </c>
      <c r="V280" s="406">
        <v>0</v>
      </c>
      <c r="W280" s="406">
        <v>0</v>
      </c>
      <c r="X280" s="406">
        <v>0</v>
      </c>
      <c r="Y280" s="406">
        <v>0</v>
      </c>
      <c r="Z280" s="406">
        <v>0</v>
      </c>
      <c r="AA280" s="406">
        <v>0</v>
      </c>
    </row>
    <row r="281" spans="1:27" x14ac:dyDescent="0.2">
      <c r="A281" s="398" t="s">
        <v>1353</v>
      </c>
      <c r="B281" s="412" t="s">
        <v>666</v>
      </c>
      <c r="C281" s="253">
        <v>0</v>
      </c>
      <c r="D281" s="253">
        <v>0</v>
      </c>
      <c r="E281" s="253">
        <v>0</v>
      </c>
      <c r="F281" s="253">
        <v>0</v>
      </c>
      <c r="G281" s="253">
        <v>0</v>
      </c>
      <c r="H281" s="285">
        <v>0</v>
      </c>
      <c r="I281" s="285">
        <v>0</v>
      </c>
      <c r="J281" s="285">
        <v>0</v>
      </c>
      <c r="K281" s="285">
        <v>0</v>
      </c>
      <c r="L281" s="285">
        <v>0</v>
      </c>
      <c r="M281" s="285">
        <v>0</v>
      </c>
      <c r="N281" s="285">
        <v>0</v>
      </c>
      <c r="O281" s="285">
        <v>0</v>
      </c>
      <c r="P281" s="285">
        <v>0</v>
      </c>
      <c r="Q281" s="285">
        <v>0</v>
      </c>
      <c r="R281" s="285">
        <v>0</v>
      </c>
      <c r="S281" s="285">
        <v>0</v>
      </c>
      <c r="T281" s="285">
        <v>0</v>
      </c>
      <c r="U281" s="410" t="e">
        <v>#DIV/0!</v>
      </c>
      <c r="V281" s="285">
        <v>0</v>
      </c>
      <c r="W281" s="285">
        <v>0</v>
      </c>
      <c r="X281" s="285">
        <v>0</v>
      </c>
      <c r="Y281" s="285">
        <v>0</v>
      </c>
      <c r="Z281" s="285">
        <v>0</v>
      </c>
      <c r="AA281" s="285">
        <v>0</v>
      </c>
    </row>
    <row r="282" spans="1:27" x14ac:dyDescent="0.2">
      <c r="A282" s="398" t="s">
        <v>1354</v>
      </c>
      <c r="B282" s="412" t="s">
        <v>667</v>
      </c>
      <c r="C282" s="253">
        <v>0</v>
      </c>
      <c r="D282" s="253">
        <v>0</v>
      </c>
      <c r="E282" s="253">
        <v>0</v>
      </c>
      <c r="F282" s="253">
        <v>0</v>
      </c>
      <c r="G282" s="253">
        <v>0</v>
      </c>
      <c r="H282" s="285">
        <v>0</v>
      </c>
      <c r="I282" s="285">
        <v>0</v>
      </c>
      <c r="J282" s="285">
        <v>0</v>
      </c>
      <c r="K282" s="285">
        <v>0</v>
      </c>
      <c r="L282" s="285">
        <v>0</v>
      </c>
      <c r="M282" s="285">
        <v>0</v>
      </c>
      <c r="N282" s="285">
        <v>0</v>
      </c>
      <c r="O282" s="285">
        <v>0</v>
      </c>
      <c r="P282" s="285">
        <v>0</v>
      </c>
      <c r="Q282" s="285">
        <v>0</v>
      </c>
      <c r="R282" s="285">
        <v>0</v>
      </c>
      <c r="S282" s="285">
        <v>0</v>
      </c>
      <c r="T282" s="285">
        <v>0</v>
      </c>
      <c r="U282" s="410" t="e">
        <v>#DIV/0!</v>
      </c>
      <c r="V282" s="285">
        <v>0</v>
      </c>
      <c r="W282" s="285">
        <v>0</v>
      </c>
      <c r="X282" s="285">
        <v>0</v>
      </c>
      <c r="Y282" s="285">
        <v>0</v>
      </c>
      <c r="Z282" s="285">
        <v>0</v>
      </c>
      <c r="AA282" s="285">
        <v>0</v>
      </c>
    </row>
    <row r="283" spans="1:27" x14ac:dyDescent="0.2">
      <c r="A283" s="398" t="s">
        <v>1355</v>
      </c>
      <c r="B283" s="412" t="s">
        <v>668</v>
      </c>
      <c r="C283" s="253">
        <v>0</v>
      </c>
      <c r="D283" s="253">
        <v>0</v>
      </c>
      <c r="E283" s="253">
        <v>0</v>
      </c>
      <c r="F283" s="253">
        <v>0</v>
      </c>
      <c r="G283" s="253">
        <v>0</v>
      </c>
      <c r="H283" s="285">
        <v>0</v>
      </c>
      <c r="I283" s="285">
        <v>0</v>
      </c>
      <c r="J283" s="285">
        <v>0</v>
      </c>
      <c r="K283" s="285">
        <v>0</v>
      </c>
      <c r="L283" s="285">
        <v>0</v>
      </c>
      <c r="M283" s="285">
        <v>0</v>
      </c>
      <c r="N283" s="285">
        <v>0</v>
      </c>
      <c r="O283" s="285">
        <v>0</v>
      </c>
      <c r="P283" s="285">
        <v>0</v>
      </c>
      <c r="Q283" s="285">
        <v>0</v>
      </c>
      <c r="R283" s="285">
        <v>0</v>
      </c>
      <c r="S283" s="285">
        <v>0</v>
      </c>
      <c r="T283" s="285">
        <v>0</v>
      </c>
      <c r="U283" s="410" t="e">
        <v>#DIV/0!</v>
      </c>
      <c r="V283" s="285">
        <v>0</v>
      </c>
      <c r="W283" s="285">
        <v>0</v>
      </c>
      <c r="X283" s="285">
        <v>0</v>
      </c>
      <c r="Y283" s="285">
        <v>0</v>
      </c>
      <c r="Z283" s="285">
        <v>0</v>
      </c>
      <c r="AA283" s="285">
        <v>0</v>
      </c>
    </row>
    <row r="284" spans="1:27" x14ac:dyDescent="0.2">
      <c r="A284" s="398" t="s">
        <v>1356</v>
      </c>
      <c r="B284" s="412" t="s">
        <v>669</v>
      </c>
      <c r="C284" s="253">
        <v>0</v>
      </c>
      <c r="D284" s="253">
        <v>0</v>
      </c>
      <c r="E284" s="253">
        <v>0</v>
      </c>
      <c r="F284" s="253">
        <v>0</v>
      </c>
      <c r="G284" s="253">
        <v>0</v>
      </c>
      <c r="H284" s="285">
        <v>0</v>
      </c>
      <c r="I284" s="285">
        <v>0</v>
      </c>
      <c r="J284" s="285">
        <v>0</v>
      </c>
      <c r="K284" s="285">
        <v>0</v>
      </c>
      <c r="L284" s="285">
        <v>0</v>
      </c>
      <c r="M284" s="285">
        <v>0</v>
      </c>
      <c r="N284" s="285">
        <v>0</v>
      </c>
      <c r="O284" s="285">
        <v>0</v>
      </c>
      <c r="P284" s="285">
        <v>0</v>
      </c>
      <c r="Q284" s="285">
        <v>0</v>
      </c>
      <c r="R284" s="285">
        <v>0</v>
      </c>
      <c r="S284" s="285">
        <v>0</v>
      </c>
      <c r="T284" s="285">
        <v>0</v>
      </c>
      <c r="U284" s="410" t="e">
        <v>#DIV/0!</v>
      </c>
      <c r="V284" s="285">
        <v>0</v>
      </c>
      <c r="W284" s="285">
        <v>0</v>
      </c>
      <c r="X284" s="285">
        <v>0</v>
      </c>
      <c r="Y284" s="285">
        <v>0</v>
      </c>
      <c r="Z284" s="285">
        <v>0</v>
      </c>
      <c r="AA284" s="285">
        <v>0</v>
      </c>
    </row>
    <row r="285" spans="1:27" x14ac:dyDescent="0.2">
      <c r="A285" s="398" t="s">
        <v>1357</v>
      </c>
      <c r="B285" s="412" t="s">
        <v>670</v>
      </c>
      <c r="C285" s="253">
        <v>0</v>
      </c>
      <c r="D285" s="253">
        <v>0</v>
      </c>
      <c r="E285" s="253">
        <v>0</v>
      </c>
      <c r="F285" s="253">
        <v>0</v>
      </c>
      <c r="G285" s="253">
        <v>0</v>
      </c>
      <c r="H285" s="285">
        <v>0</v>
      </c>
      <c r="I285" s="285">
        <v>0</v>
      </c>
      <c r="J285" s="285">
        <v>0</v>
      </c>
      <c r="K285" s="285">
        <v>0</v>
      </c>
      <c r="L285" s="285">
        <v>0</v>
      </c>
      <c r="M285" s="285">
        <v>0</v>
      </c>
      <c r="N285" s="285">
        <v>0</v>
      </c>
      <c r="O285" s="285">
        <v>0</v>
      </c>
      <c r="P285" s="285">
        <v>0</v>
      </c>
      <c r="Q285" s="285">
        <v>0</v>
      </c>
      <c r="R285" s="285">
        <v>0</v>
      </c>
      <c r="S285" s="285">
        <v>0</v>
      </c>
      <c r="T285" s="285">
        <v>0</v>
      </c>
      <c r="U285" s="410" t="e">
        <v>#DIV/0!</v>
      </c>
      <c r="V285" s="285">
        <v>0</v>
      </c>
      <c r="W285" s="285">
        <v>0</v>
      </c>
      <c r="X285" s="285">
        <v>0</v>
      </c>
      <c r="Y285" s="285">
        <v>0</v>
      </c>
      <c r="Z285" s="285">
        <v>0</v>
      </c>
      <c r="AA285" s="285">
        <v>0</v>
      </c>
    </row>
    <row r="286" spans="1:27" x14ac:dyDescent="0.2">
      <c r="A286" s="398" t="s">
        <v>1358</v>
      </c>
      <c r="B286" s="412" t="s">
        <v>671</v>
      </c>
      <c r="C286" s="253">
        <v>0</v>
      </c>
      <c r="D286" s="253">
        <v>0</v>
      </c>
      <c r="E286" s="253">
        <v>0</v>
      </c>
      <c r="F286" s="253">
        <v>0</v>
      </c>
      <c r="G286" s="253">
        <v>0</v>
      </c>
      <c r="H286" s="285">
        <v>0</v>
      </c>
      <c r="I286" s="285">
        <v>0</v>
      </c>
      <c r="J286" s="285">
        <v>0</v>
      </c>
      <c r="K286" s="285">
        <v>0</v>
      </c>
      <c r="L286" s="285">
        <v>0</v>
      </c>
      <c r="M286" s="285">
        <v>0</v>
      </c>
      <c r="N286" s="285">
        <v>0</v>
      </c>
      <c r="O286" s="285">
        <v>0</v>
      </c>
      <c r="P286" s="285">
        <v>0</v>
      </c>
      <c r="Q286" s="285">
        <v>0</v>
      </c>
      <c r="R286" s="285">
        <v>0</v>
      </c>
      <c r="S286" s="285">
        <v>0</v>
      </c>
      <c r="T286" s="285">
        <v>0</v>
      </c>
      <c r="U286" s="410" t="e">
        <v>#DIV/0!</v>
      </c>
      <c r="V286" s="285">
        <v>0</v>
      </c>
      <c r="W286" s="285">
        <v>0</v>
      </c>
      <c r="X286" s="285">
        <v>0</v>
      </c>
      <c r="Y286" s="285">
        <v>0</v>
      </c>
      <c r="Z286" s="285">
        <v>0</v>
      </c>
      <c r="AA286" s="285">
        <v>0</v>
      </c>
    </row>
    <row r="287" spans="1:27" x14ac:dyDescent="0.2">
      <c r="A287" s="398" t="s">
        <v>1359</v>
      </c>
      <c r="B287" s="412" t="s">
        <v>672</v>
      </c>
      <c r="C287" s="253">
        <v>0</v>
      </c>
      <c r="D287" s="253">
        <v>0</v>
      </c>
      <c r="E287" s="253">
        <v>0</v>
      </c>
      <c r="F287" s="253">
        <v>0</v>
      </c>
      <c r="G287" s="253">
        <v>0</v>
      </c>
      <c r="H287" s="285">
        <v>0</v>
      </c>
      <c r="I287" s="285">
        <v>0</v>
      </c>
      <c r="J287" s="285">
        <v>0</v>
      </c>
      <c r="K287" s="285">
        <v>0</v>
      </c>
      <c r="L287" s="285">
        <v>0</v>
      </c>
      <c r="M287" s="285">
        <v>0</v>
      </c>
      <c r="N287" s="285">
        <v>0</v>
      </c>
      <c r="O287" s="285">
        <v>0</v>
      </c>
      <c r="P287" s="285">
        <v>0</v>
      </c>
      <c r="Q287" s="285">
        <v>0</v>
      </c>
      <c r="R287" s="285">
        <v>0</v>
      </c>
      <c r="S287" s="285">
        <v>0</v>
      </c>
      <c r="T287" s="285">
        <v>0</v>
      </c>
      <c r="U287" s="410" t="e">
        <v>#DIV/0!</v>
      </c>
      <c r="V287" s="285">
        <v>0</v>
      </c>
      <c r="W287" s="285">
        <v>0</v>
      </c>
      <c r="X287" s="285">
        <v>0</v>
      </c>
      <c r="Y287" s="285">
        <v>0</v>
      </c>
      <c r="Z287" s="285">
        <v>0</v>
      </c>
      <c r="AA287" s="285">
        <v>0</v>
      </c>
    </row>
    <row r="288" spans="1:27" x14ac:dyDescent="0.2">
      <c r="A288" s="398" t="s">
        <v>1360</v>
      </c>
      <c r="B288" s="412" t="s">
        <v>673</v>
      </c>
      <c r="C288" s="253">
        <v>0</v>
      </c>
      <c r="D288" s="253">
        <v>0</v>
      </c>
      <c r="E288" s="253">
        <v>0</v>
      </c>
      <c r="F288" s="253">
        <v>0</v>
      </c>
      <c r="G288" s="253">
        <v>0</v>
      </c>
      <c r="H288" s="285">
        <v>0</v>
      </c>
      <c r="I288" s="285">
        <v>0</v>
      </c>
      <c r="J288" s="285">
        <v>0</v>
      </c>
      <c r="K288" s="285">
        <v>0</v>
      </c>
      <c r="L288" s="285">
        <v>0</v>
      </c>
      <c r="M288" s="285">
        <v>0</v>
      </c>
      <c r="N288" s="285">
        <v>0</v>
      </c>
      <c r="O288" s="285">
        <v>0</v>
      </c>
      <c r="P288" s="285">
        <v>0</v>
      </c>
      <c r="Q288" s="285">
        <v>0</v>
      </c>
      <c r="R288" s="285">
        <v>0</v>
      </c>
      <c r="S288" s="285">
        <v>0</v>
      </c>
      <c r="T288" s="285">
        <v>0</v>
      </c>
      <c r="U288" s="410" t="e">
        <v>#DIV/0!</v>
      </c>
      <c r="V288" s="285">
        <v>0</v>
      </c>
      <c r="W288" s="285">
        <v>0</v>
      </c>
      <c r="X288" s="285">
        <v>0</v>
      </c>
      <c r="Y288" s="285">
        <v>0</v>
      </c>
      <c r="Z288" s="285">
        <v>0</v>
      </c>
      <c r="AA288" s="285">
        <v>0</v>
      </c>
    </row>
    <row r="289" spans="1:27" x14ac:dyDescent="0.2">
      <c r="A289" s="398" t="s">
        <v>1361</v>
      </c>
      <c r="B289" s="412" t="s">
        <v>674</v>
      </c>
      <c r="C289" s="253">
        <v>0</v>
      </c>
      <c r="D289" s="253">
        <v>0</v>
      </c>
      <c r="E289" s="253">
        <v>0</v>
      </c>
      <c r="F289" s="253">
        <v>0</v>
      </c>
      <c r="G289" s="253">
        <v>0</v>
      </c>
      <c r="H289" s="285">
        <v>0</v>
      </c>
      <c r="I289" s="285">
        <v>0</v>
      </c>
      <c r="J289" s="285">
        <v>0</v>
      </c>
      <c r="K289" s="285">
        <v>0</v>
      </c>
      <c r="L289" s="285">
        <v>0</v>
      </c>
      <c r="M289" s="285">
        <v>0</v>
      </c>
      <c r="N289" s="285">
        <v>0</v>
      </c>
      <c r="O289" s="285">
        <v>0</v>
      </c>
      <c r="P289" s="285">
        <v>0</v>
      </c>
      <c r="Q289" s="285">
        <v>0</v>
      </c>
      <c r="R289" s="285">
        <v>0</v>
      </c>
      <c r="S289" s="285">
        <v>0</v>
      </c>
      <c r="T289" s="285">
        <v>0</v>
      </c>
      <c r="U289" s="410" t="e">
        <v>#DIV/0!</v>
      </c>
      <c r="V289" s="285">
        <v>0</v>
      </c>
      <c r="W289" s="285">
        <v>0</v>
      </c>
      <c r="X289" s="285">
        <v>0</v>
      </c>
      <c r="Y289" s="285">
        <v>0</v>
      </c>
      <c r="Z289" s="285">
        <v>0</v>
      </c>
      <c r="AA289" s="285">
        <v>0</v>
      </c>
    </row>
    <row r="290" spans="1:27" x14ac:dyDescent="0.2">
      <c r="A290" s="398" t="s">
        <v>1362</v>
      </c>
      <c r="B290" s="412" t="s">
        <v>675</v>
      </c>
      <c r="C290" s="253">
        <v>0</v>
      </c>
      <c r="D290" s="253">
        <v>0</v>
      </c>
      <c r="E290" s="253">
        <v>0</v>
      </c>
      <c r="F290" s="253">
        <v>0</v>
      </c>
      <c r="G290" s="253">
        <v>0</v>
      </c>
      <c r="H290" s="285">
        <v>0</v>
      </c>
      <c r="I290" s="285">
        <v>0</v>
      </c>
      <c r="J290" s="285">
        <v>0</v>
      </c>
      <c r="K290" s="285">
        <v>0</v>
      </c>
      <c r="L290" s="285">
        <v>0</v>
      </c>
      <c r="M290" s="285">
        <v>0</v>
      </c>
      <c r="N290" s="285">
        <v>0</v>
      </c>
      <c r="O290" s="285">
        <v>0</v>
      </c>
      <c r="P290" s="285">
        <v>0</v>
      </c>
      <c r="Q290" s="285">
        <v>0</v>
      </c>
      <c r="R290" s="285">
        <v>0</v>
      </c>
      <c r="S290" s="285">
        <v>0</v>
      </c>
      <c r="T290" s="285">
        <v>0</v>
      </c>
      <c r="U290" s="410" t="e">
        <v>#DIV/0!</v>
      </c>
      <c r="V290" s="285">
        <v>0</v>
      </c>
      <c r="W290" s="285">
        <v>0</v>
      </c>
      <c r="X290" s="285">
        <v>0</v>
      </c>
      <c r="Y290" s="285">
        <v>0</v>
      </c>
      <c r="Z290" s="285">
        <v>0</v>
      </c>
      <c r="AA290" s="285">
        <v>0</v>
      </c>
    </row>
    <row r="291" spans="1:27" x14ac:dyDescent="0.2">
      <c r="A291" s="398" t="s">
        <v>1363</v>
      </c>
      <c r="B291" s="412" t="s">
        <v>676</v>
      </c>
      <c r="C291" s="253">
        <v>0</v>
      </c>
      <c r="D291" s="253">
        <v>0</v>
      </c>
      <c r="E291" s="253">
        <v>0</v>
      </c>
      <c r="F291" s="253">
        <v>0</v>
      </c>
      <c r="G291" s="253">
        <v>0</v>
      </c>
      <c r="H291" s="285">
        <v>0</v>
      </c>
      <c r="I291" s="285">
        <v>0</v>
      </c>
      <c r="J291" s="285">
        <v>0</v>
      </c>
      <c r="K291" s="285">
        <v>0</v>
      </c>
      <c r="L291" s="285">
        <v>0</v>
      </c>
      <c r="M291" s="285">
        <v>0</v>
      </c>
      <c r="N291" s="285">
        <v>0</v>
      </c>
      <c r="O291" s="285">
        <v>0</v>
      </c>
      <c r="P291" s="285">
        <v>0</v>
      </c>
      <c r="Q291" s="285">
        <v>0</v>
      </c>
      <c r="R291" s="285">
        <v>0</v>
      </c>
      <c r="S291" s="285">
        <v>0</v>
      </c>
      <c r="T291" s="285">
        <v>0</v>
      </c>
      <c r="U291" s="410" t="e">
        <v>#DIV/0!</v>
      </c>
      <c r="V291" s="285">
        <v>0</v>
      </c>
      <c r="W291" s="285">
        <v>0</v>
      </c>
      <c r="X291" s="285">
        <v>0</v>
      </c>
      <c r="Y291" s="285">
        <v>0</v>
      </c>
      <c r="Z291" s="285">
        <v>0</v>
      </c>
      <c r="AA291" s="285">
        <v>0</v>
      </c>
    </row>
    <row r="292" spans="1:27" x14ac:dyDescent="0.2">
      <c r="A292" s="398" t="s">
        <v>1364</v>
      </c>
      <c r="B292" s="412" t="s">
        <v>677</v>
      </c>
      <c r="C292" s="253">
        <v>0</v>
      </c>
      <c r="D292" s="253">
        <v>0</v>
      </c>
      <c r="E292" s="253">
        <v>0</v>
      </c>
      <c r="F292" s="253">
        <v>0</v>
      </c>
      <c r="G292" s="253">
        <v>0</v>
      </c>
      <c r="H292" s="285">
        <v>0</v>
      </c>
      <c r="I292" s="285">
        <v>0</v>
      </c>
      <c r="J292" s="285">
        <v>0</v>
      </c>
      <c r="K292" s="285">
        <v>0</v>
      </c>
      <c r="L292" s="285">
        <v>0</v>
      </c>
      <c r="M292" s="285">
        <v>0</v>
      </c>
      <c r="N292" s="285">
        <v>0</v>
      </c>
      <c r="O292" s="285">
        <v>0</v>
      </c>
      <c r="P292" s="285">
        <v>0</v>
      </c>
      <c r="Q292" s="285">
        <v>0</v>
      </c>
      <c r="R292" s="285">
        <v>0</v>
      </c>
      <c r="S292" s="285">
        <v>0</v>
      </c>
      <c r="T292" s="285">
        <v>0</v>
      </c>
      <c r="U292" s="410" t="e">
        <v>#DIV/0!</v>
      </c>
      <c r="V292" s="285">
        <v>0</v>
      </c>
      <c r="W292" s="285">
        <v>0</v>
      </c>
      <c r="X292" s="285">
        <v>0</v>
      </c>
      <c r="Y292" s="285">
        <v>0</v>
      </c>
      <c r="Z292" s="285">
        <v>0</v>
      </c>
      <c r="AA292" s="285">
        <v>0</v>
      </c>
    </row>
    <row r="293" spans="1:27" x14ac:dyDescent="0.2">
      <c r="A293" s="398" t="s">
        <v>1365</v>
      </c>
      <c r="B293" s="412" t="s">
        <v>678</v>
      </c>
      <c r="C293" s="253">
        <v>0</v>
      </c>
      <c r="D293" s="253">
        <v>0</v>
      </c>
      <c r="E293" s="253">
        <v>0</v>
      </c>
      <c r="F293" s="253">
        <v>0</v>
      </c>
      <c r="G293" s="253">
        <v>0</v>
      </c>
      <c r="H293" s="285">
        <v>0</v>
      </c>
      <c r="I293" s="285">
        <v>0</v>
      </c>
      <c r="J293" s="285">
        <v>0</v>
      </c>
      <c r="K293" s="285">
        <v>0</v>
      </c>
      <c r="L293" s="285">
        <v>0</v>
      </c>
      <c r="M293" s="285">
        <v>0</v>
      </c>
      <c r="N293" s="285">
        <v>0</v>
      </c>
      <c r="O293" s="285">
        <v>0</v>
      </c>
      <c r="P293" s="285">
        <v>0</v>
      </c>
      <c r="Q293" s="285">
        <v>0</v>
      </c>
      <c r="R293" s="285">
        <v>0</v>
      </c>
      <c r="S293" s="285">
        <v>0</v>
      </c>
      <c r="T293" s="285">
        <v>0</v>
      </c>
      <c r="U293" s="410" t="e">
        <v>#DIV/0!</v>
      </c>
      <c r="V293" s="285">
        <v>0</v>
      </c>
      <c r="W293" s="285">
        <v>0</v>
      </c>
      <c r="X293" s="285">
        <v>0</v>
      </c>
      <c r="Y293" s="285">
        <v>0</v>
      </c>
      <c r="Z293" s="285">
        <v>0</v>
      </c>
      <c r="AA293" s="285">
        <v>0</v>
      </c>
    </row>
    <row r="294" spans="1:27" x14ac:dyDescent="0.2">
      <c r="A294" s="398" t="s">
        <v>1366</v>
      </c>
      <c r="B294" s="412" t="s">
        <v>679</v>
      </c>
      <c r="C294" s="253">
        <v>0</v>
      </c>
      <c r="D294" s="253">
        <v>0</v>
      </c>
      <c r="E294" s="253">
        <v>0</v>
      </c>
      <c r="F294" s="253">
        <v>0</v>
      </c>
      <c r="G294" s="253">
        <v>0</v>
      </c>
      <c r="H294" s="285">
        <v>0</v>
      </c>
      <c r="I294" s="285">
        <v>0</v>
      </c>
      <c r="J294" s="285">
        <v>0</v>
      </c>
      <c r="K294" s="285">
        <v>0</v>
      </c>
      <c r="L294" s="285">
        <v>0</v>
      </c>
      <c r="M294" s="285">
        <v>0</v>
      </c>
      <c r="N294" s="285">
        <v>0</v>
      </c>
      <c r="O294" s="285">
        <v>0</v>
      </c>
      <c r="P294" s="285">
        <v>0</v>
      </c>
      <c r="Q294" s="285">
        <v>0</v>
      </c>
      <c r="R294" s="285">
        <v>0</v>
      </c>
      <c r="S294" s="285">
        <v>0</v>
      </c>
      <c r="T294" s="285">
        <v>0</v>
      </c>
      <c r="U294" s="410" t="e">
        <v>#DIV/0!</v>
      </c>
      <c r="V294" s="285">
        <v>0</v>
      </c>
      <c r="W294" s="285">
        <v>0</v>
      </c>
      <c r="X294" s="285">
        <v>0</v>
      </c>
      <c r="Y294" s="285">
        <v>0</v>
      </c>
      <c r="Z294" s="285">
        <v>0</v>
      </c>
      <c r="AA294" s="285">
        <v>0</v>
      </c>
    </row>
    <row r="295" spans="1:27" x14ac:dyDescent="0.2">
      <c r="A295" s="398" t="s">
        <v>1367</v>
      </c>
      <c r="B295" s="412" t="s">
        <v>680</v>
      </c>
      <c r="C295" s="253">
        <v>0</v>
      </c>
      <c r="D295" s="253">
        <v>0</v>
      </c>
      <c r="E295" s="253">
        <v>0</v>
      </c>
      <c r="F295" s="253">
        <v>0</v>
      </c>
      <c r="G295" s="253">
        <v>0</v>
      </c>
      <c r="H295" s="285">
        <v>0</v>
      </c>
      <c r="I295" s="285">
        <v>0</v>
      </c>
      <c r="J295" s="285">
        <v>0</v>
      </c>
      <c r="K295" s="285">
        <v>0</v>
      </c>
      <c r="L295" s="285">
        <v>0</v>
      </c>
      <c r="M295" s="285">
        <v>0</v>
      </c>
      <c r="N295" s="285">
        <v>0</v>
      </c>
      <c r="O295" s="285">
        <v>0</v>
      </c>
      <c r="P295" s="285">
        <v>0</v>
      </c>
      <c r="Q295" s="285">
        <v>0</v>
      </c>
      <c r="R295" s="285">
        <v>0</v>
      </c>
      <c r="S295" s="285">
        <v>0</v>
      </c>
      <c r="T295" s="285">
        <v>0</v>
      </c>
      <c r="U295" s="410" t="e">
        <v>#DIV/0!</v>
      </c>
      <c r="V295" s="285">
        <v>0</v>
      </c>
      <c r="W295" s="285">
        <v>0</v>
      </c>
      <c r="X295" s="285">
        <v>0</v>
      </c>
      <c r="Y295" s="285">
        <v>0</v>
      </c>
      <c r="Z295" s="285">
        <v>0</v>
      </c>
      <c r="AA295" s="285">
        <v>0</v>
      </c>
    </row>
    <row r="296" spans="1:27" x14ac:dyDescent="0.2">
      <c r="A296" s="398" t="s">
        <v>1368</v>
      </c>
      <c r="B296" s="412" t="s">
        <v>681</v>
      </c>
      <c r="C296" s="253">
        <v>0</v>
      </c>
      <c r="D296" s="253">
        <v>0</v>
      </c>
      <c r="E296" s="253">
        <v>0</v>
      </c>
      <c r="F296" s="253">
        <v>0</v>
      </c>
      <c r="G296" s="253">
        <v>0</v>
      </c>
      <c r="H296" s="285">
        <v>0</v>
      </c>
      <c r="I296" s="285">
        <v>0</v>
      </c>
      <c r="J296" s="285">
        <v>0</v>
      </c>
      <c r="K296" s="285">
        <v>0</v>
      </c>
      <c r="L296" s="285">
        <v>0</v>
      </c>
      <c r="M296" s="285">
        <v>0</v>
      </c>
      <c r="N296" s="285">
        <v>0</v>
      </c>
      <c r="O296" s="285">
        <v>0</v>
      </c>
      <c r="P296" s="285">
        <v>0</v>
      </c>
      <c r="Q296" s="285">
        <v>0</v>
      </c>
      <c r="R296" s="285">
        <v>0</v>
      </c>
      <c r="S296" s="285">
        <v>0</v>
      </c>
      <c r="T296" s="285">
        <v>0</v>
      </c>
      <c r="U296" s="410" t="e">
        <v>#DIV/0!</v>
      </c>
      <c r="V296" s="285">
        <v>0</v>
      </c>
      <c r="W296" s="285">
        <v>0</v>
      </c>
      <c r="X296" s="285">
        <v>0</v>
      </c>
      <c r="Y296" s="285">
        <v>0</v>
      </c>
      <c r="Z296" s="285">
        <v>0</v>
      </c>
      <c r="AA296" s="285">
        <v>0</v>
      </c>
    </row>
    <row r="297" spans="1:27" x14ac:dyDescent="0.2">
      <c r="A297" s="398" t="s">
        <v>1369</v>
      </c>
      <c r="B297" s="412" t="s">
        <v>682</v>
      </c>
      <c r="C297" s="253">
        <v>0</v>
      </c>
      <c r="D297" s="253">
        <v>0</v>
      </c>
      <c r="E297" s="253">
        <v>0</v>
      </c>
      <c r="F297" s="253">
        <v>0</v>
      </c>
      <c r="G297" s="253">
        <v>0</v>
      </c>
      <c r="H297" s="285">
        <v>0</v>
      </c>
      <c r="I297" s="285">
        <v>0</v>
      </c>
      <c r="J297" s="285">
        <v>0</v>
      </c>
      <c r="K297" s="285">
        <v>0</v>
      </c>
      <c r="L297" s="285">
        <v>0</v>
      </c>
      <c r="M297" s="285">
        <v>0</v>
      </c>
      <c r="N297" s="285">
        <v>0</v>
      </c>
      <c r="O297" s="285">
        <v>0</v>
      </c>
      <c r="P297" s="285">
        <v>0</v>
      </c>
      <c r="Q297" s="285">
        <v>0</v>
      </c>
      <c r="R297" s="285">
        <v>0</v>
      </c>
      <c r="S297" s="285">
        <v>0</v>
      </c>
      <c r="T297" s="285">
        <v>0</v>
      </c>
      <c r="U297" s="410" t="e">
        <v>#DIV/0!</v>
      </c>
      <c r="V297" s="285">
        <v>0</v>
      </c>
      <c r="W297" s="285">
        <v>0</v>
      </c>
      <c r="X297" s="285">
        <v>0</v>
      </c>
      <c r="Y297" s="285">
        <v>0</v>
      </c>
      <c r="Z297" s="285">
        <v>0</v>
      </c>
      <c r="AA297" s="285">
        <v>0</v>
      </c>
    </row>
    <row r="298" spans="1:27" x14ac:dyDescent="0.2">
      <c r="A298" s="398" t="s">
        <v>1370</v>
      </c>
      <c r="B298" s="412" t="s">
        <v>683</v>
      </c>
      <c r="C298" s="253">
        <v>0</v>
      </c>
      <c r="D298" s="253">
        <v>0</v>
      </c>
      <c r="E298" s="253">
        <v>0</v>
      </c>
      <c r="F298" s="253">
        <v>0</v>
      </c>
      <c r="G298" s="253">
        <v>0</v>
      </c>
      <c r="H298" s="285">
        <v>0</v>
      </c>
      <c r="I298" s="285">
        <v>0</v>
      </c>
      <c r="J298" s="285">
        <v>0</v>
      </c>
      <c r="K298" s="285">
        <v>0</v>
      </c>
      <c r="L298" s="285">
        <v>0</v>
      </c>
      <c r="M298" s="285">
        <v>0</v>
      </c>
      <c r="N298" s="285">
        <v>0</v>
      </c>
      <c r="O298" s="285">
        <v>0</v>
      </c>
      <c r="P298" s="285">
        <v>0</v>
      </c>
      <c r="Q298" s="285">
        <v>0</v>
      </c>
      <c r="R298" s="285">
        <v>0</v>
      </c>
      <c r="S298" s="285">
        <v>0</v>
      </c>
      <c r="T298" s="285">
        <v>0</v>
      </c>
      <c r="U298" s="410" t="e">
        <v>#DIV/0!</v>
      </c>
      <c r="V298" s="285">
        <v>0</v>
      </c>
      <c r="W298" s="285">
        <v>0</v>
      </c>
      <c r="X298" s="285">
        <v>0</v>
      </c>
      <c r="Y298" s="285">
        <v>0</v>
      </c>
      <c r="Z298" s="285">
        <v>0</v>
      </c>
      <c r="AA298" s="285">
        <v>0</v>
      </c>
    </row>
    <row r="299" spans="1:27" x14ac:dyDescent="0.2">
      <c r="A299" s="398"/>
      <c r="B299" s="417" t="s">
        <v>684</v>
      </c>
      <c r="C299" s="418">
        <v>0</v>
      </c>
      <c r="D299" s="418">
        <v>0</v>
      </c>
      <c r="E299" s="418">
        <v>0</v>
      </c>
      <c r="F299" s="418">
        <v>0</v>
      </c>
      <c r="G299" s="418">
        <v>0</v>
      </c>
      <c r="H299" s="418">
        <v>0</v>
      </c>
      <c r="I299" s="418">
        <v>0</v>
      </c>
      <c r="J299" s="418">
        <v>0</v>
      </c>
      <c r="K299" s="418">
        <v>0</v>
      </c>
      <c r="L299" s="418">
        <v>0</v>
      </c>
      <c r="M299" s="418">
        <v>0</v>
      </c>
      <c r="N299" s="418">
        <v>0</v>
      </c>
      <c r="O299" s="418">
        <v>0</v>
      </c>
      <c r="P299" s="418">
        <v>0</v>
      </c>
      <c r="Q299" s="418">
        <v>0</v>
      </c>
      <c r="R299" s="418">
        <v>0</v>
      </c>
      <c r="S299" s="418">
        <v>0</v>
      </c>
      <c r="T299" s="419">
        <v>0</v>
      </c>
      <c r="U299" s="420" t="e">
        <v>#DIV/0!</v>
      </c>
      <c r="V299" s="419">
        <v>0</v>
      </c>
      <c r="W299" s="419">
        <v>0</v>
      </c>
      <c r="X299" s="419">
        <v>0</v>
      </c>
      <c r="Y299" s="419">
        <v>0</v>
      </c>
      <c r="Z299" s="419">
        <v>0</v>
      </c>
      <c r="AA299" s="419">
        <v>0</v>
      </c>
    </row>
    <row r="300" spans="1:27" s="408" customFormat="1" x14ac:dyDescent="0.2">
      <c r="A300" s="398" t="s">
        <v>1371</v>
      </c>
      <c r="B300" s="404" t="s">
        <v>685</v>
      </c>
      <c r="C300" s="411">
        <v>0</v>
      </c>
      <c r="D300" s="411">
        <v>0</v>
      </c>
      <c r="E300" s="411">
        <v>0</v>
      </c>
      <c r="F300" s="411">
        <v>0</v>
      </c>
      <c r="G300" s="411">
        <v>0</v>
      </c>
      <c r="H300" s="406">
        <v>0</v>
      </c>
      <c r="I300" s="406">
        <v>0</v>
      </c>
      <c r="J300" s="406">
        <v>0</v>
      </c>
      <c r="K300" s="406">
        <v>0</v>
      </c>
      <c r="L300" s="406">
        <v>0</v>
      </c>
      <c r="M300" s="406">
        <v>0</v>
      </c>
      <c r="N300" s="406">
        <v>0</v>
      </c>
      <c r="O300" s="406">
        <v>0</v>
      </c>
      <c r="P300" s="406">
        <v>0</v>
      </c>
      <c r="Q300" s="406">
        <v>0</v>
      </c>
      <c r="R300" s="406">
        <v>0</v>
      </c>
      <c r="S300" s="406">
        <v>0</v>
      </c>
      <c r="T300" s="406">
        <v>0</v>
      </c>
      <c r="U300" s="407" t="e">
        <v>#DIV/0!</v>
      </c>
      <c r="V300" s="406">
        <v>0</v>
      </c>
      <c r="W300" s="406">
        <v>0</v>
      </c>
      <c r="X300" s="406">
        <v>0</v>
      </c>
      <c r="Y300" s="406">
        <v>0</v>
      </c>
      <c r="Z300" s="406">
        <v>0</v>
      </c>
      <c r="AA300" s="406">
        <v>0</v>
      </c>
    </row>
    <row r="301" spans="1:27" x14ac:dyDescent="0.2">
      <c r="A301" s="398"/>
      <c r="B301" s="404" t="s">
        <v>686</v>
      </c>
      <c r="C301" s="405">
        <v>0</v>
      </c>
      <c r="D301" s="405">
        <v>0</v>
      </c>
      <c r="E301" s="405">
        <v>0</v>
      </c>
      <c r="F301" s="405">
        <v>0</v>
      </c>
      <c r="G301" s="405">
        <v>0</v>
      </c>
      <c r="H301" s="405">
        <v>0</v>
      </c>
      <c r="I301" s="405">
        <v>0</v>
      </c>
      <c r="J301" s="405">
        <v>0</v>
      </c>
      <c r="K301" s="405">
        <v>0</v>
      </c>
      <c r="L301" s="405">
        <v>0</v>
      </c>
      <c r="M301" s="405">
        <v>0</v>
      </c>
      <c r="N301" s="405">
        <v>0</v>
      </c>
      <c r="O301" s="405">
        <v>0</v>
      </c>
      <c r="P301" s="405">
        <v>0</v>
      </c>
      <c r="Q301" s="405">
        <v>0</v>
      </c>
      <c r="R301" s="405">
        <v>0</v>
      </c>
      <c r="S301" s="405">
        <v>0</v>
      </c>
      <c r="T301" s="406">
        <v>0</v>
      </c>
      <c r="U301" s="407" t="e">
        <v>#DIV/0!</v>
      </c>
      <c r="V301" s="406">
        <v>0</v>
      </c>
      <c r="W301" s="406">
        <v>0</v>
      </c>
      <c r="X301" s="406">
        <v>0</v>
      </c>
      <c r="Y301" s="406">
        <v>0</v>
      </c>
      <c r="Z301" s="406">
        <v>0</v>
      </c>
      <c r="AA301" s="406">
        <v>0</v>
      </c>
    </row>
    <row r="302" spans="1:27" ht="24" x14ac:dyDescent="0.2">
      <c r="A302" s="398" t="s">
        <v>1372</v>
      </c>
      <c r="B302" s="412" t="s">
        <v>687</v>
      </c>
      <c r="C302" s="253">
        <v>0</v>
      </c>
      <c r="D302" s="253">
        <v>0</v>
      </c>
      <c r="E302" s="253">
        <v>0</v>
      </c>
      <c r="F302" s="253">
        <v>0</v>
      </c>
      <c r="G302" s="253">
        <v>0</v>
      </c>
      <c r="H302" s="285">
        <v>0</v>
      </c>
      <c r="I302" s="285">
        <v>0</v>
      </c>
      <c r="J302" s="285">
        <v>0</v>
      </c>
      <c r="K302" s="285">
        <v>0</v>
      </c>
      <c r="L302" s="285">
        <v>0</v>
      </c>
      <c r="M302" s="285">
        <v>0</v>
      </c>
      <c r="N302" s="285">
        <v>0</v>
      </c>
      <c r="O302" s="285">
        <v>0</v>
      </c>
      <c r="P302" s="285">
        <v>0</v>
      </c>
      <c r="Q302" s="285">
        <v>0</v>
      </c>
      <c r="R302" s="285">
        <v>0</v>
      </c>
      <c r="S302" s="285">
        <v>0</v>
      </c>
      <c r="T302" s="285">
        <v>0</v>
      </c>
      <c r="U302" s="410" t="e">
        <v>#DIV/0!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  <c r="AA302" s="285">
        <v>0</v>
      </c>
    </row>
    <row r="303" spans="1:27" x14ac:dyDescent="0.2">
      <c r="A303" s="398" t="s">
        <v>1373</v>
      </c>
      <c r="B303" s="412" t="s">
        <v>688</v>
      </c>
      <c r="C303" s="253">
        <v>0</v>
      </c>
      <c r="D303" s="253">
        <v>0</v>
      </c>
      <c r="E303" s="253">
        <v>0</v>
      </c>
      <c r="F303" s="253">
        <v>0</v>
      </c>
      <c r="G303" s="253">
        <v>0</v>
      </c>
      <c r="H303" s="285">
        <v>0</v>
      </c>
      <c r="I303" s="285">
        <v>0</v>
      </c>
      <c r="J303" s="285">
        <v>0</v>
      </c>
      <c r="K303" s="285">
        <v>0</v>
      </c>
      <c r="L303" s="285">
        <v>0</v>
      </c>
      <c r="M303" s="285">
        <v>0</v>
      </c>
      <c r="N303" s="285">
        <v>0</v>
      </c>
      <c r="O303" s="285">
        <v>0</v>
      </c>
      <c r="P303" s="285">
        <v>0</v>
      </c>
      <c r="Q303" s="285">
        <v>0</v>
      </c>
      <c r="R303" s="285">
        <v>0</v>
      </c>
      <c r="S303" s="285">
        <v>0</v>
      </c>
      <c r="T303" s="285">
        <v>0</v>
      </c>
      <c r="U303" s="410" t="e">
        <v>#DIV/0!</v>
      </c>
      <c r="V303" s="285">
        <v>0</v>
      </c>
      <c r="W303" s="285">
        <v>0</v>
      </c>
      <c r="X303" s="285">
        <v>0</v>
      </c>
      <c r="Y303" s="285">
        <v>0</v>
      </c>
      <c r="Z303" s="285">
        <v>0</v>
      </c>
      <c r="AA303" s="285">
        <v>0</v>
      </c>
    </row>
    <row r="304" spans="1:27" x14ac:dyDescent="0.2">
      <c r="A304" s="398" t="s">
        <v>1374</v>
      </c>
      <c r="B304" s="412" t="s">
        <v>689</v>
      </c>
      <c r="C304" s="253">
        <v>0</v>
      </c>
      <c r="D304" s="253">
        <v>0</v>
      </c>
      <c r="E304" s="253">
        <v>0</v>
      </c>
      <c r="F304" s="253">
        <v>0</v>
      </c>
      <c r="G304" s="253">
        <v>0</v>
      </c>
      <c r="H304" s="285">
        <v>0</v>
      </c>
      <c r="I304" s="285">
        <v>0</v>
      </c>
      <c r="J304" s="285">
        <v>0</v>
      </c>
      <c r="K304" s="285">
        <v>0</v>
      </c>
      <c r="L304" s="285">
        <v>0</v>
      </c>
      <c r="M304" s="285">
        <v>0</v>
      </c>
      <c r="N304" s="285">
        <v>0</v>
      </c>
      <c r="O304" s="285">
        <v>0</v>
      </c>
      <c r="P304" s="285">
        <v>0</v>
      </c>
      <c r="Q304" s="285">
        <v>0</v>
      </c>
      <c r="R304" s="285">
        <v>0</v>
      </c>
      <c r="S304" s="285">
        <v>0</v>
      </c>
      <c r="T304" s="285">
        <v>0</v>
      </c>
      <c r="U304" s="410" t="e">
        <v>#DIV/0!</v>
      </c>
      <c r="V304" s="285">
        <v>0</v>
      </c>
      <c r="W304" s="285">
        <v>0</v>
      </c>
      <c r="X304" s="285">
        <v>0</v>
      </c>
      <c r="Y304" s="285">
        <v>0</v>
      </c>
      <c r="Z304" s="285">
        <v>0</v>
      </c>
      <c r="AA304" s="285">
        <v>0</v>
      </c>
    </row>
    <row r="305" spans="1:27" x14ac:dyDescent="0.2">
      <c r="A305" s="398"/>
      <c r="B305" s="404" t="s">
        <v>690</v>
      </c>
      <c r="C305" s="405">
        <v>0</v>
      </c>
      <c r="D305" s="405">
        <v>0</v>
      </c>
      <c r="E305" s="405">
        <v>0</v>
      </c>
      <c r="F305" s="405">
        <v>0</v>
      </c>
      <c r="G305" s="405">
        <v>0</v>
      </c>
      <c r="H305" s="405">
        <v>0</v>
      </c>
      <c r="I305" s="405">
        <v>0</v>
      </c>
      <c r="J305" s="405">
        <v>0</v>
      </c>
      <c r="K305" s="405">
        <v>0</v>
      </c>
      <c r="L305" s="405">
        <v>0</v>
      </c>
      <c r="M305" s="405">
        <v>0</v>
      </c>
      <c r="N305" s="405">
        <v>0</v>
      </c>
      <c r="O305" s="405">
        <v>0</v>
      </c>
      <c r="P305" s="405">
        <v>0</v>
      </c>
      <c r="Q305" s="405">
        <v>0</v>
      </c>
      <c r="R305" s="405">
        <v>0</v>
      </c>
      <c r="S305" s="405">
        <v>0</v>
      </c>
      <c r="T305" s="406">
        <v>0</v>
      </c>
      <c r="U305" s="407" t="e">
        <v>#DIV/0!</v>
      </c>
      <c r="V305" s="406">
        <v>0</v>
      </c>
      <c r="W305" s="406">
        <v>0</v>
      </c>
      <c r="X305" s="406">
        <v>0</v>
      </c>
      <c r="Y305" s="406">
        <v>0</v>
      </c>
      <c r="Z305" s="406">
        <v>0</v>
      </c>
      <c r="AA305" s="406">
        <v>0</v>
      </c>
    </row>
    <row r="306" spans="1:27" x14ac:dyDescent="0.2">
      <c r="A306" s="398" t="s">
        <v>1375</v>
      </c>
      <c r="B306" s="412" t="s">
        <v>691</v>
      </c>
      <c r="C306" s="253">
        <v>0</v>
      </c>
      <c r="D306" s="253">
        <v>0</v>
      </c>
      <c r="E306" s="253">
        <v>0</v>
      </c>
      <c r="F306" s="253">
        <v>0</v>
      </c>
      <c r="G306" s="253">
        <v>0</v>
      </c>
      <c r="H306" s="285">
        <v>0</v>
      </c>
      <c r="I306" s="285">
        <v>0</v>
      </c>
      <c r="J306" s="285">
        <v>0</v>
      </c>
      <c r="K306" s="285">
        <v>0</v>
      </c>
      <c r="L306" s="285">
        <v>0</v>
      </c>
      <c r="M306" s="285">
        <v>0</v>
      </c>
      <c r="N306" s="285">
        <v>0</v>
      </c>
      <c r="O306" s="285">
        <v>0</v>
      </c>
      <c r="P306" s="285">
        <v>0</v>
      </c>
      <c r="Q306" s="285">
        <v>0</v>
      </c>
      <c r="R306" s="285">
        <v>0</v>
      </c>
      <c r="S306" s="285">
        <v>0</v>
      </c>
      <c r="T306" s="285">
        <v>0</v>
      </c>
      <c r="U306" s="410" t="e">
        <v>#DIV/0!</v>
      </c>
      <c r="V306" s="285">
        <v>0</v>
      </c>
      <c r="W306" s="285">
        <v>0</v>
      </c>
      <c r="X306" s="285">
        <v>0</v>
      </c>
      <c r="Y306" s="285">
        <v>0</v>
      </c>
      <c r="Z306" s="285">
        <v>0</v>
      </c>
      <c r="AA306" s="285">
        <v>0</v>
      </c>
    </row>
    <row r="307" spans="1:27" x14ac:dyDescent="0.2">
      <c r="A307" s="398" t="s">
        <v>1376</v>
      </c>
      <c r="B307" s="412" t="s">
        <v>692</v>
      </c>
      <c r="C307" s="253">
        <v>0</v>
      </c>
      <c r="D307" s="253">
        <v>0</v>
      </c>
      <c r="E307" s="253">
        <v>0</v>
      </c>
      <c r="F307" s="253">
        <v>0</v>
      </c>
      <c r="G307" s="253">
        <v>0</v>
      </c>
      <c r="H307" s="285">
        <v>0</v>
      </c>
      <c r="I307" s="285">
        <v>0</v>
      </c>
      <c r="J307" s="285">
        <v>0</v>
      </c>
      <c r="K307" s="285">
        <v>0</v>
      </c>
      <c r="L307" s="285">
        <v>0</v>
      </c>
      <c r="M307" s="285">
        <v>0</v>
      </c>
      <c r="N307" s="285">
        <v>0</v>
      </c>
      <c r="O307" s="285">
        <v>0</v>
      </c>
      <c r="P307" s="285">
        <v>0</v>
      </c>
      <c r="Q307" s="285">
        <v>0</v>
      </c>
      <c r="R307" s="285">
        <v>0</v>
      </c>
      <c r="S307" s="285">
        <v>0</v>
      </c>
      <c r="T307" s="285">
        <v>0</v>
      </c>
      <c r="U307" s="410" t="e">
        <v>#DIV/0!</v>
      </c>
      <c r="V307" s="285">
        <v>0</v>
      </c>
      <c r="W307" s="285">
        <v>0</v>
      </c>
      <c r="X307" s="285">
        <v>0</v>
      </c>
      <c r="Y307" s="285">
        <v>0</v>
      </c>
      <c r="Z307" s="285">
        <v>0</v>
      </c>
      <c r="AA307" s="285">
        <v>0</v>
      </c>
    </row>
    <row r="308" spans="1:27" x14ac:dyDescent="0.2">
      <c r="A308" s="398" t="s">
        <v>1377</v>
      </c>
      <c r="B308" s="412" t="s">
        <v>693</v>
      </c>
      <c r="C308" s="253">
        <v>0</v>
      </c>
      <c r="D308" s="253">
        <v>0</v>
      </c>
      <c r="E308" s="253">
        <v>0</v>
      </c>
      <c r="F308" s="253">
        <v>0</v>
      </c>
      <c r="G308" s="253">
        <v>0</v>
      </c>
      <c r="H308" s="285">
        <v>0</v>
      </c>
      <c r="I308" s="285">
        <v>0</v>
      </c>
      <c r="J308" s="285">
        <v>0</v>
      </c>
      <c r="K308" s="285">
        <v>0</v>
      </c>
      <c r="L308" s="285">
        <v>0</v>
      </c>
      <c r="M308" s="285">
        <v>0</v>
      </c>
      <c r="N308" s="285">
        <v>0</v>
      </c>
      <c r="O308" s="285">
        <v>0</v>
      </c>
      <c r="P308" s="285">
        <v>0</v>
      </c>
      <c r="Q308" s="285">
        <v>0</v>
      </c>
      <c r="R308" s="285">
        <v>0</v>
      </c>
      <c r="S308" s="285">
        <v>0</v>
      </c>
      <c r="T308" s="285">
        <v>0</v>
      </c>
      <c r="U308" s="410" t="e">
        <v>#DIV/0!</v>
      </c>
      <c r="V308" s="285">
        <v>0</v>
      </c>
      <c r="W308" s="285">
        <v>0</v>
      </c>
      <c r="X308" s="285">
        <v>0</v>
      </c>
      <c r="Y308" s="285">
        <v>0</v>
      </c>
      <c r="Z308" s="285">
        <v>0</v>
      </c>
      <c r="AA308" s="285">
        <v>0</v>
      </c>
    </row>
    <row r="309" spans="1:27" s="408" customFormat="1" x14ac:dyDescent="0.2">
      <c r="A309" s="398" t="s">
        <v>1378</v>
      </c>
      <c r="B309" s="404" t="s">
        <v>694</v>
      </c>
      <c r="C309" s="411">
        <v>0</v>
      </c>
      <c r="D309" s="411">
        <v>0</v>
      </c>
      <c r="E309" s="411">
        <v>0</v>
      </c>
      <c r="F309" s="411">
        <v>0</v>
      </c>
      <c r="G309" s="411">
        <v>0</v>
      </c>
      <c r="H309" s="406">
        <v>0</v>
      </c>
      <c r="I309" s="406">
        <v>0</v>
      </c>
      <c r="J309" s="406">
        <v>0</v>
      </c>
      <c r="K309" s="406">
        <v>0</v>
      </c>
      <c r="L309" s="406">
        <v>0</v>
      </c>
      <c r="M309" s="406">
        <v>0</v>
      </c>
      <c r="N309" s="406">
        <v>0</v>
      </c>
      <c r="O309" s="406">
        <v>0</v>
      </c>
      <c r="P309" s="406">
        <v>0</v>
      </c>
      <c r="Q309" s="406">
        <v>0</v>
      </c>
      <c r="R309" s="406">
        <v>0</v>
      </c>
      <c r="S309" s="406">
        <v>0</v>
      </c>
      <c r="T309" s="406">
        <v>0</v>
      </c>
      <c r="U309" s="407" t="e">
        <v>#DIV/0!</v>
      </c>
      <c r="V309" s="406">
        <v>0</v>
      </c>
      <c r="W309" s="406">
        <v>0</v>
      </c>
      <c r="X309" s="406">
        <v>0</v>
      </c>
      <c r="Y309" s="406">
        <v>0</v>
      </c>
      <c r="Z309" s="406">
        <v>0</v>
      </c>
      <c r="AA309" s="406">
        <v>0</v>
      </c>
    </row>
    <row r="310" spans="1:27" s="408" customFormat="1" x14ac:dyDescent="0.2">
      <c r="A310" s="256"/>
      <c r="B310" s="421" t="s">
        <v>35</v>
      </c>
      <c r="C310" s="422">
        <v>145630</v>
      </c>
      <c r="D310" s="422">
        <v>145630</v>
      </c>
      <c r="E310" s="422">
        <v>131279.4</v>
      </c>
      <c r="F310" s="422">
        <v>0</v>
      </c>
      <c r="G310" s="422">
        <v>0</v>
      </c>
      <c r="H310" s="422">
        <v>0</v>
      </c>
      <c r="I310" s="422">
        <v>0</v>
      </c>
      <c r="J310" s="422">
        <v>0</v>
      </c>
      <c r="K310" s="422">
        <v>0</v>
      </c>
      <c r="L310" s="422">
        <v>0</v>
      </c>
      <c r="M310" s="422">
        <v>0</v>
      </c>
      <c r="N310" s="422">
        <v>0</v>
      </c>
      <c r="O310" s="422">
        <v>0</v>
      </c>
      <c r="P310" s="422">
        <v>0</v>
      </c>
      <c r="Q310" s="422">
        <v>0</v>
      </c>
      <c r="R310" s="422">
        <v>0</v>
      </c>
      <c r="S310" s="422">
        <v>0</v>
      </c>
      <c r="T310" s="423">
        <v>0</v>
      </c>
      <c r="U310" s="424">
        <v>0</v>
      </c>
      <c r="V310" s="423">
        <v>145630</v>
      </c>
      <c r="W310" s="423">
        <v>14350.600000000006</v>
      </c>
      <c r="X310" s="423">
        <v>145630</v>
      </c>
      <c r="Y310" s="423">
        <v>131279.4</v>
      </c>
      <c r="Z310" s="423">
        <v>0</v>
      </c>
      <c r="AA310" s="423">
        <v>0</v>
      </c>
    </row>
    <row r="311" spans="1:27" x14ac:dyDescent="0.2">
      <c r="A311" s="398"/>
      <c r="B311" s="425" t="s">
        <v>1379</v>
      </c>
      <c r="C311" s="426">
        <v>145630</v>
      </c>
      <c r="D311" s="426">
        <v>145630</v>
      </c>
      <c r="E311" s="426">
        <v>131279.4</v>
      </c>
      <c r="F311" s="426">
        <v>0</v>
      </c>
      <c r="G311" s="426">
        <v>0</v>
      </c>
      <c r="H311" s="426">
        <v>0</v>
      </c>
      <c r="I311" s="426">
        <v>0</v>
      </c>
      <c r="J311" s="426">
        <v>0</v>
      </c>
      <c r="K311" s="426">
        <v>0</v>
      </c>
      <c r="L311" s="426">
        <v>0</v>
      </c>
      <c r="M311" s="426">
        <v>0</v>
      </c>
      <c r="N311" s="426">
        <v>0</v>
      </c>
      <c r="O311" s="426">
        <v>0</v>
      </c>
      <c r="P311" s="426">
        <v>0</v>
      </c>
      <c r="Q311" s="426">
        <v>0</v>
      </c>
      <c r="R311" s="426">
        <v>0</v>
      </c>
      <c r="S311" s="426">
        <v>0</v>
      </c>
      <c r="T311" s="427">
        <v>0</v>
      </c>
      <c r="U311" s="428">
        <v>0</v>
      </c>
      <c r="V311" s="427">
        <v>145630</v>
      </c>
      <c r="W311" s="427">
        <v>14350.600000000006</v>
      </c>
      <c r="X311" s="427">
        <v>145630</v>
      </c>
      <c r="Y311" s="427">
        <v>131279.4</v>
      </c>
      <c r="Z311" s="427">
        <v>0</v>
      </c>
      <c r="AA311" s="427">
        <v>0</v>
      </c>
    </row>
    <row r="312" spans="1:27" x14ac:dyDescent="0.2">
      <c r="A312" s="398"/>
      <c r="B312" s="429" t="s">
        <v>74</v>
      </c>
      <c r="C312" s="430">
        <v>145630</v>
      </c>
      <c r="D312" s="430">
        <v>145630</v>
      </c>
      <c r="E312" s="430">
        <v>131279.4</v>
      </c>
      <c r="F312" s="430">
        <v>0</v>
      </c>
      <c r="G312" s="430">
        <v>0</v>
      </c>
      <c r="H312" s="430">
        <v>0</v>
      </c>
      <c r="I312" s="430">
        <v>0</v>
      </c>
      <c r="J312" s="430">
        <v>0</v>
      </c>
      <c r="K312" s="430">
        <v>0</v>
      </c>
      <c r="L312" s="430">
        <v>0</v>
      </c>
      <c r="M312" s="430">
        <v>0</v>
      </c>
      <c r="N312" s="430">
        <v>0</v>
      </c>
      <c r="O312" s="430">
        <v>0</v>
      </c>
      <c r="P312" s="430">
        <v>0</v>
      </c>
      <c r="Q312" s="430">
        <v>0</v>
      </c>
      <c r="R312" s="430">
        <v>0</v>
      </c>
      <c r="S312" s="430">
        <v>0</v>
      </c>
      <c r="T312" s="431">
        <v>0</v>
      </c>
      <c r="U312" s="432">
        <v>0</v>
      </c>
      <c r="V312" s="431">
        <v>145630</v>
      </c>
      <c r="W312" s="431">
        <v>14350.600000000006</v>
      </c>
      <c r="X312" s="431">
        <v>145630</v>
      </c>
      <c r="Y312" s="431">
        <v>131279.4</v>
      </c>
      <c r="Z312" s="431">
        <v>0</v>
      </c>
      <c r="AA312" s="431">
        <v>0</v>
      </c>
    </row>
  </sheetData>
  <sheetProtection formatCells="0" formatColumns="0" formatRows="0" autoFilter="0"/>
  <mergeCells count="27">
    <mergeCell ref="W10:W11"/>
    <mergeCell ref="X10:X11"/>
    <mergeCell ref="Y10:Y11"/>
    <mergeCell ref="Z10:Z11"/>
    <mergeCell ref="AA10:AA11"/>
    <mergeCell ref="V10:V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A2:W2"/>
    <mergeCell ref="A3:W3"/>
    <mergeCell ref="A4:W4"/>
    <mergeCell ref="B7:E7"/>
    <mergeCell ref="B9:AA9"/>
    <mergeCell ref="A10:A12"/>
    <mergeCell ref="B10:B12"/>
    <mergeCell ref="C10:C11"/>
    <mergeCell ref="D10:D11"/>
    <mergeCell ref="H10:H1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3312-EBB4-4E19-88C9-BF1729CB5DEA}">
  <sheetPr>
    <tabColor theme="0" tint="-0.249977111117893"/>
  </sheetPr>
  <dimension ref="A1:AB312"/>
  <sheetViews>
    <sheetView zoomScale="90" zoomScaleNormal="90" workbookViewId="0">
      <pane ySplit="12" topLeftCell="A288" activePane="bottomLeft" state="frozen"/>
      <selection activeCell="B1" sqref="B1"/>
      <selection pane="bottomLeft" activeCell="H318" sqref="H318"/>
    </sheetView>
  </sheetViews>
  <sheetFormatPr defaultColWidth="8.7109375" defaultRowHeight="12" x14ac:dyDescent="0.2"/>
  <cols>
    <col min="1" max="1" width="161" style="200" hidden="1" customWidth="1"/>
    <col min="2" max="2" width="60.140625" style="200" customWidth="1"/>
    <col min="3" max="3" width="17.42578125" style="200" customWidth="1"/>
    <col min="4" max="4" width="18.42578125" style="200" customWidth="1"/>
    <col min="5" max="5" width="19.85546875" style="200" customWidth="1"/>
    <col min="6" max="6" width="16.42578125" style="200" customWidth="1"/>
    <col min="7" max="7" width="15.140625" style="200" customWidth="1"/>
    <col min="8" max="8" width="12.28515625" style="200" customWidth="1"/>
    <col min="9" max="14" width="12.7109375" style="200" bestFit="1" customWidth="1"/>
    <col min="15" max="15" width="12.7109375" style="200" customWidth="1"/>
    <col min="16" max="16" width="12.7109375" style="200" bestFit="1" customWidth="1"/>
    <col min="17" max="17" width="12.85546875" style="200" customWidth="1"/>
    <col min="18" max="18" width="13.85546875" style="200" customWidth="1"/>
    <col min="19" max="19" width="12.5703125" style="200" customWidth="1"/>
    <col min="20" max="20" width="15.7109375" style="200" customWidth="1"/>
    <col min="21" max="21" width="10.5703125" style="200" customWidth="1"/>
    <col min="22" max="22" width="15.140625" style="200" bestFit="1" customWidth="1"/>
    <col min="23" max="23" width="18" style="200" customWidth="1"/>
    <col min="24" max="24" width="15.7109375" style="200" bestFit="1" customWidth="1"/>
    <col min="25" max="25" width="13.5703125" style="200" customWidth="1"/>
    <col min="26" max="26" width="11.85546875" style="200" customWidth="1"/>
    <col min="27" max="27" width="14.5703125" style="200" customWidth="1"/>
    <col min="28" max="16384" width="8.7109375" style="200"/>
  </cols>
  <sheetData>
    <row r="1" spans="1:27" s="141" customFormat="1" x14ac:dyDescent="0.2">
      <c r="A1" s="4"/>
      <c r="B1" s="4"/>
      <c r="C1" s="4"/>
      <c r="D1" s="5"/>
    </row>
    <row r="2" spans="1:27" s="141" customFormat="1" ht="12" customHeight="1" x14ac:dyDescent="0.2">
      <c r="A2" s="540" t="s">
        <v>1094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  <c r="N2" s="540"/>
      <c r="O2" s="540"/>
      <c r="P2" s="540"/>
      <c r="Q2" s="540"/>
      <c r="R2" s="540"/>
      <c r="S2" s="540"/>
      <c r="T2" s="540"/>
      <c r="U2" s="540"/>
      <c r="V2" s="540"/>
      <c r="W2" s="540"/>
    </row>
    <row r="3" spans="1:27" s="141" customFormat="1" ht="15.6" customHeight="1" x14ac:dyDescent="0.2">
      <c r="A3" s="540" t="s">
        <v>1390</v>
      </c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  <c r="S3" s="540"/>
      <c r="T3" s="540"/>
      <c r="U3" s="540"/>
      <c r="V3" s="540"/>
      <c r="W3" s="540"/>
    </row>
    <row r="4" spans="1:27" s="141" customFormat="1" ht="15.75" x14ac:dyDescent="0.2">
      <c r="A4" s="541">
        <v>2026</v>
      </c>
      <c r="B4" s="541"/>
      <c r="C4" s="541"/>
      <c r="D4" s="541"/>
      <c r="E4" s="541"/>
      <c r="F4" s="541"/>
      <c r="G4" s="541"/>
      <c r="H4" s="541"/>
      <c r="I4" s="541"/>
      <c r="J4" s="541"/>
      <c r="K4" s="541"/>
      <c r="L4" s="541"/>
      <c r="M4" s="541"/>
      <c r="N4" s="541"/>
      <c r="O4" s="541"/>
      <c r="P4" s="541"/>
      <c r="Q4" s="541"/>
      <c r="R4" s="541"/>
      <c r="S4" s="541"/>
      <c r="T4" s="541"/>
      <c r="U4" s="541"/>
      <c r="V4" s="541"/>
      <c r="W4" s="541"/>
    </row>
    <row r="5" spans="1:27" s="141" customFormat="1" ht="15" x14ac:dyDescent="0.2">
      <c r="A5" s="10"/>
      <c r="B5" s="189" t="s">
        <v>1390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7" s="141" customFormat="1" ht="15" x14ac:dyDescent="0.2">
      <c r="A6" s="10"/>
      <c r="B6" s="543" t="s">
        <v>1396</v>
      </c>
      <c r="C6" s="543"/>
      <c r="D6" s="543"/>
      <c r="E6" s="54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7" s="141" customFormat="1" ht="15.75" customHeight="1" x14ac:dyDescent="0.2">
      <c r="A7" s="10"/>
      <c r="B7" s="544" t="s">
        <v>1397</v>
      </c>
      <c r="C7" s="544"/>
      <c r="D7" s="544"/>
      <c r="E7" s="544"/>
      <c r="F7" s="544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190"/>
      <c r="Y7" s="190"/>
      <c r="Z7" s="190"/>
      <c r="AA7" s="190"/>
    </row>
    <row r="8" spans="1:27" s="141" customFormat="1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AA8" s="191" t="s">
        <v>1</v>
      </c>
    </row>
    <row r="9" spans="1:27" s="141" customFormat="1" x14ac:dyDescent="0.2">
      <c r="A9" s="134"/>
      <c r="B9" s="538" t="s">
        <v>34</v>
      </c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</row>
    <row r="10" spans="1:27" s="141" customFormat="1" ht="24" x14ac:dyDescent="0.2">
      <c r="A10" s="537"/>
      <c r="B10" s="538" t="s">
        <v>1398</v>
      </c>
      <c r="C10" s="538" t="s">
        <v>2</v>
      </c>
      <c r="D10" s="538" t="s">
        <v>3</v>
      </c>
      <c r="E10" s="192" t="s">
        <v>57</v>
      </c>
      <c r="F10" s="192" t="s">
        <v>30</v>
      </c>
      <c r="G10" s="192" t="s">
        <v>58</v>
      </c>
      <c r="H10" s="545" t="s">
        <v>5</v>
      </c>
      <c r="I10" s="545" t="s">
        <v>6</v>
      </c>
      <c r="J10" s="545" t="s">
        <v>7</v>
      </c>
      <c r="K10" s="545" t="s">
        <v>8</v>
      </c>
      <c r="L10" s="545" t="s">
        <v>9</v>
      </c>
      <c r="M10" s="545" t="s">
        <v>10</v>
      </c>
      <c r="N10" s="545" t="s">
        <v>11</v>
      </c>
      <c r="O10" s="545" t="s">
        <v>12</v>
      </c>
      <c r="P10" s="545" t="s">
        <v>13</v>
      </c>
      <c r="Q10" s="545" t="s">
        <v>14</v>
      </c>
      <c r="R10" s="545" t="s">
        <v>15</v>
      </c>
      <c r="S10" s="545" t="s">
        <v>16</v>
      </c>
      <c r="T10" s="192" t="s">
        <v>17</v>
      </c>
      <c r="U10" s="192" t="s">
        <v>18</v>
      </c>
      <c r="V10" s="545" t="s">
        <v>59</v>
      </c>
      <c r="W10" s="545" t="s">
        <v>60</v>
      </c>
      <c r="X10" s="545" t="s">
        <v>32</v>
      </c>
      <c r="Y10" s="545" t="s">
        <v>31</v>
      </c>
      <c r="Z10" s="545" t="s">
        <v>61</v>
      </c>
      <c r="AA10" s="545" t="s">
        <v>62</v>
      </c>
    </row>
    <row r="11" spans="1:27" s="141" customFormat="1" ht="24" customHeight="1" x14ac:dyDescent="0.2">
      <c r="A11" s="537"/>
      <c r="B11" s="538"/>
      <c r="C11" s="538"/>
      <c r="D11" s="538"/>
      <c r="E11" s="193" t="s">
        <v>1408</v>
      </c>
      <c r="F11" s="193" t="s">
        <v>1408</v>
      </c>
      <c r="G11" s="193" t="s">
        <v>1408</v>
      </c>
      <c r="H11" s="545"/>
      <c r="I11" s="545"/>
      <c r="J11" s="545"/>
      <c r="K11" s="545"/>
      <c r="L11" s="545"/>
      <c r="M11" s="545"/>
      <c r="N11" s="545"/>
      <c r="O11" s="545"/>
      <c r="P11" s="545"/>
      <c r="Q11" s="545"/>
      <c r="R11" s="545"/>
      <c r="S11" s="545"/>
      <c r="T11" s="193" t="s">
        <v>1408</v>
      </c>
      <c r="U11" s="193" t="s">
        <v>1408</v>
      </c>
      <c r="V11" s="545"/>
      <c r="W11" s="545"/>
      <c r="X11" s="545"/>
      <c r="Y11" s="545"/>
      <c r="Z11" s="545"/>
      <c r="AA11" s="545"/>
    </row>
    <row r="12" spans="1:27" s="141" customFormat="1" x14ac:dyDescent="0.2">
      <c r="A12" s="537"/>
      <c r="B12" s="538"/>
      <c r="C12" s="194" t="s">
        <v>20</v>
      </c>
      <c r="D12" s="194" t="s">
        <v>21</v>
      </c>
      <c r="E12" s="194" t="s">
        <v>22</v>
      </c>
      <c r="F12" s="194" t="s">
        <v>23</v>
      </c>
      <c r="G12" s="194" t="s">
        <v>24</v>
      </c>
      <c r="H12" s="194" t="s">
        <v>63</v>
      </c>
      <c r="I12" s="194" t="s">
        <v>63</v>
      </c>
      <c r="J12" s="194" t="s">
        <v>63</v>
      </c>
      <c r="K12" s="194" t="s">
        <v>63</v>
      </c>
      <c r="L12" s="194" t="s">
        <v>63</v>
      </c>
      <c r="M12" s="194" t="s">
        <v>63</v>
      </c>
      <c r="N12" s="194" t="s">
        <v>63</v>
      </c>
      <c r="O12" s="194" t="s">
        <v>63</v>
      </c>
      <c r="P12" s="194" t="s">
        <v>63</v>
      </c>
      <c r="Q12" s="194" t="s">
        <v>63</v>
      </c>
      <c r="R12" s="194" t="s">
        <v>63</v>
      </c>
      <c r="S12" s="194" t="s">
        <v>63</v>
      </c>
      <c r="T12" s="194" t="s">
        <v>64</v>
      </c>
      <c r="U12" s="194" t="s">
        <v>65</v>
      </c>
      <c r="V12" s="194" t="s">
        <v>66</v>
      </c>
      <c r="W12" s="194" t="s">
        <v>67</v>
      </c>
      <c r="X12" s="194" t="s">
        <v>68</v>
      </c>
      <c r="Y12" s="194" t="s">
        <v>69</v>
      </c>
      <c r="Z12" s="194" t="s">
        <v>70</v>
      </c>
      <c r="AA12" s="194" t="s">
        <v>71</v>
      </c>
    </row>
    <row r="13" spans="1:27" x14ac:dyDescent="0.2">
      <c r="A13" s="195"/>
      <c r="B13" s="196" t="s">
        <v>404</v>
      </c>
      <c r="C13" s="197">
        <v>0</v>
      </c>
      <c r="D13" s="197">
        <v>0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0</v>
      </c>
      <c r="K13" s="197">
        <v>0</v>
      </c>
      <c r="L13" s="197">
        <v>0</v>
      </c>
      <c r="M13" s="197">
        <v>0</v>
      </c>
      <c r="N13" s="197">
        <v>0</v>
      </c>
      <c r="O13" s="197">
        <v>0</v>
      </c>
      <c r="P13" s="197">
        <v>0</v>
      </c>
      <c r="Q13" s="197">
        <v>0</v>
      </c>
      <c r="R13" s="197">
        <v>0</v>
      </c>
      <c r="S13" s="197">
        <v>0</v>
      </c>
      <c r="T13" s="198">
        <v>0</v>
      </c>
      <c r="U13" s="199" t="e">
        <v>#DIV/0!</v>
      </c>
      <c r="V13" s="198">
        <v>0</v>
      </c>
      <c r="W13" s="198">
        <v>0</v>
      </c>
      <c r="X13" s="198">
        <v>0</v>
      </c>
      <c r="Y13" s="198">
        <v>0</v>
      </c>
      <c r="Z13" s="198">
        <v>0</v>
      </c>
      <c r="AA13" s="198">
        <v>0</v>
      </c>
    </row>
    <row r="14" spans="1:27" s="205" customFormat="1" x14ac:dyDescent="0.2">
      <c r="A14" s="195"/>
      <c r="B14" s="201" t="s">
        <v>405</v>
      </c>
      <c r="C14" s="202">
        <v>0</v>
      </c>
      <c r="D14" s="202">
        <v>0</v>
      </c>
      <c r="E14" s="202">
        <v>0</v>
      </c>
      <c r="F14" s="202">
        <v>0</v>
      </c>
      <c r="G14" s="202">
        <v>0</v>
      </c>
      <c r="H14" s="202">
        <v>0</v>
      </c>
      <c r="I14" s="202">
        <v>0</v>
      </c>
      <c r="J14" s="202">
        <v>0</v>
      </c>
      <c r="K14" s="202">
        <v>0</v>
      </c>
      <c r="L14" s="202">
        <v>0</v>
      </c>
      <c r="M14" s="202">
        <v>0</v>
      </c>
      <c r="N14" s="202">
        <v>0</v>
      </c>
      <c r="O14" s="202">
        <v>0</v>
      </c>
      <c r="P14" s="202">
        <v>0</v>
      </c>
      <c r="Q14" s="202">
        <v>0</v>
      </c>
      <c r="R14" s="202">
        <v>0</v>
      </c>
      <c r="S14" s="202">
        <v>0</v>
      </c>
      <c r="T14" s="203">
        <v>0</v>
      </c>
      <c r="U14" s="204" t="e">
        <v>#DIV/0!</v>
      </c>
      <c r="V14" s="203">
        <v>0</v>
      </c>
      <c r="W14" s="203">
        <v>0</v>
      </c>
      <c r="X14" s="203">
        <v>0</v>
      </c>
      <c r="Y14" s="203">
        <v>0</v>
      </c>
      <c r="Z14" s="203">
        <v>0</v>
      </c>
      <c r="AA14" s="203">
        <v>0</v>
      </c>
    </row>
    <row r="15" spans="1:27" x14ac:dyDescent="0.2">
      <c r="A15" s="195" t="s">
        <v>1120</v>
      </c>
      <c r="B15" s="206" t="s">
        <v>406</v>
      </c>
      <c r="C15" s="139">
        <v>0</v>
      </c>
      <c r="D15" s="139">
        <v>0</v>
      </c>
      <c r="E15" s="139">
        <v>0</v>
      </c>
      <c r="F15" s="139">
        <v>0</v>
      </c>
      <c r="G15" s="139">
        <v>0</v>
      </c>
      <c r="H15" s="142">
        <v>0</v>
      </c>
      <c r="I15" s="142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42">
        <v>0</v>
      </c>
      <c r="P15" s="142">
        <v>0</v>
      </c>
      <c r="Q15" s="142">
        <v>0</v>
      </c>
      <c r="R15" s="142">
        <v>0</v>
      </c>
      <c r="S15" s="142">
        <v>0</v>
      </c>
      <c r="T15" s="142">
        <v>0</v>
      </c>
      <c r="U15" s="207" t="e">
        <v>#DIV/0!</v>
      </c>
      <c r="V15" s="142">
        <v>0</v>
      </c>
      <c r="W15" s="142">
        <v>0</v>
      </c>
      <c r="X15" s="142">
        <v>0</v>
      </c>
      <c r="Y15" s="142">
        <v>0</v>
      </c>
      <c r="Z15" s="142">
        <v>0</v>
      </c>
      <c r="AA15" s="142">
        <v>0</v>
      </c>
    </row>
    <row r="16" spans="1:27" x14ac:dyDescent="0.2">
      <c r="A16" s="195" t="s">
        <v>1121</v>
      </c>
      <c r="B16" s="206" t="s">
        <v>407</v>
      </c>
      <c r="C16" s="139">
        <v>0</v>
      </c>
      <c r="D16" s="139">
        <v>0</v>
      </c>
      <c r="E16" s="139">
        <v>0</v>
      </c>
      <c r="F16" s="139">
        <v>0</v>
      </c>
      <c r="G16" s="139">
        <v>0</v>
      </c>
      <c r="H16" s="142">
        <v>0</v>
      </c>
      <c r="I16" s="142">
        <v>0</v>
      </c>
      <c r="J16" s="142">
        <v>0</v>
      </c>
      <c r="K16" s="142">
        <v>0</v>
      </c>
      <c r="L16" s="142">
        <v>0</v>
      </c>
      <c r="M16" s="142">
        <v>0</v>
      </c>
      <c r="N16" s="142">
        <v>0</v>
      </c>
      <c r="O16" s="142">
        <v>0</v>
      </c>
      <c r="P16" s="142">
        <v>0</v>
      </c>
      <c r="Q16" s="142">
        <v>0</v>
      </c>
      <c r="R16" s="142">
        <v>0</v>
      </c>
      <c r="S16" s="142">
        <v>0</v>
      </c>
      <c r="T16" s="142">
        <v>0</v>
      </c>
      <c r="U16" s="207" t="e">
        <v>#DIV/0!</v>
      </c>
      <c r="V16" s="142">
        <v>0</v>
      </c>
      <c r="W16" s="142">
        <v>0</v>
      </c>
      <c r="X16" s="142">
        <v>0</v>
      </c>
      <c r="Y16" s="142">
        <v>0</v>
      </c>
      <c r="Z16" s="142">
        <v>0</v>
      </c>
      <c r="AA16" s="142">
        <v>0</v>
      </c>
    </row>
    <row r="17" spans="1:27" x14ac:dyDescent="0.2">
      <c r="A17" s="195" t="s">
        <v>1122</v>
      </c>
      <c r="B17" s="206" t="s">
        <v>408</v>
      </c>
      <c r="C17" s="139">
        <v>0</v>
      </c>
      <c r="D17" s="139">
        <v>0</v>
      </c>
      <c r="E17" s="139">
        <v>0</v>
      </c>
      <c r="F17" s="139">
        <v>0</v>
      </c>
      <c r="G17" s="139">
        <v>0</v>
      </c>
      <c r="H17" s="142">
        <v>0</v>
      </c>
      <c r="I17" s="142">
        <v>0</v>
      </c>
      <c r="J17" s="142">
        <v>0</v>
      </c>
      <c r="K17" s="142">
        <v>0</v>
      </c>
      <c r="L17" s="142">
        <v>0</v>
      </c>
      <c r="M17" s="142">
        <v>0</v>
      </c>
      <c r="N17" s="142">
        <v>0</v>
      </c>
      <c r="O17" s="142">
        <v>0</v>
      </c>
      <c r="P17" s="142">
        <v>0</v>
      </c>
      <c r="Q17" s="142">
        <v>0</v>
      </c>
      <c r="R17" s="142">
        <v>0</v>
      </c>
      <c r="S17" s="142">
        <v>0</v>
      </c>
      <c r="T17" s="142">
        <v>0</v>
      </c>
      <c r="U17" s="207" t="e">
        <v>#DIV/0!</v>
      </c>
      <c r="V17" s="142">
        <v>0</v>
      </c>
      <c r="W17" s="142">
        <v>0</v>
      </c>
      <c r="X17" s="142">
        <v>0</v>
      </c>
      <c r="Y17" s="142">
        <v>0</v>
      </c>
      <c r="Z17" s="142">
        <v>0</v>
      </c>
      <c r="AA17" s="142">
        <v>0</v>
      </c>
    </row>
    <row r="18" spans="1:27" x14ac:dyDescent="0.2">
      <c r="A18" s="195" t="s">
        <v>1123</v>
      </c>
      <c r="B18" s="206" t="s">
        <v>409</v>
      </c>
      <c r="C18" s="139">
        <v>0</v>
      </c>
      <c r="D18" s="139">
        <v>0</v>
      </c>
      <c r="E18" s="139">
        <v>0</v>
      </c>
      <c r="F18" s="139">
        <v>0</v>
      </c>
      <c r="G18" s="139">
        <v>0</v>
      </c>
      <c r="H18" s="142">
        <v>0</v>
      </c>
      <c r="I18" s="142">
        <v>0</v>
      </c>
      <c r="J18" s="142">
        <v>0</v>
      </c>
      <c r="K18" s="142">
        <v>0</v>
      </c>
      <c r="L18" s="142">
        <v>0</v>
      </c>
      <c r="M18" s="142">
        <v>0</v>
      </c>
      <c r="N18" s="142">
        <v>0</v>
      </c>
      <c r="O18" s="142">
        <v>0</v>
      </c>
      <c r="P18" s="142">
        <v>0</v>
      </c>
      <c r="Q18" s="142">
        <v>0</v>
      </c>
      <c r="R18" s="142">
        <v>0</v>
      </c>
      <c r="S18" s="142">
        <v>0</v>
      </c>
      <c r="T18" s="142">
        <v>0</v>
      </c>
      <c r="U18" s="207" t="e">
        <v>#DIV/0!</v>
      </c>
      <c r="V18" s="142">
        <v>0</v>
      </c>
      <c r="W18" s="142">
        <v>0</v>
      </c>
      <c r="X18" s="142">
        <v>0</v>
      </c>
      <c r="Y18" s="142">
        <v>0</v>
      </c>
      <c r="Z18" s="142">
        <v>0</v>
      </c>
      <c r="AA18" s="142">
        <v>0</v>
      </c>
    </row>
    <row r="19" spans="1:27" x14ac:dyDescent="0.2">
      <c r="A19" s="195" t="s">
        <v>1124</v>
      </c>
      <c r="B19" s="206" t="s">
        <v>410</v>
      </c>
      <c r="C19" s="139">
        <v>0</v>
      </c>
      <c r="D19" s="139">
        <v>0</v>
      </c>
      <c r="E19" s="139">
        <v>0</v>
      </c>
      <c r="F19" s="139">
        <v>0</v>
      </c>
      <c r="G19" s="139">
        <v>0</v>
      </c>
      <c r="H19" s="142">
        <v>0</v>
      </c>
      <c r="I19" s="142">
        <v>0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42">
        <v>0</v>
      </c>
      <c r="P19" s="142">
        <v>0</v>
      </c>
      <c r="Q19" s="142">
        <v>0</v>
      </c>
      <c r="R19" s="142">
        <v>0</v>
      </c>
      <c r="S19" s="142">
        <v>0</v>
      </c>
      <c r="T19" s="142">
        <v>0</v>
      </c>
      <c r="U19" s="207" t="e">
        <v>#DIV/0!</v>
      </c>
      <c r="V19" s="142">
        <v>0</v>
      </c>
      <c r="W19" s="142">
        <v>0</v>
      </c>
      <c r="X19" s="142">
        <v>0</v>
      </c>
      <c r="Y19" s="142">
        <v>0</v>
      </c>
      <c r="Z19" s="142">
        <v>0</v>
      </c>
      <c r="AA19" s="142">
        <v>0</v>
      </c>
    </row>
    <row r="20" spans="1:27" x14ac:dyDescent="0.2">
      <c r="A20" s="195" t="s">
        <v>1125</v>
      </c>
      <c r="B20" s="206" t="s">
        <v>411</v>
      </c>
      <c r="C20" s="139">
        <v>0</v>
      </c>
      <c r="D20" s="139">
        <v>0</v>
      </c>
      <c r="E20" s="139">
        <v>0</v>
      </c>
      <c r="F20" s="139">
        <v>0</v>
      </c>
      <c r="G20" s="139">
        <v>0</v>
      </c>
      <c r="H20" s="142">
        <v>0</v>
      </c>
      <c r="I20" s="142">
        <v>0</v>
      </c>
      <c r="J20" s="142">
        <v>0</v>
      </c>
      <c r="K20" s="142">
        <v>0</v>
      </c>
      <c r="L20" s="142">
        <v>0</v>
      </c>
      <c r="M20" s="142">
        <v>0</v>
      </c>
      <c r="N20" s="142">
        <v>0</v>
      </c>
      <c r="O20" s="142">
        <v>0</v>
      </c>
      <c r="P20" s="142">
        <v>0</v>
      </c>
      <c r="Q20" s="142">
        <v>0</v>
      </c>
      <c r="R20" s="142">
        <v>0</v>
      </c>
      <c r="S20" s="142">
        <v>0</v>
      </c>
      <c r="T20" s="142">
        <v>0</v>
      </c>
      <c r="U20" s="207" t="e">
        <v>#DIV/0!</v>
      </c>
      <c r="V20" s="142">
        <v>0</v>
      </c>
      <c r="W20" s="142">
        <v>0</v>
      </c>
      <c r="X20" s="142">
        <v>0</v>
      </c>
      <c r="Y20" s="142">
        <v>0</v>
      </c>
      <c r="Z20" s="142">
        <v>0</v>
      </c>
      <c r="AA20" s="142">
        <v>0</v>
      </c>
    </row>
    <row r="21" spans="1:27" ht="24" x14ac:dyDescent="0.2">
      <c r="A21" s="195" t="s">
        <v>1126</v>
      </c>
      <c r="B21" s="206" t="s">
        <v>412</v>
      </c>
      <c r="C21" s="139">
        <v>0</v>
      </c>
      <c r="D21" s="139">
        <v>0</v>
      </c>
      <c r="E21" s="139">
        <v>0</v>
      </c>
      <c r="F21" s="139">
        <v>0</v>
      </c>
      <c r="G21" s="139">
        <v>0</v>
      </c>
      <c r="H21" s="142">
        <v>0</v>
      </c>
      <c r="I21" s="142">
        <v>0</v>
      </c>
      <c r="J21" s="142">
        <v>0</v>
      </c>
      <c r="K21" s="142">
        <v>0</v>
      </c>
      <c r="L21" s="142">
        <v>0</v>
      </c>
      <c r="M21" s="142">
        <v>0</v>
      </c>
      <c r="N21" s="142">
        <v>0</v>
      </c>
      <c r="O21" s="142">
        <v>0</v>
      </c>
      <c r="P21" s="142">
        <v>0</v>
      </c>
      <c r="Q21" s="142">
        <v>0</v>
      </c>
      <c r="R21" s="142">
        <v>0</v>
      </c>
      <c r="S21" s="142">
        <v>0</v>
      </c>
      <c r="T21" s="142">
        <v>0</v>
      </c>
      <c r="U21" s="207" t="e">
        <v>#DIV/0!</v>
      </c>
      <c r="V21" s="142">
        <v>0</v>
      </c>
      <c r="W21" s="142">
        <v>0</v>
      </c>
      <c r="X21" s="142">
        <v>0</v>
      </c>
      <c r="Y21" s="142">
        <v>0</v>
      </c>
      <c r="Z21" s="142">
        <v>0</v>
      </c>
      <c r="AA21" s="142">
        <v>0</v>
      </c>
    </row>
    <row r="22" spans="1:27" ht="24" x14ac:dyDescent="0.2">
      <c r="A22" s="195" t="s">
        <v>1127</v>
      </c>
      <c r="B22" s="206" t="s">
        <v>413</v>
      </c>
      <c r="C22" s="139">
        <v>0</v>
      </c>
      <c r="D22" s="139">
        <v>0</v>
      </c>
      <c r="E22" s="139">
        <v>0</v>
      </c>
      <c r="F22" s="139">
        <v>0</v>
      </c>
      <c r="G22" s="139">
        <v>0</v>
      </c>
      <c r="H22" s="142">
        <v>0</v>
      </c>
      <c r="I22" s="142">
        <v>0</v>
      </c>
      <c r="J22" s="142">
        <v>0</v>
      </c>
      <c r="K22" s="142">
        <v>0</v>
      </c>
      <c r="L22" s="142">
        <v>0</v>
      </c>
      <c r="M22" s="142">
        <v>0</v>
      </c>
      <c r="N22" s="142">
        <v>0</v>
      </c>
      <c r="O22" s="142">
        <v>0</v>
      </c>
      <c r="P22" s="142">
        <v>0</v>
      </c>
      <c r="Q22" s="142">
        <v>0</v>
      </c>
      <c r="R22" s="142">
        <v>0</v>
      </c>
      <c r="S22" s="142">
        <v>0</v>
      </c>
      <c r="T22" s="142">
        <v>0</v>
      </c>
      <c r="U22" s="207" t="e">
        <v>#DIV/0!</v>
      </c>
      <c r="V22" s="142">
        <v>0</v>
      </c>
      <c r="W22" s="142">
        <v>0</v>
      </c>
      <c r="X22" s="142">
        <v>0</v>
      </c>
      <c r="Y22" s="142">
        <v>0</v>
      </c>
      <c r="Z22" s="142">
        <v>0</v>
      </c>
      <c r="AA22" s="142">
        <v>0</v>
      </c>
    </row>
    <row r="23" spans="1:27" x14ac:dyDescent="0.2">
      <c r="A23" s="195" t="s">
        <v>1128</v>
      </c>
      <c r="B23" s="206" t="s">
        <v>414</v>
      </c>
      <c r="C23" s="139">
        <v>0</v>
      </c>
      <c r="D23" s="139">
        <v>0</v>
      </c>
      <c r="E23" s="139">
        <v>0</v>
      </c>
      <c r="F23" s="139">
        <v>0</v>
      </c>
      <c r="G23" s="139">
        <v>0</v>
      </c>
      <c r="H23" s="142">
        <v>0</v>
      </c>
      <c r="I23" s="142">
        <v>0</v>
      </c>
      <c r="J23" s="142">
        <v>0</v>
      </c>
      <c r="K23" s="142">
        <v>0</v>
      </c>
      <c r="L23" s="142">
        <v>0</v>
      </c>
      <c r="M23" s="142">
        <v>0</v>
      </c>
      <c r="N23" s="142">
        <v>0</v>
      </c>
      <c r="O23" s="142">
        <v>0</v>
      </c>
      <c r="P23" s="142">
        <v>0</v>
      </c>
      <c r="Q23" s="142">
        <v>0</v>
      </c>
      <c r="R23" s="142">
        <v>0</v>
      </c>
      <c r="S23" s="142">
        <v>0</v>
      </c>
      <c r="T23" s="142">
        <v>0</v>
      </c>
      <c r="U23" s="207" t="e">
        <v>#DIV/0!</v>
      </c>
      <c r="V23" s="142">
        <v>0</v>
      </c>
      <c r="W23" s="142">
        <v>0</v>
      </c>
      <c r="X23" s="142">
        <v>0</v>
      </c>
      <c r="Y23" s="142">
        <v>0</v>
      </c>
      <c r="Z23" s="142">
        <v>0</v>
      </c>
      <c r="AA23" s="142">
        <v>0</v>
      </c>
    </row>
    <row r="24" spans="1:27" x14ac:dyDescent="0.2">
      <c r="A24" s="195" t="s">
        <v>1129</v>
      </c>
      <c r="B24" s="206" t="s">
        <v>415</v>
      </c>
      <c r="C24" s="139">
        <v>0</v>
      </c>
      <c r="D24" s="139">
        <v>0</v>
      </c>
      <c r="E24" s="139">
        <v>0</v>
      </c>
      <c r="F24" s="139">
        <v>0</v>
      </c>
      <c r="G24" s="139">
        <v>0</v>
      </c>
      <c r="H24" s="142">
        <v>0</v>
      </c>
      <c r="I24" s="142">
        <v>0</v>
      </c>
      <c r="J24" s="142">
        <v>0</v>
      </c>
      <c r="K24" s="142">
        <v>0</v>
      </c>
      <c r="L24" s="142">
        <v>0</v>
      </c>
      <c r="M24" s="142">
        <v>0</v>
      </c>
      <c r="N24" s="142">
        <v>0</v>
      </c>
      <c r="O24" s="142">
        <v>0</v>
      </c>
      <c r="P24" s="142">
        <v>0</v>
      </c>
      <c r="Q24" s="142">
        <v>0</v>
      </c>
      <c r="R24" s="142">
        <v>0</v>
      </c>
      <c r="S24" s="142">
        <v>0</v>
      </c>
      <c r="T24" s="142">
        <v>0</v>
      </c>
      <c r="U24" s="207" t="e">
        <v>#DIV/0!</v>
      </c>
      <c r="V24" s="142">
        <v>0</v>
      </c>
      <c r="W24" s="142">
        <v>0</v>
      </c>
      <c r="X24" s="142">
        <v>0</v>
      </c>
      <c r="Y24" s="142">
        <v>0</v>
      </c>
      <c r="Z24" s="142">
        <v>0</v>
      </c>
      <c r="AA24" s="142">
        <v>0</v>
      </c>
    </row>
    <row r="25" spans="1:27" x14ac:dyDescent="0.2">
      <c r="A25" s="195" t="s">
        <v>1130</v>
      </c>
      <c r="B25" s="206" t="s">
        <v>416</v>
      </c>
      <c r="C25" s="139">
        <v>0</v>
      </c>
      <c r="D25" s="139">
        <v>0</v>
      </c>
      <c r="E25" s="139">
        <v>0</v>
      </c>
      <c r="F25" s="139">
        <v>0</v>
      </c>
      <c r="G25" s="139">
        <v>0</v>
      </c>
      <c r="H25" s="142">
        <v>0</v>
      </c>
      <c r="I25" s="142">
        <v>0</v>
      </c>
      <c r="J25" s="142">
        <v>0</v>
      </c>
      <c r="K25" s="142">
        <v>0</v>
      </c>
      <c r="L25" s="142">
        <v>0</v>
      </c>
      <c r="M25" s="142">
        <v>0</v>
      </c>
      <c r="N25" s="142">
        <v>0</v>
      </c>
      <c r="O25" s="142">
        <v>0</v>
      </c>
      <c r="P25" s="142">
        <v>0</v>
      </c>
      <c r="Q25" s="142">
        <v>0</v>
      </c>
      <c r="R25" s="142">
        <v>0</v>
      </c>
      <c r="S25" s="142">
        <v>0</v>
      </c>
      <c r="T25" s="142">
        <v>0</v>
      </c>
      <c r="U25" s="207" t="e">
        <v>#DIV/0!</v>
      </c>
      <c r="V25" s="142">
        <v>0</v>
      </c>
      <c r="W25" s="142">
        <v>0</v>
      </c>
      <c r="X25" s="142">
        <v>0</v>
      </c>
      <c r="Y25" s="142">
        <v>0</v>
      </c>
      <c r="Z25" s="142">
        <v>0</v>
      </c>
      <c r="AA25" s="142">
        <v>0</v>
      </c>
    </row>
    <row r="26" spans="1:27" x14ac:dyDescent="0.2">
      <c r="A26" s="195" t="s">
        <v>1131</v>
      </c>
      <c r="B26" s="206" t="s">
        <v>417</v>
      </c>
      <c r="C26" s="139">
        <v>0</v>
      </c>
      <c r="D26" s="139">
        <v>0</v>
      </c>
      <c r="E26" s="139">
        <v>0</v>
      </c>
      <c r="F26" s="139">
        <v>0</v>
      </c>
      <c r="G26" s="139">
        <v>0</v>
      </c>
      <c r="H26" s="142">
        <v>0</v>
      </c>
      <c r="I26" s="142">
        <v>0</v>
      </c>
      <c r="J26" s="142">
        <v>0</v>
      </c>
      <c r="K26" s="142">
        <v>0</v>
      </c>
      <c r="L26" s="142">
        <v>0</v>
      </c>
      <c r="M26" s="142">
        <v>0</v>
      </c>
      <c r="N26" s="142">
        <v>0</v>
      </c>
      <c r="O26" s="142">
        <v>0</v>
      </c>
      <c r="P26" s="142">
        <v>0</v>
      </c>
      <c r="Q26" s="142">
        <v>0</v>
      </c>
      <c r="R26" s="142">
        <v>0</v>
      </c>
      <c r="S26" s="142">
        <v>0</v>
      </c>
      <c r="T26" s="142">
        <v>0</v>
      </c>
      <c r="U26" s="207" t="e">
        <v>#DIV/0!</v>
      </c>
      <c r="V26" s="142">
        <v>0</v>
      </c>
      <c r="W26" s="142">
        <v>0</v>
      </c>
      <c r="X26" s="142">
        <v>0</v>
      </c>
      <c r="Y26" s="142">
        <v>0</v>
      </c>
      <c r="Z26" s="142">
        <v>0</v>
      </c>
      <c r="AA26" s="142">
        <v>0</v>
      </c>
    </row>
    <row r="27" spans="1:27" s="205" customFormat="1" x14ac:dyDescent="0.2">
      <c r="A27" s="195"/>
      <c r="B27" s="201" t="s">
        <v>418</v>
      </c>
      <c r="C27" s="202">
        <v>0</v>
      </c>
      <c r="D27" s="202">
        <v>0</v>
      </c>
      <c r="E27" s="202">
        <v>0</v>
      </c>
      <c r="F27" s="202">
        <v>0</v>
      </c>
      <c r="G27" s="202">
        <v>0</v>
      </c>
      <c r="H27" s="202">
        <v>0</v>
      </c>
      <c r="I27" s="202">
        <v>0</v>
      </c>
      <c r="J27" s="202">
        <v>0</v>
      </c>
      <c r="K27" s="202">
        <v>0</v>
      </c>
      <c r="L27" s="202">
        <v>0</v>
      </c>
      <c r="M27" s="202">
        <v>0</v>
      </c>
      <c r="N27" s="202">
        <v>0</v>
      </c>
      <c r="O27" s="202">
        <v>0</v>
      </c>
      <c r="P27" s="202">
        <v>0</v>
      </c>
      <c r="Q27" s="202">
        <v>0</v>
      </c>
      <c r="R27" s="202">
        <v>0</v>
      </c>
      <c r="S27" s="202">
        <v>0</v>
      </c>
      <c r="T27" s="203">
        <v>0</v>
      </c>
      <c r="U27" s="204" t="e">
        <v>#DIV/0!</v>
      </c>
      <c r="V27" s="203">
        <v>0</v>
      </c>
      <c r="W27" s="203">
        <v>0</v>
      </c>
      <c r="X27" s="203">
        <v>0</v>
      </c>
      <c r="Y27" s="203">
        <v>0</v>
      </c>
      <c r="Z27" s="203">
        <v>0</v>
      </c>
      <c r="AA27" s="203">
        <v>0</v>
      </c>
    </row>
    <row r="28" spans="1:27" x14ac:dyDescent="0.2">
      <c r="A28" s="195" t="s">
        <v>1132</v>
      </c>
      <c r="B28" s="206" t="s">
        <v>419</v>
      </c>
      <c r="C28" s="139">
        <v>0</v>
      </c>
      <c r="D28" s="139">
        <v>0</v>
      </c>
      <c r="E28" s="139">
        <v>0</v>
      </c>
      <c r="F28" s="139">
        <v>0</v>
      </c>
      <c r="G28" s="139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2">
        <v>0</v>
      </c>
      <c r="O28" s="142">
        <v>0</v>
      </c>
      <c r="P28" s="142">
        <v>0</v>
      </c>
      <c r="Q28" s="142">
        <v>0</v>
      </c>
      <c r="R28" s="142">
        <v>0</v>
      </c>
      <c r="S28" s="142">
        <v>0</v>
      </c>
      <c r="T28" s="142">
        <v>0</v>
      </c>
      <c r="U28" s="207" t="e">
        <v>#DIV/0!</v>
      </c>
      <c r="V28" s="142">
        <v>0</v>
      </c>
      <c r="W28" s="142">
        <v>0</v>
      </c>
      <c r="X28" s="142">
        <v>0</v>
      </c>
      <c r="Y28" s="142">
        <v>0</v>
      </c>
      <c r="Z28" s="142">
        <v>0</v>
      </c>
      <c r="AA28" s="142">
        <v>0</v>
      </c>
    </row>
    <row r="29" spans="1:27" x14ac:dyDescent="0.2">
      <c r="A29" s="195" t="s">
        <v>1133</v>
      </c>
      <c r="B29" s="206" t="s">
        <v>420</v>
      </c>
      <c r="C29" s="139">
        <v>0</v>
      </c>
      <c r="D29" s="139">
        <v>0</v>
      </c>
      <c r="E29" s="139">
        <v>0</v>
      </c>
      <c r="F29" s="139">
        <v>0</v>
      </c>
      <c r="G29" s="139">
        <v>0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2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2">
        <v>0</v>
      </c>
      <c r="U29" s="207" t="e">
        <v>#DIV/0!</v>
      </c>
      <c r="V29" s="142">
        <v>0</v>
      </c>
      <c r="W29" s="142">
        <v>0</v>
      </c>
      <c r="X29" s="142">
        <v>0</v>
      </c>
      <c r="Y29" s="142">
        <v>0</v>
      </c>
      <c r="Z29" s="142">
        <v>0</v>
      </c>
      <c r="AA29" s="142">
        <v>0</v>
      </c>
    </row>
    <row r="30" spans="1:27" x14ac:dyDescent="0.2">
      <c r="A30" s="195" t="s">
        <v>1134</v>
      </c>
      <c r="B30" s="206" t="s">
        <v>421</v>
      </c>
      <c r="C30" s="139">
        <v>0</v>
      </c>
      <c r="D30" s="139">
        <v>0</v>
      </c>
      <c r="E30" s="139">
        <v>0</v>
      </c>
      <c r="F30" s="139">
        <v>0</v>
      </c>
      <c r="G30" s="139">
        <v>0</v>
      </c>
      <c r="H30" s="142">
        <v>0</v>
      </c>
      <c r="I30" s="142">
        <v>0</v>
      </c>
      <c r="J30" s="142">
        <v>0</v>
      </c>
      <c r="K30" s="142">
        <v>0</v>
      </c>
      <c r="L30" s="142">
        <v>0</v>
      </c>
      <c r="M30" s="142">
        <v>0</v>
      </c>
      <c r="N30" s="142">
        <v>0</v>
      </c>
      <c r="O30" s="142">
        <v>0</v>
      </c>
      <c r="P30" s="142">
        <v>0</v>
      </c>
      <c r="Q30" s="142">
        <v>0</v>
      </c>
      <c r="R30" s="142">
        <v>0</v>
      </c>
      <c r="S30" s="142">
        <v>0</v>
      </c>
      <c r="T30" s="142">
        <v>0</v>
      </c>
      <c r="U30" s="207" t="e">
        <v>#DIV/0!</v>
      </c>
      <c r="V30" s="142">
        <v>0</v>
      </c>
      <c r="W30" s="142">
        <v>0</v>
      </c>
      <c r="X30" s="142">
        <v>0</v>
      </c>
      <c r="Y30" s="142">
        <v>0</v>
      </c>
      <c r="Z30" s="142">
        <v>0</v>
      </c>
      <c r="AA30" s="142">
        <v>0</v>
      </c>
    </row>
    <row r="31" spans="1:27" x14ac:dyDescent="0.2">
      <c r="A31" s="195" t="s">
        <v>1135</v>
      </c>
      <c r="B31" s="206" t="s">
        <v>422</v>
      </c>
      <c r="C31" s="139">
        <v>0</v>
      </c>
      <c r="D31" s="139">
        <v>0</v>
      </c>
      <c r="E31" s="139">
        <v>0</v>
      </c>
      <c r="F31" s="139">
        <v>0</v>
      </c>
      <c r="G31" s="139">
        <v>0</v>
      </c>
      <c r="H31" s="142">
        <v>0</v>
      </c>
      <c r="I31" s="142">
        <v>0</v>
      </c>
      <c r="J31" s="142">
        <v>0</v>
      </c>
      <c r="K31" s="142">
        <v>0</v>
      </c>
      <c r="L31" s="142">
        <v>0</v>
      </c>
      <c r="M31" s="142">
        <v>0</v>
      </c>
      <c r="N31" s="142">
        <v>0</v>
      </c>
      <c r="O31" s="142">
        <v>0</v>
      </c>
      <c r="P31" s="142">
        <v>0</v>
      </c>
      <c r="Q31" s="142">
        <v>0</v>
      </c>
      <c r="R31" s="142">
        <v>0</v>
      </c>
      <c r="S31" s="142">
        <v>0</v>
      </c>
      <c r="T31" s="142">
        <v>0</v>
      </c>
      <c r="U31" s="207" t="e">
        <v>#DIV/0!</v>
      </c>
      <c r="V31" s="142">
        <v>0</v>
      </c>
      <c r="W31" s="142">
        <v>0</v>
      </c>
      <c r="X31" s="142">
        <v>0</v>
      </c>
      <c r="Y31" s="142">
        <v>0</v>
      </c>
      <c r="Z31" s="142">
        <v>0</v>
      </c>
      <c r="AA31" s="142">
        <v>0</v>
      </c>
    </row>
    <row r="32" spans="1:27" x14ac:dyDescent="0.2">
      <c r="A32" s="195" t="s">
        <v>1136</v>
      </c>
      <c r="B32" s="206" t="s">
        <v>423</v>
      </c>
      <c r="C32" s="139">
        <v>0</v>
      </c>
      <c r="D32" s="139">
        <v>0</v>
      </c>
      <c r="E32" s="139">
        <v>0</v>
      </c>
      <c r="F32" s="139">
        <v>0</v>
      </c>
      <c r="G32" s="139">
        <v>0</v>
      </c>
      <c r="H32" s="142">
        <v>0</v>
      </c>
      <c r="I32" s="142">
        <v>0</v>
      </c>
      <c r="J32" s="142">
        <v>0</v>
      </c>
      <c r="K32" s="142">
        <v>0</v>
      </c>
      <c r="L32" s="142">
        <v>0</v>
      </c>
      <c r="M32" s="142">
        <v>0</v>
      </c>
      <c r="N32" s="142">
        <v>0</v>
      </c>
      <c r="O32" s="142">
        <v>0</v>
      </c>
      <c r="P32" s="142">
        <v>0</v>
      </c>
      <c r="Q32" s="142">
        <v>0</v>
      </c>
      <c r="R32" s="142">
        <v>0</v>
      </c>
      <c r="S32" s="142">
        <v>0</v>
      </c>
      <c r="T32" s="142">
        <v>0</v>
      </c>
      <c r="U32" s="207" t="e">
        <v>#DIV/0!</v>
      </c>
      <c r="V32" s="142">
        <v>0</v>
      </c>
      <c r="W32" s="142">
        <v>0</v>
      </c>
      <c r="X32" s="142">
        <v>0</v>
      </c>
      <c r="Y32" s="142">
        <v>0</v>
      </c>
      <c r="Z32" s="142">
        <v>0</v>
      </c>
      <c r="AA32" s="142">
        <v>0</v>
      </c>
    </row>
    <row r="33" spans="1:27" x14ac:dyDescent="0.2">
      <c r="A33" s="195" t="s">
        <v>1137</v>
      </c>
      <c r="B33" s="206" t="s">
        <v>424</v>
      </c>
      <c r="C33" s="139">
        <v>0</v>
      </c>
      <c r="D33" s="139">
        <v>0</v>
      </c>
      <c r="E33" s="139">
        <v>0</v>
      </c>
      <c r="F33" s="139">
        <v>0</v>
      </c>
      <c r="G33" s="139">
        <v>0</v>
      </c>
      <c r="H33" s="142">
        <v>0</v>
      </c>
      <c r="I33" s="142">
        <v>0</v>
      </c>
      <c r="J33" s="142">
        <v>0</v>
      </c>
      <c r="K33" s="142">
        <v>0</v>
      </c>
      <c r="L33" s="142">
        <v>0</v>
      </c>
      <c r="M33" s="142">
        <v>0</v>
      </c>
      <c r="N33" s="142">
        <v>0</v>
      </c>
      <c r="O33" s="142">
        <v>0</v>
      </c>
      <c r="P33" s="142">
        <v>0</v>
      </c>
      <c r="Q33" s="142">
        <v>0</v>
      </c>
      <c r="R33" s="142">
        <v>0</v>
      </c>
      <c r="S33" s="142">
        <v>0</v>
      </c>
      <c r="T33" s="142">
        <v>0</v>
      </c>
      <c r="U33" s="207" t="e">
        <v>#DIV/0!</v>
      </c>
      <c r="V33" s="142">
        <v>0</v>
      </c>
      <c r="W33" s="142">
        <v>0</v>
      </c>
      <c r="X33" s="142">
        <v>0</v>
      </c>
      <c r="Y33" s="142">
        <v>0</v>
      </c>
      <c r="Z33" s="142">
        <v>0</v>
      </c>
      <c r="AA33" s="142">
        <v>0</v>
      </c>
    </row>
    <row r="34" spans="1:27" x14ac:dyDescent="0.2">
      <c r="A34" s="195" t="s">
        <v>1138</v>
      </c>
      <c r="B34" s="206" t="s">
        <v>425</v>
      </c>
      <c r="C34" s="139">
        <v>0</v>
      </c>
      <c r="D34" s="139">
        <v>0</v>
      </c>
      <c r="E34" s="139">
        <v>0</v>
      </c>
      <c r="F34" s="139">
        <v>0</v>
      </c>
      <c r="G34" s="139">
        <v>0</v>
      </c>
      <c r="H34" s="142">
        <v>0</v>
      </c>
      <c r="I34" s="142">
        <v>0</v>
      </c>
      <c r="J34" s="142">
        <v>0</v>
      </c>
      <c r="K34" s="142">
        <v>0</v>
      </c>
      <c r="L34" s="142">
        <v>0</v>
      </c>
      <c r="M34" s="142">
        <v>0</v>
      </c>
      <c r="N34" s="142">
        <v>0</v>
      </c>
      <c r="O34" s="142">
        <v>0</v>
      </c>
      <c r="P34" s="142">
        <v>0</v>
      </c>
      <c r="Q34" s="142">
        <v>0</v>
      </c>
      <c r="R34" s="142">
        <v>0</v>
      </c>
      <c r="S34" s="142">
        <v>0</v>
      </c>
      <c r="T34" s="142">
        <v>0</v>
      </c>
      <c r="U34" s="207" t="e">
        <v>#DIV/0!</v>
      </c>
      <c r="V34" s="142">
        <v>0</v>
      </c>
      <c r="W34" s="142">
        <v>0</v>
      </c>
      <c r="X34" s="142">
        <v>0</v>
      </c>
      <c r="Y34" s="142">
        <v>0</v>
      </c>
      <c r="Z34" s="142">
        <v>0</v>
      </c>
      <c r="AA34" s="142">
        <v>0</v>
      </c>
    </row>
    <row r="35" spans="1:27" x14ac:dyDescent="0.2">
      <c r="A35" s="195" t="s">
        <v>1139</v>
      </c>
      <c r="B35" s="206" t="s">
        <v>426</v>
      </c>
      <c r="C35" s="139">
        <v>0</v>
      </c>
      <c r="D35" s="139">
        <v>0</v>
      </c>
      <c r="E35" s="139">
        <v>0</v>
      </c>
      <c r="F35" s="139">
        <v>0</v>
      </c>
      <c r="G35" s="139">
        <v>0</v>
      </c>
      <c r="H35" s="142">
        <v>0</v>
      </c>
      <c r="I35" s="142">
        <v>0</v>
      </c>
      <c r="J35" s="142">
        <v>0</v>
      </c>
      <c r="K35" s="142">
        <v>0</v>
      </c>
      <c r="L35" s="142">
        <v>0</v>
      </c>
      <c r="M35" s="142">
        <v>0</v>
      </c>
      <c r="N35" s="142">
        <v>0</v>
      </c>
      <c r="O35" s="142">
        <v>0</v>
      </c>
      <c r="P35" s="142">
        <v>0</v>
      </c>
      <c r="Q35" s="142">
        <v>0</v>
      </c>
      <c r="R35" s="142">
        <v>0</v>
      </c>
      <c r="S35" s="142">
        <v>0</v>
      </c>
      <c r="T35" s="142">
        <v>0</v>
      </c>
      <c r="U35" s="207" t="e">
        <v>#DIV/0!</v>
      </c>
      <c r="V35" s="142">
        <v>0</v>
      </c>
      <c r="W35" s="142">
        <v>0</v>
      </c>
      <c r="X35" s="142">
        <v>0</v>
      </c>
      <c r="Y35" s="142">
        <v>0</v>
      </c>
      <c r="Z35" s="142">
        <v>0</v>
      </c>
      <c r="AA35" s="142">
        <v>0</v>
      </c>
    </row>
    <row r="36" spans="1:27" x14ac:dyDescent="0.2">
      <c r="A36" s="195" t="s">
        <v>1140</v>
      </c>
      <c r="B36" s="206" t="s">
        <v>427</v>
      </c>
      <c r="C36" s="139">
        <v>0</v>
      </c>
      <c r="D36" s="139">
        <v>0</v>
      </c>
      <c r="E36" s="139">
        <v>0</v>
      </c>
      <c r="F36" s="139">
        <v>0</v>
      </c>
      <c r="G36" s="139">
        <v>0</v>
      </c>
      <c r="H36" s="142">
        <v>0</v>
      </c>
      <c r="I36" s="142">
        <v>0</v>
      </c>
      <c r="J36" s="142">
        <v>0</v>
      </c>
      <c r="K36" s="142">
        <v>0</v>
      </c>
      <c r="L36" s="142">
        <v>0</v>
      </c>
      <c r="M36" s="142">
        <v>0</v>
      </c>
      <c r="N36" s="142">
        <v>0</v>
      </c>
      <c r="O36" s="142">
        <v>0</v>
      </c>
      <c r="P36" s="142">
        <v>0</v>
      </c>
      <c r="Q36" s="142">
        <v>0</v>
      </c>
      <c r="R36" s="142">
        <v>0</v>
      </c>
      <c r="S36" s="142">
        <v>0</v>
      </c>
      <c r="T36" s="142">
        <v>0</v>
      </c>
      <c r="U36" s="207" t="e">
        <v>#DIV/0!</v>
      </c>
      <c r="V36" s="142">
        <v>0</v>
      </c>
      <c r="W36" s="142">
        <v>0</v>
      </c>
      <c r="X36" s="142">
        <v>0</v>
      </c>
      <c r="Y36" s="142">
        <v>0</v>
      </c>
      <c r="Z36" s="142">
        <v>0</v>
      </c>
      <c r="AA36" s="142">
        <v>0</v>
      </c>
    </row>
    <row r="37" spans="1:27" s="205" customFormat="1" x14ac:dyDescent="0.2">
      <c r="A37" s="195" t="s">
        <v>1141</v>
      </c>
      <c r="B37" s="201" t="s">
        <v>428</v>
      </c>
      <c r="C37" s="208">
        <v>0</v>
      </c>
      <c r="D37" s="208">
        <v>0</v>
      </c>
      <c r="E37" s="208">
        <v>0</v>
      </c>
      <c r="F37" s="208">
        <v>0</v>
      </c>
      <c r="G37" s="208">
        <v>0</v>
      </c>
      <c r="H37" s="203">
        <v>0</v>
      </c>
      <c r="I37" s="203">
        <v>0</v>
      </c>
      <c r="J37" s="203">
        <v>0</v>
      </c>
      <c r="K37" s="203">
        <v>0</v>
      </c>
      <c r="L37" s="203">
        <v>0</v>
      </c>
      <c r="M37" s="203">
        <v>0</v>
      </c>
      <c r="N37" s="203">
        <v>0</v>
      </c>
      <c r="O37" s="203">
        <v>0</v>
      </c>
      <c r="P37" s="203">
        <v>0</v>
      </c>
      <c r="Q37" s="203">
        <v>0</v>
      </c>
      <c r="R37" s="203">
        <v>0</v>
      </c>
      <c r="S37" s="203">
        <v>0</v>
      </c>
      <c r="T37" s="203">
        <v>0</v>
      </c>
      <c r="U37" s="204" t="e">
        <v>#DIV/0!</v>
      </c>
      <c r="V37" s="203">
        <v>0</v>
      </c>
      <c r="W37" s="203">
        <v>0</v>
      </c>
      <c r="X37" s="203">
        <v>0</v>
      </c>
      <c r="Y37" s="203">
        <v>0</v>
      </c>
      <c r="Z37" s="203">
        <v>0</v>
      </c>
      <c r="AA37" s="203">
        <v>0</v>
      </c>
    </row>
    <row r="38" spans="1:27" s="205" customFormat="1" x14ac:dyDescent="0.2">
      <c r="A38" s="195" t="s">
        <v>1142</v>
      </c>
      <c r="B38" s="201" t="s">
        <v>429</v>
      </c>
      <c r="C38" s="208">
        <v>0</v>
      </c>
      <c r="D38" s="208">
        <v>0</v>
      </c>
      <c r="E38" s="208">
        <v>0</v>
      </c>
      <c r="F38" s="208">
        <v>0</v>
      </c>
      <c r="G38" s="208">
        <v>0</v>
      </c>
      <c r="H38" s="203">
        <v>0</v>
      </c>
      <c r="I38" s="203">
        <v>0</v>
      </c>
      <c r="J38" s="203">
        <v>0</v>
      </c>
      <c r="K38" s="203">
        <v>0</v>
      </c>
      <c r="L38" s="203">
        <v>0</v>
      </c>
      <c r="M38" s="203">
        <v>0</v>
      </c>
      <c r="N38" s="203">
        <v>0</v>
      </c>
      <c r="O38" s="203">
        <v>0</v>
      </c>
      <c r="P38" s="203">
        <v>0</v>
      </c>
      <c r="Q38" s="203">
        <v>0</v>
      </c>
      <c r="R38" s="203">
        <v>0</v>
      </c>
      <c r="S38" s="203">
        <v>0</v>
      </c>
      <c r="T38" s="203">
        <v>0</v>
      </c>
      <c r="U38" s="204" t="e">
        <v>#DIV/0!</v>
      </c>
      <c r="V38" s="203">
        <v>0</v>
      </c>
      <c r="W38" s="203">
        <v>0</v>
      </c>
      <c r="X38" s="203">
        <v>0</v>
      </c>
      <c r="Y38" s="203">
        <v>0</v>
      </c>
      <c r="Z38" s="203">
        <v>0</v>
      </c>
      <c r="AA38" s="203">
        <v>0</v>
      </c>
    </row>
    <row r="39" spans="1:27" s="205" customFormat="1" x14ac:dyDescent="0.2">
      <c r="A39" s="195"/>
      <c r="B39" s="196" t="s">
        <v>430</v>
      </c>
      <c r="C39" s="197">
        <v>0</v>
      </c>
      <c r="D39" s="197">
        <v>0</v>
      </c>
      <c r="E39" s="197">
        <v>0</v>
      </c>
      <c r="F39" s="197">
        <v>0</v>
      </c>
      <c r="G39" s="197">
        <v>0</v>
      </c>
      <c r="H39" s="197">
        <v>0</v>
      </c>
      <c r="I39" s="197">
        <v>0</v>
      </c>
      <c r="J39" s="197">
        <v>0</v>
      </c>
      <c r="K39" s="197">
        <v>0</v>
      </c>
      <c r="L39" s="197">
        <v>0</v>
      </c>
      <c r="M39" s="197">
        <v>0</v>
      </c>
      <c r="N39" s="197">
        <v>0</v>
      </c>
      <c r="O39" s="197">
        <v>0</v>
      </c>
      <c r="P39" s="197">
        <v>0</v>
      </c>
      <c r="Q39" s="197">
        <v>0</v>
      </c>
      <c r="R39" s="197">
        <v>0</v>
      </c>
      <c r="S39" s="197">
        <v>0</v>
      </c>
      <c r="T39" s="198">
        <v>0</v>
      </c>
      <c r="U39" s="199" t="e">
        <v>#DIV/0!</v>
      </c>
      <c r="V39" s="198">
        <v>0</v>
      </c>
      <c r="W39" s="198">
        <v>0</v>
      </c>
      <c r="X39" s="198">
        <v>0</v>
      </c>
      <c r="Y39" s="198">
        <v>0</v>
      </c>
      <c r="Z39" s="198">
        <v>0</v>
      </c>
      <c r="AA39" s="198">
        <v>0</v>
      </c>
    </row>
    <row r="40" spans="1:27" s="205" customFormat="1" x14ac:dyDescent="0.2">
      <c r="A40" s="195" t="s">
        <v>1143</v>
      </c>
      <c r="B40" s="201" t="s">
        <v>431</v>
      </c>
      <c r="C40" s="208">
        <v>0</v>
      </c>
      <c r="D40" s="208">
        <v>0</v>
      </c>
      <c r="E40" s="208">
        <v>0</v>
      </c>
      <c r="F40" s="208">
        <v>0</v>
      </c>
      <c r="G40" s="208">
        <v>0</v>
      </c>
      <c r="H40" s="203">
        <v>0</v>
      </c>
      <c r="I40" s="203">
        <v>0</v>
      </c>
      <c r="J40" s="203">
        <v>0</v>
      </c>
      <c r="K40" s="203">
        <v>0</v>
      </c>
      <c r="L40" s="203">
        <v>0</v>
      </c>
      <c r="M40" s="203">
        <v>0</v>
      </c>
      <c r="N40" s="203">
        <v>0</v>
      </c>
      <c r="O40" s="203">
        <v>0</v>
      </c>
      <c r="P40" s="203">
        <v>0</v>
      </c>
      <c r="Q40" s="203">
        <v>0</v>
      </c>
      <c r="R40" s="203">
        <v>0</v>
      </c>
      <c r="S40" s="203">
        <v>0</v>
      </c>
      <c r="T40" s="203">
        <v>0</v>
      </c>
      <c r="U40" s="204" t="e">
        <v>#DIV/0!</v>
      </c>
      <c r="V40" s="203">
        <v>0</v>
      </c>
      <c r="W40" s="203">
        <v>0</v>
      </c>
      <c r="X40" s="203">
        <v>0</v>
      </c>
      <c r="Y40" s="203">
        <v>0</v>
      </c>
      <c r="Z40" s="203">
        <v>0</v>
      </c>
      <c r="AA40" s="203">
        <v>0</v>
      </c>
    </row>
    <row r="41" spans="1:27" s="205" customFormat="1" x14ac:dyDescent="0.2">
      <c r="A41" s="195" t="s">
        <v>1144</v>
      </c>
      <c r="B41" s="201" t="s">
        <v>432</v>
      </c>
      <c r="C41" s="208">
        <v>0</v>
      </c>
      <c r="D41" s="208">
        <v>0</v>
      </c>
      <c r="E41" s="208">
        <v>0</v>
      </c>
      <c r="F41" s="208">
        <v>0</v>
      </c>
      <c r="G41" s="208">
        <v>0</v>
      </c>
      <c r="H41" s="203">
        <v>0</v>
      </c>
      <c r="I41" s="203">
        <v>0</v>
      </c>
      <c r="J41" s="203">
        <v>0</v>
      </c>
      <c r="K41" s="203">
        <v>0</v>
      </c>
      <c r="L41" s="203">
        <v>0</v>
      </c>
      <c r="M41" s="203">
        <v>0</v>
      </c>
      <c r="N41" s="203">
        <v>0</v>
      </c>
      <c r="O41" s="203">
        <v>0</v>
      </c>
      <c r="P41" s="203">
        <v>0</v>
      </c>
      <c r="Q41" s="203">
        <v>0</v>
      </c>
      <c r="R41" s="203">
        <v>0</v>
      </c>
      <c r="S41" s="203">
        <v>0</v>
      </c>
      <c r="T41" s="203">
        <v>0</v>
      </c>
      <c r="U41" s="204" t="e">
        <v>#DIV/0!</v>
      </c>
      <c r="V41" s="203">
        <v>0</v>
      </c>
      <c r="W41" s="203">
        <v>0</v>
      </c>
      <c r="X41" s="203">
        <v>0</v>
      </c>
      <c r="Y41" s="203">
        <v>0</v>
      </c>
      <c r="Z41" s="203">
        <v>0</v>
      </c>
      <c r="AA41" s="203">
        <v>0</v>
      </c>
    </row>
    <row r="42" spans="1:27" s="205" customFormat="1" x14ac:dyDescent="0.2">
      <c r="A42" s="195"/>
      <c r="B42" s="201" t="s">
        <v>433</v>
      </c>
      <c r="C42" s="202">
        <v>0</v>
      </c>
      <c r="D42" s="202">
        <v>0</v>
      </c>
      <c r="E42" s="202">
        <v>0</v>
      </c>
      <c r="F42" s="202">
        <v>0</v>
      </c>
      <c r="G42" s="202">
        <v>0</v>
      </c>
      <c r="H42" s="202">
        <v>0</v>
      </c>
      <c r="I42" s="202">
        <v>0</v>
      </c>
      <c r="J42" s="202">
        <v>0</v>
      </c>
      <c r="K42" s="202">
        <v>0</v>
      </c>
      <c r="L42" s="202">
        <v>0</v>
      </c>
      <c r="M42" s="202">
        <v>0</v>
      </c>
      <c r="N42" s="202">
        <v>0</v>
      </c>
      <c r="O42" s="202">
        <v>0</v>
      </c>
      <c r="P42" s="202">
        <v>0</v>
      </c>
      <c r="Q42" s="202">
        <v>0</v>
      </c>
      <c r="R42" s="202">
        <v>0</v>
      </c>
      <c r="S42" s="202">
        <v>0</v>
      </c>
      <c r="T42" s="203">
        <v>0</v>
      </c>
      <c r="U42" s="204" t="e">
        <v>#DIV/0!</v>
      </c>
      <c r="V42" s="203">
        <v>0</v>
      </c>
      <c r="W42" s="203">
        <v>0</v>
      </c>
      <c r="X42" s="203">
        <v>0</v>
      </c>
      <c r="Y42" s="203">
        <v>0</v>
      </c>
      <c r="Z42" s="203">
        <v>0</v>
      </c>
      <c r="AA42" s="203">
        <v>0</v>
      </c>
    </row>
    <row r="43" spans="1:27" x14ac:dyDescent="0.2">
      <c r="A43" s="195" t="s">
        <v>1145</v>
      </c>
      <c r="B43" s="206" t="s">
        <v>434</v>
      </c>
      <c r="C43" s="139">
        <v>0</v>
      </c>
      <c r="D43" s="139">
        <v>0</v>
      </c>
      <c r="E43" s="139">
        <v>0</v>
      </c>
      <c r="F43" s="139">
        <v>0</v>
      </c>
      <c r="G43" s="139">
        <v>0</v>
      </c>
      <c r="H43" s="142">
        <v>0</v>
      </c>
      <c r="I43" s="142">
        <v>0</v>
      </c>
      <c r="J43" s="142">
        <v>0</v>
      </c>
      <c r="K43" s="142">
        <v>0</v>
      </c>
      <c r="L43" s="142">
        <v>0</v>
      </c>
      <c r="M43" s="142">
        <v>0</v>
      </c>
      <c r="N43" s="142">
        <v>0</v>
      </c>
      <c r="O43" s="142">
        <v>0</v>
      </c>
      <c r="P43" s="142">
        <v>0</v>
      </c>
      <c r="Q43" s="142">
        <v>0</v>
      </c>
      <c r="R43" s="142">
        <v>0</v>
      </c>
      <c r="S43" s="142">
        <v>0</v>
      </c>
      <c r="T43" s="142">
        <v>0</v>
      </c>
      <c r="U43" s="207" t="e">
        <v>#DIV/0!</v>
      </c>
      <c r="V43" s="142">
        <v>0</v>
      </c>
      <c r="W43" s="142">
        <v>0</v>
      </c>
      <c r="X43" s="142">
        <v>0</v>
      </c>
      <c r="Y43" s="142">
        <v>0</v>
      </c>
      <c r="Z43" s="142">
        <v>0</v>
      </c>
      <c r="AA43" s="142">
        <v>0</v>
      </c>
    </row>
    <row r="44" spans="1:27" x14ac:dyDescent="0.2">
      <c r="A44" s="195" t="s">
        <v>1146</v>
      </c>
      <c r="B44" s="206" t="s">
        <v>435</v>
      </c>
      <c r="C44" s="139">
        <v>0</v>
      </c>
      <c r="D44" s="139">
        <v>0</v>
      </c>
      <c r="E44" s="139">
        <v>0</v>
      </c>
      <c r="F44" s="139">
        <v>0</v>
      </c>
      <c r="G44" s="139">
        <v>0</v>
      </c>
      <c r="H44" s="142">
        <v>0</v>
      </c>
      <c r="I44" s="142">
        <v>0</v>
      </c>
      <c r="J44" s="142">
        <v>0</v>
      </c>
      <c r="K44" s="142">
        <v>0</v>
      </c>
      <c r="L44" s="142">
        <v>0</v>
      </c>
      <c r="M44" s="142">
        <v>0</v>
      </c>
      <c r="N44" s="142">
        <v>0</v>
      </c>
      <c r="O44" s="142">
        <v>0</v>
      </c>
      <c r="P44" s="142">
        <v>0</v>
      </c>
      <c r="Q44" s="142">
        <v>0</v>
      </c>
      <c r="R44" s="142">
        <v>0</v>
      </c>
      <c r="S44" s="142">
        <v>0</v>
      </c>
      <c r="T44" s="142">
        <v>0</v>
      </c>
      <c r="U44" s="207" t="e">
        <v>#DIV/0!</v>
      </c>
      <c r="V44" s="142">
        <v>0</v>
      </c>
      <c r="W44" s="142">
        <v>0</v>
      </c>
      <c r="X44" s="142">
        <v>0</v>
      </c>
      <c r="Y44" s="142">
        <v>0</v>
      </c>
      <c r="Z44" s="142">
        <v>0</v>
      </c>
      <c r="AA44" s="142">
        <v>0</v>
      </c>
    </row>
    <row r="45" spans="1:27" s="205" customFormat="1" x14ac:dyDescent="0.2">
      <c r="A45" s="195"/>
      <c r="B45" s="201" t="s">
        <v>436</v>
      </c>
      <c r="C45" s="202">
        <v>0</v>
      </c>
      <c r="D45" s="202">
        <v>0</v>
      </c>
      <c r="E45" s="202">
        <v>0</v>
      </c>
      <c r="F45" s="202">
        <v>0</v>
      </c>
      <c r="G45" s="202">
        <v>0</v>
      </c>
      <c r="H45" s="202">
        <v>0</v>
      </c>
      <c r="I45" s="202">
        <v>0</v>
      </c>
      <c r="J45" s="202">
        <v>0</v>
      </c>
      <c r="K45" s="202">
        <v>0</v>
      </c>
      <c r="L45" s="202">
        <v>0</v>
      </c>
      <c r="M45" s="202">
        <v>0</v>
      </c>
      <c r="N45" s="202">
        <v>0</v>
      </c>
      <c r="O45" s="202">
        <v>0</v>
      </c>
      <c r="P45" s="202">
        <v>0</v>
      </c>
      <c r="Q45" s="202">
        <v>0</v>
      </c>
      <c r="R45" s="202">
        <v>0</v>
      </c>
      <c r="S45" s="202">
        <v>0</v>
      </c>
      <c r="T45" s="203">
        <v>0</v>
      </c>
      <c r="U45" s="204" t="e">
        <v>#DIV/0!</v>
      </c>
      <c r="V45" s="203">
        <v>0</v>
      </c>
      <c r="W45" s="203">
        <v>0</v>
      </c>
      <c r="X45" s="203">
        <v>0</v>
      </c>
      <c r="Y45" s="203">
        <v>0</v>
      </c>
      <c r="Z45" s="203">
        <v>0</v>
      </c>
      <c r="AA45" s="203">
        <v>0</v>
      </c>
    </row>
    <row r="46" spans="1:27" x14ac:dyDescent="0.2">
      <c r="A46" s="195" t="s">
        <v>1147</v>
      </c>
      <c r="B46" s="206" t="s">
        <v>437</v>
      </c>
      <c r="C46" s="139">
        <v>0</v>
      </c>
      <c r="D46" s="139">
        <v>0</v>
      </c>
      <c r="E46" s="139">
        <v>0</v>
      </c>
      <c r="F46" s="139">
        <v>0</v>
      </c>
      <c r="G46" s="139">
        <v>0</v>
      </c>
      <c r="H46" s="142">
        <v>0</v>
      </c>
      <c r="I46" s="142">
        <v>0</v>
      </c>
      <c r="J46" s="142">
        <v>0</v>
      </c>
      <c r="K46" s="142">
        <v>0</v>
      </c>
      <c r="L46" s="142">
        <v>0</v>
      </c>
      <c r="M46" s="142">
        <v>0</v>
      </c>
      <c r="N46" s="142">
        <v>0</v>
      </c>
      <c r="O46" s="142">
        <v>0</v>
      </c>
      <c r="P46" s="142">
        <v>0</v>
      </c>
      <c r="Q46" s="142">
        <v>0</v>
      </c>
      <c r="R46" s="142">
        <v>0</v>
      </c>
      <c r="S46" s="142">
        <v>0</v>
      </c>
      <c r="T46" s="142">
        <v>0</v>
      </c>
      <c r="U46" s="207" t="e">
        <v>#DIV/0!</v>
      </c>
      <c r="V46" s="142">
        <v>0</v>
      </c>
      <c r="W46" s="142">
        <v>0</v>
      </c>
      <c r="X46" s="142">
        <v>0</v>
      </c>
      <c r="Y46" s="142">
        <v>0</v>
      </c>
      <c r="Z46" s="142">
        <v>0</v>
      </c>
      <c r="AA46" s="142">
        <v>0</v>
      </c>
    </row>
    <row r="47" spans="1:27" x14ac:dyDescent="0.2">
      <c r="A47" s="195" t="s">
        <v>1148</v>
      </c>
      <c r="B47" s="206" t="s">
        <v>438</v>
      </c>
      <c r="C47" s="139">
        <v>0</v>
      </c>
      <c r="D47" s="139">
        <v>0</v>
      </c>
      <c r="E47" s="139">
        <v>0</v>
      </c>
      <c r="F47" s="139">
        <v>0</v>
      </c>
      <c r="G47" s="139">
        <v>0</v>
      </c>
      <c r="H47" s="142">
        <v>0</v>
      </c>
      <c r="I47" s="142">
        <v>0</v>
      </c>
      <c r="J47" s="142">
        <v>0</v>
      </c>
      <c r="K47" s="142">
        <v>0</v>
      </c>
      <c r="L47" s="142">
        <v>0</v>
      </c>
      <c r="M47" s="142">
        <v>0</v>
      </c>
      <c r="N47" s="142">
        <v>0</v>
      </c>
      <c r="O47" s="142">
        <v>0</v>
      </c>
      <c r="P47" s="142">
        <v>0</v>
      </c>
      <c r="Q47" s="142">
        <v>0</v>
      </c>
      <c r="R47" s="142">
        <v>0</v>
      </c>
      <c r="S47" s="142">
        <v>0</v>
      </c>
      <c r="T47" s="142">
        <v>0</v>
      </c>
      <c r="U47" s="207" t="e">
        <v>#DIV/0!</v>
      </c>
      <c r="V47" s="142">
        <v>0</v>
      </c>
      <c r="W47" s="142">
        <v>0</v>
      </c>
      <c r="X47" s="142">
        <v>0</v>
      </c>
      <c r="Y47" s="142">
        <v>0</v>
      </c>
      <c r="Z47" s="142">
        <v>0</v>
      </c>
      <c r="AA47" s="142">
        <v>0</v>
      </c>
    </row>
    <row r="48" spans="1:27" x14ac:dyDescent="0.2">
      <c r="A48" s="195" t="s">
        <v>1149</v>
      </c>
      <c r="B48" s="206" t="s">
        <v>439</v>
      </c>
      <c r="C48" s="139">
        <v>0</v>
      </c>
      <c r="D48" s="139">
        <v>0</v>
      </c>
      <c r="E48" s="139">
        <v>0</v>
      </c>
      <c r="F48" s="139">
        <v>0</v>
      </c>
      <c r="G48" s="139">
        <v>0</v>
      </c>
      <c r="H48" s="142">
        <v>0</v>
      </c>
      <c r="I48" s="142">
        <v>0</v>
      </c>
      <c r="J48" s="142">
        <v>0</v>
      </c>
      <c r="K48" s="142">
        <v>0</v>
      </c>
      <c r="L48" s="142">
        <v>0</v>
      </c>
      <c r="M48" s="142">
        <v>0</v>
      </c>
      <c r="N48" s="142">
        <v>0</v>
      </c>
      <c r="O48" s="142">
        <v>0</v>
      </c>
      <c r="P48" s="142">
        <v>0</v>
      </c>
      <c r="Q48" s="142">
        <v>0</v>
      </c>
      <c r="R48" s="142">
        <v>0</v>
      </c>
      <c r="S48" s="142">
        <v>0</v>
      </c>
      <c r="T48" s="142">
        <v>0</v>
      </c>
      <c r="U48" s="207" t="e">
        <v>#DIV/0!</v>
      </c>
      <c r="V48" s="142">
        <v>0</v>
      </c>
      <c r="W48" s="142">
        <v>0</v>
      </c>
      <c r="X48" s="142">
        <v>0</v>
      </c>
      <c r="Y48" s="142">
        <v>0</v>
      </c>
      <c r="Z48" s="142">
        <v>0</v>
      </c>
      <c r="AA48" s="142">
        <v>0</v>
      </c>
    </row>
    <row r="49" spans="1:28" x14ac:dyDescent="0.2">
      <c r="A49" s="195" t="s">
        <v>1150</v>
      </c>
      <c r="B49" s="206" t="s">
        <v>440</v>
      </c>
      <c r="C49" s="139">
        <v>0</v>
      </c>
      <c r="D49" s="139">
        <v>0</v>
      </c>
      <c r="E49" s="139">
        <v>0</v>
      </c>
      <c r="F49" s="139">
        <v>0</v>
      </c>
      <c r="G49" s="139">
        <v>0</v>
      </c>
      <c r="H49" s="142">
        <v>0</v>
      </c>
      <c r="I49" s="142">
        <v>0</v>
      </c>
      <c r="J49" s="142">
        <v>0</v>
      </c>
      <c r="K49" s="142">
        <v>0</v>
      </c>
      <c r="L49" s="142">
        <v>0</v>
      </c>
      <c r="M49" s="142">
        <v>0</v>
      </c>
      <c r="N49" s="142">
        <v>0</v>
      </c>
      <c r="O49" s="142">
        <v>0</v>
      </c>
      <c r="P49" s="142">
        <v>0</v>
      </c>
      <c r="Q49" s="142">
        <v>0</v>
      </c>
      <c r="R49" s="142">
        <v>0</v>
      </c>
      <c r="S49" s="142">
        <v>0</v>
      </c>
      <c r="T49" s="142">
        <v>0</v>
      </c>
      <c r="U49" s="207" t="e">
        <v>#DIV/0!</v>
      </c>
      <c r="V49" s="142">
        <v>0</v>
      </c>
      <c r="W49" s="142">
        <v>0</v>
      </c>
      <c r="X49" s="142">
        <v>0</v>
      </c>
      <c r="Y49" s="142">
        <v>0</v>
      </c>
      <c r="Z49" s="142">
        <v>0</v>
      </c>
      <c r="AA49" s="142">
        <v>0</v>
      </c>
    </row>
    <row r="50" spans="1:28" s="205" customFormat="1" x14ac:dyDescent="0.2">
      <c r="A50" s="195"/>
      <c r="B50" s="201" t="s">
        <v>441</v>
      </c>
      <c r="C50" s="202">
        <v>0</v>
      </c>
      <c r="D50" s="202">
        <v>0</v>
      </c>
      <c r="E50" s="202">
        <v>0</v>
      </c>
      <c r="F50" s="202">
        <v>0</v>
      </c>
      <c r="G50" s="202">
        <v>0</v>
      </c>
      <c r="H50" s="202">
        <v>0</v>
      </c>
      <c r="I50" s="202">
        <v>0</v>
      </c>
      <c r="J50" s="202">
        <v>0</v>
      </c>
      <c r="K50" s="202">
        <v>0</v>
      </c>
      <c r="L50" s="202">
        <v>0</v>
      </c>
      <c r="M50" s="202">
        <v>0</v>
      </c>
      <c r="N50" s="202">
        <v>0</v>
      </c>
      <c r="O50" s="202">
        <v>0</v>
      </c>
      <c r="P50" s="202">
        <v>0</v>
      </c>
      <c r="Q50" s="202">
        <v>0</v>
      </c>
      <c r="R50" s="202">
        <v>0</v>
      </c>
      <c r="S50" s="202">
        <v>0</v>
      </c>
      <c r="T50" s="203">
        <v>0</v>
      </c>
      <c r="U50" s="204" t="e">
        <v>#DIV/0!</v>
      </c>
      <c r="V50" s="203">
        <v>0</v>
      </c>
      <c r="W50" s="203">
        <v>0</v>
      </c>
      <c r="X50" s="203">
        <v>0</v>
      </c>
      <c r="Y50" s="203">
        <v>0</v>
      </c>
      <c r="Z50" s="203">
        <v>0</v>
      </c>
      <c r="AA50" s="203">
        <v>0</v>
      </c>
    </row>
    <row r="51" spans="1:28" x14ac:dyDescent="0.2">
      <c r="A51" s="195" t="s">
        <v>1151</v>
      </c>
      <c r="B51" s="206" t="s">
        <v>442</v>
      </c>
      <c r="C51" s="139">
        <v>0</v>
      </c>
      <c r="D51" s="139">
        <v>0</v>
      </c>
      <c r="E51" s="139">
        <v>0</v>
      </c>
      <c r="F51" s="139">
        <v>0</v>
      </c>
      <c r="G51" s="139">
        <v>0</v>
      </c>
      <c r="H51" s="142">
        <v>0</v>
      </c>
      <c r="I51" s="142">
        <v>0</v>
      </c>
      <c r="J51" s="142">
        <v>0</v>
      </c>
      <c r="K51" s="142">
        <v>0</v>
      </c>
      <c r="L51" s="142">
        <v>0</v>
      </c>
      <c r="M51" s="142">
        <v>0</v>
      </c>
      <c r="N51" s="142">
        <v>0</v>
      </c>
      <c r="O51" s="142">
        <v>0</v>
      </c>
      <c r="P51" s="142">
        <v>0</v>
      </c>
      <c r="Q51" s="142">
        <v>0</v>
      </c>
      <c r="R51" s="142">
        <v>0</v>
      </c>
      <c r="S51" s="142">
        <v>0</v>
      </c>
      <c r="T51" s="142">
        <v>0</v>
      </c>
      <c r="U51" s="207" t="e">
        <v>#DIV/0!</v>
      </c>
      <c r="V51" s="142">
        <v>0</v>
      </c>
      <c r="W51" s="142">
        <v>0</v>
      </c>
      <c r="X51" s="142">
        <v>0</v>
      </c>
      <c r="Y51" s="142">
        <v>0</v>
      </c>
      <c r="Z51" s="142">
        <v>0</v>
      </c>
      <c r="AA51" s="142">
        <v>0</v>
      </c>
    </row>
    <row r="52" spans="1:28" x14ac:dyDescent="0.2">
      <c r="A52" s="195" t="s">
        <v>1152</v>
      </c>
      <c r="B52" s="206" t="s">
        <v>443</v>
      </c>
      <c r="C52" s="139">
        <v>0</v>
      </c>
      <c r="D52" s="139">
        <v>0</v>
      </c>
      <c r="E52" s="139">
        <v>0</v>
      </c>
      <c r="F52" s="139">
        <v>0</v>
      </c>
      <c r="G52" s="139">
        <v>0</v>
      </c>
      <c r="H52" s="142">
        <v>0</v>
      </c>
      <c r="I52" s="142">
        <v>0</v>
      </c>
      <c r="J52" s="142">
        <v>0</v>
      </c>
      <c r="K52" s="142">
        <v>0</v>
      </c>
      <c r="L52" s="142">
        <v>0</v>
      </c>
      <c r="M52" s="142">
        <v>0</v>
      </c>
      <c r="N52" s="142">
        <v>0</v>
      </c>
      <c r="O52" s="142">
        <v>0</v>
      </c>
      <c r="P52" s="142">
        <v>0</v>
      </c>
      <c r="Q52" s="142">
        <v>0</v>
      </c>
      <c r="R52" s="142">
        <v>0</v>
      </c>
      <c r="S52" s="142">
        <v>0</v>
      </c>
      <c r="T52" s="142">
        <v>0</v>
      </c>
      <c r="U52" s="207" t="e">
        <v>#DIV/0!</v>
      </c>
      <c r="V52" s="142">
        <v>0</v>
      </c>
      <c r="W52" s="142">
        <v>0</v>
      </c>
      <c r="X52" s="142">
        <v>0</v>
      </c>
      <c r="Y52" s="142">
        <v>0</v>
      </c>
      <c r="Z52" s="142">
        <v>0</v>
      </c>
      <c r="AA52" s="142">
        <v>0</v>
      </c>
    </row>
    <row r="53" spans="1:28" x14ac:dyDescent="0.2">
      <c r="A53" s="195" t="s">
        <v>1153</v>
      </c>
      <c r="B53" s="206" t="s">
        <v>444</v>
      </c>
      <c r="C53" s="139">
        <v>0</v>
      </c>
      <c r="D53" s="139">
        <v>0</v>
      </c>
      <c r="E53" s="139">
        <v>0</v>
      </c>
      <c r="F53" s="139">
        <v>0</v>
      </c>
      <c r="G53" s="139">
        <v>0</v>
      </c>
      <c r="H53" s="142">
        <v>0</v>
      </c>
      <c r="I53" s="142">
        <v>0</v>
      </c>
      <c r="J53" s="142">
        <v>0</v>
      </c>
      <c r="K53" s="142">
        <v>0</v>
      </c>
      <c r="L53" s="142">
        <v>0</v>
      </c>
      <c r="M53" s="142">
        <v>0</v>
      </c>
      <c r="N53" s="142">
        <v>0</v>
      </c>
      <c r="O53" s="142">
        <v>0</v>
      </c>
      <c r="P53" s="142">
        <v>0</v>
      </c>
      <c r="Q53" s="142">
        <v>0</v>
      </c>
      <c r="R53" s="142">
        <v>0</v>
      </c>
      <c r="S53" s="142">
        <v>0</v>
      </c>
      <c r="T53" s="142">
        <v>0</v>
      </c>
      <c r="U53" s="207" t="e">
        <v>#DIV/0!</v>
      </c>
      <c r="V53" s="142">
        <v>0</v>
      </c>
      <c r="W53" s="142">
        <v>0</v>
      </c>
      <c r="X53" s="142">
        <v>0</v>
      </c>
      <c r="Y53" s="142">
        <v>0</v>
      </c>
      <c r="Z53" s="142">
        <v>0</v>
      </c>
      <c r="AA53" s="142">
        <v>0</v>
      </c>
    </row>
    <row r="54" spans="1:28" x14ac:dyDescent="0.2">
      <c r="A54" s="195" t="s">
        <v>1154</v>
      </c>
      <c r="B54" s="206" t="s">
        <v>445</v>
      </c>
      <c r="C54" s="139">
        <v>0</v>
      </c>
      <c r="D54" s="139">
        <v>0</v>
      </c>
      <c r="E54" s="139">
        <v>0</v>
      </c>
      <c r="F54" s="139">
        <v>0</v>
      </c>
      <c r="G54" s="139">
        <v>0</v>
      </c>
      <c r="H54" s="142">
        <v>0</v>
      </c>
      <c r="I54" s="142">
        <v>0</v>
      </c>
      <c r="J54" s="142">
        <v>0</v>
      </c>
      <c r="K54" s="142">
        <v>0</v>
      </c>
      <c r="L54" s="142">
        <v>0</v>
      </c>
      <c r="M54" s="142">
        <v>0</v>
      </c>
      <c r="N54" s="142">
        <v>0</v>
      </c>
      <c r="O54" s="142">
        <v>0</v>
      </c>
      <c r="P54" s="142">
        <v>0</v>
      </c>
      <c r="Q54" s="142">
        <v>0</v>
      </c>
      <c r="R54" s="142">
        <v>0</v>
      </c>
      <c r="S54" s="142">
        <v>0</v>
      </c>
      <c r="T54" s="142">
        <v>0</v>
      </c>
      <c r="U54" s="207" t="e">
        <v>#DIV/0!</v>
      </c>
      <c r="V54" s="142">
        <v>0</v>
      </c>
      <c r="W54" s="142">
        <v>0</v>
      </c>
      <c r="X54" s="142">
        <v>0</v>
      </c>
      <c r="Y54" s="142">
        <v>0</v>
      </c>
      <c r="Z54" s="142">
        <v>0</v>
      </c>
      <c r="AA54" s="142">
        <v>0</v>
      </c>
    </row>
    <row r="55" spans="1:28" s="205" customFormat="1" x14ac:dyDescent="0.2">
      <c r="A55" s="195" t="s">
        <v>1155</v>
      </c>
      <c r="B55" s="201" t="s">
        <v>446</v>
      </c>
      <c r="C55" s="208">
        <v>0</v>
      </c>
      <c r="D55" s="208">
        <v>0</v>
      </c>
      <c r="E55" s="208">
        <v>0</v>
      </c>
      <c r="F55" s="208">
        <v>0</v>
      </c>
      <c r="G55" s="208">
        <v>0</v>
      </c>
      <c r="H55" s="203">
        <v>0</v>
      </c>
      <c r="I55" s="203">
        <v>0</v>
      </c>
      <c r="J55" s="203">
        <v>0</v>
      </c>
      <c r="K55" s="203">
        <v>0</v>
      </c>
      <c r="L55" s="203">
        <v>0</v>
      </c>
      <c r="M55" s="203">
        <v>0</v>
      </c>
      <c r="N55" s="203">
        <v>0</v>
      </c>
      <c r="O55" s="203">
        <v>0</v>
      </c>
      <c r="P55" s="203">
        <v>0</v>
      </c>
      <c r="Q55" s="203">
        <v>0</v>
      </c>
      <c r="R55" s="203">
        <v>0</v>
      </c>
      <c r="S55" s="203">
        <v>0</v>
      </c>
      <c r="T55" s="203">
        <v>0</v>
      </c>
      <c r="U55" s="204" t="e">
        <v>#DIV/0!</v>
      </c>
      <c r="V55" s="203">
        <v>0</v>
      </c>
      <c r="W55" s="203">
        <v>0</v>
      </c>
      <c r="X55" s="203">
        <v>0</v>
      </c>
      <c r="Y55" s="203">
        <v>0</v>
      </c>
      <c r="Z55" s="203">
        <v>0</v>
      </c>
      <c r="AA55" s="203">
        <v>0</v>
      </c>
    </row>
    <row r="56" spans="1:28" s="205" customFormat="1" x14ac:dyDescent="0.2">
      <c r="A56" s="195" t="s">
        <v>1156</v>
      </c>
      <c r="B56" s="201" t="s">
        <v>447</v>
      </c>
      <c r="C56" s="208">
        <v>0</v>
      </c>
      <c r="D56" s="208">
        <v>0</v>
      </c>
      <c r="E56" s="208">
        <v>0</v>
      </c>
      <c r="F56" s="208">
        <v>0</v>
      </c>
      <c r="G56" s="208">
        <v>0</v>
      </c>
      <c r="H56" s="203">
        <v>0</v>
      </c>
      <c r="I56" s="203">
        <v>0</v>
      </c>
      <c r="J56" s="203">
        <v>0</v>
      </c>
      <c r="K56" s="203">
        <v>0</v>
      </c>
      <c r="L56" s="203">
        <v>0</v>
      </c>
      <c r="M56" s="203">
        <v>0</v>
      </c>
      <c r="N56" s="203">
        <v>0</v>
      </c>
      <c r="O56" s="203">
        <v>0</v>
      </c>
      <c r="P56" s="203">
        <v>0</v>
      </c>
      <c r="Q56" s="203">
        <v>0</v>
      </c>
      <c r="R56" s="203">
        <v>0</v>
      </c>
      <c r="S56" s="203">
        <v>0</v>
      </c>
      <c r="T56" s="203">
        <v>0</v>
      </c>
      <c r="U56" s="204" t="e">
        <v>#DIV/0!</v>
      </c>
      <c r="V56" s="203">
        <v>0</v>
      </c>
      <c r="W56" s="203">
        <v>0</v>
      </c>
      <c r="X56" s="203">
        <v>0</v>
      </c>
      <c r="Y56" s="203">
        <v>0</v>
      </c>
      <c r="Z56" s="203">
        <v>0</v>
      </c>
      <c r="AA56" s="203">
        <v>0</v>
      </c>
    </row>
    <row r="57" spans="1:28" s="205" customFormat="1" x14ac:dyDescent="0.2">
      <c r="A57" s="195" t="s">
        <v>1157</v>
      </c>
      <c r="B57" s="201" t="s">
        <v>448</v>
      </c>
      <c r="C57" s="208">
        <v>0</v>
      </c>
      <c r="D57" s="208">
        <v>0</v>
      </c>
      <c r="E57" s="208">
        <v>0</v>
      </c>
      <c r="F57" s="208">
        <v>0</v>
      </c>
      <c r="G57" s="208">
        <v>0</v>
      </c>
      <c r="H57" s="203">
        <v>0</v>
      </c>
      <c r="I57" s="203">
        <v>0</v>
      </c>
      <c r="J57" s="203">
        <v>0</v>
      </c>
      <c r="K57" s="203">
        <v>0</v>
      </c>
      <c r="L57" s="203">
        <v>0</v>
      </c>
      <c r="M57" s="203">
        <v>0</v>
      </c>
      <c r="N57" s="203">
        <v>0</v>
      </c>
      <c r="O57" s="203">
        <v>0</v>
      </c>
      <c r="P57" s="203">
        <v>0</v>
      </c>
      <c r="Q57" s="203">
        <v>0</v>
      </c>
      <c r="R57" s="203">
        <v>0</v>
      </c>
      <c r="S57" s="203">
        <v>0</v>
      </c>
      <c r="T57" s="203">
        <v>0</v>
      </c>
      <c r="U57" s="204" t="e">
        <v>#DIV/0!</v>
      </c>
      <c r="V57" s="203">
        <v>0</v>
      </c>
      <c r="W57" s="203">
        <v>0</v>
      </c>
      <c r="X57" s="203">
        <v>0</v>
      </c>
      <c r="Y57" s="203">
        <v>0</v>
      </c>
      <c r="Z57" s="203">
        <v>0</v>
      </c>
      <c r="AA57" s="203">
        <v>0</v>
      </c>
    </row>
    <row r="58" spans="1:28" s="205" customFormat="1" x14ac:dyDescent="0.2">
      <c r="A58" s="195" t="s">
        <v>1158</v>
      </c>
      <c r="B58" s="201" t="s">
        <v>449</v>
      </c>
      <c r="C58" s="208">
        <v>0</v>
      </c>
      <c r="D58" s="208">
        <v>0</v>
      </c>
      <c r="E58" s="208">
        <v>0</v>
      </c>
      <c r="F58" s="208">
        <v>0</v>
      </c>
      <c r="G58" s="208">
        <v>0</v>
      </c>
      <c r="H58" s="203">
        <v>0</v>
      </c>
      <c r="I58" s="203">
        <v>0</v>
      </c>
      <c r="J58" s="203">
        <v>0</v>
      </c>
      <c r="K58" s="203">
        <v>0</v>
      </c>
      <c r="L58" s="203">
        <v>0</v>
      </c>
      <c r="M58" s="203">
        <v>0</v>
      </c>
      <c r="N58" s="203">
        <v>0</v>
      </c>
      <c r="O58" s="203">
        <v>0</v>
      </c>
      <c r="P58" s="203">
        <v>0</v>
      </c>
      <c r="Q58" s="203">
        <v>0</v>
      </c>
      <c r="R58" s="203">
        <v>0</v>
      </c>
      <c r="S58" s="203">
        <v>0</v>
      </c>
      <c r="T58" s="203">
        <v>0</v>
      </c>
      <c r="U58" s="204" t="e">
        <v>#DIV/0!</v>
      </c>
      <c r="V58" s="203">
        <v>0</v>
      </c>
      <c r="W58" s="203">
        <v>0</v>
      </c>
      <c r="X58" s="203">
        <v>0</v>
      </c>
      <c r="Y58" s="203">
        <v>0</v>
      </c>
      <c r="Z58" s="203">
        <v>0</v>
      </c>
      <c r="AA58" s="203">
        <v>0</v>
      </c>
    </row>
    <row r="59" spans="1:28" x14ac:dyDescent="0.2">
      <c r="A59" s="195"/>
      <c r="B59" s="201" t="s">
        <v>450</v>
      </c>
      <c r="C59" s="202">
        <v>0</v>
      </c>
      <c r="D59" s="202">
        <v>0</v>
      </c>
      <c r="E59" s="202">
        <v>0</v>
      </c>
      <c r="F59" s="202">
        <v>0</v>
      </c>
      <c r="G59" s="202">
        <v>0</v>
      </c>
      <c r="H59" s="202">
        <v>0</v>
      </c>
      <c r="I59" s="202">
        <v>0</v>
      </c>
      <c r="J59" s="202">
        <v>0</v>
      </c>
      <c r="K59" s="202">
        <v>0</v>
      </c>
      <c r="L59" s="202">
        <v>0</v>
      </c>
      <c r="M59" s="202">
        <v>0</v>
      </c>
      <c r="N59" s="202">
        <v>0</v>
      </c>
      <c r="O59" s="202">
        <v>0</v>
      </c>
      <c r="P59" s="202">
        <v>0</v>
      </c>
      <c r="Q59" s="202">
        <v>0</v>
      </c>
      <c r="R59" s="202">
        <v>0</v>
      </c>
      <c r="S59" s="202">
        <v>0</v>
      </c>
      <c r="T59" s="203">
        <v>0</v>
      </c>
      <c r="U59" s="204" t="e">
        <v>#DIV/0!</v>
      </c>
      <c r="V59" s="203">
        <v>0</v>
      </c>
      <c r="W59" s="203">
        <v>0</v>
      </c>
      <c r="X59" s="203">
        <v>0</v>
      </c>
      <c r="Y59" s="203">
        <v>0</v>
      </c>
      <c r="Z59" s="203">
        <v>0</v>
      </c>
      <c r="AA59" s="203">
        <v>0</v>
      </c>
      <c r="AB59" s="205"/>
    </row>
    <row r="60" spans="1:28" x14ac:dyDescent="0.2">
      <c r="A60" s="195" t="s">
        <v>1159</v>
      </c>
      <c r="B60" s="206" t="s">
        <v>451</v>
      </c>
      <c r="C60" s="139">
        <v>0</v>
      </c>
      <c r="D60" s="139">
        <v>0</v>
      </c>
      <c r="E60" s="139">
        <v>0</v>
      </c>
      <c r="F60" s="139">
        <v>0</v>
      </c>
      <c r="G60" s="139">
        <v>0</v>
      </c>
      <c r="H60" s="142">
        <v>0</v>
      </c>
      <c r="I60" s="142">
        <v>0</v>
      </c>
      <c r="J60" s="142">
        <v>0</v>
      </c>
      <c r="K60" s="142">
        <v>0</v>
      </c>
      <c r="L60" s="142">
        <v>0</v>
      </c>
      <c r="M60" s="142">
        <v>0</v>
      </c>
      <c r="N60" s="142">
        <v>0</v>
      </c>
      <c r="O60" s="142">
        <v>0</v>
      </c>
      <c r="P60" s="142">
        <v>0</v>
      </c>
      <c r="Q60" s="142">
        <v>0</v>
      </c>
      <c r="R60" s="142">
        <v>0</v>
      </c>
      <c r="S60" s="142">
        <v>0</v>
      </c>
      <c r="T60" s="142">
        <v>0</v>
      </c>
      <c r="U60" s="207" t="e">
        <v>#DIV/0!</v>
      </c>
      <c r="V60" s="142">
        <v>0</v>
      </c>
      <c r="W60" s="142">
        <v>0</v>
      </c>
      <c r="X60" s="142">
        <v>0</v>
      </c>
      <c r="Y60" s="142">
        <v>0</v>
      </c>
      <c r="Z60" s="142">
        <v>0</v>
      </c>
      <c r="AA60" s="142">
        <v>0</v>
      </c>
    </row>
    <row r="61" spans="1:28" x14ac:dyDescent="0.2">
      <c r="A61" s="195" t="s">
        <v>1160</v>
      </c>
      <c r="B61" s="206" t="s">
        <v>452</v>
      </c>
      <c r="C61" s="139">
        <v>0</v>
      </c>
      <c r="D61" s="139">
        <v>0</v>
      </c>
      <c r="E61" s="139">
        <v>0</v>
      </c>
      <c r="F61" s="139">
        <v>0</v>
      </c>
      <c r="G61" s="139">
        <v>0</v>
      </c>
      <c r="H61" s="142">
        <v>0</v>
      </c>
      <c r="I61" s="142">
        <v>0</v>
      </c>
      <c r="J61" s="142">
        <v>0</v>
      </c>
      <c r="K61" s="142">
        <v>0</v>
      </c>
      <c r="L61" s="142">
        <v>0</v>
      </c>
      <c r="M61" s="142">
        <v>0</v>
      </c>
      <c r="N61" s="142">
        <v>0</v>
      </c>
      <c r="O61" s="142">
        <v>0</v>
      </c>
      <c r="P61" s="142">
        <v>0</v>
      </c>
      <c r="Q61" s="142">
        <v>0</v>
      </c>
      <c r="R61" s="142">
        <v>0</v>
      </c>
      <c r="S61" s="142">
        <v>0</v>
      </c>
      <c r="T61" s="142">
        <v>0</v>
      </c>
      <c r="U61" s="207" t="e">
        <v>#DIV/0!</v>
      </c>
      <c r="V61" s="142">
        <v>0</v>
      </c>
      <c r="W61" s="142">
        <v>0</v>
      </c>
      <c r="X61" s="142">
        <v>0</v>
      </c>
      <c r="Y61" s="142">
        <v>0</v>
      </c>
      <c r="Z61" s="142">
        <v>0</v>
      </c>
      <c r="AA61" s="142">
        <v>0</v>
      </c>
    </row>
    <row r="62" spans="1:28" x14ac:dyDescent="0.2">
      <c r="A62" s="195" t="s">
        <v>1161</v>
      </c>
      <c r="B62" s="206" t="s">
        <v>453</v>
      </c>
      <c r="C62" s="139">
        <v>0</v>
      </c>
      <c r="D62" s="139">
        <v>0</v>
      </c>
      <c r="E62" s="139">
        <v>0</v>
      </c>
      <c r="F62" s="139">
        <v>0</v>
      </c>
      <c r="G62" s="139">
        <v>0</v>
      </c>
      <c r="H62" s="142">
        <v>0</v>
      </c>
      <c r="I62" s="142">
        <v>0</v>
      </c>
      <c r="J62" s="142">
        <v>0</v>
      </c>
      <c r="K62" s="142">
        <v>0</v>
      </c>
      <c r="L62" s="142">
        <v>0</v>
      </c>
      <c r="M62" s="142">
        <v>0</v>
      </c>
      <c r="N62" s="142">
        <v>0</v>
      </c>
      <c r="O62" s="142">
        <v>0</v>
      </c>
      <c r="P62" s="142">
        <v>0</v>
      </c>
      <c r="Q62" s="142">
        <v>0</v>
      </c>
      <c r="R62" s="142">
        <v>0</v>
      </c>
      <c r="S62" s="142">
        <v>0</v>
      </c>
      <c r="T62" s="142">
        <v>0</v>
      </c>
      <c r="U62" s="207" t="e">
        <v>#DIV/0!</v>
      </c>
      <c r="V62" s="142">
        <v>0</v>
      </c>
      <c r="W62" s="142">
        <v>0</v>
      </c>
      <c r="X62" s="142">
        <v>0</v>
      </c>
      <c r="Y62" s="142">
        <v>0</v>
      </c>
      <c r="Z62" s="142">
        <v>0</v>
      </c>
      <c r="AA62" s="142">
        <v>0</v>
      </c>
    </row>
    <row r="63" spans="1:28" x14ac:dyDescent="0.2">
      <c r="A63" s="195" t="s">
        <v>1162</v>
      </c>
      <c r="B63" s="206" t="s">
        <v>454</v>
      </c>
      <c r="C63" s="139">
        <v>0</v>
      </c>
      <c r="D63" s="139">
        <v>0</v>
      </c>
      <c r="E63" s="139">
        <v>0</v>
      </c>
      <c r="F63" s="139">
        <v>0</v>
      </c>
      <c r="G63" s="139">
        <v>0</v>
      </c>
      <c r="H63" s="142">
        <v>0</v>
      </c>
      <c r="I63" s="142">
        <v>0</v>
      </c>
      <c r="J63" s="142">
        <v>0</v>
      </c>
      <c r="K63" s="142">
        <v>0</v>
      </c>
      <c r="L63" s="142">
        <v>0</v>
      </c>
      <c r="M63" s="142">
        <v>0</v>
      </c>
      <c r="N63" s="142">
        <v>0</v>
      </c>
      <c r="O63" s="142">
        <v>0</v>
      </c>
      <c r="P63" s="142">
        <v>0</v>
      </c>
      <c r="Q63" s="142">
        <v>0</v>
      </c>
      <c r="R63" s="142">
        <v>0</v>
      </c>
      <c r="S63" s="142">
        <v>0</v>
      </c>
      <c r="T63" s="142">
        <v>0</v>
      </c>
      <c r="U63" s="207" t="e">
        <v>#DIV/0!</v>
      </c>
      <c r="V63" s="142">
        <v>0</v>
      </c>
      <c r="W63" s="142">
        <v>0</v>
      </c>
      <c r="X63" s="142">
        <v>0</v>
      </c>
      <c r="Y63" s="142">
        <v>0</v>
      </c>
      <c r="Z63" s="142">
        <v>0</v>
      </c>
      <c r="AA63" s="142">
        <v>0</v>
      </c>
    </row>
    <row r="64" spans="1:28" x14ac:dyDescent="0.2">
      <c r="A64" s="195" t="s">
        <v>1163</v>
      </c>
      <c r="B64" s="206" t="s">
        <v>455</v>
      </c>
      <c r="C64" s="139">
        <v>0</v>
      </c>
      <c r="D64" s="139">
        <v>0</v>
      </c>
      <c r="E64" s="139">
        <v>0</v>
      </c>
      <c r="F64" s="139">
        <v>0</v>
      </c>
      <c r="G64" s="139">
        <v>0</v>
      </c>
      <c r="H64" s="142">
        <v>0</v>
      </c>
      <c r="I64" s="142">
        <v>0</v>
      </c>
      <c r="J64" s="142">
        <v>0</v>
      </c>
      <c r="K64" s="142">
        <v>0</v>
      </c>
      <c r="L64" s="142">
        <v>0</v>
      </c>
      <c r="M64" s="142">
        <v>0</v>
      </c>
      <c r="N64" s="142">
        <v>0</v>
      </c>
      <c r="O64" s="142">
        <v>0</v>
      </c>
      <c r="P64" s="142">
        <v>0</v>
      </c>
      <c r="Q64" s="142">
        <v>0</v>
      </c>
      <c r="R64" s="142">
        <v>0</v>
      </c>
      <c r="S64" s="142">
        <v>0</v>
      </c>
      <c r="T64" s="142">
        <v>0</v>
      </c>
      <c r="U64" s="207" t="e">
        <v>#DIV/0!</v>
      </c>
      <c r="V64" s="142">
        <v>0</v>
      </c>
      <c r="W64" s="142">
        <v>0</v>
      </c>
      <c r="X64" s="142">
        <v>0</v>
      </c>
      <c r="Y64" s="142">
        <v>0</v>
      </c>
      <c r="Z64" s="142">
        <v>0</v>
      </c>
      <c r="AA64" s="142">
        <v>0</v>
      </c>
    </row>
    <row r="65" spans="1:28" x14ac:dyDescent="0.2">
      <c r="A65" s="195"/>
      <c r="B65" s="201" t="s">
        <v>456</v>
      </c>
      <c r="C65" s="202">
        <v>0</v>
      </c>
      <c r="D65" s="202">
        <v>0</v>
      </c>
      <c r="E65" s="202">
        <v>0</v>
      </c>
      <c r="F65" s="202">
        <v>0</v>
      </c>
      <c r="G65" s="202">
        <v>0</v>
      </c>
      <c r="H65" s="202">
        <v>0</v>
      </c>
      <c r="I65" s="202">
        <v>0</v>
      </c>
      <c r="J65" s="202">
        <v>0</v>
      </c>
      <c r="K65" s="202">
        <v>0</v>
      </c>
      <c r="L65" s="202">
        <v>0</v>
      </c>
      <c r="M65" s="202">
        <v>0</v>
      </c>
      <c r="N65" s="202">
        <v>0</v>
      </c>
      <c r="O65" s="202">
        <v>0</v>
      </c>
      <c r="P65" s="202">
        <v>0</v>
      </c>
      <c r="Q65" s="202">
        <v>0</v>
      </c>
      <c r="R65" s="202">
        <v>0</v>
      </c>
      <c r="S65" s="202">
        <v>0</v>
      </c>
      <c r="T65" s="203">
        <v>0</v>
      </c>
      <c r="U65" s="204" t="e">
        <v>#DIV/0!</v>
      </c>
      <c r="V65" s="203">
        <v>0</v>
      </c>
      <c r="W65" s="203">
        <v>0</v>
      </c>
      <c r="X65" s="203">
        <v>0</v>
      </c>
      <c r="Y65" s="203">
        <v>0</v>
      </c>
      <c r="Z65" s="203">
        <v>0</v>
      </c>
      <c r="AA65" s="203">
        <v>0</v>
      </c>
    </row>
    <row r="66" spans="1:28" x14ac:dyDescent="0.2">
      <c r="A66" s="195" t="s">
        <v>1164</v>
      </c>
      <c r="B66" s="206" t="s">
        <v>457</v>
      </c>
      <c r="C66" s="139">
        <v>0</v>
      </c>
      <c r="D66" s="139">
        <v>0</v>
      </c>
      <c r="E66" s="139">
        <v>0</v>
      </c>
      <c r="F66" s="139">
        <v>0</v>
      </c>
      <c r="G66" s="139">
        <v>0</v>
      </c>
      <c r="H66" s="142">
        <v>0</v>
      </c>
      <c r="I66" s="142">
        <v>0</v>
      </c>
      <c r="J66" s="142">
        <v>0</v>
      </c>
      <c r="K66" s="142">
        <v>0</v>
      </c>
      <c r="L66" s="142">
        <v>0</v>
      </c>
      <c r="M66" s="142">
        <v>0</v>
      </c>
      <c r="N66" s="142">
        <v>0</v>
      </c>
      <c r="O66" s="142">
        <v>0</v>
      </c>
      <c r="P66" s="142">
        <v>0</v>
      </c>
      <c r="Q66" s="142">
        <v>0</v>
      </c>
      <c r="R66" s="142">
        <v>0</v>
      </c>
      <c r="S66" s="142">
        <v>0</v>
      </c>
      <c r="T66" s="142">
        <v>0</v>
      </c>
      <c r="U66" s="207" t="e">
        <v>#DIV/0!</v>
      </c>
      <c r="V66" s="142">
        <v>0</v>
      </c>
      <c r="W66" s="142">
        <v>0</v>
      </c>
      <c r="X66" s="142">
        <v>0</v>
      </c>
      <c r="Y66" s="142">
        <v>0</v>
      </c>
      <c r="Z66" s="142">
        <v>0</v>
      </c>
      <c r="AA66" s="142">
        <v>0</v>
      </c>
    </row>
    <row r="67" spans="1:28" x14ac:dyDescent="0.2">
      <c r="A67" s="195" t="s">
        <v>1165</v>
      </c>
      <c r="B67" s="206" t="s">
        <v>458</v>
      </c>
      <c r="C67" s="139">
        <v>0</v>
      </c>
      <c r="D67" s="139">
        <v>0</v>
      </c>
      <c r="E67" s="139">
        <v>0</v>
      </c>
      <c r="F67" s="139">
        <v>0</v>
      </c>
      <c r="G67" s="139">
        <v>0</v>
      </c>
      <c r="H67" s="142">
        <v>0</v>
      </c>
      <c r="I67" s="142">
        <v>0</v>
      </c>
      <c r="J67" s="142">
        <v>0</v>
      </c>
      <c r="K67" s="142">
        <v>0</v>
      </c>
      <c r="L67" s="142">
        <v>0</v>
      </c>
      <c r="M67" s="142">
        <v>0</v>
      </c>
      <c r="N67" s="142">
        <v>0</v>
      </c>
      <c r="O67" s="142">
        <v>0</v>
      </c>
      <c r="P67" s="142">
        <v>0</v>
      </c>
      <c r="Q67" s="142">
        <v>0</v>
      </c>
      <c r="R67" s="142">
        <v>0</v>
      </c>
      <c r="S67" s="142">
        <v>0</v>
      </c>
      <c r="T67" s="142">
        <v>0</v>
      </c>
      <c r="U67" s="207" t="e">
        <v>#DIV/0!</v>
      </c>
      <c r="V67" s="142">
        <v>0</v>
      </c>
      <c r="W67" s="142">
        <v>0</v>
      </c>
      <c r="X67" s="142">
        <v>0</v>
      </c>
      <c r="Y67" s="142">
        <v>0</v>
      </c>
      <c r="Z67" s="142">
        <v>0</v>
      </c>
      <c r="AA67" s="142">
        <v>0</v>
      </c>
    </row>
    <row r="68" spans="1:28" x14ac:dyDescent="0.2">
      <c r="A68" s="195" t="s">
        <v>1166</v>
      </c>
      <c r="B68" s="206" t="s">
        <v>459</v>
      </c>
      <c r="C68" s="139">
        <v>0</v>
      </c>
      <c r="D68" s="139">
        <v>0</v>
      </c>
      <c r="E68" s="139">
        <v>0</v>
      </c>
      <c r="F68" s="139">
        <v>0</v>
      </c>
      <c r="G68" s="139">
        <v>0</v>
      </c>
      <c r="H68" s="142">
        <v>0</v>
      </c>
      <c r="I68" s="142">
        <v>0</v>
      </c>
      <c r="J68" s="142">
        <v>0</v>
      </c>
      <c r="K68" s="142">
        <v>0</v>
      </c>
      <c r="L68" s="142">
        <v>0</v>
      </c>
      <c r="M68" s="142">
        <v>0</v>
      </c>
      <c r="N68" s="142">
        <v>0</v>
      </c>
      <c r="O68" s="142">
        <v>0</v>
      </c>
      <c r="P68" s="142">
        <v>0</v>
      </c>
      <c r="Q68" s="142">
        <v>0</v>
      </c>
      <c r="R68" s="142">
        <v>0</v>
      </c>
      <c r="S68" s="142">
        <v>0</v>
      </c>
      <c r="T68" s="142">
        <v>0</v>
      </c>
      <c r="U68" s="207" t="e">
        <v>#DIV/0!</v>
      </c>
      <c r="V68" s="142">
        <v>0</v>
      </c>
      <c r="W68" s="142">
        <v>0</v>
      </c>
      <c r="X68" s="142">
        <v>0</v>
      </c>
      <c r="Y68" s="142">
        <v>0</v>
      </c>
      <c r="Z68" s="142">
        <v>0</v>
      </c>
      <c r="AA68" s="142">
        <v>0</v>
      </c>
    </row>
    <row r="69" spans="1:28" x14ac:dyDescent="0.2">
      <c r="A69" s="195" t="s">
        <v>1167</v>
      </c>
      <c r="B69" s="206" t="s">
        <v>460</v>
      </c>
      <c r="C69" s="139">
        <v>0</v>
      </c>
      <c r="D69" s="139">
        <v>0</v>
      </c>
      <c r="E69" s="139">
        <v>0</v>
      </c>
      <c r="F69" s="139">
        <v>0</v>
      </c>
      <c r="G69" s="139">
        <v>0</v>
      </c>
      <c r="H69" s="142">
        <v>0</v>
      </c>
      <c r="I69" s="142">
        <v>0</v>
      </c>
      <c r="J69" s="142">
        <v>0</v>
      </c>
      <c r="K69" s="142">
        <v>0</v>
      </c>
      <c r="L69" s="142">
        <v>0</v>
      </c>
      <c r="M69" s="142">
        <v>0</v>
      </c>
      <c r="N69" s="142">
        <v>0</v>
      </c>
      <c r="O69" s="142">
        <v>0</v>
      </c>
      <c r="P69" s="142">
        <v>0</v>
      </c>
      <c r="Q69" s="142">
        <v>0</v>
      </c>
      <c r="R69" s="142">
        <v>0</v>
      </c>
      <c r="S69" s="142">
        <v>0</v>
      </c>
      <c r="T69" s="142">
        <v>0</v>
      </c>
      <c r="U69" s="207" t="e">
        <v>#DIV/0!</v>
      </c>
      <c r="V69" s="142">
        <v>0</v>
      </c>
      <c r="W69" s="142">
        <v>0</v>
      </c>
      <c r="X69" s="142">
        <v>0</v>
      </c>
      <c r="Y69" s="142">
        <v>0</v>
      </c>
      <c r="Z69" s="142">
        <v>0</v>
      </c>
      <c r="AA69" s="142">
        <v>0</v>
      </c>
    </row>
    <row r="70" spans="1:28" x14ac:dyDescent="0.2">
      <c r="A70" s="195" t="s">
        <v>1168</v>
      </c>
      <c r="B70" s="206" t="s">
        <v>461</v>
      </c>
      <c r="C70" s="139">
        <v>0</v>
      </c>
      <c r="D70" s="139">
        <v>0</v>
      </c>
      <c r="E70" s="139">
        <v>0</v>
      </c>
      <c r="F70" s="139">
        <v>0</v>
      </c>
      <c r="G70" s="139">
        <v>0</v>
      </c>
      <c r="H70" s="142">
        <v>0</v>
      </c>
      <c r="I70" s="142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v>0</v>
      </c>
      <c r="O70" s="142">
        <v>0</v>
      </c>
      <c r="P70" s="142">
        <v>0</v>
      </c>
      <c r="Q70" s="142">
        <v>0</v>
      </c>
      <c r="R70" s="142">
        <v>0</v>
      </c>
      <c r="S70" s="142">
        <v>0</v>
      </c>
      <c r="T70" s="142">
        <v>0</v>
      </c>
      <c r="U70" s="207" t="e">
        <v>#DIV/0!</v>
      </c>
      <c r="V70" s="142">
        <v>0</v>
      </c>
      <c r="W70" s="142">
        <v>0</v>
      </c>
      <c r="X70" s="142">
        <v>0</v>
      </c>
      <c r="Y70" s="142">
        <v>0</v>
      </c>
      <c r="Z70" s="142">
        <v>0</v>
      </c>
      <c r="AA70" s="142">
        <v>0</v>
      </c>
    </row>
    <row r="71" spans="1:28" x14ac:dyDescent="0.2">
      <c r="A71" s="195" t="s">
        <v>1169</v>
      </c>
      <c r="B71" s="206" t="s">
        <v>462</v>
      </c>
      <c r="C71" s="139">
        <v>0</v>
      </c>
      <c r="D71" s="139">
        <v>0</v>
      </c>
      <c r="E71" s="139">
        <v>0</v>
      </c>
      <c r="F71" s="139">
        <v>0</v>
      </c>
      <c r="G71" s="139">
        <v>0</v>
      </c>
      <c r="H71" s="142">
        <v>0</v>
      </c>
      <c r="I71" s="142">
        <v>0</v>
      </c>
      <c r="J71" s="142">
        <v>0</v>
      </c>
      <c r="K71" s="142">
        <v>0</v>
      </c>
      <c r="L71" s="142">
        <v>0</v>
      </c>
      <c r="M71" s="142">
        <v>0</v>
      </c>
      <c r="N71" s="142">
        <v>0</v>
      </c>
      <c r="O71" s="142">
        <v>0</v>
      </c>
      <c r="P71" s="142">
        <v>0</v>
      </c>
      <c r="Q71" s="142">
        <v>0</v>
      </c>
      <c r="R71" s="142">
        <v>0</v>
      </c>
      <c r="S71" s="142">
        <v>0</v>
      </c>
      <c r="T71" s="142">
        <v>0</v>
      </c>
      <c r="U71" s="207" t="e">
        <v>#DIV/0!</v>
      </c>
      <c r="V71" s="142">
        <v>0</v>
      </c>
      <c r="W71" s="142">
        <v>0</v>
      </c>
      <c r="X71" s="142">
        <v>0</v>
      </c>
      <c r="Y71" s="142">
        <v>0</v>
      </c>
      <c r="Z71" s="142">
        <v>0</v>
      </c>
      <c r="AA71" s="142">
        <v>0</v>
      </c>
    </row>
    <row r="72" spans="1:28" x14ac:dyDescent="0.2">
      <c r="A72" s="195"/>
      <c r="B72" s="201" t="s">
        <v>463</v>
      </c>
      <c r="C72" s="202">
        <v>0</v>
      </c>
      <c r="D72" s="202">
        <v>0</v>
      </c>
      <c r="E72" s="202">
        <v>0</v>
      </c>
      <c r="F72" s="202">
        <v>0</v>
      </c>
      <c r="G72" s="202">
        <v>0</v>
      </c>
      <c r="H72" s="202">
        <v>0</v>
      </c>
      <c r="I72" s="202">
        <v>0</v>
      </c>
      <c r="J72" s="202">
        <v>0</v>
      </c>
      <c r="K72" s="202">
        <v>0</v>
      </c>
      <c r="L72" s="202">
        <v>0</v>
      </c>
      <c r="M72" s="202">
        <v>0</v>
      </c>
      <c r="N72" s="202">
        <v>0</v>
      </c>
      <c r="O72" s="202">
        <v>0</v>
      </c>
      <c r="P72" s="202">
        <v>0</v>
      </c>
      <c r="Q72" s="202">
        <v>0</v>
      </c>
      <c r="R72" s="202">
        <v>0</v>
      </c>
      <c r="S72" s="202">
        <v>0</v>
      </c>
      <c r="T72" s="203">
        <v>0</v>
      </c>
      <c r="U72" s="204" t="e">
        <v>#DIV/0!</v>
      </c>
      <c r="V72" s="203">
        <v>0</v>
      </c>
      <c r="W72" s="203">
        <v>0</v>
      </c>
      <c r="X72" s="203">
        <v>0</v>
      </c>
      <c r="Y72" s="203">
        <v>0</v>
      </c>
      <c r="Z72" s="203">
        <v>0</v>
      </c>
      <c r="AA72" s="203">
        <v>0</v>
      </c>
    </row>
    <row r="73" spans="1:28" x14ac:dyDescent="0.2">
      <c r="A73" s="195" t="s">
        <v>1170</v>
      </c>
      <c r="B73" s="206" t="s">
        <v>464</v>
      </c>
      <c r="C73" s="139">
        <v>0</v>
      </c>
      <c r="D73" s="139">
        <v>0</v>
      </c>
      <c r="E73" s="139">
        <v>0</v>
      </c>
      <c r="F73" s="139">
        <v>0</v>
      </c>
      <c r="G73" s="139">
        <v>0</v>
      </c>
      <c r="H73" s="142">
        <v>0</v>
      </c>
      <c r="I73" s="142">
        <v>0</v>
      </c>
      <c r="J73" s="142">
        <v>0</v>
      </c>
      <c r="K73" s="142">
        <v>0</v>
      </c>
      <c r="L73" s="142">
        <v>0</v>
      </c>
      <c r="M73" s="142">
        <v>0</v>
      </c>
      <c r="N73" s="142">
        <v>0</v>
      </c>
      <c r="O73" s="142">
        <v>0</v>
      </c>
      <c r="P73" s="142">
        <v>0</v>
      </c>
      <c r="Q73" s="142">
        <v>0</v>
      </c>
      <c r="R73" s="142">
        <v>0</v>
      </c>
      <c r="S73" s="142">
        <v>0</v>
      </c>
      <c r="T73" s="142">
        <v>0</v>
      </c>
      <c r="U73" s="207" t="e">
        <v>#DIV/0!</v>
      </c>
      <c r="V73" s="142">
        <v>0</v>
      </c>
      <c r="W73" s="142">
        <v>0</v>
      </c>
      <c r="X73" s="142">
        <v>0</v>
      </c>
      <c r="Y73" s="142">
        <v>0</v>
      </c>
      <c r="Z73" s="142">
        <v>0</v>
      </c>
      <c r="AA73" s="142">
        <v>0</v>
      </c>
    </row>
    <row r="74" spans="1:28" x14ac:dyDescent="0.2">
      <c r="A74" s="195" t="s">
        <v>1171</v>
      </c>
      <c r="B74" s="206" t="s">
        <v>465</v>
      </c>
      <c r="C74" s="139">
        <v>0</v>
      </c>
      <c r="D74" s="139">
        <v>0</v>
      </c>
      <c r="E74" s="139">
        <v>0</v>
      </c>
      <c r="F74" s="139">
        <v>0</v>
      </c>
      <c r="G74" s="139">
        <v>0</v>
      </c>
      <c r="H74" s="142">
        <v>0</v>
      </c>
      <c r="I74" s="142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42">
        <v>0</v>
      </c>
      <c r="P74" s="142">
        <v>0</v>
      </c>
      <c r="Q74" s="142">
        <v>0</v>
      </c>
      <c r="R74" s="142">
        <v>0</v>
      </c>
      <c r="S74" s="142">
        <v>0</v>
      </c>
      <c r="T74" s="142">
        <v>0</v>
      </c>
      <c r="U74" s="207" t="e">
        <v>#DIV/0!</v>
      </c>
      <c r="V74" s="142">
        <v>0</v>
      </c>
      <c r="W74" s="142">
        <v>0</v>
      </c>
      <c r="X74" s="142">
        <v>0</v>
      </c>
      <c r="Y74" s="142">
        <v>0</v>
      </c>
      <c r="Z74" s="142">
        <v>0</v>
      </c>
      <c r="AA74" s="142">
        <v>0</v>
      </c>
    </row>
    <row r="75" spans="1:28" s="205" customFormat="1" x14ac:dyDescent="0.2">
      <c r="A75" s="195" t="s">
        <v>1172</v>
      </c>
      <c r="B75" s="201" t="s">
        <v>466</v>
      </c>
      <c r="C75" s="208">
        <v>0</v>
      </c>
      <c r="D75" s="208">
        <v>0</v>
      </c>
      <c r="E75" s="208">
        <v>0</v>
      </c>
      <c r="F75" s="208">
        <v>0</v>
      </c>
      <c r="G75" s="208">
        <v>0</v>
      </c>
      <c r="H75" s="203">
        <v>0</v>
      </c>
      <c r="I75" s="203">
        <v>0</v>
      </c>
      <c r="J75" s="203">
        <v>0</v>
      </c>
      <c r="K75" s="203">
        <v>0</v>
      </c>
      <c r="L75" s="203">
        <v>0</v>
      </c>
      <c r="M75" s="203">
        <v>0</v>
      </c>
      <c r="N75" s="203">
        <v>0</v>
      </c>
      <c r="O75" s="203">
        <v>0</v>
      </c>
      <c r="P75" s="203">
        <v>0</v>
      </c>
      <c r="Q75" s="203">
        <v>0</v>
      </c>
      <c r="R75" s="203">
        <v>0</v>
      </c>
      <c r="S75" s="203">
        <v>0</v>
      </c>
      <c r="T75" s="203">
        <v>0</v>
      </c>
      <c r="U75" s="204" t="e">
        <v>#DIV/0!</v>
      </c>
      <c r="V75" s="203">
        <v>0</v>
      </c>
      <c r="W75" s="203">
        <v>0</v>
      </c>
      <c r="X75" s="203">
        <v>0</v>
      </c>
      <c r="Y75" s="203">
        <v>0</v>
      </c>
      <c r="Z75" s="203">
        <v>0</v>
      </c>
      <c r="AA75" s="203">
        <v>0</v>
      </c>
    </row>
    <row r="76" spans="1:28" s="205" customFormat="1" x14ac:dyDescent="0.2">
      <c r="A76" s="195" t="s">
        <v>1173</v>
      </c>
      <c r="B76" s="201" t="s">
        <v>467</v>
      </c>
      <c r="C76" s="208">
        <v>0</v>
      </c>
      <c r="D76" s="208">
        <v>0</v>
      </c>
      <c r="E76" s="208">
        <v>0</v>
      </c>
      <c r="F76" s="208">
        <v>0</v>
      </c>
      <c r="G76" s="208">
        <v>0</v>
      </c>
      <c r="H76" s="203">
        <v>0</v>
      </c>
      <c r="I76" s="203">
        <v>0</v>
      </c>
      <c r="J76" s="203">
        <v>0</v>
      </c>
      <c r="K76" s="203">
        <v>0</v>
      </c>
      <c r="L76" s="203">
        <v>0</v>
      </c>
      <c r="M76" s="203">
        <v>0</v>
      </c>
      <c r="N76" s="203">
        <v>0</v>
      </c>
      <c r="O76" s="203">
        <v>0</v>
      </c>
      <c r="P76" s="203">
        <v>0</v>
      </c>
      <c r="Q76" s="203">
        <v>0</v>
      </c>
      <c r="R76" s="203">
        <v>0</v>
      </c>
      <c r="S76" s="203">
        <v>0</v>
      </c>
      <c r="T76" s="203">
        <v>0</v>
      </c>
      <c r="U76" s="204" t="e">
        <v>#DIV/0!</v>
      </c>
      <c r="V76" s="203">
        <v>0</v>
      </c>
      <c r="W76" s="203">
        <v>0</v>
      </c>
      <c r="X76" s="203">
        <v>0</v>
      </c>
      <c r="Y76" s="203">
        <v>0</v>
      </c>
      <c r="Z76" s="203">
        <v>0</v>
      </c>
      <c r="AA76" s="203">
        <v>0</v>
      </c>
    </row>
    <row r="77" spans="1:28" s="205" customFormat="1" x14ac:dyDescent="0.2">
      <c r="A77" s="195" t="s">
        <v>1174</v>
      </c>
      <c r="B77" s="201" t="s">
        <v>468</v>
      </c>
      <c r="C77" s="208">
        <v>0</v>
      </c>
      <c r="D77" s="208">
        <v>0</v>
      </c>
      <c r="E77" s="208">
        <v>0</v>
      </c>
      <c r="F77" s="208">
        <v>0</v>
      </c>
      <c r="G77" s="208">
        <v>0</v>
      </c>
      <c r="H77" s="203">
        <v>0</v>
      </c>
      <c r="I77" s="203">
        <v>0</v>
      </c>
      <c r="J77" s="203">
        <v>0</v>
      </c>
      <c r="K77" s="203">
        <v>0</v>
      </c>
      <c r="L77" s="203">
        <v>0</v>
      </c>
      <c r="M77" s="203">
        <v>0</v>
      </c>
      <c r="N77" s="203">
        <v>0</v>
      </c>
      <c r="O77" s="203">
        <v>0</v>
      </c>
      <c r="P77" s="203">
        <v>0</v>
      </c>
      <c r="Q77" s="203">
        <v>0</v>
      </c>
      <c r="R77" s="203">
        <v>0</v>
      </c>
      <c r="S77" s="203">
        <v>0</v>
      </c>
      <c r="T77" s="203">
        <v>0</v>
      </c>
      <c r="U77" s="204" t="e">
        <v>#DIV/0!</v>
      </c>
      <c r="V77" s="203">
        <v>0</v>
      </c>
      <c r="W77" s="203">
        <v>0</v>
      </c>
      <c r="X77" s="203">
        <v>0</v>
      </c>
      <c r="Y77" s="203">
        <v>0</v>
      </c>
      <c r="Z77" s="203">
        <v>0</v>
      </c>
      <c r="AA77" s="203">
        <v>0</v>
      </c>
    </row>
    <row r="78" spans="1:28" x14ac:dyDescent="0.2">
      <c r="A78" s="195"/>
      <c r="B78" s="201" t="s">
        <v>469</v>
      </c>
      <c r="C78" s="202">
        <v>0</v>
      </c>
      <c r="D78" s="202">
        <v>0</v>
      </c>
      <c r="E78" s="202">
        <v>0</v>
      </c>
      <c r="F78" s="202">
        <v>0</v>
      </c>
      <c r="G78" s="202">
        <v>0</v>
      </c>
      <c r="H78" s="202">
        <v>0</v>
      </c>
      <c r="I78" s="202">
        <v>0</v>
      </c>
      <c r="J78" s="202">
        <v>0</v>
      </c>
      <c r="K78" s="202">
        <v>0</v>
      </c>
      <c r="L78" s="202">
        <v>0</v>
      </c>
      <c r="M78" s="202">
        <v>0</v>
      </c>
      <c r="N78" s="202">
        <v>0</v>
      </c>
      <c r="O78" s="202">
        <v>0</v>
      </c>
      <c r="P78" s="202">
        <v>0</v>
      </c>
      <c r="Q78" s="202">
        <v>0</v>
      </c>
      <c r="R78" s="202">
        <v>0</v>
      </c>
      <c r="S78" s="202">
        <v>0</v>
      </c>
      <c r="T78" s="203">
        <v>0</v>
      </c>
      <c r="U78" s="204" t="e">
        <v>#DIV/0!</v>
      </c>
      <c r="V78" s="203">
        <v>0</v>
      </c>
      <c r="W78" s="203">
        <v>0</v>
      </c>
      <c r="X78" s="203">
        <v>0</v>
      </c>
      <c r="Y78" s="203">
        <v>0</v>
      </c>
      <c r="Z78" s="203">
        <v>0</v>
      </c>
      <c r="AA78" s="203">
        <v>0</v>
      </c>
      <c r="AB78" s="205"/>
    </row>
    <row r="79" spans="1:28" x14ac:dyDescent="0.2">
      <c r="A79" s="195" t="s">
        <v>1175</v>
      </c>
      <c r="B79" s="206" t="s">
        <v>470</v>
      </c>
      <c r="C79" s="139">
        <v>0</v>
      </c>
      <c r="D79" s="139">
        <v>0</v>
      </c>
      <c r="E79" s="139">
        <v>0</v>
      </c>
      <c r="F79" s="139">
        <v>0</v>
      </c>
      <c r="G79" s="139">
        <v>0</v>
      </c>
      <c r="H79" s="142">
        <v>0</v>
      </c>
      <c r="I79" s="142">
        <v>0</v>
      </c>
      <c r="J79" s="142">
        <v>0</v>
      </c>
      <c r="K79" s="142">
        <v>0</v>
      </c>
      <c r="L79" s="142">
        <v>0</v>
      </c>
      <c r="M79" s="142">
        <v>0</v>
      </c>
      <c r="N79" s="142">
        <v>0</v>
      </c>
      <c r="O79" s="142">
        <v>0</v>
      </c>
      <c r="P79" s="142">
        <v>0</v>
      </c>
      <c r="Q79" s="142">
        <v>0</v>
      </c>
      <c r="R79" s="142">
        <v>0</v>
      </c>
      <c r="S79" s="142">
        <v>0</v>
      </c>
      <c r="T79" s="142">
        <v>0</v>
      </c>
      <c r="U79" s="207" t="e">
        <v>#DIV/0!</v>
      </c>
      <c r="V79" s="142">
        <v>0</v>
      </c>
      <c r="W79" s="142">
        <v>0</v>
      </c>
      <c r="X79" s="142">
        <v>0</v>
      </c>
      <c r="Y79" s="142">
        <v>0</v>
      </c>
      <c r="Z79" s="142">
        <v>0</v>
      </c>
      <c r="AA79" s="142">
        <v>0</v>
      </c>
    </row>
    <row r="80" spans="1:28" x14ac:dyDescent="0.2">
      <c r="A80" s="195" t="s">
        <v>1176</v>
      </c>
      <c r="B80" s="206" t="s">
        <v>471</v>
      </c>
      <c r="C80" s="139">
        <v>0</v>
      </c>
      <c r="D80" s="139">
        <v>0</v>
      </c>
      <c r="E80" s="139">
        <v>0</v>
      </c>
      <c r="F80" s="139">
        <v>0</v>
      </c>
      <c r="G80" s="139">
        <v>0</v>
      </c>
      <c r="H80" s="142">
        <v>0</v>
      </c>
      <c r="I80" s="142">
        <v>0</v>
      </c>
      <c r="J80" s="142">
        <v>0</v>
      </c>
      <c r="K80" s="142">
        <v>0</v>
      </c>
      <c r="L80" s="142">
        <v>0</v>
      </c>
      <c r="M80" s="142">
        <v>0</v>
      </c>
      <c r="N80" s="142">
        <v>0</v>
      </c>
      <c r="O80" s="142">
        <v>0</v>
      </c>
      <c r="P80" s="142">
        <v>0</v>
      </c>
      <c r="Q80" s="142">
        <v>0</v>
      </c>
      <c r="R80" s="142">
        <v>0</v>
      </c>
      <c r="S80" s="142">
        <v>0</v>
      </c>
      <c r="T80" s="142">
        <v>0</v>
      </c>
      <c r="U80" s="207" t="e">
        <v>#DIV/0!</v>
      </c>
      <c r="V80" s="142">
        <v>0</v>
      </c>
      <c r="W80" s="142">
        <v>0</v>
      </c>
      <c r="X80" s="142">
        <v>0</v>
      </c>
      <c r="Y80" s="142">
        <v>0</v>
      </c>
      <c r="Z80" s="142">
        <v>0</v>
      </c>
      <c r="AA80" s="142">
        <v>0</v>
      </c>
    </row>
    <row r="81" spans="1:27" x14ac:dyDescent="0.2">
      <c r="A81" s="195"/>
      <c r="B81" s="201" t="s">
        <v>472</v>
      </c>
      <c r="C81" s="202">
        <v>0</v>
      </c>
      <c r="D81" s="202">
        <v>0</v>
      </c>
      <c r="E81" s="202">
        <v>0</v>
      </c>
      <c r="F81" s="202">
        <v>0</v>
      </c>
      <c r="G81" s="202">
        <v>0</v>
      </c>
      <c r="H81" s="202">
        <v>0</v>
      </c>
      <c r="I81" s="202">
        <v>0</v>
      </c>
      <c r="J81" s="202">
        <v>0</v>
      </c>
      <c r="K81" s="202">
        <v>0</v>
      </c>
      <c r="L81" s="202">
        <v>0</v>
      </c>
      <c r="M81" s="202">
        <v>0</v>
      </c>
      <c r="N81" s="202">
        <v>0</v>
      </c>
      <c r="O81" s="202">
        <v>0</v>
      </c>
      <c r="P81" s="202">
        <v>0</v>
      </c>
      <c r="Q81" s="202">
        <v>0</v>
      </c>
      <c r="R81" s="202">
        <v>0</v>
      </c>
      <c r="S81" s="202">
        <v>0</v>
      </c>
      <c r="T81" s="203">
        <v>0</v>
      </c>
      <c r="U81" s="204" t="e">
        <v>#DIV/0!</v>
      </c>
      <c r="V81" s="203">
        <v>0</v>
      </c>
      <c r="W81" s="203">
        <v>0</v>
      </c>
      <c r="X81" s="203">
        <v>0</v>
      </c>
      <c r="Y81" s="203">
        <v>0</v>
      </c>
      <c r="Z81" s="203">
        <v>0</v>
      </c>
      <c r="AA81" s="203">
        <v>0</v>
      </c>
    </row>
    <row r="82" spans="1:27" x14ac:dyDescent="0.2">
      <c r="A82" s="195" t="s">
        <v>1177</v>
      </c>
      <c r="B82" s="209" t="s">
        <v>473</v>
      </c>
      <c r="C82" s="139">
        <v>0</v>
      </c>
      <c r="D82" s="139">
        <v>0</v>
      </c>
      <c r="E82" s="139">
        <v>0</v>
      </c>
      <c r="F82" s="139">
        <v>0</v>
      </c>
      <c r="G82" s="139">
        <v>0</v>
      </c>
      <c r="H82" s="142">
        <v>0</v>
      </c>
      <c r="I82" s="142">
        <v>0</v>
      </c>
      <c r="J82" s="142">
        <v>0</v>
      </c>
      <c r="K82" s="142">
        <v>0</v>
      </c>
      <c r="L82" s="142">
        <v>0</v>
      </c>
      <c r="M82" s="142">
        <v>0</v>
      </c>
      <c r="N82" s="142">
        <v>0</v>
      </c>
      <c r="O82" s="142">
        <v>0</v>
      </c>
      <c r="P82" s="142">
        <v>0</v>
      </c>
      <c r="Q82" s="142">
        <v>0</v>
      </c>
      <c r="R82" s="142">
        <v>0</v>
      </c>
      <c r="S82" s="142">
        <v>0</v>
      </c>
      <c r="T82" s="142">
        <v>0</v>
      </c>
      <c r="U82" s="207" t="e">
        <v>#DIV/0!</v>
      </c>
      <c r="V82" s="142">
        <v>0</v>
      </c>
      <c r="W82" s="142">
        <v>0</v>
      </c>
      <c r="X82" s="142">
        <v>0</v>
      </c>
      <c r="Y82" s="142">
        <v>0</v>
      </c>
      <c r="Z82" s="142">
        <v>0</v>
      </c>
      <c r="AA82" s="142">
        <v>0</v>
      </c>
    </row>
    <row r="83" spans="1:27" x14ac:dyDescent="0.2">
      <c r="A83" s="195" t="s">
        <v>1178</v>
      </c>
      <c r="B83" s="209" t="s">
        <v>474</v>
      </c>
      <c r="C83" s="139">
        <v>0</v>
      </c>
      <c r="D83" s="139">
        <v>0</v>
      </c>
      <c r="E83" s="139">
        <v>0</v>
      </c>
      <c r="F83" s="139">
        <v>0</v>
      </c>
      <c r="G83" s="139">
        <v>0</v>
      </c>
      <c r="H83" s="142">
        <v>0</v>
      </c>
      <c r="I83" s="142">
        <v>0</v>
      </c>
      <c r="J83" s="142">
        <v>0</v>
      </c>
      <c r="K83" s="142">
        <v>0</v>
      </c>
      <c r="L83" s="142">
        <v>0</v>
      </c>
      <c r="M83" s="142">
        <v>0</v>
      </c>
      <c r="N83" s="142">
        <v>0</v>
      </c>
      <c r="O83" s="142">
        <v>0</v>
      </c>
      <c r="P83" s="142">
        <v>0</v>
      </c>
      <c r="Q83" s="142">
        <v>0</v>
      </c>
      <c r="R83" s="142">
        <v>0</v>
      </c>
      <c r="S83" s="142">
        <v>0</v>
      </c>
      <c r="T83" s="142">
        <v>0</v>
      </c>
      <c r="U83" s="207" t="e">
        <v>#DIV/0!</v>
      </c>
      <c r="V83" s="142">
        <v>0</v>
      </c>
      <c r="W83" s="142">
        <v>0</v>
      </c>
      <c r="X83" s="142">
        <v>0</v>
      </c>
      <c r="Y83" s="142">
        <v>0</v>
      </c>
      <c r="Z83" s="142">
        <v>0</v>
      </c>
      <c r="AA83" s="142">
        <v>0</v>
      </c>
    </row>
    <row r="84" spans="1:27" x14ac:dyDescent="0.2">
      <c r="A84" s="195" t="s">
        <v>1179</v>
      </c>
      <c r="B84" s="209" t="s">
        <v>475</v>
      </c>
      <c r="C84" s="139">
        <v>0</v>
      </c>
      <c r="D84" s="139">
        <v>0</v>
      </c>
      <c r="E84" s="139">
        <v>0</v>
      </c>
      <c r="F84" s="139">
        <v>0</v>
      </c>
      <c r="G84" s="139">
        <v>0</v>
      </c>
      <c r="H84" s="142">
        <v>0</v>
      </c>
      <c r="I84" s="142">
        <v>0</v>
      </c>
      <c r="J84" s="142">
        <v>0</v>
      </c>
      <c r="K84" s="142">
        <v>0</v>
      </c>
      <c r="L84" s="142">
        <v>0</v>
      </c>
      <c r="M84" s="142">
        <v>0</v>
      </c>
      <c r="N84" s="142">
        <v>0</v>
      </c>
      <c r="O84" s="142">
        <v>0</v>
      </c>
      <c r="P84" s="142">
        <v>0</v>
      </c>
      <c r="Q84" s="142">
        <v>0</v>
      </c>
      <c r="R84" s="142">
        <v>0</v>
      </c>
      <c r="S84" s="142">
        <v>0</v>
      </c>
      <c r="T84" s="142">
        <v>0</v>
      </c>
      <c r="U84" s="207" t="e">
        <v>#DIV/0!</v>
      </c>
      <c r="V84" s="142">
        <v>0</v>
      </c>
      <c r="W84" s="142">
        <v>0</v>
      </c>
      <c r="X84" s="142">
        <v>0</v>
      </c>
      <c r="Y84" s="142">
        <v>0</v>
      </c>
      <c r="Z84" s="142">
        <v>0</v>
      </c>
      <c r="AA84" s="142">
        <v>0</v>
      </c>
    </row>
    <row r="85" spans="1:27" x14ac:dyDescent="0.2">
      <c r="A85" s="195" t="s">
        <v>1180</v>
      </c>
      <c r="B85" s="209" t="s">
        <v>476</v>
      </c>
      <c r="C85" s="139">
        <v>0</v>
      </c>
      <c r="D85" s="139">
        <v>0</v>
      </c>
      <c r="E85" s="139">
        <v>0</v>
      </c>
      <c r="F85" s="139">
        <v>0</v>
      </c>
      <c r="G85" s="139">
        <v>0</v>
      </c>
      <c r="H85" s="142">
        <v>0</v>
      </c>
      <c r="I85" s="142">
        <v>0</v>
      </c>
      <c r="J85" s="142">
        <v>0</v>
      </c>
      <c r="K85" s="142">
        <v>0</v>
      </c>
      <c r="L85" s="142">
        <v>0</v>
      </c>
      <c r="M85" s="142">
        <v>0</v>
      </c>
      <c r="N85" s="142">
        <v>0</v>
      </c>
      <c r="O85" s="142">
        <v>0</v>
      </c>
      <c r="P85" s="142">
        <v>0</v>
      </c>
      <c r="Q85" s="142">
        <v>0</v>
      </c>
      <c r="R85" s="142">
        <v>0</v>
      </c>
      <c r="S85" s="142">
        <v>0</v>
      </c>
      <c r="T85" s="142">
        <v>0</v>
      </c>
      <c r="U85" s="207" t="e">
        <v>#DIV/0!</v>
      </c>
      <c r="V85" s="142">
        <v>0</v>
      </c>
      <c r="W85" s="142">
        <v>0</v>
      </c>
      <c r="X85" s="142">
        <v>0</v>
      </c>
      <c r="Y85" s="142">
        <v>0</v>
      </c>
      <c r="Z85" s="142">
        <v>0</v>
      </c>
      <c r="AA85" s="142">
        <v>0</v>
      </c>
    </row>
    <row r="86" spans="1:27" x14ac:dyDescent="0.2">
      <c r="A86" s="195" t="s">
        <v>1181</v>
      </c>
      <c r="B86" s="209" t="s">
        <v>477</v>
      </c>
      <c r="C86" s="139">
        <v>0</v>
      </c>
      <c r="D86" s="139">
        <v>0</v>
      </c>
      <c r="E86" s="139">
        <v>0</v>
      </c>
      <c r="F86" s="139">
        <v>0</v>
      </c>
      <c r="G86" s="139">
        <v>0</v>
      </c>
      <c r="H86" s="142">
        <v>0</v>
      </c>
      <c r="I86" s="142">
        <v>0</v>
      </c>
      <c r="J86" s="142">
        <v>0</v>
      </c>
      <c r="K86" s="142">
        <v>0</v>
      </c>
      <c r="L86" s="142">
        <v>0</v>
      </c>
      <c r="M86" s="142">
        <v>0</v>
      </c>
      <c r="N86" s="142">
        <v>0</v>
      </c>
      <c r="O86" s="142">
        <v>0</v>
      </c>
      <c r="P86" s="142">
        <v>0</v>
      </c>
      <c r="Q86" s="142">
        <v>0</v>
      </c>
      <c r="R86" s="142">
        <v>0</v>
      </c>
      <c r="S86" s="142">
        <v>0</v>
      </c>
      <c r="T86" s="142">
        <v>0</v>
      </c>
      <c r="U86" s="207" t="e">
        <v>#DIV/0!</v>
      </c>
      <c r="V86" s="142">
        <v>0</v>
      </c>
      <c r="W86" s="142">
        <v>0</v>
      </c>
      <c r="X86" s="142">
        <v>0</v>
      </c>
      <c r="Y86" s="142">
        <v>0</v>
      </c>
      <c r="Z86" s="142">
        <v>0</v>
      </c>
      <c r="AA86" s="142">
        <v>0</v>
      </c>
    </row>
    <row r="87" spans="1:27" x14ac:dyDescent="0.2">
      <c r="A87" s="195" t="s">
        <v>1182</v>
      </c>
      <c r="B87" s="209" t="s">
        <v>478</v>
      </c>
      <c r="C87" s="139">
        <v>0</v>
      </c>
      <c r="D87" s="139">
        <v>0</v>
      </c>
      <c r="E87" s="139">
        <v>0</v>
      </c>
      <c r="F87" s="139">
        <v>0</v>
      </c>
      <c r="G87" s="139">
        <v>0</v>
      </c>
      <c r="H87" s="142">
        <v>0</v>
      </c>
      <c r="I87" s="142">
        <v>0</v>
      </c>
      <c r="J87" s="142">
        <v>0</v>
      </c>
      <c r="K87" s="142">
        <v>0</v>
      </c>
      <c r="L87" s="142">
        <v>0</v>
      </c>
      <c r="M87" s="142">
        <v>0</v>
      </c>
      <c r="N87" s="142">
        <v>0</v>
      </c>
      <c r="O87" s="142">
        <v>0</v>
      </c>
      <c r="P87" s="142">
        <v>0</v>
      </c>
      <c r="Q87" s="142">
        <v>0</v>
      </c>
      <c r="R87" s="142">
        <v>0</v>
      </c>
      <c r="S87" s="142">
        <v>0</v>
      </c>
      <c r="T87" s="142">
        <v>0</v>
      </c>
      <c r="U87" s="207" t="e">
        <v>#DIV/0!</v>
      </c>
      <c r="V87" s="142">
        <v>0</v>
      </c>
      <c r="W87" s="142">
        <v>0</v>
      </c>
      <c r="X87" s="142">
        <v>0</v>
      </c>
      <c r="Y87" s="142">
        <v>0</v>
      </c>
      <c r="Z87" s="142">
        <v>0</v>
      </c>
      <c r="AA87" s="142">
        <v>0</v>
      </c>
    </row>
    <row r="88" spans="1:27" x14ac:dyDescent="0.2">
      <c r="A88" s="195" t="s">
        <v>1183</v>
      </c>
      <c r="B88" s="209" t="s">
        <v>479</v>
      </c>
      <c r="C88" s="139">
        <v>0</v>
      </c>
      <c r="D88" s="139">
        <v>0</v>
      </c>
      <c r="E88" s="139">
        <v>0</v>
      </c>
      <c r="F88" s="139">
        <v>0</v>
      </c>
      <c r="G88" s="139">
        <v>0</v>
      </c>
      <c r="H88" s="142">
        <v>0</v>
      </c>
      <c r="I88" s="142">
        <v>0</v>
      </c>
      <c r="J88" s="142">
        <v>0</v>
      </c>
      <c r="K88" s="142">
        <v>0</v>
      </c>
      <c r="L88" s="142">
        <v>0</v>
      </c>
      <c r="M88" s="142">
        <v>0</v>
      </c>
      <c r="N88" s="142">
        <v>0</v>
      </c>
      <c r="O88" s="142">
        <v>0</v>
      </c>
      <c r="P88" s="142">
        <v>0</v>
      </c>
      <c r="Q88" s="142">
        <v>0</v>
      </c>
      <c r="R88" s="142">
        <v>0</v>
      </c>
      <c r="S88" s="142">
        <v>0</v>
      </c>
      <c r="T88" s="142">
        <v>0</v>
      </c>
      <c r="U88" s="207" t="e">
        <v>#DIV/0!</v>
      </c>
      <c r="V88" s="142">
        <v>0</v>
      </c>
      <c r="W88" s="142">
        <v>0</v>
      </c>
      <c r="X88" s="142">
        <v>0</v>
      </c>
      <c r="Y88" s="142">
        <v>0</v>
      </c>
      <c r="Z88" s="142">
        <v>0</v>
      </c>
      <c r="AA88" s="142">
        <v>0</v>
      </c>
    </row>
    <row r="89" spans="1:27" x14ac:dyDescent="0.2">
      <c r="A89" s="195" t="s">
        <v>1184</v>
      </c>
      <c r="B89" s="209" t="s">
        <v>480</v>
      </c>
      <c r="C89" s="139">
        <v>0</v>
      </c>
      <c r="D89" s="139">
        <v>0</v>
      </c>
      <c r="E89" s="139">
        <v>0</v>
      </c>
      <c r="F89" s="139">
        <v>0</v>
      </c>
      <c r="G89" s="139">
        <v>0</v>
      </c>
      <c r="H89" s="142">
        <v>0</v>
      </c>
      <c r="I89" s="142">
        <v>0</v>
      </c>
      <c r="J89" s="142">
        <v>0</v>
      </c>
      <c r="K89" s="142">
        <v>0</v>
      </c>
      <c r="L89" s="142">
        <v>0</v>
      </c>
      <c r="M89" s="142">
        <v>0</v>
      </c>
      <c r="N89" s="142">
        <v>0</v>
      </c>
      <c r="O89" s="142">
        <v>0</v>
      </c>
      <c r="P89" s="142">
        <v>0</v>
      </c>
      <c r="Q89" s="142">
        <v>0</v>
      </c>
      <c r="R89" s="142">
        <v>0</v>
      </c>
      <c r="S89" s="142">
        <v>0</v>
      </c>
      <c r="T89" s="142">
        <v>0</v>
      </c>
      <c r="U89" s="207" t="e">
        <v>#DIV/0!</v>
      </c>
      <c r="V89" s="142">
        <v>0</v>
      </c>
      <c r="W89" s="142">
        <v>0</v>
      </c>
      <c r="X89" s="142">
        <v>0</v>
      </c>
      <c r="Y89" s="142">
        <v>0</v>
      </c>
      <c r="Z89" s="142">
        <v>0</v>
      </c>
      <c r="AA89" s="142">
        <v>0</v>
      </c>
    </row>
    <row r="90" spans="1:27" x14ac:dyDescent="0.2">
      <c r="A90" s="195" t="s">
        <v>1185</v>
      </c>
      <c r="B90" s="209" t="s">
        <v>481</v>
      </c>
      <c r="C90" s="139">
        <v>0</v>
      </c>
      <c r="D90" s="139">
        <v>0</v>
      </c>
      <c r="E90" s="139">
        <v>0</v>
      </c>
      <c r="F90" s="139">
        <v>0</v>
      </c>
      <c r="G90" s="139">
        <v>0</v>
      </c>
      <c r="H90" s="142">
        <v>0</v>
      </c>
      <c r="I90" s="142">
        <v>0</v>
      </c>
      <c r="J90" s="142">
        <v>0</v>
      </c>
      <c r="K90" s="142">
        <v>0</v>
      </c>
      <c r="L90" s="142">
        <v>0</v>
      </c>
      <c r="M90" s="142">
        <v>0</v>
      </c>
      <c r="N90" s="142">
        <v>0</v>
      </c>
      <c r="O90" s="142">
        <v>0</v>
      </c>
      <c r="P90" s="142">
        <v>0</v>
      </c>
      <c r="Q90" s="142">
        <v>0</v>
      </c>
      <c r="R90" s="142">
        <v>0</v>
      </c>
      <c r="S90" s="142">
        <v>0</v>
      </c>
      <c r="T90" s="142">
        <v>0</v>
      </c>
      <c r="U90" s="207" t="e">
        <v>#DIV/0!</v>
      </c>
      <c r="V90" s="142">
        <v>0</v>
      </c>
      <c r="W90" s="142">
        <v>0</v>
      </c>
      <c r="X90" s="142">
        <v>0</v>
      </c>
      <c r="Y90" s="142">
        <v>0</v>
      </c>
      <c r="Z90" s="142">
        <v>0</v>
      </c>
      <c r="AA90" s="142">
        <v>0</v>
      </c>
    </row>
    <row r="91" spans="1:27" x14ac:dyDescent="0.2">
      <c r="A91" s="195" t="s">
        <v>1186</v>
      </c>
      <c r="B91" s="209" t="s">
        <v>482</v>
      </c>
      <c r="C91" s="139">
        <v>0</v>
      </c>
      <c r="D91" s="139">
        <v>0</v>
      </c>
      <c r="E91" s="139">
        <v>0</v>
      </c>
      <c r="F91" s="139">
        <v>0</v>
      </c>
      <c r="G91" s="139">
        <v>0</v>
      </c>
      <c r="H91" s="142">
        <v>0</v>
      </c>
      <c r="I91" s="142">
        <v>0</v>
      </c>
      <c r="J91" s="142">
        <v>0</v>
      </c>
      <c r="K91" s="142">
        <v>0</v>
      </c>
      <c r="L91" s="142">
        <v>0</v>
      </c>
      <c r="M91" s="142">
        <v>0</v>
      </c>
      <c r="N91" s="142">
        <v>0</v>
      </c>
      <c r="O91" s="142">
        <v>0</v>
      </c>
      <c r="P91" s="142">
        <v>0</v>
      </c>
      <c r="Q91" s="142">
        <v>0</v>
      </c>
      <c r="R91" s="142">
        <v>0</v>
      </c>
      <c r="S91" s="142">
        <v>0</v>
      </c>
      <c r="T91" s="142">
        <v>0</v>
      </c>
      <c r="U91" s="207" t="e">
        <v>#DIV/0!</v>
      </c>
      <c r="V91" s="142">
        <v>0</v>
      </c>
      <c r="W91" s="142">
        <v>0</v>
      </c>
      <c r="X91" s="142">
        <v>0</v>
      </c>
      <c r="Y91" s="142">
        <v>0</v>
      </c>
      <c r="Z91" s="142">
        <v>0</v>
      </c>
      <c r="AA91" s="142">
        <v>0</v>
      </c>
    </row>
    <row r="92" spans="1:27" x14ac:dyDescent="0.2">
      <c r="A92" s="195" t="s">
        <v>1187</v>
      </c>
      <c r="B92" s="209" t="s">
        <v>483</v>
      </c>
      <c r="C92" s="139">
        <v>0</v>
      </c>
      <c r="D92" s="139">
        <v>0</v>
      </c>
      <c r="E92" s="139">
        <v>0</v>
      </c>
      <c r="F92" s="139">
        <v>0</v>
      </c>
      <c r="G92" s="139">
        <v>0</v>
      </c>
      <c r="H92" s="142">
        <v>0</v>
      </c>
      <c r="I92" s="142">
        <v>0</v>
      </c>
      <c r="J92" s="142">
        <v>0</v>
      </c>
      <c r="K92" s="142">
        <v>0</v>
      </c>
      <c r="L92" s="142">
        <v>0</v>
      </c>
      <c r="M92" s="142">
        <v>0</v>
      </c>
      <c r="N92" s="142">
        <v>0</v>
      </c>
      <c r="O92" s="142">
        <v>0</v>
      </c>
      <c r="P92" s="142">
        <v>0</v>
      </c>
      <c r="Q92" s="142">
        <v>0</v>
      </c>
      <c r="R92" s="142">
        <v>0</v>
      </c>
      <c r="S92" s="142">
        <v>0</v>
      </c>
      <c r="T92" s="142">
        <v>0</v>
      </c>
      <c r="U92" s="207" t="e">
        <v>#DIV/0!</v>
      </c>
      <c r="V92" s="142">
        <v>0</v>
      </c>
      <c r="W92" s="142">
        <v>0</v>
      </c>
      <c r="X92" s="142">
        <v>0</v>
      </c>
      <c r="Y92" s="142">
        <v>0</v>
      </c>
      <c r="Z92" s="142">
        <v>0</v>
      </c>
      <c r="AA92" s="142">
        <v>0</v>
      </c>
    </row>
    <row r="93" spans="1:27" x14ac:dyDescent="0.2">
      <c r="A93" s="195" t="s">
        <v>1188</v>
      </c>
      <c r="B93" s="209" t="s">
        <v>484</v>
      </c>
      <c r="C93" s="139">
        <v>0</v>
      </c>
      <c r="D93" s="139">
        <v>0</v>
      </c>
      <c r="E93" s="139">
        <v>0</v>
      </c>
      <c r="F93" s="139">
        <v>0</v>
      </c>
      <c r="G93" s="139">
        <v>0</v>
      </c>
      <c r="H93" s="142">
        <v>0</v>
      </c>
      <c r="I93" s="142">
        <v>0</v>
      </c>
      <c r="J93" s="142">
        <v>0</v>
      </c>
      <c r="K93" s="142">
        <v>0</v>
      </c>
      <c r="L93" s="142">
        <v>0</v>
      </c>
      <c r="M93" s="142">
        <v>0</v>
      </c>
      <c r="N93" s="142">
        <v>0</v>
      </c>
      <c r="O93" s="142">
        <v>0</v>
      </c>
      <c r="P93" s="142">
        <v>0</v>
      </c>
      <c r="Q93" s="142">
        <v>0</v>
      </c>
      <c r="R93" s="142">
        <v>0</v>
      </c>
      <c r="S93" s="142">
        <v>0</v>
      </c>
      <c r="T93" s="142">
        <v>0</v>
      </c>
      <c r="U93" s="207" t="e">
        <v>#DIV/0!</v>
      </c>
      <c r="V93" s="142">
        <v>0</v>
      </c>
      <c r="W93" s="142">
        <v>0</v>
      </c>
      <c r="X93" s="142">
        <v>0</v>
      </c>
      <c r="Y93" s="142">
        <v>0</v>
      </c>
      <c r="Z93" s="142">
        <v>0</v>
      </c>
      <c r="AA93" s="142">
        <v>0</v>
      </c>
    </row>
    <row r="94" spans="1:27" x14ac:dyDescent="0.2">
      <c r="A94" s="195" t="s">
        <v>1189</v>
      </c>
      <c r="B94" s="209" t="s">
        <v>485</v>
      </c>
      <c r="C94" s="139">
        <v>0</v>
      </c>
      <c r="D94" s="139">
        <v>0</v>
      </c>
      <c r="E94" s="139">
        <v>0</v>
      </c>
      <c r="F94" s="139">
        <v>0</v>
      </c>
      <c r="G94" s="139">
        <v>0</v>
      </c>
      <c r="H94" s="142">
        <v>0</v>
      </c>
      <c r="I94" s="142">
        <v>0</v>
      </c>
      <c r="J94" s="142">
        <v>0</v>
      </c>
      <c r="K94" s="142">
        <v>0</v>
      </c>
      <c r="L94" s="142">
        <v>0</v>
      </c>
      <c r="M94" s="142">
        <v>0</v>
      </c>
      <c r="N94" s="142">
        <v>0</v>
      </c>
      <c r="O94" s="142">
        <v>0</v>
      </c>
      <c r="P94" s="142">
        <v>0</v>
      </c>
      <c r="Q94" s="142">
        <v>0</v>
      </c>
      <c r="R94" s="142">
        <v>0</v>
      </c>
      <c r="S94" s="142">
        <v>0</v>
      </c>
      <c r="T94" s="142">
        <v>0</v>
      </c>
      <c r="U94" s="207" t="e">
        <v>#DIV/0!</v>
      </c>
      <c r="V94" s="142">
        <v>0</v>
      </c>
      <c r="W94" s="142">
        <v>0</v>
      </c>
      <c r="X94" s="142">
        <v>0</v>
      </c>
      <c r="Y94" s="142">
        <v>0</v>
      </c>
      <c r="Z94" s="142">
        <v>0</v>
      </c>
      <c r="AA94" s="142">
        <v>0</v>
      </c>
    </row>
    <row r="95" spans="1:27" x14ac:dyDescent="0.2">
      <c r="A95" s="195" t="s">
        <v>1190</v>
      </c>
      <c r="B95" s="209" t="s">
        <v>486</v>
      </c>
      <c r="C95" s="139">
        <v>0</v>
      </c>
      <c r="D95" s="139">
        <v>0</v>
      </c>
      <c r="E95" s="139">
        <v>0</v>
      </c>
      <c r="F95" s="139">
        <v>0</v>
      </c>
      <c r="G95" s="139">
        <v>0</v>
      </c>
      <c r="H95" s="142">
        <v>0</v>
      </c>
      <c r="I95" s="142">
        <v>0</v>
      </c>
      <c r="J95" s="142">
        <v>0</v>
      </c>
      <c r="K95" s="142">
        <v>0</v>
      </c>
      <c r="L95" s="142">
        <v>0</v>
      </c>
      <c r="M95" s="142">
        <v>0</v>
      </c>
      <c r="N95" s="142">
        <v>0</v>
      </c>
      <c r="O95" s="142">
        <v>0</v>
      </c>
      <c r="P95" s="142">
        <v>0</v>
      </c>
      <c r="Q95" s="142">
        <v>0</v>
      </c>
      <c r="R95" s="142">
        <v>0</v>
      </c>
      <c r="S95" s="142">
        <v>0</v>
      </c>
      <c r="T95" s="142">
        <v>0</v>
      </c>
      <c r="U95" s="207" t="e">
        <v>#DIV/0!</v>
      </c>
      <c r="V95" s="142">
        <v>0</v>
      </c>
      <c r="W95" s="142">
        <v>0</v>
      </c>
      <c r="X95" s="142">
        <v>0</v>
      </c>
      <c r="Y95" s="142">
        <v>0</v>
      </c>
      <c r="Z95" s="142">
        <v>0</v>
      </c>
      <c r="AA95" s="142">
        <v>0</v>
      </c>
    </row>
    <row r="96" spans="1:27" x14ac:dyDescent="0.2">
      <c r="A96" s="195" t="s">
        <v>1191</v>
      </c>
      <c r="B96" s="209" t="s">
        <v>487</v>
      </c>
      <c r="C96" s="139">
        <v>0</v>
      </c>
      <c r="D96" s="139">
        <v>0</v>
      </c>
      <c r="E96" s="139">
        <v>0</v>
      </c>
      <c r="F96" s="139">
        <v>0</v>
      </c>
      <c r="G96" s="139">
        <v>0</v>
      </c>
      <c r="H96" s="142">
        <v>0</v>
      </c>
      <c r="I96" s="142">
        <v>0</v>
      </c>
      <c r="J96" s="142">
        <v>0</v>
      </c>
      <c r="K96" s="142">
        <v>0</v>
      </c>
      <c r="L96" s="142">
        <v>0</v>
      </c>
      <c r="M96" s="142">
        <v>0</v>
      </c>
      <c r="N96" s="142">
        <v>0</v>
      </c>
      <c r="O96" s="142">
        <v>0</v>
      </c>
      <c r="P96" s="142">
        <v>0</v>
      </c>
      <c r="Q96" s="142">
        <v>0</v>
      </c>
      <c r="R96" s="142">
        <v>0</v>
      </c>
      <c r="S96" s="142">
        <v>0</v>
      </c>
      <c r="T96" s="142">
        <v>0</v>
      </c>
      <c r="U96" s="207" t="e">
        <v>#DIV/0!</v>
      </c>
      <c r="V96" s="142">
        <v>0</v>
      </c>
      <c r="W96" s="142">
        <v>0</v>
      </c>
      <c r="X96" s="142">
        <v>0</v>
      </c>
      <c r="Y96" s="142">
        <v>0</v>
      </c>
      <c r="Z96" s="142">
        <v>0</v>
      </c>
      <c r="AA96" s="142">
        <v>0</v>
      </c>
    </row>
    <row r="97" spans="1:27" x14ac:dyDescent="0.2">
      <c r="A97" s="195" t="s">
        <v>1192</v>
      </c>
      <c r="B97" s="209" t="s">
        <v>488</v>
      </c>
      <c r="C97" s="139">
        <v>0</v>
      </c>
      <c r="D97" s="139">
        <v>0</v>
      </c>
      <c r="E97" s="139">
        <v>0</v>
      </c>
      <c r="F97" s="139">
        <v>0</v>
      </c>
      <c r="G97" s="139">
        <v>0</v>
      </c>
      <c r="H97" s="142">
        <v>0</v>
      </c>
      <c r="I97" s="142">
        <v>0</v>
      </c>
      <c r="J97" s="142">
        <v>0</v>
      </c>
      <c r="K97" s="142">
        <v>0</v>
      </c>
      <c r="L97" s="142">
        <v>0</v>
      </c>
      <c r="M97" s="142">
        <v>0</v>
      </c>
      <c r="N97" s="142">
        <v>0</v>
      </c>
      <c r="O97" s="142">
        <v>0</v>
      </c>
      <c r="P97" s="142">
        <v>0</v>
      </c>
      <c r="Q97" s="142">
        <v>0</v>
      </c>
      <c r="R97" s="142">
        <v>0</v>
      </c>
      <c r="S97" s="142">
        <v>0</v>
      </c>
      <c r="T97" s="142">
        <v>0</v>
      </c>
      <c r="U97" s="207" t="e">
        <v>#DIV/0!</v>
      </c>
      <c r="V97" s="142">
        <v>0</v>
      </c>
      <c r="W97" s="142">
        <v>0</v>
      </c>
      <c r="X97" s="142">
        <v>0</v>
      </c>
      <c r="Y97" s="142">
        <v>0</v>
      </c>
      <c r="Z97" s="142">
        <v>0</v>
      </c>
      <c r="AA97" s="142">
        <v>0</v>
      </c>
    </row>
    <row r="98" spans="1:27" x14ac:dyDescent="0.2">
      <c r="A98" s="195" t="s">
        <v>1193</v>
      </c>
      <c r="B98" s="209" t="s">
        <v>489</v>
      </c>
      <c r="C98" s="139">
        <v>0</v>
      </c>
      <c r="D98" s="139">
        <v>0</v>
      </c>
      <c r="E98" s="139">
        <v>0</v>
      </c>
      <c r="F98" s="139">
        <v>0</v>
      </c>
      <c r="G98" s="139">
        <v>0</v>
      </c>
      <c r="H98" s="142">
        <v>0</v>
      </c>
      <c r="I98" s="142">
        <v>0</v>
      </c>
      <c r="J98" s="142">
        <v>0</v>
      </c>
      <c r="K98" s="142">
        <v>0</v>
      </c>
      <c r="L98" s="142">
        <v>0</v>
      </c>
      <c r="M98" s="142">
        <v>0</v>
      </c>
      <c r="N98" s="142">
        <v>0</v>
      </c>
      <c r="O98" s="142">
        <v>0</v>
      </c>
      <c r="P98" s="142">
        <v>0</v>
      </c>
      <c r="Q98" s="142">
        <v>0</v>
      </c>
      <c r="R98" s="142">
        <v>0</v>
      </c>
      <c r="S98" s="142">
        <v>0</v>
      </c>
      <c r="T98" s="142">
        <v>0</v>
      </c>
      <c r="U98" s="207" t="e">
        <v>#DIV/0!</v>
      </c>
      <c r="V98" s="142">
        <v>0</v>
      </c>
      <c r="W98" s="142">
        <v>0</v>
      </c>
      <c r="X98" s="142">
        <v>0</v>
      </c>
      <c r="Y98" s="142">
        <v>0</v>
      </c>
      <c r="Z98" s="142">
        <v>0</v>
      </c>
      <c r="AA98" s="142">
        <v>0</v>
      </c>
    </row>
    <row r="99" spans="1:27" x14ac:dyDescent="0.2">
      <c r="A99" s="195" t="s">
        <v>1194</v>
      </c>
      <c r="B99" s="209" t="s">
        <v>490</v>
      </c>
      <c r="C99" s="139">
        <v>0</v>
      </c>
      <c r="D99" s="139">
        <v>0</v>
      </c>
      <c r="E99" s="139">
        <v>0</v>
      </c>
      <c r="F99" s="139">
        <v>0</v>
      </c>
      <c r="G99" s="139">
        <v>0</v>
      </c>
      <c r="H99" s="142">
        <v>0</v>
      </c>
      <c r="I99" s="142">
        <v>0</v>
      </c>
      <c r="J99" s="142">
        <v>0</v>
      </c>
      <c r="K99" s="142">
        <v>0</v>
      </c>
      <c r="L99" s="142">
        <v>0</v>
      </c>
      <c r="M99" s="142">
        <v>0</v>
      </c>
      <c r="N99" s="142">
        <v>0</v>
      </c>
      <c r="O99" s="142">
        <v>0</v>
      </c>
      <c r="P99" s="142">
        <v>0</v>
      </c>
      <c r="Q99" s="142">
        <v>0</v>
      </c>
      <c r="R99" s="142">
        <v>0</v>
      </c>
      <c r="S99" s="142">
        <v>0</v>
      </c>
      <c r="T99" s="142">
        <v>0</v>
      </c>
      <c r="U99" s="207" t="e">
        <v>#DIV/0!</v>
      </c>
      <c r="V99" s="142">
        <v>0</v>
      </c>
      <c r="W99" s="142">
        <v>0</v>
      </c>
      <c r="X99" s="142">
        <v>0</v>
      </c>
      <c r="Y99" s="142">
        <v>0</v>
      </c>
      <c r="Z99" s="142">
        <v>0</v>
      </c>
      <c r="AA99" s="142">
        <v>0</v>
      </c>
    </row>
    <row r="100" spans="1:27" x14ac:dyDescent="0.2">
      <c r="A100" s="195" t="s">
        <v>1195</v>
      </c>
      <c r="B100" s="209" t="s">
        <v>491</v>
      </c>
      <c r="C100" s="139">
        <v>0</v>
      </c>
      <c r="D100" s="139">
        <v>0</v>
      </c>
      <c r="E100" s="139">
        <v>0</v>
      </c>
      <c r="F100" s="139">
        <v>0</v>
      </c>
      <c r="G100" s="139">
        <v>0</v>
      </c>
      <c r="H100" s="142">
        <v>0</v>
      </c>
      <c r="I100" s="142">
        <v>0</v>
      </c>
      <c r="J100" s="142">
        <v>0</v>
      </c>
      <c r="K100" s="142">
        <v>0</v>
      </c>
      <c r="L100" s="142">
        <v>0</v>
      </c>
      <c r="M100" s="142">
        <v>0</v>
      </c>
      <c r="N100" s="142">
        <v>0</v>
      </c>
      <c r="O100" s="142">
        <v>0</v>
      </c>
      <c r="P100" s="142">
        <v>0</v>
      </c>
      <c r="Q100" s="142">
        <v>0</v>
      </c>
      <c r="R100" s="142">
        <v>0</v>
      </c>
      <c r="S100" s="142">
        <v>0</v>
      </c>
      <c r="T100" s="142">
        <v>0</v>
      </c>
      <c r="U100" s="207" t="e">
        <v>#DIV/0!</v>
      </c>
      <c r="V100" s="142">
        <v>0</v>
      </c>
      <c r="W100" s="142">
        <v>0</v>
      </c>
      <c r="X100" s="142">
        <v>0</v>
      </c>
      <c r="Y100" s="142">
        <v>0</v>
      </c>
      <c r="Z100" s="142">
        <v>0</v>
      </c>
      <c r="AA100" s="142">
        <v>0</v>
      </c>
    </row>
    <row r="101" spans="1:27" x14ac:dyDescent="0.2">
      <c r="A101" s="195" t="s">
        <v>1196</v>
      </c>
      <c r="B101" s="209" t="s">
        <v>492</v>
      </c>
      <c r="C101" s="139">
        <v>0</v>
      </c>
      <c r="D101" s="139">
        <v>0</v>
      </c>
      <c r="E101" s="139">
        <v>0</v>
      </c>
      <c r="F101" s="139">
        <v>0</v>
      </c>
      <c r="G101" s="139">
        <v>0</v>
      </c>
      <c r="H101" s="142">
        <v>0</v>
      </c>
      <c r="I101" s="142">
        <v>0</v>
      </c>
      <c r="J101" s="142">
        <v>0</v>
      </c>
      <c r="K101" s="142">
        <v>0</v>
      </c>
      <c r="L101" s="142">
        <v>0</v>
      </c>
      <c r="M101" s="142">
        <v>0</v>
      </c>
      <c r="N101" s="142">
        <v>0</v>
      </c>
      <c r="O101" s="142">
        <v>0</v>
      </c>
      <c r="P101" s="142">
        <v>0</v>
      </c>
      <c r="Q101" s="142">
        <v>0</v>
      </c>
      <c r="R101" s="142">
        <v>0</v>
      </c>
      <c r="S101" s="142">
        <v>0</v>
      </c>
      <c r="T101" s="142">
        <v>0</v>
      </c>
      <c r="U101" s="207" t="e">
        <v>#DIV/0!</v>
      </c>
      <c r="V101" s="142">
        <v>0</v>
      </c>
      <c r="W101" s="142">
        <v>0</v>
      </c>
      <c r="X101" s="142">
        <v>0</v>
      </c>
      <c r="Y101" s="142">
        <v>0</v>
      </c>
      <c r="Z101" s="142">
        <v>0</v>
      </c>
      <c r="AA101" s="142">
        <v>0</v>
      </c>
    </row>
    <row r="102" spans="1:27" x14ac:dyDescent="0.2">
      <c r="A102" s="195" t="s">
        <v>1197</v>
      </c>
      <c r="B102" s="209" t="s">
        <v>493</v>
      </c>
      <c r="C102" s="139">
        <v>0</v>
      </c>
      <c r="D102" s="139">
        <v>0</v>
      </c>
      <c r="E102" s="139">
        <v>0</v>
      </c>
      <c r="F102" s="139">
        <v>0</v>
      </c>
      <c r="G102" s="139">
        <v>0</v>
      </c>
      <c r="H102" s="142">
        <v>0</v>
      </c>
      <c r="I102" s="142">
        <v>0</v>
      </c>
      <c r="J102" s="142">
        <v>0</v>
      </c>
      <c r="K102" s="142">
        <v>0</v>
      </c>
      <c r="L102" s="142">
        <v>0</v>
      </c>
      <c r="M102" s="142">
        <v>0</v>
      </c>
      <c r="N102" s="142">
        <v>0</v>
      </c>
      <c r="O102" s="142">
        <v>0</v>
      </c>
      <c r="P102" s="142">
        <v>0</v>
      </c>
      <c r="Q102" s="142">
        <v>0</v>
      </c>
      <c r="R102" s="142">
        <v>0</v>
      </c>
      <c r="S102" s="142">
        <v>0</v>
      </c>
      <c r="T102" s="142">
        <v>0</v>
      </c>
      <c r="U102" s="207" t="e">
        <v>#DIV/0!</v>
      </c>
      <c r="V102" s="142">
        <v>0</v>
      </c>
      <c r="W102" s="142">
        <v>0</v>
      </c>
      <c r="X102" s="142">
        <v>0</v>
      </c>
      <c r="Y102" s="142">
        <v>0</v>
      </c>
      <c r="Z102" s="142">
        <v>0</v>
      </c>
      <c r="AA102" s="142">
        <v>0</v>
      </c>
    </row>
    <row r="103" spans="1:27" x14ac:dyDescent="0.2">
      <c r="A103" s="195" t="s">
        <v>1198</v>
      </c>
      <c r="B103" s="209" t="s">
        <v>494</v>
      </c>
      <c r="C103" s="139">
        <v>0</v>
      </c>
      <c r="D103" s="139">
        <v>0</v>
      </c>
      <c r="E103" s="139">
        <v>0</v>
      </c>
      <c r="F103" s="139">
        <v>0</v>
      </c>
      <c r="G103" s="139">
        <v>0</v>
      </c>
      <c r="H103" s="142">
        <v>0</v>
      </c>
      <c r="I103" s="142">
        <v>0</v>
      </c>
      <c r="J103" s="142">
        <v>0</v>
      </c>
      <c r="K103" s="142">
        <v>0</v>
      </c>
      <c r="L103" s="142">
        <v>0</v>
      </c>
      <c r="M103" s="142">
        <v>0</v>
      </c>
      <c r="N103" s="142">
        <v>0</v>
      </c>
      <c r="O103" s="142">
        <v>0</v>
      </c>
      <c r="P103" s="142">
        <v>0</v>
      </c>
      <c r="Q103" s="142">
        <v>0</v>
      </c>
      <c r="R103" s="142">
        <v>0</v>
      </c>
      <c r="S103" s="142">
        <v>0</v>
      </c>
      <c r="T103" s="142">
        <v>0</v>
      </c>
      <c r="U103" s="207" t="e">
        <v>#DIV/0!</v>
      </c>
      <c r="V103" s="142">
        <v>0</v>
      </c>
      <c r="W103" s="142">
        <v>0</v>
      </c>
      <c r="X103" s="142">
        <v>0</v>
      </c>
      <c r="Y103" s="142">
        <v>0</v>
      </c>
      <c r="Z103" s="142">
        <v>0</v>
      </c>
      <c r="AA103" s="142">
        <v>0</v>
      </c>
    </row>
    <row r="104" spans="1:27" ht="24" x14ac:dyDescent="0.2">
      <c r="A104" s="195" t="s">
        <v>1199</v>
      </c>
      <c r="B104" s="209" t="s">
        <v>495</v>
      </c>
      <c r="C104" s="139">
        <v>0</v>
      </c>
      <c r="D104" s="139">
        <v>0</v>
      </c>
      <c r="E104" s="139">
        <v>0</v>
      </c>
      <c r="F104" s="139">
        <v>0</v>
      </c>
      <c r="G104" s="139">
        <v>0</v>
      </c>
      <c r="H104" s="142">
        <v>0</v>
      </c>
      <c r="I104" s="142">
        <v>0</v>
      </c>
      <c r="J104" s="142">
        <v>0</v>
      </c>
      <c r="K104" s="142">
        <v>0</v>
      </c>
      <c r="L104" s="142">
        <v>0</v>
      </c>
      <c r="M104" s="142">
        <v>0</v>
      </c>
      <c r="N104" s="142">
        <v>0</v>
      </c>
      <c r="O104" s="142">
        <v>0</v>
      </c>
      <c r="P104" s="142">
        <v>0</v>
      </c>
      <c r="Q104" s="142">
        <v>0</v>
      </c>
      <c r="R104" s="142">
        <v>0</v>
      </c>
      <c r="S104" s="142">
        <v>0</v>
      </c>
      <c r="T104" s="142">
        <v>0</v>
      </c>
      <c r="U104" s="207" t="e">
        <v>#DIV/0!</v>
      </c>
      <c r="V104" s="142">
        <v>0</v>
      </c>
      <c r="W104" s="142">
        <v>0</v>
      </c>
      <c r="X104" s="142">
        <v>0</v>
      </c>
      <c r="Y104" s="142">
        <v>0</v>
      </c>
      <c r="Z104" s="142">
        <v>0</v>
      </c>
      <c r="AA104" s="142">
        <v>0</v>
      </c>
    </row>
    <row r="105" spans="1:27" x14ac:dyDescent="0.2">
      <c r="A105" s="195" t="s">
        <v>1200</v>
      </c>
      <c r="B105" s="209" t="s">
        <v>496</v>
      </c>
      <c r="C105" s="139">
        <v>0</v>
      </c>
      <c r="D105" s="139">
        <v>0</v>
      </c>
      <c r="E105" s="139">
        <v>0</v>
      </c>
      <c r="F105" s="139">
        <v>0</v>
      </c>
      <c r="G105" s="139">
        <v>0</v>
      </c>
      <c r="H105" s="142">
        <v>0</v>
      </c>
      <c r="I105" s="142">
        <v>0</v>
      </c>
      <c r="J105" s="142">
        <v>0</v>
      </c>
      <c r="K105" s="142">
        <v>0</v>
      </c>
      <c r="L105" s="142">
        <v>0</v>
      </c>
      <c r="M105" s="142">
        <v>0</v>
      </c>
      <c r="N105" s="142">
        <v>0</v>
      </c>
      <c r="O105" s="142">
        <v>0</v>
      </c>
      <c r="P105" s="142">
        <v>0</v>
      </c>
      <c r="Q105" s="142">
        <v>0</v>
      </c>
      <c r="R105" s="142">
        <v>0</v>
      </c>
      <c r="S105" s="142">
        <v>0</v>
      </c>
      <c r="T105" s="142">
        <v>0</v>
      </c>
      <c r="U105" s="207" t="e">
        <v>#DIV/0!</v>
      </c>
      <c r="V105" s="142">
        <v>0</v>
      </c>
      <c r="W105" s="142">
        <v>0</v>
      </c>
      <c r="X105" s="142">
        <v>0</v>
      </c>
      <c r="Y105" s="142">
        <v>0</v>
      </c>
      <c r="Z105" s="142">
        <v>0</v>
      </c>
      <c r="AA105" s="142">
        <v>0</v>
      </c>
    </row>
    <row r="106" spans="1:27" x14ac:dyDescent="0.2">
      <c r="A106" s="195" t="s">
        <v>1201</v>
      </c>
      <c r="B106" s="209" t="s">
        <v>497</v>
      </c>
      <c r="C106" s="139">
        <v>0</v>
      </c>
      <c r="D106" s="139">
        <v>0</v>
      </c>
      <c r="E106" s="139">
        <v>0</v>
      </c>
      <c r="F106" s="139">
        <v>0</v>
      </c>
      <c r="G106" s="139">
        <v>0</v>
      </c>
      <c r="H106" s="142">
        <v>0</v>
      </c>
      <c r="I106" s="142">
        <v>0</v>
      </c>
      <c r="J106" s="142">
        <v>0</v>
      </c>
      <c r="K106" s="142">
        <v>0</v>
      </c>
      <c r="L106" s="142">
        <v>0</v>
      </c>
      <c r="M106" s="142">
        <v>0</v>
      </c>
      <c r="N106" s="142">
        <v>0</v>
      </c>
      <c r="O106" s="142">
        <v>0</v>
      </c>
      <c r="P106" s="142">
        <v>0</v>
      </c>
      <c r="Q106" s="142">
        <v>0</v>
      </c>
      <c r="R106" s="142">
        <v>0</v>
      </c>
      <c r="S106" s="142">
        <v>0</v>
      </c>
      <c r="T106" s="142">
        <v>0</v>
      </c>
      <c r="U106" s="207" t="e">
        <v>#DIV/0!</v>
      </c>
      <c r="V106" s="142">
        <v>0</v>
      </c>
      <c r="W106" s="142">
        <v>0</v>
      </c>
      <c r="X106" s="142">
        <v>0</v>
      </c>
      <c r="Y106" s="142">
        <v>0</v>
      </c>
      <c r="Z106" s="142">
        <v>0</v>
      </c>
      <c r="AA106" s="142">
        <v>0</v>
      </c>
    </row>
    <row r="107" spans="1:27" x14ac:dyDescent="0.2">
      <c r="A107" s="195" t="s">
        <v>1202</v>
      </c>
      <c r="B107" s="209" t="s">
        <v>498</v>
      </c>
      <c r="C107" s="139">
        <v>0</v>
      </c>
      <c r="D107" s="139">
        <v>0</v>
      </c>
      <c r="E107" s="139">
        <v>0</v>
      </c>
      <c r="F107" s="139">
        <v>0</v>
      </c>
      <c r="G107" s="139">
        <v>0</v>
      </c>
      <c r="H107" s="142">
        <v>0</v>
      </c>
      <c r="I107" s="142">
        <v>0</v>
      </c>
      <c r="J107" s="142">
        <v>0</v>
      </c>
      <c r="K107" s="142">
        <v>0</v>
      </c>
      <c r="L107" s="142">
        <v>0</v>
      </c>
      <c r="M107" s="142">
        <v>0</v>
      </c>
      <c r="N107" s="142">
        <v>0</v>
      </c>
      <c r="O107" s="142">
        <v>0</v>
      </c>
      <c r="P107" s="142">
        <v>0</v>
      </c>
      <c r="Q107" s="142">
        <v>0</v>
      </c>
      <c r="R107" s="142">
        <v>0</v>
      </c>
      <c r="S107" s="142">
        <v>0</v>
      </c>
      <c r="T107" s="142">
        <v>0</v>
      </c>
      <c r="U107" s="207" t="e">
        <v>#DIV/0!</v>
      </c>
      <c r="V107" s="142">
        <v>0</v>
      </c>
      <c r="W107" s="142">
        <v>0</v>
      </c>
      <c r="X107" s="142">
        <v>0</v>
      </c>
      <c r="Y107" s="142">
        <v>0</v>
      </c>
      <c r="Z107" s="142">
        <v>0</v>
      </c>
      <c r="AA107" s="142">
        <v>0</v>
      </c>
    </row>
    <row r="108" spans="1:27" x14ac:dyDescent="0.2">
      <c r="A108" s="195"/>
      <c r="B108" s="201" t="s">
        <v>499</v>
      </c>
      <c r="C108" s="202">
        <v>0</v>
      </c>
      <c r="D108" s="202">
        <v>0</v>
      </c>
      <c r="E108" s="202">
        <v>0</v>
      </c>
      <c r="F108" s="202">
        <v>0</v>
      </c>
      <c r="G108" s="202">
        <v>0</v>
      </c>
      <c r="H108" s="202">
        <v>0</v>
      </c>
      <c r="I108" s="202">
        <v>0</v>
      </c>
      <c r="J108" s="202">
        <v>0</v>
      </c>
      <c r="K108" s="202">
        <v>0</v>
      </c>
      <c r="L108" s="202">
        <v>0</v>
      </c>
      <c r="M108" s="202">
        <v>0</v>
      </c>
      <c r="N108" s="202">
        <v>0</v>
      </c>
      <c r="O108" s="202">
        <v>0</v>
      </c>
      <c r="P108" s="202">
        <v>0</v>
      </c>
      <c r="Q108" s="202">
        <v>0</v>
      </c>
      <c r="R108" s="202">
        <v>0</v>
      </c>
      <c r="S108" s="202">
        <v>0</v>
      </c>
      <c r="T108" s="203">
        <v>0</v>
      </c>
      <c r="U108" s="204" t="e">
        <v>#DIV/0!</v>
      </c>
      <c r="V108" s="203">
        <v>0</v>
      </c>
      <c r="W108" s="203">
        <v>0</v>
      </c>
      <c r="X108" s="203">
        <v>0</v>
      </c>
      <c r="Y108" s="203">
        <v>0</v>
      </c>
      <c r="Z108" s="203">
        <v>0</v>
      </c>
      <c r="AA108" s="203">
        <v>0</v>
      </c>
    </row>
    <row r="109" spans="1:27" x14ac:dyDescent="0.2">
      <c r="A109" s="195" t="s">
        <v>1203</v>
      </c>
      <c r="B109" s="209" t="s">
        <v>500</v>
      </c>
      <c r="C109" s="139">
        <v>0</v>
      </c>
      <c r="D109" s="139">
        <v>0</v>
      </c>
      <c r="E109" s="139">
        <v>0</v>
      </c>
      <c r="F109" s="139">
        <v>0</v>
      </c>
      <c r="G109" s="139">
        <v>0</v>
      </c>
      <c r="H109" s="142">
        <v>0</v>
      </c>
      <c r="I109" s="142">
        <v>0</v>
      </c>
      <c r="J109" s="142">
        <v>0</v>
      </c>
      <c r="K109" s="142">
        <v>0</v>
      </c>
      <c r="L109" s="142">
        <v>0</v>
      </c>
      <c r="M109" s="142">
        <v>0</v>
      </c>
      <c r="N109" s="142">
        <v>0</v>
      </c>
      <c r="O109" s="142">
        <v>0</v>
      </c>
      <c r="P109" s="142">
        <v>0</v>
      </c>
      <c r="Q109" s="142">
        <v>0</v>
      </c>
      <c r="R109" s="142">
        <v>0</v>
      </c>
      <c r="S109" s="142">
        <v>0</v>
      </c>
      <c r="T109" s="142">
        <v>0</v>
      </c>
      <c r="U109" s="207" t="e">
        <v>#DIV/0!</v>
      </c>
      <c r="V109" s="142">
        <v>0</v>
      </c>
      <c r="W109" s="142">
        <v>0</v>
      </c>
      <c r="X109" s="142">
        <v>0</v>
      </c>
      <c r="Y109" s="142">
        <v>0</v>
      </c>
      <c r="Z109" s="142">
        <v>0</v>
      </c>
      <c r="AA109" s="142">
        <v>0</v>
      </c>
    </row>
    <row r="110" spans="1:27" x14ac:dyDescent="0.2">
      <c r="A110" s="195" t="s">
        <v>1204</v>
      </c>
      <c r="B110" s="209" t="s">
        <v>501</v>
      </c>
      <c r="C110" s="139">
        <v>0</v>
      </c>
      <c r="D110" s="139">
        <v>0</v>
      </c>
      <c r="E110" s="139">
        <v>0</v>
      </c>
      <c r="F110" s="139">
        <v>0</v>
      </c>
      <c r="G110" s="139">
        <v>0</v>
      </c>
      <c r="H110" s="142">
        <v>0</v>
      </c>
      <c r="I110" s="142">
        <v>0</v>
      </c>
      <c r="J110" s="142">
        <v>0</v>
      </c>
      <c r="K110" s="142">
        <v>0</v>
      </c>
      <c r="L110" s="142">
        <v>0</v>
      </c>
      <c r="M110" s="142">
        <v>0</v>
      </c>
      <c r="N110" s="142">
        <v>0</v>
      </c>
      <c r="O110" s="142">
        <v>0</v>
      </c>
      <c r="P110" s="142">
        <v>0</v>
      </c>
      <c r="Q110" s="142">
        <v>0</v>
      </c>
      <c r="R110" s="142">
        <v>0</v>
      </c>
      <c r="S110" s="142">
        <v>0</v>
      </c>
      <c r="T110" s="142">
        <v>0</v>
      </c>
      <c r="U110" s="207" t="e">
        <v>#DIV/0!</v>
      </c>
      <c r="V110" s="142">
        <v>0</v>
      </c>
      <c r="W110" s="142">
        <v>0</v>
      </c>
      <c r="X110" s="142">
        <v>0</v>
      </c>
      <c r="Y110" s="142">
        <v>0</v>
      </c>
      <c r="Z110" s="142">
        <v>0</v>
      </c>
      <c r="AA110" s="142">
        <v>0</v>
      </c>
    </row>
    <row r="111" spans="1:27" x14ac:dyDescent="0.2">
      <c r="A111" s="195" t="s">
        <v>1205</v>
      </c>
      <c r="B111" s="209" t="s">
        <v>502</v>
      </c>
      <c r="C111" s="139">
        <v>0</v>
      </c>
      <c r="D111" s="139">
        <v>0</v>
      </c>
      <c r="E111" s="139">
        <v>0</v>
      </c>
      <c r="F111" s="139">
        <v>0</v>
      </c>
      <c r="G111" s="139">
        <v>0</v>
      </c>
      <c r="H111" s="142">
        <v>0</v>
      </c>
      <c r="I111" s="142">
        <v>0</v>
      </c>
      <c r="J111" s="142">
        <v>0</v>
      </c>
      <c r="K111" s="142">
        <v>0</v>
      </c>
      <c r="L111" s="142">
        <v>0</v>
      </c>
      <c r="M111" s="142">
        <v>0</v>
      </c>
      <c r="N111" s="142">
        <v>0</v>
      </c>
      <c r="O111" s="142">
        <v>0</v>
      </c>
      <c r="P111" s="142">
        <v>0</v>
      </c>
      <c r="Q111" s="142">
        <v>0</v>
      </c>
      <c r="R111" s="142">
        <v>0</v>
      </c>
      <c r="S111" s="142">
        <v>0</v>
      </c>
      <c r="T111" s="142">
        <v>0</v>
      </c>
      <c r="U111" s="207" t="e">
        <v>#DIV/0!</v>
      </c>
      <c r="V111" s="142">
        <v>0</v>
      </c>
      <c r="W111" s="142">
        <v>0</v>
      </c>
      <c r="X111" s="142">
        <v>0</v>
      </c>
      <c r="Y111" s="142">
        <v>0</v>
      </c>
      <c r="Z111" s="142">
        <v>0</v>
      </c>
      <c r="AA111" s="142">
        <v>0</v>
      </c>
    </row>
    <row r="112" spans="1:27" x14ac:dyDescent="0.2">
      <c r="A112" s="195" t="s">
        <v>1206</v>
      </c>
      <c r="B112" s="209" t="s">
        <v>503</v>
      </c>
      <c r="C112" s="139">
        <v>0</v>
      </c>
      <c r="D112" s="139">
        <v>0</v>
      </c>
      <c r="E112" s="139">
        <v>0</v>
      </c>
      <c r="F112" s="139">
        <v>0</v>
      </c>
      <c r="G112" s="139">
        <v>0</v>
      </c>
      <c r="H112" s="142">
        <v>0</v>
      </c>
      <c r="I112" s="142">
        <v>0</v>
      </c>
      <c r="J112" s="142">
        <v>0</v>
      </c>
      <c r="K112" s="142">
        <v>0</v>
      </c>
      <c r="L112" s="142">
        <v>0</v>
      </c>
      <c r="M112" s="142">
        <v>0</v>
      </c>
      <c r="N112" s="142">
        <v>0</v>
      </c>
      <c r="O112" s="142">
        <v>0</v>
      </c>
      <c r="P112" s="142">
        <v>0</v>
      </c>
      <c r="Q112" s="142">
        <v>0</v>
      </c>
      <c r="R112" s="142">
        <v>0</v>
      </c>
      <c r="S112" s="142">
        <v>0</v>
      </c>
      <c r="T112" s="142">
        <v>0</v>
      </c>
      <c r="U112" s="207" t="e">
        <v>#DIV/0!</v>
      </c>
      <c r="V112" s="142">
        <v>0</v>
      </c>
      <c r="W112" s="142">
        <v>0</v>
      </c>
      <c r="X112" s="142">
        <v>0</v>
      </c>
      <c r="Y112" s="142">
        <v>0</v>
      </c>
      <c r="Z112" s="142">
        <v>0</v>
      </c>
      <c r="AA112" s="142">
        <v>0</v>
      </c>
    </row>
    <row r="113" spans="1:27" x14ac:dyDescent="0.2">
      <c r="A113" s="195"/>
      <c r="B113" s="201" t="s">
        <v>504</v>
      </c>
      <c r="C113" s="202">
        <v>0</v>
      </c>
      <c r="D113" s="202">
        <v>0</v>
      </c>
      <c r="E113" s="202">
        <v>0</v>
      </c>
      <c r="F113" s="202">
        <v>0</v>
      </c>
      <c r="G113" s="202">
        <v>0</v>
      </c>
      <c r="H113" s="202">
        <v>0</v>
      </c>
      <c r="I113" s="202">
        <v>0</v>
      </c>
      <c r="J113" s="202">
        <v>0</v>
      </c>
      <c r="K113" s="202">
        <v>0</v>
      </c>
      <c r="L113" s="202">
        <v>0</v>
      </c>
      <c r="M113" s="202">
        <v>0</v>
      </c>
      <c r="N113" s="202">
        <v>0</v>
      </c>
      <c r="O113" s="202">
        <v>0</v>
      </c>
      <c r="P113" s="202">
        <v>0</v>
      </c>
      <c r="Q113" s="202">
        <v>0</v>
      </c>
      <c r="R113" s="202">
        <v>0</v>
      </c>
      <c r="S113" s="202">
        <v>0</v>
      </c>
      <c r="T113" s="203">
        <v>0</v>
      </c>
      <c r="U113" s="204" t="e">
        <v>#DIV/0!</v>
      </c>
      <c r="V113" s="203">
        <v>0</v>
      </c>
      <c r="W113" s="203">
        <v>0</v>
      </c>
      <c r="X113" s="203">
        <v>0</v>
      </c>
      <c r="Y113" s="203">
        <v>0</v>
      </c>
      <c r="Z113" s="203">
        <v>0</v>
      </c>
      <c r="AA113" s="203">
        <v>0</v>
      </c>
    </row>
    <row r="114" spans="1:27" x14ac:dyDescent="0.2">
      <c r="A114" s="195" t="s">
        <v>1207</v>
      </c>
      <c r="B114" s="209" t="s">
        <v>505</v>
      </c>
      <c r="C114" s="139">
        <v>0</v>
      </c>
      <c r="D114" s="139">
        <v>0</v>
      </c>
      <c r="E114" s="139">
        <v>0</v>
      </c>
      <c r="F114" s="139">
        <v>0</v>
      </c>
      <c r="G114" s="139">
        <v>0</v>
      </c>
      <c r="H114" s="142">
        <v>0</v>
      </c>
      <c r="I114" s="142">
        <v>0</v>
      </c>
      <c r="J114" s="142">
        <v>0</v>
      </c>
      <c r="K114" s="142">
        <v>0</v>
      </c>
      <c r="L114" s="142">
        <v>0</v>
      </c>
      <c r="M114" s="142">
        <v>0</v>
      </c>
      <c r="N114" s="142">
        <v>0</v>
      </c>
      <c r="O114" s="142">
        <v>0</v>
      </c>
      <c r="P114" s="142">
        <v>0</v>
      </c>
      <c r="Q114" s="142">
        <v>0</v>
      </c>
      <c r="R114" s="142">
        <v>0</v>
      </c>
      <c r="S114" s="142">
        <v>0</v>
      </c>
      <c r="T114" s="142">
        <v>0</v>
      </c>
      <c r="U114" s="207" t="e">
        <v>#DIV/0!</v>
      </c>
      <c r="V114" s="142">
        <v>0</v>
      </c>
      <c r="W114" s="142">
        <v>0</v>
      </c>
      <c r="X114" s="142">
        <v>0</v>
      </c>
      <c r="Y114" s="142">
        <v>0</v>
      </c>
      <c r="Z114" s="142">
        <v>0</v>
      </c>
      <c r="AA114" s="142">
        <v>0</v>
      </c>
    </row>
    <row r="115" spans="1:27" x14ac:dyDescent="0.2">
      <c r="A115" s="195" t="s">
        <v>1208</v>
      </c>
      <c r="B115" s="209" t="s">
        <v>506</v>
      </c>
      <c r="C115" s="139">
        <v>0</v>
      </c>
      <c r="D115" s="139">
        <v>0</v>
      </c>
      <c r="E115" s="139">
        <v>0</v>
      </c>
      <c r="F115" s="139">
        <v>0</v>
      </c>
      <c r="G115" s="139">
        <v>0</v>
      </c>
      <c r="H115" s="142">
        <v>0</v>
      </c>
      <c r="I115" s="142">
        <v>0</v>
      </c>
      <c r="J115" s="142">
        <v>0</v>
      </c>
      <c r="K115" s="142">
        <v>0</v>
      </c>
      <c r="L115" s="142">
        <v>0</v>
      </c>
      <c r="M115" s="142">
        <v>0</v>
      </c>
      <c r="N115" s="142">
        <v>0</v>
      </c>
      <c r="O115" s="142">
        <v>0</v>
      </c>
      <c r="P115" s="142">
        <v>0</v>
      </c>
      <c r="Q115" s="142">
        <v>0</v>
      </c>
      <c r="R115" s="142">
        <v>0</v>
      </c>
      <c r="S115" s="142">
        <v>0</v>
      </c>
      <c r="T115" s="142">
        <v>0</v>
      </c>
      <c r="U115" s="207" t="e">
        <v>#DIV/0!</v>
      </c>
      <c r="V115" s="142">
        <v>0</v>
      </c>
      <c r="W115" s="142">
        <v>0</v>
      </c>
      <c r="X115" s="142">
        <v>0</v>
      </c>
      <c r="Y115" s="142">
        <v>0</v>
      </c>
      <c r="Z115" s="142">
        <v>0</v>
      </c>
      <c r="AA115" s="142">
        <v>0</v>
      </c>
    </row>
    <row r="116" spans="1:27" x14ac:dyDescent="0.2">
      <c r="A116" s="195" t="s">
        <v>1209</v>
      </c>
      <c r="B116" s="209" t="s">
        <v>507</v>
      </c>
      <c r="C116" s="139">
        <v>0</v>
      </c>
      <c r="D116" s="139">
        <v>0</v>
      </c>
      <c r="E116" s="139">
        <v>0</v>
      </c>
      <c r="F116" s="139">
        <v>0</v>
      </c>
      <c r="G116" s="139">
        <v>0</v>
      </c>
      <c r="H116" s="142">
        <v>0</v>
      </c>
      <c r="I116" s="142">
        <v>0</v>
      </c>
      <c r="J116" s="142">
        <v>0</v>
      </c>
      <c r="K116" s="142">
        <v>0</v>
      </c>
      <c r="L116" s="142">
        <v>0</v>
      </c>
      <c r="M116" s="142">
        <v>0</v>
      </c>
      <c r="N116" s="142">
        <v>0</v>
      </c>
      <c r="O116" s="142">
        <v>0</v>
      </c>
      <c r="P116" s="142">
        <v>0</v>
      </c>
      <c r="Q116" s="142">
        <v>0</v>
      </c>
      <c r="R116" s="142">
        <v>0</v>
      </c>
      <c r="S116" s="142">
        <v>0</v>
      </c>
      <c r="T116" s="142">
        <v>0</v>
      </c>
      <c r="U116" s="207" t="e">
        <v>#DIV/0!</v>
      </c>
      <c r="V116" s="142">
        <v>0</v>
      </c>
      <c r="W116" s="142">
        <v>0</v>
      </c>
      <c r="X116" s="142">
        <v>0</v>
      </c>
      <c r="Y116" s="142">
        <v>0</v>
      </c>
      <c r="Z116" s="142">
        <v>0</v>
      </c>
      <c r="AA116" s="142">
        <v>0</v>
      </c>
    </row>
    <row r="117" spans="1:27" x14ac:dyDescent="0.2">
      <c r="A117" s="195" t="s">
        <v>1210</v>
      </c>
      <c r="B117" s="209" t="s">
        <v>508</v>
      </c>
      <c r="C117" s="139">
        <v>0</v>
      </c>
      <c r="D117" s="139">
        <v>0</v>
      </c>
      <c r="E117" s="139">
        <v>0</v>
      </c>
      <c r="F117" s="139">
        <v>0</v>
      </c>
      <c r="G117" s="139">
        <v>0</v>
      </c>
      <c r="H117" s="142">
        <v>0</v>
      </c>
      <c r="I117" s="142">
        <v>0</v>
      </c>
      <c r="J117" s="142">
        <v>0</v>
      </c>
      <c r="K117" s="142">
        <v>0</v>
      </c>
      <c r="L117" s="142">
        <v>0</v>
      </c>
      <c r="M117" s="142">
        <v>0</v>
      </c>
      <c r="N117" s="142">
        <v>0</v>
      </c>
      <c r="O117" s="142">
        <v>0</v>
      </c>
      <c r="P117" s="142">
        <v>0</v>
      </c>
      <c r="Q117" s="142">
        <v>0</v>
      </c>
      <c r="R117" s="142">
        <v>0</v>
      </c>
      <c r="S117" s="142">
        <v>0</v>
      </c>
      <c r="T117" s="142">
        <v>0</v>
      </c>
      <c r="U117" s="207" t="e">
        <v>#DIV/0!</v>
      </c>
      <c r="V117" s="142">
        <v>0</v>
      </c>
      <c r="W117" s="142">
        <v>0</v>
      </c>
      <c r="X117" s="142">
        <v>0</v>
      </c>
      <c r="Y117" s="142">
        <v>0</v>
      </c>
      <c r="Z117" s="142">
        <v>0</v>
      </c>
      <c r="AA117" s="142">
        <v>0</v>
      </c>
    </row>
    <row r="118" spans="1:27" x14ac:dyDescent="0.2">
      <c r="A118" s="195" t="s">
        <v>1211</v>
      </c>
      <c r="B118" s="209" t="s">
        <v>509</v>
      </c>
      <c r="C118" s="139">
        <v>0</v>
      </c>
      <c r="D118" s="139">
        <v>0</v>
      </c>
      <c r="E118" s="139">
        <v>0</v>
      </c>
      <c r="F118" s="139">
        <v>0</v>
      </c>
      <c r="G118" s="139">
        <v>0</v>
      </c>
      <c r="H118" s="142">
        <v>0</v>
      </c>
      <c r="I118" s="142">
        <v>0</v>
      </c>
      <c r="J118" s="142">
        <v>0</v>
      </c>
      <c r="K118" s="142">
        <v>0</v>
      </c>
      <c r="L118" s="142">
        <v>0</v>
      </c>
      <c r="M118" s="142">
        <v>0</v>
      </c>
      <c r="N118" s="142">
        <v>0</v>
      </c>
      <c r="O118" s="142">
        <v>0</v>
      </c>
      <c r="P118" s="142">
        <v>0</v>
      </c>
      <c r="Q118" s="142">
        <v>0</v>
      </c>
      <c r="R118" s="142">
        <v>0</v>
      </c>
      <c r="S118" s="142">
        <v>0</v>
      </c>
      <c r="T118" s="142">
        <v>0</v>
      </c>
      <c r="U118" s="207" t="e">
        <v>#DIV/0!</v>
      </c>
      <c r="V118" s="142">
        <v>0</v>
      </c>
      <c r="W118" s="142">
        <v>0</v>
      </c>
      <c r="X118" s="142">
        <v>0</v>
      </c>
      <c r="Y118" s="142">
        <v>0</v>
      </c>
      <c r="Z118" s="142">
        <v>0</v>
      </c>
      <c r="AA118" s="142">
        <v>0</v>
      </c>
    </row>
    <row r="119" spans="1:27" x14ac:dyDescent="0.2">
      <c r="A119" s="195" t="s">
        <v>1212</v>
      </c>
      <c r="B119" s="209" t="s">
        <v>510</v>
      </c>
      <c r="C119" s="139">
        <v>0</v>
      </c>
      <c r="D119" s="139">
        <v>0</v>
      </c>
      <c r="E119" s="139">
        <v>0</v>
      </c>
      <c r="F119" s="139">
        <v>0</v>
      </c>
      <c r="G119" s="139">
        <v>0</v>
      </c>
      <c r="H119" s="142">
        <v>0</v>
      </c>
      <c r="I119" s="142">
        <v>0</v>
      </c>
      <c r="J119" s="142">
        <v>0</v>
      </c>
      <c r="K119" s="142">
        <v>0</v>
      </c>
      <c r="L119" s="142">
        <v>0</v>
      </c>
      <c r="M119" s="142">
        <v>0</v>
      </c>
      <c r="N119" s="142">
        <v>0</v>
      </c>
      <c r="O119" s="142">
        <v>0</v>
      </c>
      <c r="P119" s="142">
        <v>0</v>
      </c>
      <c r="Q119" s="142">
        <v>0</v>
      </c>
      <c r="R119" s="142">
        <v>0</v>
      </c>
      <c r="S119" s="142">
        <v>0</v>
      </c>
      <c r="T119" s="142">
        <v>0</v>
      </c>
      <c r="U119" s="207" t="e">
        <v>#DIV/0!</v>
      </c>
      <c r="V119" s="142">
        <v>0</v>
      </c>
      <c r="W119" s="142">
        <v>0</v>
      </c>
      <c r="X119" s="142">
        <v>0</v>
      </c>
      <c r="Y119" s="142">
        <v>0</v>
      </c>
      <c r="Z119" s="142">
        <v>0</v>
      </c>
      <c r="AA119" s="142">
        <v>0</v>
      </c>
    </row>
    <row r="120" spans="1:27" x14ac:dyDescent="0.2">
      <c r="A120" s="195"/>
      <c r="B120" s="201" t="s">
        <v>511</v>
      </c>
      <c r="C120" s="202">
        <v>0</v>
      </c>
      <c r="D120" s="202">
        <v>0</v>
      </c>
      <c r="E120" s="202">
        <v>0</v>
      </c>
      <c r="F120" s="202">
        <v>0</v>
      </c>
      <c r="G120" s="202">
        <v>0</v>
      </c>
      <c r="H120" s="202">
        <v>0</v>
      </c>
      <c r="I120" s="202">
        <v>0</v>
      </c>
      <c r="J120" s="202">
        <v>0</v>
      </c>
      <c r="K120" s="202">
        <v>0</v>
      </c>
      <c r="L120" s="202">
        <v>0</v>
      </c>
      <c r="M120" s="202">
        <v>0</v>
      </c>
      <c r="N120" s="202">
        <v>0</v>
      </c>
      <c r="O120" s="202">
        <v>0</v>
      </c>
      <c r="P120" s="202">
        <v>0</v>
      </c>
      <c r="Q120" s="202">
        <v>0</v>
      </c>
      <c r="R120" s="202">
        <v>0</v>
      </c>
      <c r="S120" s="202">
        <v>0</v>
      </c>
      <c r="T120" s="203">
        <v>0</v>
      </c>
      <c r="U120" s="204" t="e">
        <v>#DIV/0!</v>
      </c>
      <c r="V120" s="203">
        <v>0</v>
      </c>
      <c r="W120" s="203">
        <v>0</v>
      </c>
      <c r="X120" s="203">
        <v>0</v>
      </c>
      <c r="Y120" s="203">
        <v>0</v>
      </c>
      <c r="Z120" s="203">
        <v>0</v>
      </c>
      <c r="AA120" s="203">
        <v>0</v>
      </c>
    </row>
    <row r="121" spans="1:27" x14ac:dyDescent="0.2">
      <c r="A121" s="195" t="s">
        <v>1213</v>
      </c>
      <c r="B121" s="209" t="s">
        <v>512</v>
      </c>
      <c r="C121" s="139">
        <v>0</v>
      </c>
      <c r="D121" s="139">
        <v>0</v>
      </c>
      <c r="E121" s="139">
        <v>0</v>
      </c>
      <c r="F121" s="139">
        <v>0</v>
      </c>
      <c r="G121" s="139">
        <v>0</v>
      </c>
      <c r="H121" s="142">
        <v>0</v>
      </c>
      <c r="I121" s="142">
        <v>0</v>
      </c>
      <c r="J121" s="142">
        <v>0</v>
      </c>
      <c r="K121" s="142">
        <v>0</v>
      </c>
      <c r="L121" s="142">
        <v>0</v>
      </c>
      <c r="M121" s="142">
        <v>0</v>
      </c>
      <c r="N121" s="142">
        <v>0</v>
      </c>
      <c r="O121" s="142">
        <v>0</v>
      </c>
      <c r="P121" s="142">
        <v>0</v>
      </c>
      <c r="Q121" s="142">
        <v>0</v>
      </c>
      <c r="R121" s="142">
        <v>0</v>
      </c>
      <c r="S121" s="142">
        <v>0</v>
      </c>
      <c r="T121" s="142">
        <v>0</v>
      </c>
      <c r="U121" s="207" t="e">
        <v>#DIV/0!</v>
      </c>
      <c r="V121" s="142">
        <v>0</v>
      </c>
      <c r="W121" s="142">
        <v>0</v>
      </c>
      <c r="X121" s="142">
        <v>0</v>
      </c>
      <c r="Y121" s="142">
        <v>0</v>
      </c>
      <c r="Z121" s="142">
        <v>0</v>
      </c>
      <c r="AA121" s="142">
        <v>0</v>
      </c>
    </row>
    <row r="122" spans="1:27" x14ac:dyDescent="0.2">
      <c r="A122" s="195" t="s">
        <v>1214</v>
      </c>
      <c r="B122" s="209" t="s">
        <v>513</v>
      </c>
      <c r="C122" s="139">
        <v>0</v>
      </c>
      <c r="D122" s="139">
        <v>0</v>
      </c>
      <c r="E122" s="139">
        <v>0</v>
      </c>
      <c r="F122" s="139">
        <v>0</v>
      </c>
      <c r="G122" s="139">
        <v>0</v>
      </c>
      <c r="H122" s="142">
        <v>0</v>
      </c>
      <c r="I122" s="142">
        <v>0</v>
      </c>
      <c r="J122" s="142">
        <v>0</v>
      </c>
      <c r="K122" s="142">
        <v>0</v>
      </c>
      <c r="L122" s="142">
        <v>0</v>
      </c>
      <c r="M122" s="142">
        <v>0</v>
      </c>
      <c r="N122" s="142">
        <v>0</v>
      </c>
      <c r="O122" s="142">
        <v>0</v>
      </c>
      <c r="P122" s="142">
        <v>0</v>
      </c>
      <c r="Q122" s="142">
        <v>0</v>
      </c>
      <c r="R122" s="142">
        <v>0</v>
      </c>
      <c r="S122" s="142">
        <v>0</v>
      </c>
      <c r="T122" s="142">
        <v>0</v>
      </c>
      <c r="U122" s="207" t="e">
        <v>#DIV/0!</v>
      </c>
      <c r="V122" s="142">
        <v>0</v>
      </c>
      <c r="W122" s="142">
        <v>0</v>
      </c>
      <c r="X122" s="142">
        <v>0</v>
      </c>
      <c r="Y122" s="142">
        <v>0</v>
      </c>
      <c r="Z122" s="142">
        <v>0</v>
      </c>
      <c r="AA122" s="142">
        <v>0</v>
      </c>
    </row>
    <row r="123" spans="1:27" s="205" customFormat="1" x14ac:dyDescent="0.2">
      <c r="A123" s="195" t="s">
        <v>1215</v>
      </c>
      <c r="B123" s="201" t="s">
        <v>514</v>
      </c>
      <c r="C123" s="208">
        <v>0</v>
      </c>
      <c r="D123" s="208">
        <v>0</v>
      </c>
      <c r="E123" s="208">
        <v>0</v>
      </c>
      <c r="F123" s="208">
        <v>0</v>
      </c>
      <c r="G123" s="208">
        <v>0</v>
      </c>
      <c r="H123" s="203">
        <v>0</v>
      </c>
      <c r="I123" s="203">
        <v>0</v>
      </c>
      <c r="J123" s="203">
        <v>0</v>
      </c>
      <c r="K123" s="203">
        <v>0</v>
      </c>
      <c r="L123" s="203">
        <v>0</v>
      </c>
      <c r="M123" s="203">
        <v>0</v>
      </c>
      <c r="N123" s="203">
        <v>0</v>
      </c>
      <c r="O123" s="203">
        <v>0</v>
      </c>
      <c r="P123" s="203">
        <v>0</v>
      </c>
      <c r="Q123" s="203">
        <v>0</v>
      </c>
      <c r="R123" s="203">
        <v>0</v>
      </c>
      <c r="S123" s="203">
        <v>0</v>
      </c>
      <c r="T123" s="203">
        <v>0</v>
      </c>
      <c r="U123" s="204" t="e">
        <v>#DIV/0!</v>
      </c>
      <c r="V123" s="203">
        <v>0</v>
      </c>
      <c r="W123" s="203">
        <v>0</v>
      </c>
      <c r="X123" s="203">
        <v>0</v>
      </c>
      <c r="Y123" s="203">
        <v>0</v>
      </c>
      <c r="Z123" s="203">
        <v>0</v>
      </c>
      <c r="AA123" s="203">
        <v>0</v>
      </c>
    </row>
    <row r="124" spans="1:27" x14ac:dyDescent="0.2">
      <c r="A124" s="195"/>
      <c r="B124" s="201" t="s">
        <v>515</v>
      </c>
      <c r="C124" s="202">
        <v>0</v>
      </c>
      <c r="D124" s="202">
        <v>0</v>
      </c>
      <c r="E124" s="202">
        <v>0</v>
      </c>
      <c r="F124" s="202">
        <v>0</v>
      </c>
      <c r="G124" s="202">
        <v>0</v>
      </c>
      <c r="H124" s="202">
        <v>0</v>
      </c>
      <c r="I124" s="202">
        <v>0</v>
      </c>
      <c r="J124" s="202">
        <v>0</v>
      </c>
      <c r="K124" s="202">
        <v>0</v>
      </c>
      <c r="L124" s="202">
        <v>0</v>
      </c>
      <c r="M124" s="202">
        <v>0</v>
      </c>
      <c r="N124" s="202">
        <v>0</v>
      </c>
      <c r="O124" s="202">
        <v>0</v>
      </c>
      <c r="P124" s="202">
        <v>0</v>
      </c>
      <c r="Q124" s="202">
        <v>0</v>
      </c>
      <c r="R124" s="202">
        <v>0</v>
      </c>
      <c r="S124" s="202">
        <v>0</v>
      </c>
      <c r="T124" s="203">
        <v>0</v>
      </c>
      <c r="U124" s="204" t="e">
        <v>#DIV/0!</v>
      </c>
      <c r="V124" s="203">
        <v>0</v>
      </c>
      <c r="W124" s="203">
        <v>0</v>
      </c>
      <c r="X124" s="203">
        <v>0</v>
      </c>
      <c r="Y124" s="203">
        <v>0</v>
      </c>
      <c r="Z124" s="203">
        <v>0</v>
      </c>
      <c r="AA124" s="203">
        <v>0</v>
      </c>
    </row>
    <row r="125" spans="1:27" x14ac:dyDescent="0.2">
      <c r="A125" s="195" t="s">
        <v>1216</v>
      </c>
      <c r="B125" s="209" t="s">
        <v>516</v>
      </c>
      <c r="C125" s="139">
        <v>0</v>
      </c>
      <c r="D125" s="139">
        <v>0</v>
      </c>
      <c r="E125" s="139">
        <v>0</v>
      </c>
      <c r="F125" s="139">
        <v>0</v>
      </c>
      <c r="G125" s="139">
        <v>0</v>
      </c>
      <c r="H125" s="142">
        <v>0</v>
      </c>
      <c r="I125" s="142">
        <v>0</v>
      </c>
      <c r="J125" s="142">
        <v>0</v>
      </c>
      <c r="K125" s="142">
        <v>0</v>
      </c>
      <c r="L125" s="142">
        <v>0</v>
      </c>
      <c r="M125" s="142">
        <v>0</v>
      </c>
      <c r="N125" s="142">
        <v>0</v>
      </c>
      <c r="O125" s="142">
        <v>0</v>
      </c>
      <c r="P125" s="142">
        <v>0</v>
      </c>
      <c r="Q125" s="142">
        <v>0</v>
      </c>
      <c r="R125" s="142">
        <v>0</v>
      </c>
      <c r="S125" s="142">
        <v>0</v>
      </c>
      <c r="T125" s="142">
        <v>0</v>
      </c>
      <c r="U125" s="207" t="e">
        <v>#DIV/0!</v>
      </c>
      <c r="V125" s="142">
        <v>0</v>
      </c>
      <c r="W125" s="142">
        <v>0</v>
      </c>
      <c r="X125" s="142">
        <v>0</v>
      </c>
      <c r="Y125" s="142">
        <v>0</v>
      </c>
      <c r="Z125" s="142">
        <v>0</v>
      </c>
      <c r="AA125" s="142">
        <v>0</v>
      </c>
    </row>
    <row r="126" spans="1:27" x14ac:dyDescent="0.2">
      <c r="A126" s="195" t="s">
        <v>1217</v>
      </c>
      <c r="B126" s="209" t="s">
        <v>517</v>
      </c>
      <c r="C126" s="139">
        <v>0</v>
      </c>
      <c r="D126" s="139">
        <v>0</v>
      </c>
      <c r="E126" s="139">
        <v>0</v>
      </c>
      <c r="F126" s="139">
        <v>0</v>
      </c>
      <c r="G126" s="139">
        <v>0</v>
      </c>
      <c r="H126" s="142">
        <v>0</v>
      </c>
      <c r="I126" s="142">
        <v>0</v>
      </c>
      <c r="J126" s="142">
        <v>0</v>
      </c>
      <c r="K126" s="142">
        <v>0</v>
      </c>
      <c r="L126" s="142">
        <v>0</v>
      </c>
      <c r="M126" s="142">
        <v>0</v>
      </c>
      <c r="N126" s="142">
        <v>0</v>
      </c>
      <c r="O126" s="142">
        <v>0</v>
      </c>
      <c r="P126" s="142">
        <v>0</v>
      </c>
      <c r="Q126" s="142">
        <v>0</v>
      </c>
      <c r="R126" s="142">
        <v>0</v>
      </c>
      <c r="S126" s="142">
        <v>0</v>
      </c>
      <c r="T126" s="142">
        <v>0</v>
      </c>
      <c r="U126" s="207" t="e">
        <v>#DIV/0!</v>
      </c>
      <c r="V126" s="142">
        <v>0</v>
      </c>
      <c r="W126" s="142">
        <v>0</v>
      </c>
      <c r="X126" s="142">
        <v>0</v>
      </c>
      <c r="Y126" s="142">
        <v>0</v>
      </c>
      <c r="Z126" s="142">
        <v>0</v>
      </c>
      <c r="AA126" s="142">
        <v>0</v>
      </c>
    </row>
    <row r="127" spans="1:27" x14ac:dyDescent="0.2">
      <c r="A127" s="195"/>
      <c r="B127" s="201" t="s">
        <v>518</v>
      </c>
      <c r="C127" s="202">
        <v>0</v>
      </c>
      <c r="D127" s="202">
        <v>0</v>
      </c>
      <c r="E127" s="202">
        <v>0</v>
      </c>
      <c r="F127" s="202">
        <v>0</v>
      </c>
      <c r="G127" s="202">
        <v>0</v>
      </c>
      <c r="H127" s="202">
        <v>0</v>
      </c>
      <c r="I127" s="202">
        <v>0</v>
      </c>
      <c r="J127" s="202">
        <v>0</v>
      </c>
      <c r="K127" s="202">
        <v>0</v>
      </c>
      <c r="L127" s="202">
        <v>0</v>
      </c>
      <c r="M127" s="202">
        <v>0</v>
      </c>
      <c r="N127" s="202">
        <v>0</v>
      </c>
      <c r="O127" s="202">
        <v>0</v>
      </c>
      <c r="P127" s="202">
        <v>0</v>
      </c>
      <c r="Q127" s="202">
        <v>0</v>
      </c>
      <c r="R127" s="202">
        <v>0</v>
      </c>
      <c r="S127" s="202">
        <v>0</v>
      </c>
      <c r="T127" s="203">
        <v>0</v>
      </c>
      <c r="U127" s="204" t="e">
        <v>#DIV/0!</v>
      </c>
      <c r="V127" s="203">
        <v>0</v>
      </c>
      <c r="W127" s="203">
        <v>0</v>
      </c>
      <c r="X127" s="203">
        <v>0</v>
      </c>
      <c r="Y127" s="203">
        <v>0</v>
      </c>
      <c r="Z127" s="203">
        <v>0</v>
      </c>
      <c r="AA127" s="203">
        <v>0</v>
      </c>
    </row>
    <row r="128" spans="1:27" x14ac:dyDescent="0.2">
      <c r="A128" s="195" t="s">
        <v>1218</v>
      </c>
      <c r="B128" s="209" t="s">
        <v>519</v>
      </c>
      <c r="C128" s="139">
        <v>0</v>
      </c>
      <c r="D128" s="139">
        <v>0</v>
      </c>
      <c r="E128" s="139">
        <v>0</v>
      </c>
      <c r="F128" s="139">
        <v>0</v>
      </c>
      <c r="G128" s="139">
        <v>0</v>
      </c>
      <c r="H128" s="142">
        <v>0</v>
      </c>
      <c r="I128" s="142">
        <v>0</v>
      </c>
      <c r="J128" s="142">
        <v>0</v>
      </c>
      <c r="K128" s="142">
        <v>0</v>
      </c>
      <c r="L128" s="142">
        <v>0</v>
      </c>
      <c r="M128" s="142">
        <v>0</v>
      </c>
      <c r="N128" s="142">
        <v>0</v>
      </c>
      <c r="O128" s="142">
        <v>0</v>
      </c>
      <c r="P128" s="142">
        <v>0</v>
      </c>
      <c r="Q128" s="142">
        <v>0</v>
      </c>
      <c r="R128" s="142">
        <v>0</v>
      </c>
      <c r="S128" s="142">
        <v>0</v>
      </c>
      <c r="T128" s="142">
        <v>0</v>
      </c>
      <c r="U128" s="207" t="e">
        <v>#DIV/0!</v>
      </c>
      <c r="V128" s="142">
        <v>0</v>
      </c>
      <c r="W128" s="142">
        <v>0</v>
      </c>
      <c r="X128" s="142">
        <v>0</v>
      </c>
      <c r="Y128" s="142">
        <v>0</v>
      </c>
      <c r="Z128" s="142">
        <v>0</v>
      </c>
      <c r="AA128" s="142">
        <v>0</v>
      </c>
    </row>
    <row r="129" spans="1:27" x14ac:dyDescent="0.2">
      <c r="A129" s="195" t="s">
        <v>1219</v>
      </c>
      <c r="B129" s="209" t="s">
        <v>520</v>
      </c>
      <c r="C129" s="139">
        <v>0</v>
      </c>
      <c r="D129" s="139">
        <v>0</v>
      </c>
      <c r="E129" s="139">
        <v>0</v>
      </c>
      <c r="F129" s="139">
        <v>0</v>
      </c>
      <c r="G129" s="139">
        <v>0</v>
      </c>
      <c r="H129" s="142">
        <v>0</v>
      </c>
      <c r="I129" s="142">
        <v>0</v>
      </c>
      <c r="J129" s="142">
        <v>0</v>
      </c>
      <c r="K129" s="142">
        <v>0</v>
      </c>
      <c r="L129" s="142">
        <v>0</v>
      </c>
      <c r="M129" s="142">
        <v>0</v>
      </c>
      <c r="N129" s="142">
        <v>0</v>
      </c>
      <c r="O129" s="142">
        <v>0</v>
      </c>
      <c r="P129" s="142">
        <v>0</v>
      </c>
      <c r="Q129" s="142">
        <v>0</v>
      </c>
      <c r="R129" s="142">
        <v>0</v>
      </c>
      <c r="S129" s="142">
        <v>0</v>
      </c>
      <c r="T129" s="142">
        <v>0</v>
      </c>
      <c r="U129" s="207" t="e">
        <v>#DIV/0!</v>
      </c>
      <c r="V129" s="142">
        <v>0</v>
      </c>
      <c r="W129" s="142">
        <v>0</v>
      </c>
      <c r="X129" s="142">
        <v>0</v>
      </c>
      <c r="Y129" s="142">
        <v>0</v>
      </c>
      <c r="Z129" s="142">
        <v>0</v>
      </c>
      <c r="AA129" s="142">
        <v>0</v>
      </c>
    </row>
    <row r="130" spans="1:27" x14ac:dyDescent="0.2">
      <c r="A130" s="195"/>
      <c r="B130" s="201" t="s">
        <v>521</v>
      </c>
      <c r="C130" s="202">
        <v>0</v>
      </c>
      <c r="D130" s="202">
        <v>0</v>
      </c>
      <c r="E130" s="202">
        <v>0</v>
      </c>
      <c r="F130" s="202">
        <v>0</v>
      </c>
      <c r="G130" s="202">
        <v>0</v>
      </c>
      <c r="H130" s="202">
        <v>0</v>
      </c>
      <c r="I130" s="202">
        <v>0</v>
      </c>
      <c r="J130" s="202">
        <v>0</v>
      </c>
      <c r="K130" s="202">
        <v>0</v>
      </c>
      <c r="L130" s="202">
        <v>0</v>
      </c>
      <c r="M130" s="202">
        <v>0</v>
      </c>
      <c r="N130" s="202">
        <v>0</v>
      </c>
      <c r="O130" s="202">
        <v>0</v>
      </c>
      <c r="P130" s="202">
        <v>0</v>
      </c>
      <c r="Q130" s="202">
        <v>0</v>
      </c>
      <c r="R130" s="202">
        <v>0</v>
      </c>
      <c r="S130" s="202">
        <v>0</v>
      </c>
      <c r="T130" s="203">
        <v>0</v>
      </c>
      <c r="U130" s="204" t="e">
        <v>#DIV/0!</v>
      </c>
      <c r="V130" s="203">
        <v>0</v>
      </c>
      <c r="W130" s="203">
        <v>0</v>
      </c>
      <c r="X130" s="203">
        <v>0</v>
      </c>
      <c r="Y130" s="203">
        <v>0</v>
      </c>
      <c r="Z130" s="203">
        <v>0</v>
      </c>
      <c r="AA130" s="203">
        <v>0</v>
      </c>
    </row>
    <row r="131" spans="1:27" x14ac:dyDescent="0.2">
      <c r="A131" s="195" t="s">
        <v>1220</v>
      </c>
      <c r="B131" s="206" t="s">
        <v>522</v>
      </c>
      <c r="C131" s="139">
        <v>0</v>
      </c>
      <c r="D131" s="139">
        <v>0</v>
      </c>
      <c r="E131" s="139">
        <v>0</v>
      </c>
      <c r="F131" s="139">
        <v>0</v>
      </c>
      <c r="G131" s="139">
        <v>0</v>
      </c>
      <c r="H131" s="142">
        <v>0</v>
      </c>
      <c r="I131" s="142">
        <v>0</v>
      </c>
      <c r="J131" s="142">
        <v>0</v>
      </c>
      <c r="K131" s="142">
        <v>0</v>
      </c>
      <c r="L131" s="142">
        <v>0</v>
      </c>
      <c r="M131" s="142">
        <v>0</v>
      </c>
      <c r="N131" s="142">
        <v>0</v>
      </c>
      <c r="O131" s="142">
        <v>0</v>
      </c>
      <c r="P131" s="142">
        <v>0</v>
      </c>
      <c r="Q131" s="142">
        <v>0</v>
      </c>
      <c r="R131" s="142">
        <v>0</v>
      </c>
      <c r="S131" s="142">
        <v>0</v>
      </c>
      <c r="T131" s="142">
        <v>0</v>
      </c>
      <c r="U131" s="207" t="e">
        <v>#DIV/0!</v>
      </c>
      <c r="V131" s="142">
        <v>0</v>
      </c>
      <c r="W131" s="142">
        <v>0</v>
      </c>
      <c r="X131" s="142">
        <v>0</v>
      </c>
      <c r="Y131" s="142">
        <v>0</v>
      </c>
      <c r="Z131" s="142">
        <v>0</v>
      </c>
      <c r="AA131" s="142">
        <v>0</v>
      </c>
    </row>
    <row r="132" spans="1:27" x14ac:dyDescent="0.2">
      <c r="A132" s="195" t="s">
        <v>1221</v>
      </c>
      <c r="B132" s="206" t="s">
        <v>523</v>
      </c>
      <c r="C132" s="139">
        <v>0</v>
      </c>
      <c r="D132" s="139">
        <v>0</v>
      </c>
      <c r="E132" s="139">
        <v>0</v>
      </c>
      <c r="F132" s="139">
        <v>0</v>
      </c>
      <c r="G132" s="139">
        <v>0</v>
      </c>
      <c r="H132" s="142">
        <v>0</v>
      </c>
      <c r="I132" s="142">
        <v>0</v>
      </c>
      <c r="J132" s="142">
        <v>0</v>
      </c>
      <c r="K132" s="142">
        <v>0</v>
      </c>
      <c r="L132" s="142">
        <v>0</v>
      </c>
      <c r="M132" s="142">
        <v>0</v>
      </c>
      <c r="N132" s="142">
        <v>0</v>
      </c>
      <c r="O132" s="142">
        <v>0</v>
      </c>
      <c r="P132" s="142">
        <v>0</v>
      </c>
      <c r="Q132" s="142">
        <v>0</v>
      </c>
      <c r="R132" s="142">
        <v>0</v>
      </c>
      <c r="S132" s="142">
        <v>0</v>
      </c>
      <c r="T132" s="142">
        <v>0</v>
      </c>
      <c r="U132" s="207" t="e">
        <v>#DIV/0!</v>
      </c>
      <c r="V132" s="142">
        <v>0</v>
      </c>
      <c r="W132" s="142">
        <v>0</v>
      </c>
      <c r="X132" s="142">
        <v>0</v>
      </c>
      <c r="Y132" s="142">
        <v>0</v>
      </c>
      <c r="Z132" s="142">
        <v>0</v>
      </c>
      <c r="AA132" s="142">
        <v>0</v>
      </c>
    </row>
    <row r="133" spans="1:27" ht="24" x14ac:dyDescent="0.2">
      <c r="A133" s="195" t="s">
        <v>1222</v>
      </c>
      <c r="B133" s="206" t="s">
        <v>524</v>
      </c>
      <c r="C133" s="139">
        <v>0</v>
      </c>
      <c r="D133" s="139">
        <v>0</v>
      </c>
      <c r="E133" s="139">
        <v>0</v>
      </c>
      <c r="F133" s="139">
        <v>0</v>
      </c>
      <c r="G133" s="139">
        <v>0</v>
      </c>
      <c r="H133" s="142">
        <v>0</v>
      </c>
      <c r="I133" s="142">
        <v>0</v>
      </c>
      <c r="J133" s="142">
        <v>0</v>
      </c>
      <c r="K133" s="142">
        <v>0</v>
      </c>
      <c r="L133" s="142">
        <v>0</v>
      </c>
      <c r="M133" s="142">
        <v>0</v>
      </c>
      <c r="N133" s="142">
        <v>0</v>
      </c>
      <c r="O133" s="142">
        <v>0</v>
      </c>
      <c r="P133" s="142">
        <v>0</v>
      </c>
      <c r="Q133" s="142">
        <v>0</v>
      </c>
      <c r="R133" s="142">
        <v>0</v>
      </c>
      <c r="S133" s="142">
        <v>0</v>
      </c>
      <c r="T133" s="142">
        <v>0</v>
      </c>
      <c r="U133" s="207" t="e">
        <v>#DIV/0!</v>
      </c>
      <c r="V133" s="142">
        <v>0</v>
      </c>
      <c r="W133" s="142">
        <v>0</v>
      </c>
      <c r="X133" s="142">
        <v>0</v>
      </c>
      <c r="Y133" s="142">
        <v>0</v>
      </c>
      <c r="Z133" s="142">
        <v>0</v>
      </c>
      <c r="AA133" s="142">
        <v>0</v>
      </c>
    </row>
    <row r="134" spans="1:27" x14ac:dyDescent="0.2">
      <c r="A134" s="195"/>
      <c r="B134" s="201" t="s">
        <v>525</v>
      </c>
      <c r="C134" s="202">
        <v>0</v>
      </c>
      <c r="D134" s="202">
        <v>0</v>
      </c>
      <c r="E134" s="202">
        <v>0</v>
      </c>
      <c r="F134" s="202">
        <v>0</v>
      </c>
      <c r="G134" s="202">
        <v>0</v>
      </c>
      <c r="H134" s="202">
        <v>0</v>
      </c>
      <c r="I134" s="202">
        <v>0</v>
      </c>
      <c r="J134" s="202">
        <v>0</v>
      </c>
      <c r="K134" s="202">
        <v>0</v>
      </c>
      <c r="L134" s="202">
        <v>0</v>
      </c>
      <c r="M134" s="202">
        <v>0</v>
      </c>
      <c r="N134" s="202">
        <v>0</v>
      </c>
      <c r="O134" s="202">
        <v>0</v>
      </c>
      <c r="P134" s="202">
        <v>0</v>
      </c>
      <c r="Q134" s="202">
        <v>0</v>
      </c>
      <c r="R134" s="202">
        <v>0</v>
      </c>
      <c r="S134" s="202">
        <v>0</v>
      </c>
      <c r="T134" s="203">
        <v>0</v>
      </c>
      <c r="U134" s="204" t="e">
        <v>#DIV/0!</v>
      </c>
      <c r="V134" s="203">
        <v>0</v>
      </c>
      <c r="W134" s="203">
        <v>0</v>
      </c>
      <c r="X134" s="203">
        <v>0</v>
      </c>
      <c r="Y134" s="203">
        <v>0</v>
      </c>
      <c r="Z134" s="203">
        <v>0</v>
      </c>
      <c r="AA134" s="203">
        <v>0</v>
      </c>
    </row>
    <row r="135" spans="1:27" x14ac:dyDescent="0.2">
      <c r="A135" s="195" t="s">
        <v>1223</v>
      </c>
      <c r="B135" s="209" t="s">
        <v>526</v>
      </c>
      <c r="C135" s="139">
        <v>0</v>
      </c>
      <c r="D135" s="139">
        <v>0</v>
      </c>
      <c r="E135" s="139">
        <v>0</v>
      </c>
      <c r="F135" s="139">
        <v>0</v>
      </c>
      <c r="G135" s="139">
        <v>0</v>
      </c>
      <c r="H135" s="142">
        <v>0</v>
      </c>
      <c r="I135" s="142">
        <v>0</v>
      </c>
      <c r="J135" s="142">
        <v>0</v>
      </c>
      <c r="K135" s="142">
        <v>0</v>
      </c>
      <c r="L135" s="142">
        <v>0</v>
      </c>
      <c r="M135" s="142">
        <v>0</v>
      </c>
      <c r="N135" s="142">
        <v>0</v>
      </c>
      <c r="O135" s="142">
        <v>0</v>
      </c>
      <c r="P135" s="142">
        <v>0</v>
      </c>
      <c r="Q135" s="142">
        <v>0</v>
      </c>
      <c r="R135" s="142">
        <v>0</v>
      </c>
      <c r="S135" s="142">
        <v>0</v>
      </c>
      <c r="T135" s="142">
        <v>0</v>
      </c>
      <c r="U135" s="207" t="e">
        <v>#DIV/0!</v>
      </c>
      <c r="V135" s="142">
        <v>0</v>
      </c>
      <c r="W135" s="142">
        <v>0</v>
      </c>
      <c r="X135" s="142">
        <v>0</v>
      </c>
      <c r="Y135" s="142">
        <v>0</v>
      </c>
      <c r="Z135" s="142">
        <v>0</v>
      </c>
      <c r="AA135" s="142">
        <v>0</v>
      </c>
    </row>
    <row r="136" spans="1:27" x14ac:dyDescent="0.2">
      <c r="A136" s="195" t="s">
        <v>1224</v>
      </c>
      <c r="B136" s="209" t="s">
        <v>527</v>
      </c>
      <c r="C136" s="139">
        <v>0</v>
      </c>
      <c r="D136" s="139">
        <v>0</v>
      </c>
      <c r="E136" s="139">
        <v>0</v>
      </c>
      <c r="F136" s="139">
        <v>0</v>
      </c>
      <c r="G136" s="139">
        <v>0</v>
      </c>
      <c r="H136" s="142">
        <v>0</v>
      </c>
      <c r="I136" s="142">
        <v>0</v>
      </c>
      <c r="J136" s="142">
        <v>0</v>
      </c>
      <c r="K136" s="142">
        <v>0</v>
      </c>
      <c r="L136" s="142">
        <v>0</v>
      </c>
      <c r="M136" s="142">
        <v>0</v>
      </c>
      <c r="N136" s="142">
        <v>0</v>
      </c>
      <c r="O136" s="142">
        <v>0</v>
      </c>
      <c r="P136" s="142">
        <v>0</v>
      </c>
      <c r="Q136" s="142">
        <v>0</v>
      </c>
      <c r="R136" s="142">
        <v>0</v>
      </c>
      <c r="S136" s="142">
        <v>0</v>
      </c>
      <c r="T136" s="142">
        <v>0</v>
      </c>
      <c r="U136" s="207" t="e">
        <v>#DIV/0!</v>
      </c>
      <c r="V136" s="142">
        <v>0</v>
      </c>
      <c r="W136" s="142">
        <v>0</v>
      </c>
      <c r="X136" s="142">
        <v>0</v>
      </c>
      <c r="Y136" s="142">
        <v>0</v>
      </c>
      <c r="Z136" s="142">
        <v>0</v>
      </c>
      <c r="AA136" s="142">
        <v>0</v>
      </c>
    </row>
    <row r="137" spans="1:27" x14ac:dyDescent="0.2">
      <c r="A137" s="195" t="s">
        <v>1225</v>
      </c>
      <c r="B137" s="209" t="s">
        <v>528</v>
      </c>
      <c r="C137" s="139">
        <v>0</v>
      </c>
      <c r="D137" s="139">
        <v>0</v>
      </c>
      <c r="E137" s="139">
        <v>0</v>
      </c>
      <c r="F137" s="139">
        <v>0</v>
      </c>
      <c r="G137" s="139">
        <v>0</v>
      </c>
      <c r="H137" s="142">
        <v>0</v>
      </c>
      <c r="I137" s="142">
        <v>0</v>
      </c>
      <c r="J137" s="142">
        <v>0</v>
      </c>
      <c r="K137" s="142">
        <v>0</v>
      </c>
      <c r="L137" s="142">
        <v>0</v>
      </c>
      <c r="M137" s="142">
        <v>0</v>
      </c>
      <c r="N137" s="142">
        <v>0</v>
      </c>
      <c r="O137" s="142">
        <v>0</v>
      </c>
      <c r="P137" s="142">
        <v>0</v>
      </c>
      <c r="Q137" s="142">
        <v>0</v>
      </c>
      <c r="R137" s="142">
        <v>0</v>
      </c>
      <c r="S137" s="142">
        <v>0</v>
      </c>
      <c r="T137" s="142">
        <v>0</v>
      </c>
      <c r="U137" s="207" t="e">
        <v>#DIV/0!</v>
      </c>
      <c r="V137" s="142">
        <v>0</v>
      </c>
      <c r="W137" s="142">
        <v>0</v>
      </c>
      <c r="X137" s="142">
        <v>0</v>
      </c>
      <c r="Y137" s="142">
        <v>0</v>
      </c>
      <c r="Z137" s="142">
        <v>0</v>
      </c>
      <c r="AA137" s="142">
        <v>0</v>
      </c>
    </row>
    <row r="138" spans="1:27" x14ac:dyDescent="0.2">
      <c r="A138" s="195" t="s">
        <v>1226</v>
      </c>
      <c r="B138" s="209" t="s">
        <v>529</v>
      </c>
      <c r="C138" s="139">
        <v>0</v>
      </c>
      <c r="D138" s="139">
        <v>0</v>
      </c>
      <c r="E138" s="139">
        <v>0</v>
      </c>
      <c r="F138" s="139">
        <v>0</v>
      </c>
      <c r="G138" s="139">
        <v>0</v>
      </c>
      <c r="H138" s="142">
        <v>0</v>
      </c>
      <c r="I138" s="142">
        <v>0</v>
      </c>
      <c r="J138" s="142">
        <v>0</v>
      </c>
      <c r="K138" s="142">
        <v>0</v>
      </c>
      <c r="L138" s="142">
        <v>0</v>
      </c>
      <c r="M138" s="142">
        <v>0</v>
      </c>
      <c r="N138" s="142">
        <v>0</v>
      </c>
      <c r="O138" s="142">
        <v>0</v>
      </c>
      <c r="P138" s="142">
        <v>0</v>
      </c>
      <c r="Q138" s="142">
        <v>0</v>
      </c>
      <c r="R138" s="142">
        <v>0</v>
      </c>
      <c r="S138" s="142">
        <v>0</v>
      </c>
      <c r="T138" s="142">
        <v>0</v>
      </c>
      <c r="U138" s="207" t="e">
        <v>#DIV/0!</v>
      </c>
      <c r="V138" s="142">
        <v>0</v>
      </c>
      <c r="W138" s="142">
        <v>0</v>
      </c>
      <c r="X138" s="142">
        <v>0</v>
      </c>
      <c r="Y138" s="142">
        <v>0</v>
      </c>
      <c r="Z138" s="142">
        <v>0</v>
      </c>
      <c r="AA138" s="142">
        <v>0</v>
      </c>
    </row>
    <row r="139" spans="1:27" x14ac:dyDescent="0.2">
      <c r="A139" s="195" t="s">
        <v>1227</v>
      </c>
      <c r="B139" s="209" t="s">
        <v>530</v>
      </c>
      <c r="C139" s="139">
        <v>0</v>
      </c>
      <c r="D139" s="139">
        <v>0</v>
      </c>
      <c r="E139" s="139">
        <v>0</v>
      </c>
      <c r="F139" s="139">
        <v>0</v>
      </c>
      <c r="G139" s="139">
        <v>0</v>
      </c>
      <c r="H139" s="142">
        <v>0</v>
      </c>
      <c r="I139" s="142">
        <v>0</v>
      </c>
      <c r="J139" s="142">
        <v>0</v>
      </c>
      <c r="K139" s="142">
        <v>0</v>
      </c>
      <c r="L139" s="142">
        <v>0</v>
      </c>
      <c r="M139" s="142">
        <v>0</v>
      </c>
      <c r="N139" s="142">
        <v>0</v>
      </c>
      <c r="O139" s="142">
        <v>0</v>
      </c>
      <c r="P139" s="142">
        <v>0</v>
      </c>
      <c r="Q139" s="142">
        <v>0</v>
      </c>
      <c r="R139" s="142">
        <v>0</v>
      </c>
      <c r="S139" s="142">
        <v>0</v>
      </c>
      <c r="T139" s="142">
        <v>0</v>
      </c>
      <c r="U139" s="207" t="e">
        <v>#DIV/0!</v>
      </c>
      <c r="V139" s="142">
        <v>0</v>
      </c>
      <c r="W139" s="142">
        <v>0</v>
      </c>
      <c r="X139" s="142">
        <v>0</v>
      </c>
      <c r="Y139" s="142">
        <v>0</v>
      </c>
      <c r="Z139" s="142">
        <v>0</v>
      </c>
      <c r="AA139" s="142">
        <v>0</v>
      </c>
    </row>
    <row r="140" spans="1:27" x14ac:dyDescent="0.2">
      <c r="A140" s="195" t="s">
        <v>1228</v>
      </c>
      <c r="B140" s="209" t="s">
        <v>531</v>
      </c>
      <c r="C140" s="139">
        <v>0</v>
      </c>
      <c r="D140" s="139">
        <v>0</v>
      </c>
      <c r="E140" s="139">
        <v>0</v>
      </c>
      <c r="F140" s="139">
        <v>0</v>
      </c>
      <c r="G140" s="139">
        <v>0</v>
      </c>
      <c r="H140" s="142">
        <v>0</v>
      </c>
      <c r="I140" s="142">
        <v>0</v>
      </c>
      <c r="J140" s="142">
        <v>0</v>
      </c>
      <c r="K140" s="142">
        <v>0</v>
      </c>
      <c r="L140" s="142">
        <v>0</v>
      </c>
      <c r="M140" s="142">
        <v>0</v>
      </c>
      <c r="N140" s="142">
        <v>0</v>
      </c>
      <c r="O140" s="142">
        <v>0</v>
      </c>
      <c r="P140" s="142">
        <v>0</v>
      </c>
      <c r="Q140" s="142">
        <v>0</v>
      </c>
      <c r="R140" s="142">
        <v>0</v>
      </c>
      <c r="S140" s="142">
        <v>0</v>
      </c>
      <c r="T140" s="142">
        <v>0</v>
      </c>
      <c r="U140" s="207" t="e">
        <v>#DIV/0!</v>
      </c>
      <c r="V140" s="142">
        <v>0</v>
      </c>
      <c r="W140" s="142">
        <v>0</v>
      </c>
      <c r="X140" s="142">
        <v>0</v>
      </c>
      <c r="Y140" s="142">
        <v>0</v>
      </c>
      <c r="Z140" s="142">
        <v>0</v>
      </c>
      <c r="AA140" s="142">
        <v>0</v>
      </c>
    </row>
    <row r="141" spans="1:27" x14ac:dyDescent="0.2">
      <c r="A141" s="195" t="s">
        <v>1229</v>
      </c>
      <c r="B141" s="209" t="s">
        <v>532</v>
      </c>
      <c r="C141" s="139">
        <v>0</v>
      </c>
      <c r="D141" s="139">
        <v>0</v>
      </c>
      <c r="E141" s="139">
        <v>0</v>
      </c>
      <c r="F141" s="139">
        <v>0</v>
      </c>
      <c r="G141" s="139">
        <v>0</v>
      </c>
      <c r="H141" s="142">
        <v>0</v>
      </c>
      <c r="I141" s="142">
        <v>0</v>
      </c>
      <c r="J141" s="142">
        <v>0</v>
      </c>
      <c r="K141" s="142">
        <v>0</v>
      </c>
      <c r="L141" s="142">
        <v>0</v>
      </c>
      <c r="M141" s="142">
        <v>0</v>
      </c>
      <c r="N141" s="142">
        <v>0</v>
      </c>
      <c r="O141" s="142">
        <v>0</v>
      </c>
      <c r="P141" s="142">
        <v>0</v>
      </c>
      <c r="Q141" s="142">
        <v>0</v>
      </c>
      <c r="R141" s="142">
        <v>0</v>
      </c>
      <c r="S141" s="142">
        <v>0</v>
      </c>
      <c r="T141" s="142">
        <v>0</v>
      </c>
      <c r="U141" s="207" t="e">
        <v>#DIV/0!</v>
      </c>
      <c r="V141" s="142">
        <v>0</v>
      </c>
      <c r="W141" s="142">
        <v>0</v>
      </c>
      <c r="X141" s="142">
        <v>0</v>
      </c>
      <c r="Y141" s="142">
        <v>0</v>
      </c>
      <c r="Z141" s="142">
        <v>0</v>
      </c>
      <c r="AA141" s="142">
        <v>0</v>
      </c>
    </row>
    <row r="142" spans="1:27" s="205" customFormat="1" x14ac:dyDescent="0.2">
      <c r="A142" s="195" t="s">
        <v>1230</v>
      </c>
      <c r="B142" s="201" t="s">
        <v>533</v>
      </c>
      <c r="C142" s="208">
        <v>0</v>
      </c>
      <c r="D142" s="208">
        <v>0</v>
      </c>
      <c r="E142" s="208">
        <v>0</v>
      </c>
      <c r="F142" s="208">
        <v>0</v>
      </c>
      <c r="G142" s="208">
        <v>0</v>
      </c>
      <c r="H142" s="203">
        <v>0</v>
      </c>
      <c r="I142" s="203">
        <v>0</v>
      </c>
      <c r="J142" s="203">
        <v>0</v>
      </c>
      <c r="K142" s="203">
        <v>0</v>
      </c>
      <c r="L142" s="203">
        <v>0</v>
      </c>
      <c r="M142" s="203">
        <v>0</v>
      </c>
      <c r="N142" s="203">
        <v>0</v>
      </c>
      <c r="O142" s="203">
        <v>0</v>
      </c>
      <c r="P142" s="203">
        <v>0</v>
      </c>
      <c r="Q142" s="203">
        <v>0</v>
      </c>
      <c r="R142" s="203">
        <v>0</v>
      </c>
      <c r="S142" s="203">
        <v>0</v>
      </c>
      <c r="T142" s="203">
        <v>0</v>
      </c>
      <c r="U142" s="204" t="e">
        <v>#DIV/0!</v>
      </c>
      <c r="V142" s="203">
        <v>0</v>
      </c>
      <c r="W142" s="203">
        <v>0</v>
      </c>
      <c r="X142" s="203">
        <v>0</v>
      </c>
      <c r="Y142" s="203">
        <v>0</v>
      </c>
      <c r="Z142" s="203">
        <v>0</v>
      </c>
      <c r="AA142" s="203">
        <v>0</v>
      </c>
    </row>
    <row r="143" spans="1:27" s="205" customFormat="1" x14ac:dyDescent="0.2">
      <c r="A143" s="195" t="s">
        <v>1231</v>
      </c>
      <c r="B143" s="201" t="s">
        <v>534</v>
      </c>
      <c r="C143" s="208">
        <v>0</v>
      </c>
      <c r="D143" s="208">
        <v>0</v>
      </c>
      <c r="E143" s="208">
        <v>0</v>
      </c>
      <c r="F143" s="208">
        <v>0</v>
      </c>
      <c r="G143" s="208">
        <v>0</v>
      </c>
      <c r="H143" s="203">
        <v>0</v>
      </c>
      <c r="I143" s="203">
        <v>0</v>
      </c>
      <c r="J143" s="203">
        <v>0</v>
      </c>
      <c r="K143" s="203">
        <v>0</v>
      </c>
      <c r="L143" s="203">
        <v>0</v>
      </c>
      <c r="M143" s="203">
        <v>0</v>
      </c>
      <c r="N143" s="203">
        <v>0</v>
      </c>
      <c r="O143" s="203">
        <v>0</v>
      </c>
      <c r="P143" s="203">
        <v>0</v>
      </c>
      <c r="Q143" s="203">
        <v>0</v>
      </c>
      <c r="R143" s="203">
        <v>0</v>
      </c>
      <c r="S143" s="203">
        <v>0</v>
      </c>
      <c r="T143" s="203">
        <v>0</v>
      </c>
      <c r="U143" s="204" t="e">
        <v>#DIV/0!</v>
      </c>
      <c r="V143" s="203">
        <v>0</v>
      </c>
      <c r="W143" s="203">
        <v>0</v>
      </c>
      <c r="X143" s="203">
        <v>0</v>
      </c>
      <c r="Y143" s="203">
        <v>0</v>
      </c>
      <c r="Z143" s="203">
        <v>0</v>
      </c>
      <c r="AA143" s="203">
        <v>0</v>
      </c>
    </row>
    <row r="144" spans="1:27" x14ac:dyDescent="0.2">
      <c r="A144" s="195"/>
      <c r="B144" s="201" t="s">
        <v>535</v>
      </c>
      <c r="C144" s="202">
        <v>0</v>
      </c>
      <c r="D144" s="202">
        <v>0</v>
      </c>
      <c r="E144" s="202">
        <v>0</v>
      </c>
      <c r="F144" s="202">
        <v>0</v>
      </c>
      <c r="G144" s="202">
        <v>0</v>
      </c>
      <c r="H144" s="202">
        <v>0</v>
      </c>
      <c r="I144" s="202">
        <v>0</v>
      </c>
      <c r="J144" s="202">
        <v>0</v>
      </c>
      <c r="K144" s="202">
        <v>0</v>
      </c>
      <c r="L144" s="202">
        <v>0</v>
      </c>
      <c r="M144" s="202">
        <v>0</v>
      </c>
      <c r="N144" s="202">
        <v>0</v>
      </c>
      <c r="O144" s="202">
        <v>0</v>
      </c>
      <c r="P144" s="202">
        <v>0</v>
      </c>
      <c r="Q144" s="202">
        <v>0</v>
      </c>
      <c r="R144" s="202">
        <v>0</v>
      </c>
      <c r="S144" s="202">
        <v>0</v>
      </c>
      <c r="T144" s="203">
        <v>0</v>
      </c>
      <c r="U144" s="204" t="e">
        <v>#DIV/0!</v>
      </c>
      <c r="V144" s="203">
        <v>0</v>
      </c>
      <c r="W144" s="203">
        <v>0</v>
      </c>
      <c r="X144" s="203">
        <v>0</v>
      </c>
      <c r="Y144" s="203">
        <v>0</v>
      </c>
      <c r="Z144" s="203">
        <v>0</v>
      </c>
      <c r="AA144" s="203">
        <v>0</v>
      </c>
    </row>
    <row r="145" spans="1:27" x14ac:dyDescent="0.2">
      <c r="A145" s="195" t="s">
        <v>1232</v>
      </c>
      <c r="B145" s="209" t="s">
        <v>536</v>
      </c>
      <c r="C145" s="139">
        <v>0</v>
      </c>
      <c r="D145" s="139">
        <v>0</v>
      </c>
      <c r="E145" s="139">
        <v>0</v>
      </c>
      <c r="F145" s="139">
        <v>0</v>
      </c>
      <c r="G145" s="139">
        <v>0</v>
      </c>
      <c r="H145" s="142">
        <v>0</v>
      </c>
      <c r="I145" s="142">
        <v>0</v>
      </c>
      <c r="J145" s="142">
        <v>0</v>
      </c>
      <c r="K145" s="142">
        <v>0</v>
      </c>
      <c r="L145" s="142">
        <v>0</v>
      </c>
      <c r="M145" s="142">
        <v>0</v>
      </c>
      <c r="N145" s="142">
        <v>0</v>
      </c>
      <c r="O145" s="142">
        <v>0</v>
      </c>
      <c r="P145" s="142">
        <v>0</v>
      </c>
      <c r="Q145" s="142">
        <v>0</v>
      </c>
      <c r="R145" s="142">
        <v>0</v>
      </c>
      <c r="S145" s="142">
        <v>0</v>
      </c>
      <c r="T145" s="142">
        <v>0</v>
      </c>
      <c r="U145" s="207" t="e">
        <v>#DIV/0!</v>
      </c>
      <c r="V145" s="142">
        <v>0</v>
      </c>
      <c r="W145" s="142">
        <v>0</v>
      </c>
      <c r="X145" s="142">
        <v>0</v>
      </c>
      <c r="Y145" s="142">
        <v>0</v>
      </c>
      <c r="Z145" s="142">
        <v>0</v>
      </c>
      <c r="AA145" s="142">
        <v>0</v>
      </c>
    </row>
    <row r="146" spans="1:27" x14ac:dyDescent="0.2">
      <c r="A146" s="195" t="s">
        <v>1233</v>
      </c>
      <c r="B146" s="209" t="s">
        <v>537</v>
      </c>
      <c r="C146" s="139">
        <v>0</v>
      </c>
      <c r="D146" s="139">
        <v>0</v>
      </c>
      <c r="E146" s="139">
        <v>0</v>
      </c>
      <c r="F146" s="139">
        <v>0</v>
      </c>
      <c r="G146" s="139">
        <v>0</v>
      </c>
      <c r="H146" s="142">
        <v>0</v>
      </c>
      <c r="I146" s="142">
        <v>0</v>
      </c>
      <c r="J146" s="142">
        <v>0</v>
      </c>
      <c r="K146" s="142">
        <v>0</v>
      </c>
      <c r="L146" s="142">
        <v>0</v>
      </c>
      <c r="M146" s="142">
        <v>0</v>
      </c>
      <c r="N146" s="142">
        <v>0</v>
      </c>
      <c r="O146" s="142">
        <v>0</v>
      </c>
      <c r="P146" s="142">
        <v>0</v>
      </c>
      <c r="Q146" s="142">
        <v>0</v>
      </c>
      <c r="R146" s="142">
        <v>0</v>
      </c>
      <c r="S146" s="142">
        <v>0</v>
      </c>
      <c r="T146" s="142">
        <v>0</v>
      </c>
      <c r="U146" s="207" t="e">
        <v>#DIV/0!</v>
      </c>
      <c r="V146" s="142">
        <v>0</v>
      </c>
      <c r="W146" s="142">
        <v>0</v>
      </c>
      <c r="X146" s="142">
        <v>0</v>
      </c>
      <c r="Y146" s="142">
        <v>0</v>
      </c>
      <c r="Z146" s="142">
        <v>0</v>
      </c>
      <c r="AA146" s="142">
        <v>0</v>
      </c>
    </row>
    <row r="147" spans="1:27" x14ac:dyDescent="0.2">
      <c r="A147" s="195" t="s">
        <v>1234</v>
      </c>
      <c r="B147" s="209" t="s">
        <v>538</v>
      </c>
      <c r="C147" s="139">
        <v>0</v>
      </c>
      <c r="D147" s="139">
        <v>0</v>
      </c>
      <c r="E147" s="139">
        <v>0</v>
      </c>
      <c r="F147" s="139">
        <v>0</v>
      </c>
      <c r="G147" s="139">
        <v>0</v>
      </c>
      <c r="H147" s="142">
        <v>0</v>
      </c>
      <c r="I147" s="142">
        <v>0</v>
      </c>
      <c r="J147" s="142">
        <v>0</v>
      </c>
      <c r="K147" s="142">
        <v>0</v>
      </c>
      <c r="L147" s="142">
        <v>0</v>
      </c>
      <c r="M147" s="142">
        <v>0</v>
      </c>
      <c r="N147" s="142">
        <v>0</v>
      </c>
      <c r="O147" s="142">
        <v>0</v>
      </c>
      <c r="P147" s="142">
        <v>0</v>
      </c>
      <c r="Q147" s="142">
        <v>0</v>
      </c>
      <c r="R147" s="142">
        <v>0</v>
      </c>
      <c r="S147" s="142">
        <v>0</v>
      </c>
      <c r="T147" s="142">
        <v>0</v>
      </c>
      <c r="U147" s="207" t="e">
        <v>#DIV/0!</v>
      </c>
      <c r="V147" s="142">
        <v>0</v>
      </c>
      <c r="W147" s="142">
        <v>0</v>
      </c>
      <c r="X147" s="142">
        <v>0</v>
      </c>
      <c r="Y147" s="142">
        <v>0</v>
      </c>
      <c r="Z147" s="142">
        <v>0</v>
      </c>
      <c r="AA147" s="142">
        <v>0</v>
      </c>
    </row>
    <row r="148" spans="1:27" x14ac:dyDescent="0.2">
      <c r="A148" s="195" t="s">
        <v>1235</v>
      </c>
      <c r="B148" s="209" t="s">
        <v>539</v>
      </c>
      <c r="C148" s="139">
        <v>0</v>
      </c>
      <c r="D148" s="139">
        <v>0</v>
      </c>
      <c r="E148" s="139">
        <v>0</v>
      </c>
      <c r="F148" s="139">
        <v>0</v>
      </c>
      <c r="G148" s="139">
        <v>0</v>
      </c>
      <c r="H148" s="142">
        <v>0</v>
      </c>
      <c r="I148" s="142">
        <v>0</v>
      </c>
      <c r="J148" s="142">
        <v>0</v>
      </c>
      <c r="K148" s="142">
        <v>0</v>
      </c>
      <c r="L148" s="142">
        <v>0</v>
      </c>
      <c r="M148" s="142">
        <v>0</v>
      </c>
      <c r="N148" s="142">
        <v>0</v>
      </c>
      <c r="O148" s="142">
        <v>0</v>
      </c>
      <c r="P148" s="142">
        <v>0</v>
      </c>
      <c r="Q148" s="142">
        <v>0</v>
      </c>
      <c r="R148" s="142">
        <v>0</v>
      </c>
      <c r="S148" s="142">
        <v>0</v>
      </c>
      <c r="T148" s="142">
        <v>0</v>
      </c>
      <c r="U148" s="207" t="e">
        <v>#DIV/0!</v>
      </c>
      <c r="V148" s="142">
        <v>0</v>
      </c>
      <c r="W148" s="142">
        <v>0</v>
      </c>
      <c r="X148" s="142">
        <v>0</v>
      </c>
      <c r="Y148" s="142">
        <v>0</v>
      </c>
      <c r="Z148" s="142">
        <v>0</v>
      </c>
      <c r="AA148" s="142">
        <v>0</v>
      </c>
    </row>
    <row r="149" spans="1:27" x14ac:dyDescent="0.2">
      <c r="A149" s="195" t="s">
        <v>1236</v>
      </c>
      <c r="B149" s="209" t="s">
        <v>540</v>
      </c>
      <c r="C149" s="139">
        <v>0</v>
      </c>
      <c r="D149" s="139">
        <v>0</v>
      </c>
      <c r="E149" s="139">
        <v>0</v>
      </c>
      <c r="F149" s="139">
        <v>0</v>
      </c>
      <c r="G149" s="139">
        <v>0</v>
      </c>
      <c r="H149" s="142">
        <v>0</v>
      </c>
      <c r="I149" s="142">
        <v>0</v>
      </c>
      <c r="J149" s="142">
        <v>0</v>
      </c>
      <c r="K149" s="142">
        <v>0</v>
      </c>
      <c r="L149" s="142">
        <v>0</v>
      </c>
      <c r="M149" s="142">
        <v>0</v>
      </c>
      <c r="N149" s="142">
        <v>0</v>
      </c>
      <c r="O149" s="142">
        <v>0</v>
      </c>
      <c r="P149" s="142">
        <v>0</v>
      </c>
      <c r="Q149" s="142">
        <v>0</v>
      </c>
      <c r="R149" s="142">
        <v>0</v>
      </c>
      <c r="S149" s="142">
        <v>0</v>
      </c>
      <c r="T149" s="142">
        <v>0</v>
      </c>
      <c r="U149" s="207" t="e">
        <v>#DIV/0!</v>
      </c>
      <c r="V149" s="142">
        <v>0</v>
      </c>
      <c r="W149" s="142">
        <v>0</v>
      </c>
      <c r="X149" s="142">
        <v>0</v>
      </c>
      <c r="Y149" s="142">
        <v>0</v>
      </c>
      <c r="Z149" s="142">
        <v>0</v>
      </c>
      <c r="AA149" s="142">
        <v>0</v>
      </c>
    </row>
    <row r="150" spans="1:27" x14ac:dyDescent="0.2">
      <c r="A150" s="195" t="s">
        <v>1237</v>
      </c>
      <c r="B150" s="209" t="s">
        <v>541</v>
      </c>
      <c r="C150" s="139">
        <v>0</v>
      </c>
      <c r="D150" s="139">
        <v>0</v>
      </c>
      <c r="E150" s="139">
        <v>0</v>
      </c>
      <c r="F150" s="139">
        <v>0</v>
      </c>
      <c r="G150" s="139">
        <v>0</v>
      </c>
      <c r="H150" s="142">
        <v>0</v>
      </c>
      <c r="I150" s="142">
        <v>0</v>
      </c>
      <c r="J150" s="142">
        <v>0</v>
      </c>
      <c r="K150" s="142">
        <v>0</v>
      </c>
      <c r="L150" s="142">
        <v>0</v>
      </c>
      <c r="M150" s="142">
        <v>0</v>
      </c>
      <c r="N150" s="142">
        <v>0</v>
      </c>
      <c r="O150" s="142">
        <v>0</v>
      </c>
      <c r="P150" s="142">
        <v>0</v>
      </c>
      <c r="Q150" s="142">
        <v>0</v>
      </c>
      <c r="R150" s="142">
        <v>0</v>
      </c>
      <c r="S150" s="142">
        <v>0</v>
      </c>
      <c r="T150" s="142">
        <v>0</v>
      </c>
      <c r="U150" s="207" t="e">
        <v>#DIV/0!</v>
      </c>
      <c r="V150" s="142">
        <v>0</v>
      </c>
      <c r="W150" s="142">
        <v>0</v>
      </c>
      <c r="X150" s="142">
        <v>0</v>
      </c>
      <c r="Y150" s="142">
        <v>0</v>
      </c>
      <c r="Z150" s="142">
        <v>0</v>
      </c>
      <c r="AA150" s="142">
        <v>0</v>
      </c>
    </row>
    <row r="151" spans="1:27" s="205" customFormat="1" x14ac:dyDescent="0.2">
      <c r="A151" s="195" t="s">
        <v>1238</v>
      </c>
      <c r="B151" s="201" t="s">
        <v>542</v>
      </c>
      <c r="C151" s="208">
        <v>0</v>
      </c>
      <c r="D151" s="208">
        <v>0</v>
      </c>
      <c r="E151" s="208">
        <v>0</v>
      </c>
      <c r="F151" s="208">
        <v>0</v>
      </c>
      <c r="G151" s="208">
        <v>0</v>
      </c>
      <c r="H151" s="203">
        <v>0</v>
      </c>
      <c r="I151" s="203">
        <v>0</v>
      </c>
      <c r="J151" s="203">
        <v>0</v>
      </c>
      <c r="K151" s="203">
        <v>0</v>
      </c>
      <c r="L151" s="203">
        <v>0</v>
      </c>
      <c r="M151" s="203">
        <v>0</v>
      </c>
      <c r="N151" s="203">
        <v>0</v>
      </c>
      <c r="O151" s="203">
        <v>0</v>
      </c>
      <c r="P151" s="203">
        <v>0</v>
      </c>
      <c r="Q151" s="203">
        <v>0</v>
      </c>
      <c r="R151" s="203">
        <v>0</v>
      </c>
      <c r="S151" s="203">
        <v>0</v>
      </c>
      <c r="T151" s="203">
        <v>0</v>
      </c>
      <c r="U151" s="204" t="e">
        <v>#DIV/0!</v>
      </c>
      <c r="V151" s="203">
        <v>0</v>
      </c>
      <c r="W151" s="203">
        <v>0</v>
      </c>
      <c r="X151" s="203">
        <v>0</v>
      </c>
      <c r="Y151" s="203">
        <v>0</v>
      </c>
      <c r="Z151" s="203">
        <v>0</v>
      </c>
      <c r="AA151" s="203">
        <v>0</v>
      </c>
    </row>
    <row r="152" spans="1:27" s="205" customFormat="1" x14ac:dyDescent="0.2">
      <c r="A152" s="195" t="s">
        <v>1239</v>
      </c>
      <c r="B152" s="201" t="s">
        <v>543</v>
      </c>
      <c r="C152" s="208">
        <v>0</v>
      </c>
      <c r="D152" s="208">
        <v>0</v>
      </c>
      <c r="E152" s="208">
        <v>0</v>
      </c>
      <c r="F152" s="208">
        <v>0</v>
      </c>
      <c r="G152" s="208">
        <v>0</v>
      </c>
      <c r="H152" s="203">
        <v>0</v>
      </c>
      <c r="I152" s="203">
        <v>0</v>
      </c>
      <c r="J152" s="203">
        <v>0</v>
      </c>
      <c r="K152" s="203">
        <v>0</v>
      </c>
      <c r="L152" s="203">
        <v>0</v>
      </c>
      <c r="M152" s="203">
        <v>0</v>
      </c>
      <c r="N152" s="203">
        <v>0</v>
      </c>
      <c r="O152" s="203">
        <v>0</v>
      </c>
      <c r="P152" s="203">
        <v>0</v>
      </c>
      <c r="Q152" s="203">
        <v>0</v>
      </c>
      <c r="R152" s="203">
        <v>0</v>
      </c>
      <c r="S152" s="203">
        <v>0</v>
      </c>
      <c r="T152" s="203">
        <v>0</v>
      </c>
      <c r="U152" s="204" t="e">
        <v>#DIV/0!</v>
      </c>
      <c r="V152" s="203">
        <v>0</v>
      </c>
      <c r="W152" s="203">
        <v>0</v>
      </c>
      <c r="X152" s="203">
        <v>0</v>
      </c>
      <c r="Y152" s="203">
        <v>0</v>
      </c>
      <c r="Z152" s="203">
        <v>0</v>
      </c>
      <c r="AA152" s="203">
        <v>0</v>
      </c>
    </row>
    <row r="153" spans="1:27" x14ac:dyDescent="0.2">
      <c r="A153" s="195"/>
      <c r="B153" s="201" t="s">
        <v>544</v>
      </c>
      <c r="C153" s="202">
        <v>0</v>
      </c>
      <c r="D153" s="202">
        <v>0</v>
      </c>
      <c r="E153" s="202">
        <v>0</v>
      </c>
      <c r="F153" s="202">
        <v>0</v>
      </c>
      <c r="G153" s="202">
        <v>0</v>
      </c>
      <c r="H153" s="202">
        <v>0</v>
      </c>
      <c r="I153" s="202">
        <v>0</v>
      </c>
      <c r="J153" s="202">
        <v>0</v>
      </c>
      <c r="K153" s="202">
        <v>0</v>
      </c>
      <c r="L153" s="202">
        <v>0</v>
      </c>
      <c r="M153" s="202">
        <v>0</v>
      </c>
      <c r="N153" s="202">
        <v>0</v>
      </c>
      <c r="O153" s="202">
        <v>0</v>
      </c>
      <c r="P153" s="202">
        <v>0</v>
      </c>
      <c r="Q153" s="202">
        <v>0</v>
      </c>
      <c r="R153" s="202">
        <v>0</v>
      </c>
      <c r="S153" s="202">
        <v>0</v>
      </c>
      <c r="T153" s="203">
        <v>0</v>
      </c>
      <c r="U153" s="204" t="e">
        <v>#DIV/0!</v>
      </c>
      <c r="V153" s="203">
        <v>0</v>
      </c>
      <c r="W153" s="203">
        <v>0</v>
      </c>
      <c r="X153" s="203">
        <v>0</v>
      </c>
      <c r="Y153" s="203">
        <v>0</v>
      </c>
      <c r="Z153" s="203">
        <v>0</v>
      </c>
      <c r="AA153" s="203">
        <v>0</v>
      </c>
    </row>
    <row r="154" spans="1:27" x14ac:dyDescent="0.2">
      <c r="A154" s="195" t="s">
        <v>1240</v>
      </c>
      <c r="B154" s="209" t="s">
        <v>545</v>
      </c>
      <c r="C154" s="139">
        <v>0</v>
      </c>
      <c r="D154" s="139">
        <v>0</v>
      </c>
      <c r="E154" s="139">
        <v>0</v>
      </c>
      <c r="F154" s="139">
        <v>0</v>
      </c>
      <c r="G154" s="139">
        <v>0</v>
      </c>
      <c r="H154" s="142">
        <v>0</v>
      </c>
      <c r="I154" s="142">
        <v>0</v>
      </c>
      <c r="J154" s="142">
        <v>0</v>
      </c>
      <c r="K154" s="142">
        <v>0</v>
      </c>
      <c r="L154" s="142">
        <v>0</v>
      </c>
      <c r="M154" s="142">
        <v>0</v>
      </c>
      <c r="N154" s="142">
        <v>0</v>
      </c>
      <c r="O154" s="142">
        <v>0</v>
      </c>
      <c r="P154" s="142">
        <v>0</v>
      </c>
      <c r="Q154" s="142">
        <v>0</v>
      </c>
      <c r="R154" s="142">
        <v>0</v>
      </c>
      <c r="S154" s="142">
        <v>0</v>
      </c>
      <c r="T154" s="142">
        <v>0</v>
      </c>
      <c r="U154" s="207" t="e">
        <v>#DIV/0!</v>
      </c>
      <c r="V154" s="142">
        <v>0</v>
      </c>
      <c r="W154" s="142">
        <v>0</v>
      </c>
      <c r="X154" s="142">
        <v>0</v>
      </c>
      <c r="Y154" s="142">
        <v>0</v>
      </c>
      <c r="Z154" s="142">
        <v>0</v>
      </c>
      <c r="AA154" s="142">
        <v>0</v>
      </c>
    </row>
    <row r="155" spans="1:27" x14ac:dyDescent="0.2">
      <c r="A155" s="195" t="s">
        <v>1241</v>
      </c>
      <c r="B155" s="209" t="s">
        <v>546</v>
      </c>
      <c r="C155" s="139">
        <v>0</v>
      </c>
      <c r="D155" s="139">
        <v>0</v>
      </c>
      <c r="E155" s="139">
        <v>0</v>
      </c>
      <c r="F155" s="139">
        <v>0</v>
      </c>
      <c r="G155" s="139">
        <v>0</v>
      </c>
      <c r="H155" s="142">
        <v>0</v>
      </c>
      <c r="I155" s="142">
        <v>0</v>
      </c>
      <c r="J155" s="142">
        <v>0</v>
      </c>
      <c r="K155" s="142">
        <v>0</v>
      </c>
      <c r="L155" s="142">
        <v>0</v>
      </c>
      <c r="M155" s="142">
        <v>0</v>
      </c>
      <c r="N155" s="142">
        <v>0</v>
      </c>
      <c r="O155" s="142">
        <v>0</v>
      </c>
      <c r="P155" s="142">
        <v>0</v>
      </c>
      <c r="Q155" s="142">
        <v>0</v>
      </c>
      <c r="R155" s="142">
        <v>0</v>
      </c>
      <c r="S155" s="142">
        <v>0</v>
      </c>
      <c r="T155" s="142">
        <v>0</v>
      </c>
      <c r="U155" s="207" t="e">
        <v>#DIV/0!</v>
      </c>
      <c r="V155" s="142">
        <v>0</v>
      </c>
      <c r="W155" s="142">
        <v>0</v>
      </c>
      <c r="X155" s="142">
        <v>0</v>
      </c>
      <c r="Y155" s="142">
        <v>0</v>
      </c>
      <c r="Z155" s="142">
        <v>0</v>
      </c>
      <c r="AA155" s="142">
        <v>0</v>
      </c>
    </row>
    <row r="156" spans="1:27" x14ac:dyDescent="0.2">
      <c r="A156" s="195" t="s">
        <v>1242</v>
      </c>
      <c r="B156" s="209" t="s">
        <v>547</v>
      </c>
      <c r="C156" s="139">
        <v>0</v>
      </c>
      <c r="D156" s="139">
        <v>0</v>
      </c>
      <c r="E156" s="139">
        <v>0</v>
      </c>
      <c r="F156" s="139">
        <v>0</v>
      </c>
      <c r="G156" s="139">
        <v>0</v>
      </c>
      <c r="H156" s="142">
        <v>0</v>
      </c>
      <c r="I156" s="142">
        <v>0</v>
      </c>
      <c r="J156" s="142">
        <v>0</v>
      </c>
      <c r="K156" s="142">
        <v>0</v>
      </c>
      <c r="L156" s="142">
        <v>0</v>
      </c>
      <c r="M156" s="142">
        <v>0</v>
      </c>
      <c r="N156" s="142">
        <v>0</v>
      </c>
      <c r="O156" s="142">
        <v>0</v>
      </c>
      <c r="P156" s="142">
        <v>0</v>
      </c>
      <c r="Q156" s="142">
        <v>0</v>
      </c>
      <c r="R156" s="142">
        <v>0</v>
      </c>
      <c r="S156" s="142">
        <v>0</v>
      </c>
      <c r="T156" s="142">
        <v>0</v>
      </c>
      <c r="U156" s="207" t="e">
        <v>#DIV/0!</v>
      </c>
      <c r="V156" s="142">
        <v>0</v>
      </c>
      <c r="W156" s="142">
        <v>0</v>
      </c>
      <c r="X156" s="142">
        <v>0</v>
      </c>
      <c r="Y156" s="142">
        <v>0</v>
      </c>
      <c r="Z156" s="142">
        <v>0</v>
      </c>
      <c r="AA156" s="142">
        <v>0</v>
      </c>
    </row>
    <row r="157" spans="1:27" x14ac:dyDescent="0.2">
      <c r="A157" s="195" t="s">
        <v>1243</v>
      </c>
      <c r="B157" s="209" t="s">
        <v>548</v>
      </c>
      <c r="C157" s="139">
        <v>0</v>
      </c>
      <c r="D157" s="139">
        <v>0</v>
      </c>
      <c r="E157" s="139">
        <v>0</v>
      </c>
      <c r="F157" s="139">
        <v>0</v>
      </c>
      <c r="G157" s="139">
        <v>0</v>
      </c>
      <c r="H157" s="142">
        <v>0</v>
      </c>
      <c r="I157" s="142">
        <v>0</v>
      </c>
      <c r="J157" s="142">
        <v>0</v>
      </c>
      <c r="K157" s="142">
        <v>0</v>
      </c>
      <c r="L157" s="142">
        <v>0</v>
      </c>
      <c r="M157" s="142">
        <v>0</v>
      </c>
      <c r="N157" s="142">
        <v>0</v>
      </c>
      <c r="O157" s="142">
        <v>0</v>
      </c>
      <c r="P157" s="142">
        <v>0</v>
      </c>
      <c r="Q157" s="142">
        <v>0</v>
      </c>
      <c r="R157" s="142">
        <v>0</v>
      </c>
      <c r="S157" s="142">
        <v>0</v>
      </c>
      <c r="T157" s="142">
        <v>0</v>
      </c>
      <c r="U157" s="207" t="e">
        <v>#DIV/0!</v>
      </c>
      <c r="V157" s="142">
        <v>0</v>
      </c>
      <c r="W157" s="142">
        <v>0</v>
      </c>
      <c r="X157" s="142">
        <v>0</v>
      </c>
      <c r="Y157" s="142">
        <v>0</v>
      </c>
      <c r="Z157" s="142">
        <v>0</v>
      </c>
      <c r="AA157" s="142">
        <v>0</v>
      </c>
    </row>
    <row r="158" spans="1:27" x14ac:dyDescent="0.2">
      <c r="A158" s="195" t="s">
        <v>1244</v>
      </c>
      <c r="B158" s="209" t="s">
        <v>549</v>
      </c>
      <c r="C158" s="139">
        <v>0</v>
      </c>
      <c r="D158" s="139">
        <v>0</v>
      </c>
      <c r="E158" s="139">
        <v>0</v>
      </c>
      <c r="F158" s="139">
        <v>0</v>
      </c>
      <c r="G158" s="139">
        <v>0</v>
      </c>
      <c r="H158" s="142">
        <v>0</v>
      </c>
      <c r="I158" s="142">
        <v>0</v>
      </c>
      <c r="J158" s="142">
        <v>0</v>
      </c>
      <c r="K158" s="142">
        <v>0</v>
      </c>
      <c r="L158" s="142">
        <v>0</v>
      </c>
      <c r="M158" s="142">
        <v>0</v>
      </c>
      <c r="N158" s="142">
        <v>0</v>
      </c>
      <c r="O158" s="142">
        <v>0</v>
      </c>
      <c r="P158" s="142">
        <v>0</v>
      </c>
      <c r="Q158" s="142">
        <v>0</v>
      </c>
      <c r="R158" s="142">
        <v>0</v>
      </c>
      <c r="S158" s="142">
        <v>0</v>
      </c>
      <c r="T158" s="142">
        <v>0</v>
      </c>
      <c r="U158" s="207" t="e">
        <v>#DIV/0!</v>
      </c>
      <c r="V158" s="142">
        <v>0</v>
      </c>
      <c r="W158" s="142">
        <v>0</v>
      </c>
      <c r="X158" s="142">
        <v>0</v>
      </c>
      <c r="Y158" s="142">
        <v>0</v>
      </c>
      <c r="Z158" s="142">
        <v>0</v>
      </c>
      <c r="AA158" s="142">
        <v>0</v>
      </c>
    </row>
    <row r="159" spans="1:27" x14ac:dyDescent="0.2">
      <c r="A159" s="195" t="s">
        <v>1245</v>
      </c>
      <c r="B159" s="209" t="s">
        <v>550</v>
      </c>
      <c r="C159" s="139">
        <v>0</v>
      </c>
      <c r="D159" s="139">
        <v>0</v>
      </c>
      <c r="E159" s="139">
        <v>0</v>
      </c>
      <c r="F159" s="139">
        <v>0</v>
      </c>
      <c r="G159" s="139">
        <v>0</v>
      </c>
      <c r="H159" s="142">
        <v>0</v>
      </c>
      <c r="I159" s="142">
        <v>0</v>
      </c>
      <c r="J159" s="142">
        <v>0</v>
      </c>
      <c r="K159" s="142">
        <v>0</v>
      </c>
      <c r="L159" s="142">
        <v>0</v>
      </c>
      <c r="M159" s="142">
        <v>0</v>
      </c>
      <c r="N159" s="142">
        <v>0</v>
      </c>
      <c r="O159" s="142">
        <v>0</v>
      </c>
      <c r="P159" s="142">
        <v>0</v>
      </c>
      <c r="Q159" s="142">
        <v>0</v>
      </c>
      <c r="R159" s="142">
        <v>0</v>
      </c>
      <c r="S159" s="142">
        <v>0</v>
      </c>
      <c r="T159" s="142">
        <v>0</v>
      </c>
      <c r="U159" s="207" t="e">
        <v>#DIV/0!</v>
      </c>
      <c r="V159" s="142">
        <v>0</v>
      </c>
      <c r="W159" s="142">
        <v>0</v>
      </c>
      <c r="X159" s="142">
        <v>0</v>
      </c>
      <c r="Y159" s="142">
        <v>0</v>
      </c>
      <c r="Z159" s="142">
        <v>0</v>
      </c>
      <c r="AA159" s="142">
        <v>0</v>
      </c>
    </row>
    <row r="160" spans="1:27" x14ac:dyDescent="0.2">
      <c r="A160" s="195" t="s">
        <v>1246</v>
      </c>
      <c r="B160" s="209" t="s">
        <v>551</v>
      </c>
      <c r="C160" s="139">
        <v>0</v>
      </c>
      <c r="D160" s="139">
        <v>0</v>
      </c>
      <c r="E160" s="139">
        <v>0</v>
      </c>
      <c r="F160" s="139">
        <v>0</v>
      </c>
      <c r="G160" s="139">
        <v>0</v>
      </c>
      <c r="H160" s="142">
        <v>0</v>
      </c>
      <c r="I160" s="142">
        <v>0</v>
      </c>
      <c r="J160" s="142">
        <v>0</v>
      </c>
      <c r="K160" s="142">
        <v>0</v>
      </c>
      <c r="L160" s="142">
        <v>0</v>
      </c>
      <c r="M160" s="142">
        <v>0</v>
      </c>
      <c r="N160" s="142">
        <v>0</v>
      </c>
      <c r="O160" s="142">
        <v>0</v>
      </c>
      <c r="P160" s="142">
        <v>0</v>
      </c>
      <c r="Q160" s="142">
        <v>0</v>
      </c>
      <c r="R160" s="142">
        <v>0</v>
      </c>
      <c r="S160" s="142">
        <v>0</v>
      </c>
      <c r="T160" s="142">
        <v>0</v>
      </c>
      <c r="U160" s="207" t="e">
        <v>#DIV/0!</v>
      </c>
      <c r="V160" s="142">
        <v>0</v>
      </c>
      <c r="W160" s="142">
        <v>0</v>
      </c>
      <c r="X160" s="142">
        <v>0</v>
      </c>
      <c r="Y160" s="142">
        <v>0</v>
      </c>
      <c r="Z160" s="142">
        <v>0</v>
      </c>
      <c r="AA160" s="142">
        <v>0</v>
      </c>
    </row>
    <row r="161" spans="1:27" x14ac:dyDescent="0.2">
      <c r="A161" s="195" t="s">
        <v>1247</v>
      </c>
      <c r="B161" s="209" t="s">
        <v>552</v>
      </c>
      <c r="C161" s="139">
        <v>0</v>
      </c>
      <c r="D161" s="139">
        <v>0</v>
      </c>
      <c r="E161" s="139">
        <v>0</v>
      </c>
      <c r="F161" s="139">
        <v>0</v>
      </c>
      <c r="G161" s="139">
        <v>0</v>
      </c>
      <c r="H161" s="142">
        <v>0</v>
      </c>
      <c r="I161" s="142">
        <v>0</v>
      </c>
      <c r="J161" s="142">
        <v>0</v>
      </c>
      <c r="K161" s="142">
        <v>0</v>
      </c>
      <c r="L161" s="142">
        <v>0</v>
      </c>
      <c r="M161" s="142">
        <v>0</v>
      </c>
      <c r="N161" s="142">
        <v>0</v>
      </c>
      <c r="O161" s="142">
        <v>0</v>
      </c>
      <c r="P161" s="142">
        <v>0</v>
      </c>
      <c r="Q161" s="142">
        <v>0</v>
      </c>
      <c r="R161" s="142">
        <v>0</v>
      </c>
      <c r="S161" s="142">
        <v>0</v>
      </c>
      <c r="T161" s="142">
        <v>0</v>
      </c>
      <c r="U161" s="207" t="e">
        <v>#DIV/0!</v>
      </c>
      <c r="V161" s="142">
        <v>0</v>
      </c>
      <c r="W161" s="142">
        <v>0</v>
      </c>
      <c r="X161" s="142">
        <v>0</v>
      </c>
      <c r="Y161" s="142">
        <v>0</v>
      </c>
      <c r="Z161" s="142">
        <v>0</v>
      </c>
      <c r="AA161" s="142">
        <v>0</v>
      </c>
    </row>
    <row r="162" spans="1:27" x14ac:dyDescent="0.2">
      <c r="A162" s="195" t="s">
        <v>1248</v>
      </c>
      <c r="B162" s="209" t="s">
        <v>553</v>
      </c>
      <c r="C162" s="139">
        <v>0</v>
      </c>
      <c r="D162" s="139">
        <v>0</v>
      </c>
      <c r="E162" s="139">
        <v>0</v>
      </c>
      <c r="F162" s="139">
        <v>0</v>
      </c>
      <c r="G162" s="139">
        <v>0</v>
      </c>
      <c r="H162" s="142">
        <v>0</v>
      </c>
      <c r="I162" s="142">
        <v>0</v>
      </c>
      <c r="J162" s="142">
        <v>0</v>
      </c>
      <c r="K162" s="142">
        <v>0</v>
      </c>
      <c r="L162" s="142">
        <v>0</v>
      </c>
      <c r="M162" s="142">
        <v>0</v>
      </c>
      <c r="N162" s="142">
        <v>0</v>
      </c>
      <c r="O162" s="142">
        <v>0</v>
      </c>
      <c r="P162" s="142">
        <v>0</v>
      </c>
      <c r="Q162" s="142">
        <v>0</v>
      </c>
      <c r="R162" s="142">
        <v>0</v>
      </c>
      <c r="S162" s="142">
        <v>0</v>
      </c>
      <c r="T162" s="142">
        <v>0</v>
      </c>
      <c r="U162" s="207" t="e">
        <v>#DIV/0!</v>
      </c>
      <c r="V162" s="142">
        <v>0</v>
      </c>
      <c r="W162" s="142">
        <v>0</v>
      </c>
      <c r="X162" s="142">
        <v>0</v>
      </c>
      <c r="Y162" s="142">
        <v>0</v>
      </c>
      <c r="Z162" s="142">
        <v>0</v>
      </c>
      <c r="AA162" s="142">
        <v>0</v>
      </c>
    </row>
    <row r="163" spans="1:27" x14ac:dyDescent="0.2">
      <c r="A163" s="195" t="s">
        <v>1249</v>
      </c>
      <c r="B163" s="209" t="s">
        <v>554</v>
      </c>
      <c r="C163" s="139">
        <v>0</v>
      </c>
      <c r="D163" s="139">
        <v>0</v>
      </c>
      <c r="E163" s="139">
        <v>0</v>
      </c>
      <c r="F163" s="139">
        <v>0</v>
      </c>
      <c r="G163" s="139">
        <v>0</v>
      </c>
      <c r="H163" s="142">
        <v>0</v>
      </c>
      <c r="I163" s="142">
        <v>0</v>
      </c>
      <c r="J163" s="142">
        <v>0</v>
      </c>
      <c r="K163" s="142">
        <v>0</v>
      </c>
      <c r="L163" s="142">
        <v>0</v>
      </c>
      <c r="M163" s="142">
        <v>0</v>
      </c>
      <c r="N163" s="142">
        <v>0</v>
      </c>
      <c r="O163" s="142">
        <v>0</v>
      </c>
      <c r="P163" s="142">
        <v>0</v>
      </c>
      <c r="Q163" s="142">
        <v>0</v>
      </c>
      <c r="R163" s="142">
        <v>0</v>
      </c>
      <c r="S163" s="142">
        <v>0</v>
      </c>
      <c r="T163" s="142">
        <v>0</v>
      </c>
      <c r="U163" s="207" t="e">
        <v>#DIV/0!</v>
      </c>
      <c r="V163" s="142">
        <v>0</v>
      </c>
      <c r="W163" s="142">
        <v>0</v>
      </c>
      <c r="X163" s="142">
        <v>0</v>
      </c>
      <c r="Y163" s="142">
        <v>0</v>
      </c>
      <c r="Z163" s="142">
        <v>0</v>
      </c>
      <c r="AA163" s="142">
        <v>0</v>
      </c>
    </row>
    <row r="164" spans="1:27" x14ac:dyDescent="0.2">
      <c r="A164" s="195" t="s">
        <v>1250</v>
      </c>
      <c r="B164" s="209" t="s">
        <v>555</v>
      </c>
      <c r="C164" s="139">
        <v>0</v>
      </c>
      <c r="D164" s="139">
        <v>0</v>
      </c>
      <c r="E164" s="139">
        <v>0</v>
      </c>
      <c r="F164" s="139">
        <v>0</v>
      </c>
      <c r="G164" s="139">
        <v>0</v>
      </c>
      <c r="H164" s="142">
        <v>0</v>
      </c>
      <c r="I164" s="142">
        <v>0</v>
      </c>
      <c r="J164" s="142">
        <v>0</v>
      </c>
      <c r="K164" s="142">
        <v>0</v>
      </c>
      <c r="L164" s="142">
        <v>0</v>
      </c>
      <c r="M164" s="142">
        <v>0</v>
      </c>
      <c r="N164" s="142">
        <v>0</v>
      </c>
      <c r="O164" s="142">
        <v>0</v>
      </c>
      <c r="P164" s="142">
        <v>0</v>
      </c>
      <c r="Q164" s="142">
        <v>0</v>
      </c>
      <c r="R164" s="142">
        <v>0</v>
      </c>
      <c r="S164" s="142">
        <v>0</v>
      </c>
      <c r="T164" s="142">
        <v>0</v>
      </c>
      <c r="U164" s="207" t="e">
        <v>#DIV/0!</v>
      </c>
      <c r="V164" s="142">
        <v>0</v>
      </c>
      <c r="W164" s="142">
        <v>0</v>
      </c>
      <c r="X164" s="142">
        <v>0</v>
      </c>
      <c r="Y164" s="142">
        <v>0</v>
      </c>
      <c r="Z164" s="142">
        <v>0</v>
      </c>
      <c r="AA164" s="142">
        <v>0</v>
      </c>
    </row>
    <row r="165" spans="1:27" x14ac:dyDescent="0.2">
      <c r="A165" s="195" t="s">
        <v>1251</v>
      </c>
      <c r="B165" s="209" t="s">
        <v>556</v>
      </c>
      <c r="C165" s="139">
        <v>0</v>
      </c>
      <c r="D165" s="139">
        <v>0</v>
      </c>
      <c r="E165" s="139">
        <v>0</v>
      </c>
      <c r="F165" s="139">
        <v>0</v>
      </c>
      <c r="G165" s="139">
        <v>0</v>
      </c>
      <c r="H165" s="142">
        <v>0</v>
      </c>
      <c r="I165" s="142">
        <v>0</v>
      </c>
      <c r="J165" s="142">
        <v>0</v>
      </c>
      <c r="K165" s="142">
        <v>0</v>
      </c>
      <c r="L165" s="142">
        <v>0</v>
      </c>
      <c r="M165" s="142">
        <v>0</v>
      </c>
      <c r="N165" s="142">
        <v>0</v>
      </c>
      <c r="O165" s="142">
        <v>0</v>
      </c>
      <c r="P165" s="142">
        <v>0</v>
      </c>
      <c r="Q165" s="142">
        <v>0</v>
      </c>
      <c r="R165" s="142">
        <v>0</v>
      </c>
      <c r="S165" s="142">
        <v>0</v>
      </c>
      <c r="T165" s="142">
        <v>0</v>
      </c>
      <c r="U165" s="207" t="e">
        <v>#DIV/0!</v>
      </c>
      <c r="V165" s="142">
        <v>0</v>
      </c>
      <c r="W165" s="142">
        <v>0</v>
      </c>
      <c r="X165" s="142">
        <v>0</v>
      </c>
      <c r="Y165" s="142">
        <v>0</v>
      </c>
      <c r="Z165" s="142">
        <v>0</v>
      </c>
      <c r="AA165" s="142">
        <v>0</v>
      </c>
    </row>
    <row r="166" spans="1:27" x14ac:dyDescent="0.2">
      <c r="A166" s="195"/>
      <c r="B166" s="201" t="s">
        <v>557</v>
      </c>
      <c r="C166" s="202">
        <v>0</v>
      </c>
      <c r="D166" s="202">
        <v>0</v>
      </c>
      <c r="E166" s="202">
        <v>0</v>
      </c>
      <c r="F166" s="202">
        <v>0</v>
      </c>
      <c r="G166" s="202">
        <v>0</v>
      </c>
      <c r="H166" s="202">
        <v>0</v>
      </c>
      <c r="I166" s="202">
        <v>0</v>
      </c>
      <c r="J166" s="202">
        <v>0</v>
      </c>
      <c r="K166" s="202">
        <v>0</v>
      </c>
      <c r="L166" s="202">
        <v>0</v>
      </c>
      <c r="M166" s="202">
        <v>0</v>
      </c>
      <c r="N166" s="202">
        <v>0</v>
      </c>
      <c r="O166" s="202">
        <v>0</v>
      </c>
      <c r="P166" s="202">
        <v>0</v>
      </c>
      <c r="Q166" s="202">
        <v>0</v>
      </c>
      <c r="R166" s="202">
        <v>0</v>
      </c>
      <c r="S166" s="202">
        <v>0</v>
      </c>
      <c r="T166" s="203">
        <v>0</v>
      </c>
      <c r="U166" s="204" t="e">
        <v>#DIV/0!</v>
      </c>
      <c r="V166" s="203">
        <v>0</v>
      </c>
      <c r="W166" s="203">
        <v>0</v>
      </c>
      <c r="X166" s="203">
        <v>0</v>
      </c>
      <c r="Y166" s="203">
        <v>0</v>
      </c>
      <c r="Z166" s="203">
        <v>0</v>
      </c>
      <c r="AA166" s="203">
        <v>0</v>
      </c>
    </row>
    <row r="167" spans="1:27" x14ac:dyDescent="0.2">
      <c r="A167" s="195" t="s">
        <v>1252</v>
      </c>
      <c r="B167" s="209" t="s">
        <v>558</v>
      </c>
      <c r="C167" s="139">
        <v>0</v>
      </c>
      <c r="D167" s="139">
        <v>0</v>
      </c>
      <c r="E167" s="139">
        <v>0</v>
      </c>
      <c r="F167" s="139">
        <v>0</v>
      </c>
      <c r="G167" s="139">
        <v>0</v>
      </c>
      <c r="H167" s="142">
        <v>0</v>
      </c>
      <c r="I167" s="142">
        <v>0</v>
      </c>
      <c r="J167" s="142">
        <v>0</v>
      </c>
      <c r="K167" s="142">
        <v>0</v>
      </c>
      <c r="L167" s="142">
        <v>0</v>
      </c>
      <c r="M167" s="142">
        <v>0</v>
      </c>
      <c r="N167" s="142">
        <v>0</v>
      </c>
      <c r="O167" s="142">
        <v>0</v>
      </c>
      <c r="P167" s="142">
        <v>0</v>
      </c>
      <c r="Q167" s="142">
        <v>0</v>
      </c>
      <c r="R167" s="142">
        <v>0</v>
      </c>
      <c r="S167" s="142">
        <v>0</v>
      </c>
      <c r="T167" s="142">
        <v>0</v>
      </c>
      <c r="U167" s="207" t="e">
        <v>#DIV/0!</v>
      </c>
      <c r="V167" s="142">
        <v>0</v>
      </c>
      <c r="W167" s="142">
        <v>0</v>
      </c>
      <c r="X167" s="142">
        <v>0</v>
      </c>
      <c r="Y167" s="142">
        <v>0</v>
      </c>
      <c r="Z167" s="142">
        <v>0</v>
      </c>
      <c r="AA167" s="142">
        <v>0</v>
      </c>
    </row>
    <row r="168" spans="1:27" x14ac:dyDescent="0.2">
      <c r="A168" s="195" t="s">
        <v>1253</v>
      </c>
      <c r="B168" s="209" t="s">
        <v>559</v>
      </c>
      <c r="C168" s="139">
        <v>0</v>
      </c>
      <c r="D168" s="139">
        <v>0</v>
      </c>
      <c r="E168" s="139">
        <v>0</v>
      </c>
      <c r="F168" s="139">
        <v>0</v>
      </c>
      <c r="G168" s="139">
        <v>0</v>
      </c>
      <c r="H168" s="142">
        <v>0</v>
      </c>
      <c r="I168" s="142">
        <v>0</v>
      </c>
      <c r="J168" s="142">
        <v>0</v>
      </c>
      <c r="K168" s="142">
        <v>0</v>
      </c>
      <c r="L168" s="142">
        <v>0</v>
      </c>
      <c r="M168" s="142">
        <v>0</v>
      </c>
      <c r="N168" s="142">
        <v>0</v>
      </c>
      <c r="O168" s="142">
        <v>0</v>
      </c>
      <c r="P168" s="142">
        <v>0</v>
      </c>
      <c r="Q168" s="142">
        <v>0</v>
      </c>
      <c r="R168" s="142">
        <v>0</v>
      </c>
      <c r="S168" s="142">
        <v>0</v>
      </c>
      <c r="T168" s="142">
        <v>0</v>
      </c>
      <c r="U168" s="207" t="e">
        <v>#DIV/0!</v>
      </c>
      <c r="V168" s="142">
        <v>0</v>
      </c>
      <c r="W168" s="142">
        <v>0</v>
      </c>
      <c r="X168" s="142">
        <v>0</v>
      </c>
      <c r="Y168" s="142">
        <v>0</v>
      </c>
      <c r="Z168" s="142">
        <v>0</v>
      </c>
      <c r="AA168" s="142">
        <v>0</v>
      </c>
    </row>
    <row r="169" spans="1:27" x14ac:dyDescent="0.2">
      <c r="A169" s="195" t="s">
        <v>1254</v>
      </c>
      <c r="B169" s="209" t="s">
        <v>560</v>
      </c>
      <c r="C169" s="139">
        <v>0</v>
      </c>
      <c r="D169" s="139">
        <v>0</v>
      </c>
      <c r="E169" s="139">
        <v>0</v>
      </c>
      <c r="F169" s="139">
        <v>0</v>
      </c>
      <c r="G169" s="139">
        <v>0</v>
      </c>
      <c r="H169" s="142">
        <v>0</v>
      </c>
      <c r="I169" s="142">
        <v>0</v>
      </c>
      <c r="J169" s="142">
        <v>0</v>
      </c>
      <c r="K169" s="142">
        <v>0</v>
      </c>
      <c r="L169" s="142">
        <v>0</v>
      </c>
      <c r="M169" s="142">
        <v>0</v>
      </c>
      <c r="N169" s="142">
        <v>0</v>
      </c>
      <c r="O169" s="142">
        <v>0</v>
      </c>
      <c r="P169" s="142">
        <v>0</v>
      </c>
      <c r="Q169" s="142">
        <v>0</v>
      </c>
      <c r="R169" s="142">
        <v>0</v>
      </c>
      <c r="S169" s="142">
        <v>0</v>
      </c>
      <c r="T169" s="142">
        <v>0</v>
      </c>
      <c r="U169" s="207" t="e">
        <v>#DIV/0!</v>
      </c>
      <c r="V169" s="142">
        <v>0</v>
      </c>
      <c r="W169" s="142">
        <v>0</v>
      </c>
      <c r="X169" s="142">
        <v>0</v>
      </c>
      <c r="Y169" s="142">
        <v>0</v>
      </c>
      <c r="Z169" s="142">
        <v>0</v>
      </c>
      <c r="AA169" s="142">
        <v>0</v>
      </c>
    </row>
    <row r="170" spans="1:27" x14ac:dyDescent="0.2">
      <c r="A170" s="195"/>
      <c r="B170" s="196" t="s">
        <v>561</v>
      </c>
      <c r="C170" s="197">
        <v>0</v>
      </c>
      <c r="D170" s="197">
        <v>0</v>
      </c>
      <c r="E170" s="197">
        <v>0</v>
      </c>
      <c r="F170" s="197">
        <v>0</v>
      </c>
      <c r="G170" s="197">
        <v>0</v>
      </c>
      <c r="H170" s="197">
        <v>0</v>
      </c>
      <c r="I170" s="197">
        <v>0</v>
      </c>
      <c r="J170" s="197">
        <v>0</v>
      </c>
      <c r="K170" s="197">
        <v>0</v>
      </c>
      <c r="L170" s="197">
        <v>0</v>
      </c>
      <c r="M170" s="197">
        <v>0</v>
      </c>
      <c r="N170" s="197">
        <v>0</v>
      </c>
      <c r="O170" s="197">
        <v>0</v>
      </c>
      <c r="P170" s="197">
        <v>0</v>
      </c>
      <c r="Q170" s="197">
        <v>0</v>
      </c>
      <c r="R170" s="197">
        <v>0</v>
      </c>
      <c r="S170" s="197">
        <v>0</v>
      </c>
      <c r="T170" s="198">
        <v>0</v>
      </c>
      <c r="U170" s="199" t="e">
        <v>#DIV/0!</v>
      </c>
      <c r="V170" s="198">
        <v>0</v>
      </c>
      <c r="W170" s="198">
        <v>0</v>
      </c>
      <c r="X170" s="198">
        <v>0</v>
      </c>
      <c r="Y170" s="198">
        <v>0</v>
      </c>
      <c r="Z170" s="198">
        <v>0</v>
      </c>
      <c r="AA170" s="198">
        <v>0</v>
      </c>
    </row>
    <row r="171" spans="1:27" x14ac:dyDescent="0.2">
      <c r="A171" s="195"/>
      <c r="B171" s="201" t="s">
        <v>562</v>
      </c>
      <c r="C171" s="202">
        <v>0</v>
      </c>
      <c r="D171" s="202">
        <v>0</v>
      </c>
      <c r="E171" s="202">
        <v>0</v>
      </c>
      <c r="F171" s="202">
        <v>0</v>
      </c>
      <c r="G171" s="202">
        <v>0</v>
      </c>
      <c r="H171" s="202">
        <v>0</v>
      </c>
      <c r="I171" s="202">
        <v>0</v>
      </c>
      <c r="J171" s="202">
        <v>0</v>
      </c>
      <c r="K171" s="202">
        <v>0</v>
      </c>
      <c r="L171" s="202">
        <v>0</v>
      </c>
      <c r="M171" s="202">
        <v>0</v>
      </c>
      <c r="N171" s="202">
        <v>0</v>
      </c>
      <c r="O171" s="202">
        <v>0</v>
      </c>
      <c r="P171" s="202">
        <v>0</v>
      </c>
      <c r="Q171" s="202">
        <v>0</v>
      </c>
      <c r="R171" s="202">
        <v>0</v>
      </c>
      <c r="S171" s="202">
        <v>0</v>
      </c>
      <c r="T171" s="203">
        <v>0</v>
      </c>
      <c r="U171" s="204" t="e">
        <v>#DIV/0!</v>
      </c>
      <c r="V171" s="203">
        <v>0</v>
      </c>
      <c r="W171" s="203">
        <v>0</v>
      </c>
      <c r="X171" s="203">
        <v>0</v>
      </c>
      <c r="Y171" s="203">
        <v>0</v>
      </c>
      <c r="Z171" s="203">
        <v>0</v>
      </c>
      <c r="AA171" s="203">
        <v>0</v>
      </c>
    </row>
    <row r="172" spans="1:27" x14ac:dyDescent="0.2">
      <c r="A172" s="195"/>
      <c r="B172" s="209" t="s">
        <v>563</v>
      </c>
      <c r="C172" s="210">
        <v>0</v>
      </c>
      <c r="D172" s="210">
        <v>0</v>
      </c>
      <c r="E172" s="210">
        <v>0</v>
      </c>
      <c r="F172" s="210">
        <v>0</v>
      </c>
      <c r="G172" s="210">
        <v>0</v>
      </c>
      <c r="H172" s="210">
        <v>0</v>
      </c>
      <c r="I172" s="210">
        <v>0</v>
      </c>
      <c r="J172" s="210">
        <v>0</v>
      </c>
      <c r="K172" s="210">
        <v>0</v>
      </c>
      <c r="L172" s="210">
        <v>0</v>
      </c>
      <c r="M172" s="210">
        <v>0</v>
      </c>
      <c r="N172" s="210">
        <v>0</v>
      </c>
      <c r="O172" s="210">
        <v>0</v>
      </c>
      <c r="P172" s="210">
        <v>0</v>
      </c>
      <c r="Q172" s="210">
        <v>0</v>
      </c>
      <c r="R172" s="210">
        <v>0</v>
      </c>
      <c r="S172" s="210">
        <v>0</v>
      </c>
      <c r="T172" s="142">
        <v>0</v>
      </c>
      <c r="U172" s="207" t="e">
        <v>#DIV/0!</v>
      </c>
      <c r="V172" s="142">
        <v>0</v>
      </c>
      <c r="W172" s="142">
        <v>0</v>
      </c>
      <c r="X172" s="142">
        <v>0</v>
      </c>
      <c r="Y172" s="142">
        <v>0</v>
      </c>
      <c r="Z172" s="142">
        <v>0</v>
      </c>
      <c r="AA172" s="142">
        <v>0</v>
      </c>
    </row>
    <row r="173" spans="1:27" x14ac:dyDescent="0.2">
      <c r="A173" s="195" t="s">
        <v>1255</v>
      </c>
      <c r="B173" s="211" t="s">
        <v>564</v>
      </c>
      <c r="C173" s="139">
        <v>0</v>
      </c>
      <c r="D173" s="139">
        <v>0</v>
      </c>
      <c r="E173" s="139">
        <v>0</v>
      </c>
      <c r="F173" s="139">
        <v>0</v>
      </c>
      <c r="G173" s="139">
        <v>0</v>
      </c>
      <c r="H173" s="142">
        <v>0</v>
      </c>
      <c r="I173" s="142">
        <v>0</v>
      </c>
      <c r="J173" s="142">
        <v>0</v>
      </c>
      <c r="K173" s="142">
        <v>0</v>
      </c>
      <c r="L173" s="142">
        <v>0</v>
      </c>
      <c r="M173" s="142">
        <v>0</v>
      </c>
      <c r="N173" s="142">
        <v>0</v>
      </c>
      <c r="O173" s="142">
        <v>0</v>
      </c>
      <c r="P173" s="142">
        <v>0</v>
      </c>
      <c r="Q173" s="142">
        <v>0</v>
      </c>
      <c r="R173" s="142">
        <v>0</v>
      </c>
      <c r="S173" s="142">
        <v>0</v>
      </c>
      <c r="T173" s="142">
        <v>0</v>
      </c>
      <c r="U173" s="207" t="e">
        <v>#DIV/0!</v>
      </c>
      <c r="V173" s="142">
        <v>0</v>
      </c>
      <c r="W173" s="142">
        <v>0</v>
      </c>
      <c r="X173" s="142">
        <v>0</v>
      </c>
      <c r="Y173" s="142">
        <v>0</v>
      </c>
      <c r="Z173" s="142">
        <v>0</v>
      </c>
      <c r="AA173" s="142">
        <v>0</v>
      </c>
    </row>
    <row r="174" spans="1:27" x14ac:dyDescent="0.2">
      <c r="A174" s="195" t="s">
        <v>1256</v>
      </c>
      <c r="B174" s="211" t="s">
        <v>565</v>
      </c>
      <c r="C174" s="139">
        <v>0</v>
      </c>
      <c r="D174" s="139">
        <v>0</v>
      </c>
      <c r="E174" s="139">
        <v>0</v>
      </c>
      <c r="F174" s="139">
        <v>0</v>
      </c>
      <c r="G174" s="139">
        <v>0</v>
      </c>
      <c r="H174" s="142">
        <v>0</v>
      </c>
      <c r="I174" s="142">
        <v>0</v>
      </c>
      <c r="J174" s="142">
        <v>0</v>
      </c>
      <c r="K174" s="142">
        <v>0</v>
      </c>
      <c r="L174" s="142">
        <v>0</v>
      </c>
      <c r="M174" s="142">
        <v>0</v>
      </c>
      <c r="N174" s="142">
        <v>0</v>
      </c>
      <c r="O174" s="142">
        <v>0</v>
      </c>
      <c r="P174" s="142">
        <v>0</v>
      </c>
      <c r="Q174" s="142">
        <v>0</v>
      </c>
      <c r="R174" s="142">
        <v>0</v>
      </c>
      <c r="S174" s="142">
        <v>0</v>
      </c>
      <c r="T174" s="142">
        <v>0</v>
      </c>
      <c r="U174" s="207" t="e">
        <v>#DIV/0!</v>
      </c>
      <c r="V174" s="142">
        <v>0</v>
      </c>
      <c r="W174" s="142">
        <v>0</v>
      </c>
      <c r="X174" s="142">
        <v>0</v>
      </c>
      <c r="Y174" s="142">
        <v>0</v>
      </c>
      <c r="Z174" s="142">
        <v>0</v>
      </c>
      <c r="AA174" s="142">
        <v>0</v>
      </c>
    </row>
    <row r="175" spans="1:27" x14ac:dyDescent="0.2">
      <c r="A175" s="195"/>
      <c r="B175" s="209" t="s">
        <v>1257</v>
      </c>
      <c r="C175" s="139">
        <v>0</v>
      </c>
      <c r="D175" s="139">
        <v>0</v>
      </c>
      <c r="E175" s="139">
        <v>0</v>
      </c>
      <c r="F175" s="139">
        <v>0</v>
      </c>
      <c r="G175" s="139">
        <v>0</v>
      </c>
      <c r="H175" s="139">
        <v>0</v>
      </c>
      <c r="I175" s="139">
        <v>0</v>
      </c>
      <c r="J175" s="139">
        <v>0</v>
      </c>
      <c r="K175" s="139">
        <v>0</v>
      </c>
      <c r="L175" s="139">
        <v>0</v>
      </c>
      <c r="M175" s="139">
        <v>0</v>
      </c>
      <c r="N175" s="139">
        <v>0</v>
      </c>
      <c r="O175" s="139">
        <v>0</v>
      </c>
      <c r="P175" s="139">
        <v>0</v>
      </c>
      <c r="Q175" s="139">
        <v>0</v>
      </c>
      <c r="R175" s="139">
        <v>0</v>
      </c>
      <c r="S175" s="139">
        <v>0</v>
      </c>
      <c r="T175" s="142">
        <v>0</v>
      </c>
      <c r="U175" s="207" t="e">
        <v>#DIV/0!</v>
      </c>
      <c r="V175" s="142">
        <v>0</v>
      </c>
      <c r="W175" s="142">
        <v>0</v>
      </c>
      <c r="X175" s="142">
        <v>0</v>
      </c>
      <c r="Y175" s="142">
        <v>0</v>
      </c>
      <c r="Z175" s="142">
        <v>0</v>
      </c>
      <c r="AA175" s="142">
        <v>0</v>
      </c>
    </row>
    <row r="176" spans="1:27" x14ac:dyDescent="0.2">
      <c r="A176" s="195" t="s">
        <v>1258</v>
      </c>
      <c r="B176" s="211" t="s">
        <v>1259</v>
      </c>
      <c r="C176" s="139">
        <v>0</v>
      </c>
      <c r="D176" s="139">
        <v>0</v>
      </c>
      <c r="E176" s="139">
        <v>0</v>
      </c>
      <c r="F176" s="139">
        <v>0</v>
      </c>
      <c r="G176" s="139">
        <v>0</v>
      </c>
      <c r="H176" s="142">
        <v>0</v>
      </c>
      <c r="I176" s="142">
        <v>0</v>
      </c>
      <c r="J176" s="142">
        <v>0</v>
      </c>
      <c r="K176" s="142">
        <v>0</v>
      </c>
      <c r="L176" s="142">
        <v>0</v>
      </c>
      <c r="M176" s="142">
        <v>0</v>
      </c>
      <c r="N176" s="142">
        <v>0</v>
      </c>
      <c r="O176" s="142">
        <v>0</v>
      </c>
      <c r="P176" s="142">
        <v>0</v>
      </c>
      <c r="Q176" s="142">
        <v>0</v>
      </c>
      <c r="R176" s="142">
        <v>0</v>
      </c>
      <c r="S176" s="142">
        <v>0</v>
      </c>
      <c r="T176" s="142">
        <v>0</v>
      </c>
      <c r="U176" s="207" t="e">
        <v>#DIV/0!</v>
      </c>
      <c r="V176" s="142">
        <v>0</v>
      </c>
      <c r="W176" s="142">
        <v>0</v>
      </c>
      <c r="X176" s="142">
        <v>0</v>
      </c>
      <c r="Y176" s="142">
        <v>0</v>
      </c>
      <c r="Z176" s="142">
        <v>0</v>
      </c>
      <c r="AA176" s="142">
        <v>0</v>
      </c>
    </row>
    <row r="177" spans="1:27" x14ac:dyDescent="0.2">
      <c r="A177" s="212" t="s">
        <v>1260</v>
      </c>
      <c r="B177" s="211" t="s">
        <v>1261</v>
      </c>
      <c r="C177" s="139">
        <v>0</v>
      </c>
      <c r="D177" s="139">
        <v>0</v>
      </c>
      <c r="E177" s="139">
        <v>0</v>
      </c>
      <c r="F177" s="139">
        <v>0</v>
      </c>
      <c r="G177" s="139">
        <v>0</v>
      </c>
      <c r="H177" s="142">
        <v>0</v>
      </c>
      <c r="I177" s="142">
        <v>0</v>
      </c>
      <c r="J177" s="142">
        <v>0</v>
      </c>
      <c r="K177" s="142">
        <v>0</v>
      </c>
      <c r="L177" s="142">
        <v>0</v>
      </c>
      <c r="M177" s="142">
        <v>0</v>
      </c>
      <c r="N177" s="142">
        <v>0</v>
      </c>
      <c r="O177" s="142">
        <v>0</v>
      </c>
      <c r="P177" s="142">
        <v>0</v>
      </c>
      <c r="Q177" s="142">
        <v>0</v>
      </c>
      <c r="R177" s="142">
        <v>0</v>
      </c>
      <c r="S177" s="142">
        <v>0</v>
      </c>
      <c r="T177" s="142">
        <v>0</v>
      </c>
      <c r="U177" s="207" t="e">
        <v>#DIV/0!</v>
      </c>
      <c r="V177" s="142">
        <v>0</v>
      </c>
      <c r="W177" s="142">
        <v>0</v>
      </c>
      <c r="X177" s="142">
        <v>0</v>
      </c>
      <c r="Y177" s="142">
        <v>0</v>
      </c>
      <c r="Z177" s="142">
        <v>0</v>
      </c>
      <c r="AA177" s="142">
        <v>0</v>
      </c>
    </row>
    <row r="178" spans="1:27" x14ac:dyDescent="0.2">
      <c r="A178" s="195" t="s">
        <v>1262</v>
      </c>
      <c r="B178" s="209" t="s">
        <v>566</v>
      </c>
      <c r="C178" s="139">
        <v>0</v>
      </c>
      <c r="D178" s="139">
        <v>0</v>
      </c>
      <c r="E178" s="139">
        <v>0</v>
      </c>
      <c r="F178" s="139">
        <v>0</v>
      </c>
      <c r="G178" s="139">
        <v>0</v>
      </c>
      <c r="H178" s="142">
        <v>0</v>
      </c>
      <c r="I178" s="142">
        <v>0</v>
      </c>
      <c r="J178" s="142">
        <v>0</v>
      </c>
      <c r="K178" s="142">
        <v>0</v>
      </c>
      <c r="L178" s="142">
        <v>0</v>
      </c>
      <c r="M178" s="142">
        <v>0</v>
      </c>
      <c r="N178" s="142">
        <v>0</v>
      </c>
      <c r="O178" s="142">
        <v>0</v>
      </c>
      <c r="P178" s="142">
        <v>0</v>
      </c>
      <c r="Q178" s="142">
        <v>0</v>
      </c>
      <c r="R178" s="142">
        <v>0</v>
      </c>
      <c r="S178" s="142">
        <v>0</v>
      </c>
      <c r="T178" s="142">
        <v>0</v>
      </c>
      <c r="U178" s="207" t="e">
        <v>#DIV/0!</v>
      </c>
      <c r="V178" s="142">
        <v>0</v>
      </c>
      <c r="W178" s="142">
        <v>0</v>
      </c>
      <c r="X178" s="142">
        <v>0</v>
      </c>
      <c r="Y178" s="142">
        <v>0</v>
      </c>
      <c r="Z178" s="142">
        <v>0</v>
      </c>
      <c r="AA178" s="142">
        <v>0</v>
      </c>
    </row>
    <row r="179" spans="1:27" x14ac:dyDescent="0.2">
      <c r="A179" s="195" t="s">
        <v>1263</v>
      </c>
      <c r="B179" s="209" t="s">
        <v>567</v>
      </c>
      <c r="C179" s="139">
        <v>0</v>
      </c>
      <c r="D179" s="139">
        <v>0</v>
      </c>
      <c r="E179" s="139">
        <v>0</v>
      </c>
      <c r="F179" s="139">
        <v>0</v>
      </c>
      <c r="G179" s="139">
        <v>0</v>
      </c>
      <c r="H179" s="142">
        <v>0</v>
      </c>
      <c r="I179" s="142">
        <v>0</v>
      </c>
      <c r="J179" s="142">
        <v>0</v>
      </c>
      <c r="K179" s="142">
        <v>0</v>
      </c>
      <c r="L179" s="142">
        <v>0</v>
      </c>
      <c r="M179" s="142">
        <v>0</v>
      </c>
      <c r="N179" s="142">
        <v>0</v>
      </c>
      <c r="O179" s="142">
        <v>0</v>
      </c>
      <c r="P179" s="142">
        <v>0</v>
      </c>
      <c r="Q179" s="142">
        <v>0</v>
      </c>
      <c r="R179" s="142">
        <v>0</v>
      </c>
      <c r="S179" s="142">
        <v>0</v>
      </c>
      <c r="T179" s="142">
        <v>0</v>
      </c>
      <c r="U179" s="207" t="e">
        <v>#DIV/0!</v>
      </c>
      <c r="V179" s="142">
        <v>0</v>
      </c>
      <c r="W179" s="142">
        <v>0</v>
      </c>
      <c r="X179" s="142">
        <v>0</v>
      </c>
      <c r="Y179" s="142">
        <v>0</v>
      </c>
      <c r="Z179" s="142">
        <v>0</v>
      </c>
      <c r="AA179" s="142">
        <v>0</v>
      </c>
    </row>
    <row r="180" spans="1:27" x14ac:dyDescent="0.2">
      <c r="A180" s="195"/>
      <c r="B180" s="201" t="s">
        <v>568</v>
      </c>
      <c r="C180" s="202">
        <v>0</v>
      </c>
      <c r="D180" s="202">
        <v>0</v>
      </c>
      <c r="E180" s="202">
        <v>0</v>
      </c>
      <c r="F180" s="202">
        <v>0</v>
      </c>
      <c r="G180" s="202">
        <v>0</v>
      </c>
      <c r="H180" s="202">
        <v>0</v>
      </c>
      <c r="I180" s="202">
        <v>0</v>
      </c>
      <c r="J180" s="202">
        <v>0</v>
      </c>
      <c r="K180" s="202">
        <v>0</v>
      </c>
      <c r="L180" s="202">
        <v>0</v>
      </c>
      <c r="M180" s="202">
        <v>0</v>
      </c>
      <c r="N180" s="202">
        <v>0</v>
      </c>
      <c r="O180" s="202">
        <v>0</v>
      </c>
      <c r="P180" s="202">
        <v>0</v>
      </c>
      <c r="Q180" s="202">
        <v>0</v>
      </c>
      <c r="R180" s="202">
        <v>0</v>
      </c>
      <c r="S180" s="202">
        <v>0</v>
      </c>
      <c r="T180" s="203">
        <v>0</v>
      </c>
      <c r="U180" s="204" t="e">
        <v>#DIV/0!</v>
      </c>
      <c r="V180" s="203">
        <v>0</v>
      </c>
      <c r="W180" s="203">
        <v>0</v>
      </c>
      <c r="X180" s="203">
        <v>0</v>
      </c>
      <c r="Y180" s="203">
        <v>0</v>
      </c>
      <c r="Z180" s="203">
        <v>0</v>
      </c>
      <c r="AA180" s="203">
        <v>0</v>
      </c>
    </row>
    <row r="181" spans="1:27" x14ac:dyDescent="0.2">
      <c r="A181" s="195" t="s">
        <v>1264</v>
      </c>
      <c r="B181" s="209" t="s">
        <v>569</v>
      </c>
      <c r="C181" s="139">
        <v>0</v>
      </c>
      <c r="D181" s="139">
        <v>0</v>
      </c>
      <c r="E181" s="139">
        <v>0</v>
      </c>
      <c r="F181" s="139">
        <v>0</v>
      </c>
      <c r="G181" s="139">
        <v>0</v>
      </c>
      <c r="H181" s="142">
        <v>0</v>
      </c>
      <c r="I181" s="142">
        <v>0</v>
      </c>
      <c r="J181" s="142">
        <v>0</v>
      </c>
      <c r="K181" s="142">
        <v>0</v>
      </c>
      <c r="L181" s="142">
        <v>0</v>
      </c>
      <c r="M181" s="142">
        <v>0</v>
      </c>
      <c r="N181" s="142">
        <v>0</v>
      </c>
      <c r="O181" s="142">
        <v>0</v>
      </c>
      <c r="P181" s="142">
        <v>0</v>
      </c>
      <c r="Q181" s="142">
        <v>0</v>
      </c>
      <c r="R181" s="142">
        <v>0</v>
      </c>
      <c r="S181" s="142">
        <v>0</v>
      </c>
      <c r="T181" s="142">
        <v>0</v>
      </c>
      <c r="U181" s="207" t="e">
        <v>#DIV/0!</v>
      </c>
      <c r="V181" s="142">
        <v>0</v>
      </c>
      <c r="W181" s="142">
        <v>0</v>
      </c>
      <c r="X181" s="142">
        <v>0</v>
      </c>
      <c r="Y181" s="142">
        <v>0</v>
      </c>
      <c r="Z181" s="142">
        <v>0</v>
      </c>
      <c r="AA181" s="142">
        <v>0</v>
      </c>
    </row>
    <row r="182" spans="1:27" x14ac:dyDescent="0.2">
      <c r="A182" s="195" t="s">
        <v>1265</v>
      </c>
      <c r="B182" s="209" t="s">
        <v>570</v>
      </c>
      <c r="C182" s="139">
        <v>0</v>
      </c>
      <c r="D182" s="139">
        <v>0</v>
      </c>
      <c r="E182" s="139">
        <v>0</v>
      </c>
      <c r="F182" s="139">
        <v>0</v>
      </c>
      <c r="G182" s="139">
        <v>0</v>
      </c>
      <c r="H182" s="142">
        <v>0</v>
      </c>
      <c r="I182" s="142">
        <v>0</v>
      </c>
      <c r="J182" s="142">
        <v>0</v>
      </c>
      <c r="K182" s="142">
        <v>0</v>
      </c>
      <c r="L182" s="142">
        <v>0</v>
      </c>
      <c r="M182" s="142">
        <v>0</v>
      </c>
      <c r="N182" s="142">
        <v>0</v>
      </c>
      <c r="O182" s="142">
        <v>0</v>
      </c>
      <c r="P182" s="142">
        <v>0</v>
      </c>
      <c r="Q182" s="142">
        <v>0</v>
      </c>
      <c r="R182" s="142">
        <v>0</v>
      </c>
      <c r="S182" s="142">
        <v>0</v>
      </c>
      <c r="T182" s="142">
        <v>0</v>
      </c>
      <c r="U182" s="207" t="e">
        <v>#DIV/0!</v>
      </c>
      <c r="V182" s="142">
        <v>0</v>
      </c>
      <c r="W182" s="142">
        <v>0</v>
      </c>
      <c r="X182" s="142">
        <v>0</v>
      </c>
      <c r="Y182" s="142">
        <v>0</v>
      </c>
      <c r="Z182" s="142">
        <v>0</v>
      </c>
      <c r="AA182" s="142">
        <v>0</v>
      </c>
    </row>
    <row r="183" spans="1:27" x14ac:dyDescent="0.2">
      <c r="A183" s="195" t="s">
        <v>1266</v>
      </c>
      <c r="B183" s="209" t="s">
        <v>571</v>
      </c>
      <c r="C183" s="139">
        <v>0</v>
      </c>
      <c r="D183" s="139">
        <v>0</v>
      </c>
      <c r="E183" s="139">
        <v>0</v>
      </c>
      <c r="F183" s="139">
        <v>0</v>
      </c>
      <c r="G183" s="139">
        <v>0</v>
      </c>
      <c r="H183" s="142">
        <v>0</v>
      </c>
      <c r="I183" s="142">
        <v>0</v>
      </c>
      <c r="J183" s="142">
        <v>0</v>
      </c>
      <c r="K183" s="142">
        <v>0</v>
      </c>
      <c r="L183" s="142">
        <v>0</v>
      </c>
      <c r="M183" s="142">
        <v>0</v>
      </c>
      <c r="N183" s="142">
        <v>0</v>
      </c>
      <c r="O183" s="142">
        <v>0</v>
      </c>
      <c r="P183" s="142">
        <v>0</v>
      </c>
      <c r="Q183" s="142">
        <v>0</v>
      </c>
      <c r="R183" s="142">
        <v>0</v>
      </c>
      <c r="S183" s="142">
        <v>0</v>
      </c>
      <c r="T183" s="142">
        <v>0</v>
      </c>
      <c r="U183" s="207" t="e">
        <v>#DIV/0!</v>
      </c>
      <c r="V183" s="142">
        <v>0</v>
      </c>
      <c r="W183" s="142">
        <v>0</v>
      </c>
      <c r="X183" s="142">
        <v>0</v>
      </c>
      <c r="Y183" s="142">
        <v>0</v>
      </c>
      <c r="Z183" s="142">
        <v>0</v>
      </c>
      <c r="AA183" s="142">
        <v>0</v>
      </c>
    </row>
    <row r="184" spans="1:27" x14ac:dyDescent="0.2">
      <c r="A184" s="195"/>
      <c r="B184" s="201" t="s">
        <v>572</v>
      </c>
      <c r="C184" s="202">
        <v>0</v>
      </c>
      <c r="D184" s="202">
        <v>0</v>
      </c>
      <c r="E184" s="202">
        <v>0</v>
      </c>
      <c r="F184" s="202">
        <v>0</v>
      </c>
      <c r="G184" s="202">
        <v>0</v>
      </c>
      <c r="H184" s="202">
        <v>0</v>
      </c>
      <c r="I184" s="202">
        <v>0</v>
      </c>
      <c r="J184" s="202">
        <v>0</v>
      </c>
      <c r="K184" s="202">
        <v>0</v>
      </c>
      <c r="L184" s="202">
        <v>0</v>
      </c>
      <c r="M184" s="202">
        <v>0</v>
      </c>
      <c r="N184" s="202">
        <v>0</v>
      </c>
      <c r="O184" s="202">
        <v>0</v>
      </c>
      <c r="P184" s="202">
        <v>0</v>
      </c>
      <c r="Q184" s="202">
        <v>0</v>
      </c>
      <c r="R184" s="202">
        <v>0</v>
      </c>
      <c r="S184" s="202">
        <v>0</v>
      </c>
      <c r="T184" s="203">
        <v>0</v>
      </c>
      <c r="U184" s="204" t="e">
        <v>#DIV/0!</v>
      </c>
      <c r="V184" s="203">
        <v>0</v>
      </c>
      <c r="W184" s="203">
        <v>0</v>
      </c>
      <c r="X184" s="203">
        <v>0</v>
      </c>
      <c r="Y184" s="203">
        <v>0</v>
      </c>
      <c r="Z184" s="203">
        <v>0</v>
      </c>
      <c r="AA184" s="203">
        <v>0</v>
      </c>
    </row>
    <row r="185" spans="1:27" x14ac:dyDescent="0.2">
      <c r="A185" s="195" t="s">
        <v>1267</v>
      </c>
      <c r="B185" s="209" t="s">
        <v>573</v>
      </c>
      <c r="C185" s="139">
        <v>0</v>
      </c>
      <c r="D185" s="139">
        <v>0</v>
      </c>
      <c r="E185" s="139">
        <v>0</v>
      </c>
      <c r="F185" s="139">
        <v>0</v>
      </c>
      <c r="G185" s="139">
        <v>0</v>
      </c>
      <c r="H185" s="142">
        <v>0</v>
      </c>
      <c r="I185" s="142">
        <v>0</v>
      </c>
      <c r="J185" s="142">
        <v>0</v>
      </c>
      <c r="K185" s="142">
        <v>0</v>
      </c>
      <c r="L185" s="142">
        <v>0</v>
      </c>
      <c r="M185" s="142">
        <v>0</v>
      </c>
      <c r="N185" s="142">
        <v>0</v>
      </c>
      <c r="O185" s="142">
        <v>0</v>
      </c>
      <c r="P185" s="142">
        <v>0</v>
      </c>
      <c r="Q185" s="142">
        <v>0</v>
      </c>
      <c r="R185" s="142">
        <v>0</v>
      </c>
      <c r="S185" s="142">
        <v>0</v>
      </c>
      <c r="T185" s="142">
        <v>0</v>
      </c>
      <c r="U185" s="207" t="e">
        <v>#DIV/0!</v>
      </c>
      <c r="V185" s="142">
        <v>0</v>
      </c>
      <c r="W185" s="142">
        <v>0</v>
      </c>
      <c r="X185" s="142">
        <v>0</v>
      </c>
      <c r="Y185" s="142">
        <v>0</v>
      </c>
      <c r="Z185" s="142">
        <v>0</v>
      </c>
      <c r="AA185" s="142">
        <v>0</v>
      </c>
    </row>
    <row r="186" spans="1:27" x14ac:dyDescent="0.2">
      <c r="A186" s="195" t="s">
        <v>1268</v>
      </c>
      <c r="B186" s="209" t="s">
        <v>574</v>
      </c>
      <c r="C186" s="139">
        <v>0</v>
      </c>
      <c r="D186" s="139">
        <v>0</v>
      </c>
      <c r="E186" s="139">
        <v>0</v>
      </c>
      <c r="F186" s="139">
        <v>0</v>
      </c>
      <c r="G186" s="139">
        <v>0</v>
      </c>
      <c r="H186" s="142">
        <v>0</v>
      </c>
      <c r="I186" s="142">
        <v>0</v>
      </c>
      <c r="J186" s="142">
        <v>0</v>
      </c>
      <c r="K186" s="142">
        <v>0</v>
      </c>
      <c r="L186" s="142">
        <v>0</v>
      </c>
      <c r="M186" s="142">
        <v>0</v>
      </c>
      <c r="N186" s="142">
        <v>0</v>
      </c>
      <c r="O186" s="142">
        <v>0</v>
      </c>
      <c r="P186" s="142">
        <v>0</v>
      </c>
      <c r="Q186" s="142">
        <v>0</v>
      </c>
      <c r="R186" s="142">
        <v>0</v>
      </c>
      <c r="S186" s="142">
        <v>0</v>
      </c>
      <c r="T186" s="142">
        <v>0</v>
      </c>
      <c r="U186" s="207" t="e">
        <v>#DIV/0!</v>
      </c>
      <c r="V186" s="142">
        <v>0</v>
      </c>
      <c r="W186" s="142">
        <v>0</v>
      </c>
      <c r="X186" s="142">
        <v>0</v>
      </c>
      <c r="Y186" s="142">
        <v>0</v>
      </c>
      <c r="Z186" s="142">
        <v>0</v>
      </c>
      <c r="AA186" s="142">
        <v>0</v>
      </c>
    </row>
    <row r="187" spans="1:27" x14ac:dyDescent="0.2">
      <c r="A187" s="195" t="s">
        <v>1269</v>
      </c>
      <c r="B187" s="209" t="s">
        <v>575</v>
      </c>
      <c r="C187" s="139">
        <v>0</v>
      </c>
      <c r="D187" s="139">
        <v>0</v>
      </c>
      <c r="E187" s="139">
        <v>0</v>
      </c>
      <c r="F187" s="139">
        <v>0</v>
      </c>
      <c r="G187" s="139">
        <v>0</v>
      </c>
      <c r="H187" s="142">
        <v>0</v>
      </c>
      <c r="I187" s="142">
        <v>0</v>
      </c>
      <c r="J187" s="142">
        <v>0</v>
      </c>
      <c r="K187" s="142">
        <v>0</v>
      </c>
      <c r="L187" s="142">
        <v>0</v>
      </c>
      <c r="M187" s="142">
        <v>0</v>
      </c>
      <c r="N187" s="142">
        <v>0</v>
      </c>
      <c r="O187" s="142">
        <v>0</v>
      </c>
      <c r="P187" s="142">
        <v>0</v>
      </c>
      <c r="Q187" s="142">
        <v>0</v>
      </c>
      <c r="R187" s="142">
        <v>0</v>
      </c>
      <c r="S187" s="142">
        <v>0</v>
      </c>
      <c r="T187" s="142">
        <v>0</v>
      </c>
      <c r="U187" s="207" t="e">
        <v>#DIV/0!</v>
      </c>
      <c r="V187" s="142">
        <v>0</v>
      </c>
      <c r="W187" s="142">
        <v>0</v>
      </c>
      <c r="X187" s="142">
        <v>0</v>
      </c>
      <c r="Y187" s="142">
        <v>0</v>
      </c>
      <c r="Z187" s="142">
        <v>0</v>
      </c>
      <c r="AA187" s="142">
        <v>0</v>
      </c>
    </row>
    <row r="188" spans="1:27" x14ac:dyDescent="0.2">
      <c r="A188" s="195" t="s">
        <v>1270</v>
      </c>
      <c r="B188" s="209" t="s">
        <v>576</v>
      </c>
      <c r="C188" s="139">
        <v>0</v>
      </c>
      <c r="D188" s="139">
        <v>0</v>
      </c>
      <c r="E188" s="139">
        <v>0</v>
      </c>
      <c r="F188" s="139">
        <v>0</v>
      </c>
      <c r="G188" s="139">
        <v>0</v>
      </c>
      <c r="H188" s="142">
        <v>0</v>
      </c>
      <c r="I188" s="142">
        <v>0</v>
      </c>
      <c r="J188" s="142">
        <v>0</v>
      </c>
      <c r="K188" s="142">
        <v>0</v>
      </c>
      <c r="L188" s="142">
        <v>0</v>
      </c>
      <c r="M188" s="142">
        <v>0</v>
      </c>
      <c r="N188" s="142">
        <v>0</v>
      </c>
      <c r="O188" s="142">
        <v>0</v>
      </c>
      <c r="P188" s="142">
        <v>0</v>
      </c>
      <c r="Q188" s="142">
        <v>0</v>
      </c>
      <c r="R188" s="142">
        <v>0</v>
      </c>
      <c r="S188" s="142">
        <v>0</v>
      </c>
      <c r="T188" s="142">
        <v>0</v>
      </c>
      <c r="U188" s="207" t="e">
        <v>#DIV/0!</v>
      </c>
      <c r="V188" s="142">
        <v>0</v>
      </c>
      <c r="W188" s="142">
        <v>0</v>
      </c>
      <c r="X188" s="142">
        <v>0</v>
      </c>
      <c r="Y188" s="142">
        <v>0</v>
      </c>
      <c r="Z188" s="142">
        <v>0</v>
      </c>
      <c r="AA188" s="142">
        <v>0</v>
      </c>
    </row>
    <row r="189" spans="1:27" x14ac:dyDescent="0.2">
      <c r="A189" s="195" t="s">
        <v>1271</v>
      </c>
      <c r="B189" s="209" t="s">
        <v>577</v>
      </c>
      <c r="C189" s="139">
        <v>0</v>
      </c>
      <c r="D189" s="139">
        <v>0</v>
      </c>
      <c r="E189" s="139">
        <v>0</v>
      </c>
      <c r="F189" s="139">
        <v>0</v>
      </c>
      <c r="G189" s="139">
        <v>0</v>
      </c>
      <c r="H189" s="142">
        <v>0</v>
      </c>
      <c r="I189" s="142">
        <v>0</v>
      </c>
      <c r="J189" s="142">
        <v>0</v>
      </c>
      <c r="K189" s="142">
        <v>0</v>
      </c>
      <c r="L189" s="142">
        <v>0</v>
      </c>
      <c r="M189" s="142">
        <v>0</v>
      </c>
      <c r="N189" s="142">
        <v>0</v>
      </c>
      <c r="O189" s="142">
        <v>0</v>
      </c>
      <c r="P189" s="142">
        <v>0</v>
      </c>
      <c r="Q189" s="142">
        <v>0</v>
      </c>
      <c r="R189" s="142">
        <v>0</v>
      </c>
      <c r="S189" s="142">
        <v>0</v>
      </c>
      <c r="T189" s="142">
        <v>0</v>
      </c>
      <c r="U189" s="207" t="e">
        <v>#DIV/0!</v>
      </c>
      <c r="V189" s="142">
        <v>0</v>
      </c>
      <c r="W189" s="142">
        <v>0</v>
      </c>
      <c r="X189" s="142">
        <v>0</v>
      </c>
      <c r="Y189" s="142">
        <v>0</v>
      </c>
      <c r="Z189" s="142">
        <v>0</v>
      </c>
      <c r="AA189" s="142">
        <v>0</v>
      </c>
    </row>
    <row r="190" spans="1:27" ht="24" x14ac:dyDescent="0.2">
      <c r="A190" s="195" t="s">
        <v>1272</v>
      </c>
      <c r="B190" s="209" t="s">
        <v>578</v>
      </c>
      <c r="C190" s="139">
        <v>0</v>
      </c>
      <c r="D190" s="139">
        <v>0</v>
      </c>
      <c r="E190" s="139">
        <v>0</v>
      </c>
      <c r="F190" s="139">
        <v>0</v>
      </c>
      <c r="G190" s="139">
        <v>0</v>
      </c>
      <c r="H190" s="142">
        <v>0</v>
      </c>
      <c r="I190" s="142">
        <v>0</v>
      </c>
      <c r="J190" s="142">
        <v>0</v>
      </c>
      <c r="K190" s="142">
        <v>0</v>
      </c>
      <c r="L190" s="142">
        <v>0</v>
      </c>
      <c r="M190" s="142">
        <v>0</v>
      </c>
      <c r="N190" s="142">
        <v>0</v>
      </c>
      <c r="O190" s="142">
        <v>0</v>
      </c>
      <c r="P190" s="142">
        <v>0</v>
      </c>
      <c r="Q190" s="142">
        <v>0</v>
      </c>
      <c r="R190" s="142">
        <v>0</v>
      </c>
      <c r="S190" s="142">
        <v>0</v>
      </c>
      <c r="T190" s="142">
        <v>0</v>
      </c>
      <c r="U190" s="207" t="e">
        <v>#DIV/0!</v>
      </c>
      <c r="V190" s="142">
        <v>0</v>
      </c>
      <c r="W190" s="142">
        <v>0</v>
      </c>
      <c r="X190" s="142">
        <v>0</v>
      </c>
      <c r="Y190" s="142">
        <v>0</v>
      </c>
      <c r="Z190" s="142">
        <v>0</v>
      </c>
      <c r="AA190" s="142">
        <v>0</v>
      </c>
    </row>
    <row r="191" spans="1:27" x14ac:dyDescent="0.2">
      <c r="A191" s="195" t="s">
        <v>1273</v>
      </c>
      <c r="B191" s="209" t="s">
        <v>579</v>
      </c>
      <c r="C191" s="139">
        <v>0</v>
      </c>
      <c r="D191" s="139">
        <v>0</v>
      </c>
      <c r="E191" s="139">
        <v>0</v>
      </c>
      <c r="F191" s="139">
        <v>0</v>
      </c>
      <c r="G191" s="139">
        <v>0</v>
      </c>
      <c r="H191" s="142">
        <v>0</v>
      </c>
      <c r="I191" s="142">
        <v>0</v>
      </c>
      <c r="J191" s="142">
        <v>0</v>
      </c>
      <c r="K191" s="142">
        <v>0</v>
      </c>
      <c r="L191" s="142">
        <v>0</v>
      </c>
      <c r="M191" s="142">
        <v>0</v>
      </c>
      <c r="N191" s="142">
        <v>0</v>
      </c>
      <c r="O191" s="142">
        <v>0</v>
      </c>
      <c r="P191" s="142">
        <v>0</v>
      </c>
      <c r="Q191" s="142">
        <v>0</v>
      </c>
      <c r="R191" s="142">
        <v>0</v>
      </c>
      <c r="S191" s="142">
        <v>0</v>
      </c>
      <c r="T191" s="142">
        <v>0</v>
      </c>
      <c r="U191" s="207" t="e">
        <v>#DIV/0!</v>
      </c>
      <c r="V191" s="142">
        <v>0</v>
      </c>
      <c r="W191" s="142">
        <v>0</v>
      </c>
      <c r="X191" s="142">
        <v>0</v>
      </c>
      <c r="Y191" s="142">
        <v>0</v>
      </c>
      <c r="Z191" s="142">
        <v>0</v>
      </c>
      <c r="AA191" s="142">
        <v>0</v>
      </c>
    </row>
    <row r="192" spans="1:27" x14ac:dyDescent="0.2">
      <c r="A192" s="195" t="s">
        <v>1274</v>
      </c>
      <c r="B192" s="209" t="s">
        <v>580</v>
      </c>
      <c r="C192" s="139">
        <v>0</v>
      </c>
      <c r="D192" s="139">
        <v>0</v>
      </c>
      <c r="E192" s="139">
        <v>0</v>
      </c>
      <c r="F192" s="139">
        <v>0</v>
      </c>
      <c r="G192" s="139">
        <v>0</v>
      </c>
      <c r="H192" s="142">
        <v>0</v>
      </c>
      <c r="I192" s="142">
        <v>0</v>
      </c>
      <c r="J192" s="142">
        <v>0</v>
      </c>
      <c r="K192" s="142">
        <v>0</v>
      </c>
      <c r="L192" s="142">
        <v>0</v>
      </c>
      <c r="M192" s="142">
        <v>0</v>
      </c>
      <c r="N192" s="142">
        <v>0</v>
      </c>
      <c r="O192" s="142">
        <v>0</v>
      </c>
      <c r="P192" s="142">
        <v>0</v>
      </c>
      <c r="Q192" s="142">
        <v>0</v>
      </c>
      <c r="R192" s="142">
        <v>0</v>
      </c>
      <c r="S192" s="142">
        <v>0</v>
      </c>
      <c r="T192" s="142">
        <v>0</v>
      </c>
      <c r="U192" s="207" t="e">
        <v>#DIV/0!</v>
      </c>
      <c r="V192" s="142">
        <v>0</v>
      </c>
      <c r="W192" s="142">
        <v>0</v>
      </c>
      <c r="X192" s="142">
        <v>0</v>
      </c>
      <c r="Y192" s="142">
        <v>0</v>
      </c>
      <c r="Z192" s="142">
        <v>0</v>
      </c>
      <c r="AA192" s="142">
        <v>0</v>
      </c>
    </row>
    <row r="193" spans="1:27" x14ac:dyDescent="0.2">
      <c r="A193" s="195" t="s">
        <v>1275</v>
      </c>
      <c r="B193" s="209" t="s">
        <v>581</v>
      </c>
      <c r="C193" s="139">
        <v>0</v>
      </c>
      <c r="D193" s="139">
        <v>0</v>
      </c>
      <c r="E193" s="139">
        <v>0</v>
      </c>
      <c r="F193" s="139">
        <v>0</v>
      </c>
      <c r="G193" s="139">
        <v>0</v>
      </c>
      <c r="H193" s="142">
        <v>0</v>
      </c>
      <c r="I193" s="142">
        <v>0</v>
      </c>
      <c r="J193" s="142">
        <v>0</v>
      </c>
      <c r="K193" s="142">
        <v>0</v>
      </c>
      <c r="L193" s="142">
        <v>0</v>
      </c>
      <c r="M193" s="142">
        <v>0</v>
      </c>
      <c r="N193" s="142">
        <v>0</v>
      </c>
      <c r="O193" s="142">
        <v>0</v>
      </c>
      <c r="P193" s="142">
        <v>0</v>
      </c>
      <c r="Q193" s="142">
        <v>0</v>
      </c>
      <c r="R193" s="142">
        <v>0</v>
      </c>
      <c r="S193" s="142">
        <v>0</v>
      </c>
      <c r="T193" s="142">
        <v>0</v>
      </c>
      <c r="U193" s="207" t="e">
        <v>#DIV/0!</v>
      </c>
      <c r="V193" s="142">
        <v>0</v>
      </c>
      <c r="W193" s="142">
        <v>0</v>
      </c>
      <c r="X193" s="142">
        <v>0</v>
      </c>
      <c r="Y193" s="142">
        <v>0</v>
      </c>
      <c r="Z193" s="142">
        <v>0</v>
      </c>
      <c r="AA193" s="142">
        <v>0</v>
      </c>
    </row>
    <row r="194" spans="1:27" x14ac:dyDescent="0.2">
      <c r="A194" s="195" t="s">
        <v>1276</v>
      </c>
      <c r="B194" s="209" t="s">
        <v>582</v>
      </c>
      <c r="C194" s="139">
        <v>0</v>
      </c>
      <c r="D194" s="139">
        <v>0</v>
      </c>
      <c r="E194" s="139">
        <v>0</v>
      </c>
      <c r="F194" s="139">
        <v>0</v>
      </c>
      <c r="G194" s="139">
        <v>0</v>
      </c>
      <c r="H194" s="142">
        <v>0</v>
      </c>
      <c r="I194" s="142">
        <v>0</v>
      </c>
      <c r="J194" s="142">
        <v>0</v>
      </c>
      <c r="K194" s="142">
        <v>0</v>
      </c>
      <c r="L194" s="142">
        <v>0</v>
      </c>
      <c r="M194" s="142">
        <v>0</v>
      </c>
      <c r="N194" s="142">
        <v>0</v>
      </c>
      <c r="O194" s="142">
        <v>0</v>
      </c>
      <c r="P194" s="142">
        <v>0</v>
      </c>
      <c r="Q194" s="142">
        <v>0</v>
      </c>
      <c r="R194" s="142">
        <v>0</v>
      </c>
      <c r="S194" s="142">
        <v>0</v>
      </c>
      <c r="T194" s="142">
        <v>0</v>
      </c>
      <c r="U194" s="207" t="e">
        <v>#DIV/0!</v>
      </c>
      <c r="V194" s="142">
        <v>0</v>
      </c>
      <c r="W194" s="142">
        <v>0</v>
      </c>
      <c r="X194" s="142">
        <v>0</v>
      </c>
      <c r="Y194" s="142">
        <v>0</v>
      </c>
      <c r="Z194" s="142">
        <v>0</v>
      </c>
      <c r="AA194" s="142">
        <v>0</v>
      </c>
    </row>
    <row r="195" spans="1:27" x14ac:dyDescent="0.2">
      <c r="A195" s="195" t="s">
        <v>1277</v>
      </c>
      <c r="B195" s="209" t="s">
        <v>583</v>
      </c>
      <c r="C195" s="139">
        <v>0</v>
      </c>
      <c r="D195" s="139">
        <v>0</v>
      </c>
      <c r="E195" s="139">
        <v>0</v>
      </c>
      <c r="F195" s="139">
        <v>0</v>
      </c>
      <c r="G195" s="139">
        <v>0</v>
      </c>
      <c r="H195" s="142">
        <v>0</v>
      </c>
      <c r="I195" s="142">
        <v>0</v>
      </c>
      <c r="J195" s="142">
        <v>0</v>
      </c>
      <c r="K195" s="142">
        <v>0</v>
      </c>
      <c r="L195" s="142">
        <v>0</v>
      </c>
      <c r="M195" s="142">
        <v>0</v>
      </c>
      <c r="N195" s="142">
        <v>0</v>
      </c>
      <c r="O195" s="142">
        <v>0</v>
      </c>
      <c r="P195" s="142">
        <v>0</v>
      </c>
      <c r="Q195" s="142">
        <v>0</v>
      </c>
      <c r="R195" s="142">
        <v>0</v>
      </c>
      <c r="S195" s="142">
        <v>0</v>
      </c>
      <c r="T195" s="142">
        <v>0</v>
      </c>
      <c r="U195" s="207" t="e">
        <v>#DIV/0!</v>
      </c>
      <c r="V195" s="142">
        <v>0</v>
      </c>
      <c r="W195" s="142">
        <v>0</v>
      </c>
      <c r="X195" s="142">
        <v>0</v>
      </c>
      <c r="Y195" s="142">
        <v>0</v>
      </c>
      <c r="Z195" s="142">
        <v>0</v>
      </c>
      <c r="AA195" s="142">
        <v>0</v>
      </c>
    </row>
    <row r="196" spans="1:27" x14ac:dyDescent="0.2">
      <c r="A196" s="195" t="s">
        <v>1278</v>
      </c>
      <c r="B196" s="209" t="s">
        <v>584</v>
      </c>
      <c r="C196" s="139">
        <v>0</v>
      </c>
      <c r="D196" s="139">
        <v>0</v>
      </c>
      <c r="E196" s="139">
        <v>0</v>
      </c>
      <c r="F196" s="139">
        <v>0</v>
      </c>
      <c r="G196" s="139">
        <v>0</v>
      </c>
      <c r="H196" s="142">
        <v>0</v>
      </c>
      <c r="I196" s="142">
        <v>0</v>
      </c>
      <c r="J196" s="142">
        <v>0</v>
      </c>
      <c r="K196" s="142">
        <v>0</v>
      </c>
      <c r="L196" s="142">
        <v>0</v>
      </c>
      <c r="M196" s="142">
        <v>0</v>
      </c>
      <c r="N196" s="142">
        <v>0</v>
      </c>
      <c r="O196" s="142">
        <v>0</v>
      </c>
      <c r="P196" s="142">
        <v>0</v>
      </c>
      <c r="Q196" s="142">
        <v>0</v>
      </c>
      <c r="R196" s="142">
        <v>0</v>
      </c>
      <c r="S196" s="142">
        <v>0</v>
      </c>
      <c r="T196" s="142">
        <v>0</v>
      </c>
      <c r="U196" s="207" t="e">
        <v>#DIV/0!</v>
      </c>
      <c r="V196" s="142">
        <v>0</v>
      </c>
      <c r="W196" s="142">
        <v>0</v>
      </c>
      <c r="X196" s="142">
        <v>0</v>
      </c>
      <c r="Y196" s="142">
        <v>0</v>
      </c>
      <c r="Z196" s="142">
        <v>0</v>
      </c>
      <c r="AA196" s="142">
        <v>0</v>
      </c>
    </row>
    <row r="197" spans="1:27" x14ac:dyDescent="0.2">
      <c r="A197" s="195" t="s">
        <v>1279</v>
      </c>
      <c r="B197" s="209" t="s">
        <v>585</v>
      </c>
      <c r="C197" s="139">
        <v>0</v>
      </c>
      <c r="D197" s="139">
        <v>0</v>
      </c>
      <c r="E197" s="139">
        <v>0</v>
      </c>
      <c r="F197" s="139">
        <v>0</v>
      </c>
      <c r="G197" s="139">
        <v>0</v>
      </c>
      <c r="H197" s="142">
        <v>0</v>
      </c>
      <c r="I197" s="142">
        <v>0</v>
      </c>
      <c r="J197" s="142">
        <v>0</v>
      </c>
      <c r="K197" s="142">
        <v>0</v>
      </c>
      <c r="L197" s="142">
        <v>0</v>
      </c>
      <c r="M197" s="142">
        <v>0</v>
      </c>
      <c r="N197" s="142">
        <v>0</v>
      </c>
      <c r="O197" s="142">
        <v>0</v>
      </c>
      <c r="P197" s="142">
        <v>0</v>
      </c>
      <c r="Q197" s="142">
        <v>0</v>
      </c>
      <c r="R197" s="142">
        <v>0</v>
      </c>
      <c r="S197" s="142">
        <v>0</v>
      </c>
      <c r="T197" s="142">
        <v>0</v>
      </c>
      <c r="U197" s="207" t="e">
        <v>#DIV/0!</v>
      </c>
      <c r="V197" s="142">
        <v>0</v>
      </c>
      <c r="W197" s="142">
        <v>0</v>
      </c>
      <c r="X197" s="142">
        <v>0</v>
      </c>
      <c r="Y197" s="142">
        <v>0</v>
      </c>
      <c r="Z197" s="142">
        <v>0</v>
      </c>
      <c r="AA197" s="142">
        <v>0</v>
      </c>
    </row>
    <row r="198" spans="1:27" x14ac:dyDescent="0.2">
      <c r="A198" s="195" t="s">
        <v>1280</v>
      </c>
      <c r="B198" s="209" t="s">
        <v>586</v>
      </c>
      <c r="C198" s="139">
        <v>0</v>
      </c>
      <c r="D198" s="139">
        <v>0</v>
      </c>
      <c r="E198" s="139">
        <v>0</v>
      </c>
      <c r="F198" s="139">
        <v>0</v>
      </c>
      <c r="G198" s="139">
        <v>0</v>
      </c>
      <c r="H198" s="142">
        <v>0</v>
      </c>
      <c r="I198" s="142">
        <v>0</v>
      </c>
      <c r="J198" s="142">
        <v>0</v>
      </c>
      <c r="K198" s="142">
        <v>0</v>
      </c>
      <c r="L198" s="142">
        <v>0</v>
      </c>
      <c r="M198" s="142">
        <v>0</v>
      </c>
      <c r="N198" s="142">
        <v>0</v>
      </c>
      <c r="O198" s="142">
        <v>0</v>
      </c>
      <c r="P198" s="142">
        <v>0</v>
      </c>
      <c r="Q198" s="142">
        <v>0</v>
      </c>
      <c r="R198" s="142">
        <v>0</v>
      </c>
      <c r="S198" s="142">
        <v>0</v>
      </c>
      <c r="T198" s="142">
        <v>0</v>
      </c>
      <c r="U198" s="207" t="e">
        <v>#DIV/0!</v>
      </c>
      <c r="V198" s="142">
        <v>0</v>
      </c>
      <c r="W198" s="142">
        <v>0</v>
      </c>
      <c r="X198" s="142">
        <v>0</v>
      </c>
      <c r="Y198" s="142">
        <v>0</v>
      </c>
      <c r="Z198" s="142">
        <v>0</v>
      </c>
      <c r="AA198" s="142">
        <v>0</v>
      </c>
    </row>
    <row r="199" spans="1:27" x14ac:dyDescent="0.2">
      <c r="A199" s="195" t="s">
        <v>1281</v>
      </c>
      <c r="B199" s="209" t="s">
        <v>587</v>
      </c>
      <c r="C199" s="139">
        <v>0</v>
      </c>
      <c r="D199" s="139">
        <v>0</v>
      </c>
      <c r="E199" s="139">
        <v>0</v>
      </c>
      <c r="F199" s="139">
        <v>0</v>
      </c>
      <c r="G199" s="139">
        <v>0</v>
      </c>
      <c r="H199" s="142">
        <v>0</v>
      </c>
      <c r="I199" s="142">
        <v>0</v>
      </c>
      <c r="J199" s="142">
        <v>0</v>
      </c>
      <c r="K199" s="142">
        <v>0</v>
      </c>
      <c r="L199" s="142">
        <v>0</v>
      </c>
      <c r="M199" s="142">
        <v>0</v>
      </c>
      <c r="N199" s="142">
        <v>0</v>
      </c>
      <c r="O199" s="142">
        <v>0</v>
      </c>
      <c r="P199" s="142">
        <v>0</v>
      </c>
      <c r="Q199" s="142">
        <v>0</v>
      </c>
      <c r="R199" s="142">
        <v>0</v>
      </c>
      <c r="S199" s="142">
        <v>0</v>
      </c>
      <c r="T199" s="142">
        <v>0</v>
      </c>
      <c r="U199" s="207" t="e">
        <v>#DIV/0!</v>
      </c>
      <c r="V199" s="142">
        <v>0</v>
      </c>
      <c r="W199" s="142">
        <v>0</v>
      </c>
      <c r="X199" s="142">
        <v>0</v>
      </c>
      <c r="Y199" s="142">
        <v>0</v>
      </c>
      <c r="Z199" s="142">
        <v>0</v>
      </c>
      <c r="AA199" s="142">
        <v>0</v>
      </c>
    </row>
    <row r="200" spans="1:27" x14ac:dyDescent="0.2">
      <c r="A200" s="195" t="s">
        <v>1282</v>
      </c>
      <c r="B200" s="209" t="s">
        <v>588</v>
      </c>
      <c r="C200" s="139">
        <v>0</v>
      </c>
      <c r="D200" s="139">
        <v>0</v>
      </c>
      <c r="E200" s="139">
        <v>0</v>
      </c>
      <c r="F200" s="139">
        <v>0</v>
      </c>
      <c r="G200" s="139">
        <v>0</v>
      </c>
      <c r="H200" s="142">
        <v>0</v>
      </c>
      <c r="I200" s="142">
        <v>0</v>
      </c>
      <c r="J200" s="142">
        <v>0</v>
      </c>
      <c r="K200" s="142">
        <v>0</v>
      </c>
      <c r="L200" s="142">
        <v>0</v>
      </c>
      <c r="M200" s="142">
        <v>0</v>
      </c>
      <c r="N200" s="142">
        <v>0</v>
      </c>
      <c r="O200" s="142">
        <v>0</v>
      </c>
      <c r="P200" s="142">
        <v>0</v>
      </c>
      <c r="Q200" s="142">
        <v>0</v>
      </c>
      <c r="R200" s="142">
        <v>0</v>
      </c>
      <c r="S200" s="142">
        <v>0</v>
      </c>
      <c r="T200" s="142">
        <v>0</v>
      </c>
      <c r="U200" s="207" t="e">
        <v>#DIV/0!</v>
      </c>
      <c r="V200" s="142">
        <v>0</v>
      </c>
      <c r="W200" s="142">
        <v>0</v>
      </c>
      <c r="X200" s="142">
        <v>0</v>
      </c>
      <c r="Y200" s="142">
        <v>0</v>
      </c>
      <c r="Z200" s="142">
        <v>0</v>
      </c>
      <c r="AA200" s="142">
        <v>0</v>
      </c>
    </row>
    <row r="201" spans="1:27" x14ac:dyDescent="0.2">
      <c r="A201" s="195" t="s">
        <v>1283</v>
      </c>
      <c r="B201" s="209" t="s">
        <v>589</v>
      </c>
      <c r="C201" s="139">
        <v>0</v>
      </c>
      <c r="D201" s="139">
        <v>0</v>
      </c>
      <c r="E201" s="139">
        <v>0</v>
      </c>
      <c r="F201" s="139">
        <v>0</v>
      </c>
      <c r="G201" s="139">
        <v>0</v>
      </c>
      <c r="H201" s="142">
        <v>0</v>
      </c>
      <c r="I201" s="142">
        <v>0</v>
      </c>
      <c r="J201" s="142">
        <v>0</v>
      </c>
      <c r="K201" s="142">
        <v>0</v>
      </c>
      <c r="L201" s="142">
        <v>0</v>
      </c>
      <c r="M201" s="142">
        <v>0</v>
      </c>
      <c r="N201" s="142">
        <v>0</v>
      </c>
      <c r="O201" s="142">
        <v>0</v>
      </c>
      <c r="P201" s="142">
        <v>0</v>
      </c>
      <c r="Q201" s="142">
        <v>0</v>
      </c>
      <c r="R201" s="142">
        <v>0</v>
      </c>
      <c r="S201" s="142">
        <v>0</v>
      </c>
      <c r="T201" s="142">
        <v>0</v>
      </c>
      <c r="U201" s="207" t="e">
        <v>#DIV/0!</v>
      </c>
      <c r="V201" s="142">
        <v>0</v>
      </c>
      <c r="W201" s="142">
        <v>0</v>
      </c>
      <c r="X201" s="142">
        <v>0</v>
      </c>
      <c r="Y201" s="142">
        <v>0</v>
      </c>
      <c r="Z201" s="142">
        <v>0</v>
      </c>
      <c r="AA201" s="142">
        <v>0</v>
      </c>
    </row>
    <row r="202" spans="1:27" x14ac:dyDescent="0.2">
      <c r="A202" s="195" t="s">
        <v>1284</v>
      </c>
      <c r="B202" s="209" t="s">
        <v>590</v>
      </c>
      <c r="C202" s="139">
        <v>0</v>
      </c>
      <c r="D202" s="139">
        <v>0</v>
      </c>
      <c r="E202" s="139">
        <v>0</v>
      </c>
      <c r="F202" s="139">
        <v>0</v>
      </c>
      <c r="G202" s="139">
        <v>0</v>
      </c>
      <c r="H202" s="142">
        <v>0</v>
      </c>
      <c r="I202" s="142">
        <v>0</v>
      </c>
      <c r="J202" s="142">
        <v>0</v>
      </c>
      <c r="K202" s="142">
        <v>0</v>
      </c>
      <c r="L202" s="142">
        <v>0</v>
      </c>
      <c r="M202" s="142">
        <v>0</v>
      </c>
      <c r="N202" s="142">
        <v>0</v>
      </c>
      <c r="O202" s="142">
        <v>0</v>
      </c>
      <c r="P202" s="142">
        <v>0</v>
      </c>
      <c r="Q202" s="142">
        <v>0</v>
      </c>
      <c r="R202" s="142">
        <v>0</v>
      </c>
      <c r="S202" s="142">
        <v>0</v>
      </c>
      <c r="T202" s="142">
        <v>0</v>
      </c>
      <c r="U202" s="207" t="e">
        <v>#DIV/0!</v>
      </c>
      <c r="V202" s="142">
        <v>0</v>
      </c>
      <c r="W202" s="142">
        <v>0</v>
      </c>
      <c r="X202" s="142">
        <v>0</v>
      </c>
      <c r="Y202" s="142">
        <v>0</v>
      </c>
      <c r="Z202" s="142">
        <v>0</v>
      </c>
      <c r="AA202" s="142">
        <v>0</v>
      </c>
    </row>
    <row r="203" spans="1:27" x14ac:dyDescent="0.2">
      <c r="A203" s="195" t="s">
        <v>1285</v>
      </c>
      <c r="B203" s="209" t="s">
        <v>591</v>
      </c>
      <c r="C203" s="139">
        <v>0</v>
      </c>
      <c r="D203" s="139">
        <v>0</v>
      </c>
      <c r="E203" s="139">
        <v>0</v>
      </c>
      <c r="F203" s="139">
        <v>0</v>
      </c>
      <c r="G203" s="139">
        <v>0</v>
      </c>
      <c r="H203" s="142">
        <v>0</v>
      </c>
      <c r="I203" s="142">
        <v>0</v>
      </c>
      <c r="J203" s="142">
        <v>0</v>
      </c>
      <c r="K203" s="142">
        <v>0</v>
      </c>
      <c r="L203" s="142">
        <v>0</v>
      </c>
      <c r="M203" s="142">
        <v>0</v>
      </c>
      <c r="N203" s="142">
        <v>0</v>
      </c>
      <c r="O203" s="142">
        <v>0</v>
      </c>
      <c r="P203" s="142">
        <v>0</v>
      </c>
      <c r="Q203" s="142">
        <v>0</v>
      </c>
      <c r="R203" s="142">
        <v>0</v>
      </c>
      <c r="S203" s="142">
        <v>0</v>
      </c>
      <c r="T203" s="142">
        <v>0</v>
      </c>
      <c r="U203" s="207" t="e">
        <v>#DIV/0!</v>
      </c>
      <c r="V203" s="142">
        <v>0</v>
      </c>
      <c r="W203" s="142">
        <v>0</v>
      </c>
      <c r="X203" s="142">
        <v>0</v>
      </c>
      <c r="Y203" s="142">
        <v>0</v>
      </c>
      <c r="Z203" s="142">
        <v>0</v>
      </c>
      <c r="AA203" s="142">
        <v>0</v>
      </c>
    </row>
    <row r="204" spans="1:27" x14ac:dyDescent="0.2">
      <c r="A204" s="195" t="s">
        <v>1286</v>
      </c>
      <c r="B204" s="209" t="s">
        <v>592</v>
      </c>
      <c r="C204" s="139">
        <v>0</v>
      </c>
      <c r="D204" s="139">
        <v>0</v>
      </c>
      <c r="E204" s="139">
        <v>0</v>
      </c>
      <c r="F204" s="139">
        <v>0</v>
      </c>
      <c r="G204" s="139">
        <v>0</v>
      </c>
      <c r="H204" s="142">
        <v>0</v>
      </c>
      <c r="I204" s="142">
        <v>0</v>
      </c>
      <c r="J204" s="142">
        <v>0</v>
      </c>
      <c r="K204" s="142">
        <v>0</v>
      </c>
      <c r="L204" s="142">
        <v>0</v>
      </c>
      <c r="M204" s="142">
        <v>0</v>
      </c>
      <c r="N204" s="142">
        <v>0</v>
      </c>
      <c r="O204" s="142">
        <v>0</v>
      </c>
      <c r="P204" s="142">
        <v>0</v>
      </c>
      <c r="Q204" s="142">
        <v>0</v>
      </c>
      <c r="R204" s="142">
        <v>0</v>
      </c>
      <c r="S204" s="142">
        <v>0</v>
      </c>
      <c r="T204" s="142">
        <v>0</v>
      </c>
      <c r="U204" s="207" t="e">
        <v>#DIV/0!</v>
      </c>
      <c r="V204" s="142">
        <v>0</v>
      </c>
      <c r="W204" s="142">
        <v>0</v>
      </c>
      <c r="X204" s="142">
        <v>0</v>
      </c>
      <c r="Y204" s="142">
        <v>0</v>
      </c>
      <c r="Z204" s="142">
        <v>0</v>
      </c>
      <c r="AA204" s="142">
        <v>0</v>
      </c>
    </row>
    <row r="205" spans="1:27" x14ac:dyDescent="0.2">
      <c r="A205" s="195" t="s">
        <v>1287</v>
      </c>
      <c r="B205" s="209" t="s">
        <v>593</v>
      </c>
      <c r="C205" s="139">
        <v>0</v>
      </c>
      <c r="D205" s="139">
        <v>0</v>
      </c>
      <c r="E205" s="139">
        <v>0</v>
      </c>
      <c r="F205" s="139">
        <v>0</v>
      </c>
      <c r="G205" s="139">
        <v>0</v>
      </c>
      <c r="H205" s="142">
        <v>0</v>
      </c>
      <c r="I205" s="142">
        <v>0</v>
      </c>
      <c r="J205" s="142">
        <v>0</v>
      </c>
      <c r="K205" s="142">
        <v>0</v>
      </c>
      <c r="L205" s="142">
        <v>0</v>
      </c>
      <c r="M205" s="142">
        <v>0</v>
      </c>
      <c r="N205" s="142">
        <v>0</v>
      </c>
      <c r="O205" s="142">
        <v>0</v>
      </c>
      <c r="P205" s="142">
        <v>0</v>
      </c>
      <c r="Q205" s="142">
        <v>0</v>
      </c>
      <c r="R205" s="142">
        <v>0</v>
      </c>
      <c r="S205" s="142">
        <v>0</v>
      </c>
      <c r="T205" s="142">
        <v>0</v>
      </c>
      <c r="U205" s="207" t="e">
        <v>#DIV/0!</v>
      </c>
      <c r="V205" s="142">
        <v>0</v>
      </c>
      <c r="W205" s="142">
        <v>0</v>
      </c>
      <c r="X205" s="142">
        <v>0</v>
      </c>
      <c r="Y205" s="142">
        <v>0</v>
      </c>
      <c r="Z205" s="142">
        <v>0</v>
      </c>
      <c r="AA205" s="142">
        <v>0</v>
      </c>
    </row>
    <row r="206" spans="1:27" x14ac:dyDescent="0.2">
      <c r="A206" s="195" t="s">
        <v>1288</v>
      </c>
      <c r="B206" s="209" t="s">
        <v>594</v>
      </c>
      <c r="C206" s="139">
        <v>0</v>
      </c>
      <c r="D206" s="139">
        <v>0</v>
      </c>
      <c r="E206" s="139">
        <v>0</v>
      </c>
      <c r="F206" s="139">
        <v>0</v>
      </c>
      <c r="G206" s="139">
        <v>0</v>
      </c>
      <c r="H206" s="142">
        <v>0</v>
      </c>
      <c r="I206" s="142">
        <v>0</v>
      </c>
      <c r="J206" s="142">
        <v>0</v>
      </c>
      <c r="K206" s="142">
        <v>0</v>
      </c>
      <c r="L206" s="142">
        <v>0</v>
      </c>
      <c r="M206" s="142">
        <v>0</v>
      </c>
      <c r="N206" s="142">
        <v>0</v>
      </c>
      <c r="O206" s="142">
        <v>0</v>
      </c>
      <c r="P206" s="142">
        <v>0</v>
      </c>
      <c r="Q206" s="142">
        <v>0</v>
      </c>
      <c r="R206" s="142">
        <v>0</v>
      </c>
      <c r="S206" s="142">
        <v>0</v>
      </c>
      <c r="T206" s="142">
        <v>0</v>
      </c>
      <c r="U206" s="207" t="e">
        <v>#DIV/0!</v>
      </c>
      <c r="V206" s="142">
        <v>0</v>
      </c>
      <c r="W206" s="142">
        <v>0</v>
      </c>
      <c r="X206" s="142">
        <v>0</v>
      </c>
      <c r="Y206" s="142">
        <v>0</v>
      </c>
      <c r="Z206" s="142">
        <v>0</v>
      </c>
      <c r="AA206" s="142">
        <v>0</v>
      </c>
    </row>
    <row r="207" spans="1:27" x14ac:dyDescent="0.2">
      <c r="A207" s="195" t="s">
        <v>1289</v>
      </c>
      <c r="B207" s="209" t="s">
        <v>595</v>
      </c>
      <c r="C207" s="139">
        <v>0</v>
      </c>
      <c r="D207" s="139">
        <v>0</v>
      </c>
      <c r="E207" s="139">
        <v>0</v>
      </c>
      <c r="F207" s="139">
        <v>0</v>
      </c>
      <c r="G207" s="139">
        <v>0</v>
      </c>
      <c r="H207" s="142">
        <v>0</v>
      </c>
      <c r="I207" s="142">
        <v>0</v>
      </c>
      <c r="J207" s="142">
        <v>0</v>
      </c>
      <c r="K207" s="142">
        <v>0</v>
      </c>
      <c r="L207" s="142">
        <v>0</v>
      </c>
      <c r="M207" s="142">
        <v>0</v>
      </c>
      <c r="N207" s="142">
        <v>0</v>
      </c>
      <c r="O207" s="142">
        <v>0</v>
      </c>
      <c r="P207" s="142">
        <v>0</v>
      </c>
      <c r="Q207" s="142">
        <v>0</v>
      </c>
      <c r="R207" s="142">
        <v>0</v>
      </c>
      <c r="S207" s="142">
        <v>0</v>
      </c>
      <c r="T207" s="142">
        <v>0</v>
      </c>
      <c r="U207" s="207" t="e">
        <v>#DIV/0!</v>
      </c>
      <c r="V207" s="142">
        <v>0</v>
      </c>
      <c r="W207" s="142">
        <v>0</v>
      </c>
      <c r="X207" s="142">
        <v>0</v>
      </c>
      <c r="Y207" s="142">
        <v>0</v>
      </c>
      <c r="Z207" s="142">
        <v>0</v>
      </c>
      <c r="AA207" s="142">
        <v>0</v>
      </c>
    </row>
    <row r="208" spans="1:27" x14ac:dyDescent="0.2">
      <c r="A208" s="195" t="s">
        <v>1290</v>
      </c>
      <c r="B208" s="209" t="s">
        <v>596</v>
      </c>
      <c r="C208" s="139">
        <v>0</v>
      </c>
      <c r="D208" s="139">
        <v>0</v>
      </c>
      <c r="E208" s="139">
        <v>0</v>
      </c>
      <c r="F208" s="139">
        <v>0</v>
      </c>
      <c r="G208" s="139">
        <v>0</v>
      </c>
      <c r="H208" s="142">
        <v>0</v>
      </c>
      <c r="I208" s="142">
        <v>0</v>
      </c>
      <c r="J208" s="142">
        <v>0</v>
      </c>
      <c r="K208" s="142">
        <v>0</v>
      </c>
      <c r="L208" s="142">
        <v>0</v>
      </c>
      <c r="M208" s="142">
        <v>0</v>
      </c>
      <c r="N208" s="142">
        <v>0</v>
      </c>
      <c r="O208" s="142">
        <v>0</v>
      </c>
      <c r="P208" s="142">
        <v>0</v>
      </c>
      <c r="Q208" s="142">
        <v>0</v>
      </c>
      <c r="R208" s="142">
        <v>0</v>
      </c>
      <c r="S208" s="142">
        <v>0</v>
      </c>
      <c r="T208" s="142">
        <v>0</v>
      </c>
      <c r="U208" s="207" t="e">
        <v>#DIV/0!</v>
      </c>
      <c r="V208" s="142">
        <v>0</v>
      </c>
      <c r="W208" s="142">
        <v>0</v>
      </c>
      <c r="X208" s="142">
        <v>0</v>
      </c>
      <c r="Y208" s="142">
        <v>0</v>
      </c>
      <c r="Z208" s="142">
        <v>0</v>
      </c>
      <c r="AA208" s="142">
        <v>0</v>
      </c>
    </row>
    <row r="209" spans="1:27" x14ac:dyDescent="0.2">
      <c r="A209" s="195" t="s">
        <v>1291</v>
      </c>
      <c r="B209" s="209" t="s">
        <v>597</v>
      </c>
      <c r="C209" s="139">
        <v>0</v>
      </c>
      <c r="D209" s="139">
        <v>0</v>
      </c>
      <c r="E209" s="139">
        <v>0</v>
      </c>
      <c r="F209" s="139">
        <v>0</v>
      </c>
      <c r="G209" s="139">
        <v>0</v>
      </c>
      <c r="H209" s="142">
        <v>0</v>
      </c>
      <c r="I209" s="142">
        <v>0</v>
      </c>
      <c r="J209" s="142">
        <v>0</v>
      </c>
      <c r="K209" s="142">
        <v>0</v>
      </c>
      <c r="L209" s="142">
        <v>0</v>
      </c>
      <c r="M209" s="142">
        <v>0</v>
      </c>
      <c r="N209" s="142">
        <v>0</v>
      </c>
      <c r="O209" s="142">
        <v>0</v>
      </c>
      <c r="P209" s="142">
        <v>0</v>
      </c>
      <c r="Q209" s="142">
        <v>0</v>
      </c>
      <c r="R209" s="142">
        <v>0</v>
      </c>
      <c r="S209" s="142">
        <v>0</v>
      </c>
      <c r="T209" s="142">
        <v>0</v>
      </c>
      <c r="U209" s="207" t="e">
        <v>#DIV/0!</v>
      </c>
      <c r="V209" s="142">
        <v>0</v>
      </c>
      <c r="W209" s="142">
        <v>0</v>
      </c>
      <c r="X209" s="142">
        <v>0</v>
      </c>
      <c r="Y209" s="142">
        <v>0</v>
      </c>
      <c r="Z209" s="142">
        <v>0</v>
      </c>
      <c r="AA209" s="142">
        <v>0</v>
      </c>
    </row>
    <row r="210" spans="1:27" x14ac:dyDescent="0.2">
      <c r="A210" s="195" t="s">
        <v>1292</v>
      </c>
      <c r="B210" s="209" t="s">
        <v>598</v>
      </c>
      <c r="C210" s="139">
        <v>0</v>
      </c>
      <c r="D210" s="139">
        <v>0</v>
      </c>
      <c r="E210" s="139">
        <v>0</v>
      </c>
      <c r="F210" s="139">
        <v>0</v>
      </c>
      <c r="G210" s="139">
        <v>0</v>
      </c>
      <c r="H210" s="142">
        <v>0</v>
      </c>
      <c r="I210" s="142">
        <v>0</v>
      </c>
      <c r="J210" s="142">
        <v>0</v>
      </c>
      <c r="K210" s="142">
        <v>0</v>
      </c>
      <c r="L210" s="142">
        <v>0</v>
      </c>
      <c r="M210" s="142">
        <v>0</v>
      </c>
      <c r="N210" s="142">
        <v>0</v>
      </c>
      <c r="O210" s="142">
        <v>0</v>
      </c>
      <c r="P210" s="142">
        <v>0</v>
      </c>
      <c r="Q210" s="142">
        <v>0</v>
      </c>
      <c r="R210" s="142">
        <v>0</v>
      </c>
      <c r="S210" s="142">
        <v>0</v>
      </c>
      <c r="T210" s="142">
        <v>0</v>
      </c>
      <c r="U210" s="207" t="e">
        <v>#DIV/0!</v>
      </c>
      <c r="V210" s="142">
        <v>0</v>
      </c>
      <c r="W210" s="142">
        <v>0</v>
      </c>
      <c r="X210" s="142">
        <v>0</v>
      </c>
      <c r="Y210" s="142">
        <v>0</v>
      </c>
      <c r="Z210" s="142">
        <v>0</v>
      </c>
      <c r="AA210" s="142">
        <v>0</v>
      </c>
    </row>
    <row r="211" spans="1:27" ht="24" x14ac:dyDescent="0.2">
      <c r="A211" s="195" t="s">
        <v>1293</v>
      </c>
      <c r="B211" s="209" t="s">
        <v>599</v>
      </c>
      <c r="C211" s="139">
        <v>0</v>
      </c>
      <c r="D211" s="139">
        <v>0</v>
      </c>
      <c r="E211" s="139">
        <v>0</v>
      </c>
      <c r="F211" s="139">
        <v>0</v>
      </c>
      <c r="G211" s="139">
        <v>0</v>
      </c>
      <c r="H211" s="142">
        <v>0</v>
      </c>
      <c r="I211" s="142">
        <v>0</v>
      </c>
      <c r="J211" s="142">
        <v>0</v>
      </c>
      <c r="K211" s="142">
        <v>0</v>
      </c>
      <c r="L211" s="142">
        <v>0</v>
      </c>
      <c r="M211" s="142">
        <v>0</v>
      </c>
      <c r="N211" s="142">
        <v>0</v>
      </c>
      <c r="O211" s="142">
        <v>0</v>
      </c>
      <c r="P211" s="142">
        <v>0</v>
      </c>
      <c r="Q211" s="142">
        <v>0</v>
      </c>
      <c r="R211" s="142">
        <v>0</v>
      </c>
      <c r="S211" s="142">
        <v>0</v>
      </c>
      <c r="T211" s="142">
        <v>0</v>
      </c>
      <c r="U211" s="207" t="e">
        <v>#DIV/0!</v>
      </c>
      <c r="V211" s="142">
        <v>0</v>
      </c>
      <c r="W211" s="142">
        <v>0</v>
      </c>
      <c r="X211" s="142">
        <v>0</v>
      </c>
      <c r="Y211" s="142">
        <v>0</v>
      </c>
      <c r="Z211" s="142">
        <v>0</v>
      </c>
      <c r="AA211" s="142">
        <v>0</v>
      </c>
    </row>
    <row r="212" spans="1:27" x14ac:dyDescent="0.2">
      <c r="A212" s="195" t="s">
        <v>1294</v>
      </c>
      <c r="B212" s="209" t="s">
        <v>600</v>
      </c>
      <c r="C212" s="139">
        <v>0</v>
      </c>
      <c r="D212" s="139">
        <v>0</v>
      </c>
      <c r="E212" s="139">
        <v>0</v>
      </c>
      <c r="F212" s="139">
        <v>0</v>
      </c>
      <c r="G212" s="139">
        <v>0</v>
      </c>
      <c r="H212" s="142">
        <v>0</v>
      </c>
      <c r="I212" s="142">
        <v>0</v>
      </c>
      <c r="J212" s="142">
        <v>0</v>
      </c>
      <c r="K212" s="142">
        <v>0</v>
      </c>
      <c r="L212" s="142">
        <v>0</v>
      </c>
      <c r="M212" s="142">
        <v>0</v>
      </c>
      <c r="N212" s="142">
        <v>0</v>
      </c>
      <c r="O212" s="142">
        <v>0</v>
      </c>
      <c r="P212" s="142">
        <v>0</v>
      </c>
      <c r="Q212" s="142">
        <v>0</v>
      </c>
      <c r="R212" s="142">
        <v>0</v>
      </c>
      <c r="S212" s="142">
        <v>0</v>
      </c>
      <c r="T212" s="142">
        <v>0</v>
      </c>
      <c r="U212" s="207" t="e">
        <v>#DIV/0!</v>
      </c>
      <c r="V212" s="142">
        <v>0</v>
      </c>
      <c r="W212" s="142">
        <v>0</v>
      </c>
      <c r="X212" s="142">
        <v>0</v>
      </c>
      <c r="Y212" s="142">
        <v>0</v>
      </c>
      <c r="Z212" s="142">
        <v>0</v>
      </c>
      <c r="AA212" s="142">
        <v>0</v>
      </c>
    </row>
    <row r="213" spans="1:27" x14ac:dyDescent="0.2">
      <c r="A213" s="195" t="s">
        <v>1295</v>
      </c>
      <c r="B213" s="209" t="s">
        <v>601</v>
      </c>
      <c r="C213" s="139">
        <v>0</v>
      </c>
      <c r="D213" s="139">
        <v>0</v>
      </c>
      <c r="E213" s="139">
        <v>0</v>
      </c>
      <c r="F213" s="139">
        <v>0</v>
      </c>
      <c r="G213" s="139">
        <v>0</v>
      </c>
      <c r="H213" s="142">
        <v>0</v>
      </c>
      <c r="I213" s="142">
        <v>0</v>
      </c>
      <c r="J213" s="142">
        <v>0</v>
      </c>
      <c r="K213" s="142">
        <v>0</v>
      </c>
      <c r="L213" s="142">
        <v>0</v>
      </c>
      <c r="M213" s="142">
        <v>0</v>
      </c>
      <c r="N213" s="142">
        <v>0</v>
      </c>
      <c r="O213" s="142">
        <v>0</v>
      </c>
      <c r="P213" s="142">
        <v>0</v>
      </c>
      <c r="Q213" s="142">
        <v>0</v>
      </c>
      <c r="R213" s="142">
        <v>0</v>
      </c>
      <c r="S213" s="142">
        <v>0</v>
      </c>
      <c r="T213" s="142">
        <v>0</v>
      </c>
      <c r="U213" s="207" t="e">
        <v>#DIV/0!</v>
      </c>
      <c r="V213" s="142">
        <v>0</v>
      </c>
      <c r="W213" s="142">
        <v>0</v>
      </c>
      <c r="X213" s="142">
        <v>0</v>
      </c>
      <c r="Y213" s="142">
        <v>0</v>
      </c>
      <c r="Z213" s="142">
        <v>0</v>
      </c>
      <c r="AA213" s="142">
        <v>0</v>
      </c>
    </row>
    <row r="214" spans="1:27" x14ac:dyDescent="0.2">
      <c r="A214" s="195" t="s">
        <v>1296</v>
      </c>
      <c r="B214" s="209" t="s">
        <v>602</v>
      </c>
      <c r="C214" s="139">
        <v>0</v>
      </c>
      <c r="D214" s="139">
        <v>0</v>
      </c>
      <c r="E214" s="139">
        <v>0</v>
      </c>
      <c r="F214" s="139">
        <v>0</v>
      </c>
      <c r="G214" s="139">
        <v>0</v>
      </c>
      <c r="H214" s="142">
        <v>0</v>
      </c>
      <c r="I214" s="142">
        <v>0</v>
      </c>
      <c r="J214" s="142">
        <v>0</v>
      </c>
      <c r="K214" s="142">
        <v>0</v>
      </c>
      <c r="L214" s="142">
        <v>0</v>
      </c>
      <c r="M214" s="142">
        <v>0</v>
      </c>
      <c r="N214" s="142">
        <v>0</v>
      </c>
      <c r="O214" s="142">
        <v>0</v>
      </c>
      <c r="P214" s="142">
        <v>0</v>
      </c>
      <c r="Q214" s="142">
        <v>0</v>
      </c>
      <c r="R214" s="142">
        <v>0</v>
      </c>
      <c r="S214" s="142">
        <v>0</v>
      </c>
      <c r="T214" s="142">
        <v>0</v>
      </c>
      <c r="U214" s="207" t="e">
        <v>#DIV/0!</v>
      </c>
      <c r="V214" s="142">
        <v>0</v>
      </c>
      <c r="W214" s="142">
        <v>0</v>
      </c>
      <c r="X214" s="142">
        <v>0</v>
      </c>
      <c r="Y214" s="142">
        <v>0</v>
      </c>
      <c r="Z214" s="142">
        <v>0</v>
      </c>
      <c r="AA214" s="142">
        <v>0</v>
      </c>
    </row>
    <row r="215" spans="1:27" x14ac:dyDescent="0.2">
      <c r="A215" s="195" t="s">
        <v>1297</v>
      </c>
      <c r="B215" s="209" t="s">
        <v>603</v>
      </c>
      <c r="C215" s="139">
        <v>0</v>
      </c>
      <c r="D215" s="139">
        <v>0</v>
      </c>
      <c r="E215" s="139">
        <v>0</v>
      </c>
      <c r="F215" s="139">
        <v>0</v>
      </c>
      <c r="G215" s="139">
        <v>0</v>
      </c>
      <c r="H215" s="142">
        <v>0</v>
      </c>
      <c r="I215" s="142">
        <v>0</v>
      </c>
      <c r="J215" s="142">
        <v>0</v>
      </c>
      <c r="K215" s="142">
        <v>0</v>
      </c>
      <c r="L215" s="142">
        <v>0</v>
      </c>
      <c r="M215" s="142">
        <v>0</v>
      </c>
      <c r="N215" s="142">
        <v>0</v>
      </c>
      <c r="O215" s="142">
        <v>0</v>
      </c>
      <c r="P215" s="142">
        <v>0</v>
      </c>
      <c r="Q215" s="142">
        <v>0</v>
      </c>
      <c r="R215" s="142">
        <v>0</v>
      </c>
      <c r="S215" s="142">
        <v>0</v>
      </c>
      <c r="T215" s="142">
        <v>0</v>
      </c>
      <c r="U215" s="207" t="e">
        <v>#DIV/0!</v>
      </c>
      <c r="V215" s="142">
        <v>0</v>
      </c>
      <c r="W215" s="142">
        <v>0</v>
      </c>
      <c r="X215" s="142">
        <v>0</v>
      </c>
      <c r="Y215" s="142">
        <v>0</v>
      </c>
      <c r="Z215" s="142">
        <v>0</v>
      </c>
      <c r="AA215" s="142">
        <v>0</v>
      </c>
    </row>
    <row r="216" spans="1:27" x14ac:dyDescent="0.2">
      <c r="A216" s="195"/>
      <c r="B216" s="201" t="s">
        <v>604</v>
      </c>
      <c r="C216" s="202">
        <v>0</v>
      </c>
      <c r="D216" s="202">
        <v>0</v>
      </c>
      <c r="E216" s="202">
        <v>0</v>
      </c>
      <c r="F216" s="202">
        <v>0</v>
      </c>
      <c r="G216" s="202">
        <v>0</v>
      </c>
      <c r="H216" s="202">
        <v>0</v>
      </c>
      <c r="I216" s="202">
        <v>0</v>
      </c>
      <c r="J216" s="202">
        <v>0</v>
      </c>
      <c r="K216" s="202">
        <v>0</v>
      </c>
      <c r="L216" s="202">
        <v>0</v>
      </c>
      <c r="M216" s="202">
        <v>0</v>
      </c>
      <c r="N216" s="202">
        <v>0</v>
      </c>
      <c r="O216" s="202">
        <v>0</v>
      </c>
      <c r="P216" s="202">
        <v>0</v>
      </c>
      <c r="Q216" s="202">
        <v>0</v>
      </c>
      <c r="R216" s="202">
        <v>0</v>
      </c>
      <c r="S216" s="202">
        <v>0</v>
      </c>
      <c r="T216" s="203">
        <v>0</v>
      </c>
      <c r="U216" s="204" t="e">
        <v>#DIV/0!</v>
      </c>
      <c r="V216" s="203">
        <v>0</v>
      </c>
      <c r="W216" s="203">
        <v>0</v>
      </c>
      <c r="X216" s="203">
        <v>0</v>
      </c>
      <c r="Y216" s="203">
        <v>0</v>
      </c>
      <c r="Z216" s="203">
        <v>0</v>
      </c>
      <c r="AA216" s="203">
        <v>0</v>
      </c>
    </row>
    <row r="217" spans="1:27" x14ac:dyDescent="0.2">
      <c r="A217" s="195" t="s">
        <v>1298</v>
      </c>
      <c r="B217" s="209" t="s">
        <v>605</v>
      </c>
      <c r="C217" s="139">
        <v>0</v>
      </c>
      <c r="D217" s="139">
        <v>0</v>
      </c>
      <c r="E217" s="139">
        <v>0</v>
      </c>
      <c r="F217" s="139">
        <v>0</v>
      </c>
      <c r="G217" s="139">
        <v>0</v>
      </c>
      <c r="H217" s="142">
        <v>0</v>
      </c>
      <c r="I217" s="142">
        <v>0</v>
      </c>
      <c r="J217" s="142">
        <v>0</v>
      </c>
      <c r="K217" s="142">
        <v>0</v>
      </c>
      <c r="L217" s="142">
        <v>0</v>
      </c>
      <c r="M217" s="142">
        <v>0</v>
      </c>
      <c r="N217" s="142">
        <v>0</v>
      </c>
      <c r="O217" s="142">
        <v>0</v>
      </c>
      <c r="P217" s="142">
        <v>0</v>
      </c>
      <c r="Q217" s="142">
        <v>0</v>
      </c>
      <c r="R217" s="142">
        <v>0</v>
      </c>
      <c r="S217" s="142">
        <v>0</v>
      </c>
      <c r="T217" s="142">
        <v>0</v>
      </c>
      <c r="U217" s="207" t="e">
        <v>#DIV/0!</v>
      </c>
      <c r="V217" s="142">
        <v>0</v>
      </c>
      <c r="W217" s="142">
        <v>0</v>
      </c>
      <c r="X217" s="142">
        <v>0</v>
      </c>
      <c r="Y217" s="142">
        <v>0</v>
      </c>
      <c r="Z217" s="142">
        <v>0</v>
      </c>
      <c r="AA217" s="142">
        <v>0</v>
      </c>
    </row>
    <row r="218" spans="1:27" x14ac:dyDescent="0.2">
      <c r="A218" s="195" t="s">
        <v>1299</v>
      </c>
      <c r="B218" s="209" t="s">
        <v>606</v>
      </c>
      <c r="C218" s="139">
        <v>0</v>
      </c>
      <c r="D218" s="139">
        <v>0</v>
      </c>
      <c r="E218" s="139">
        <v>0</v>
      </c>
      <c r="F218" s="139">
        <v>0</v>
      </c>
      <c r="G218" s="139">
        <v>0</v>
      </c>
      <c r="H218" s="142">
        <v>0</v>
      </c>
      <c r="I218" s="142">
        <v>0</v>
      </c>
      <c r="J218" s="142">
        <v>0</v>
      </c>
      <c r="K218" s="142">
        <v>0</v>
      </c>
      <c r="L218" s="142">
        <v>0</v>
      </c>
      <c r="M218" s="142">
        <v>0</v>
      </c>
      <c r="N218" s="142">
        <v>0</v>
      </c>
      <c r="O218" s="142">
        <v>0</v>
      </c>
      <c r="P218" s="142">
        <v>0</v>
      </c>
      <c r="Q218" s="142">
        <v>0</v>
      </c>
      <c r="R218" s="142">
        <v>0</v>
      </c>
      <c r="S218" s="142">
        <v>0</v>
      </c>
      <c r="T218" s="142">
        <v>0</v>
      </c>
      <c r="U218" s="207" t="e">
        <v>#DIV/0!</v>
      </c>
      <c r="V218" s="142">
        <v>0</v>
      </c>
      <c r="W218" s="142">
        <v>0</v>
      </c>
      <c r="X218" s="142">
        <v>0</v>
      </c>
      <c r="Y218" s="142">
        <v>0</v>
      </c>
      <c r="Z218" s="142">
        <v>0</v>
      </c>
      <c r="AA218" s="142">
        <v>0</v>
      </c>
    </row>
    <row r="219" spans="1:27" ht="24" x14ac:dyDescent="0.2">
      <c r="A219" s="195" t="s">
        <v>1300</v>
      </c>
      <c r="B219" s="209" t="s">
        <v>607</v>
      </c>
      <c r="C219" s="139">
        <v>0</v>
      </c>
      <c r="D219" s="139">
        <v>0</v>
      </c>
      <c r="E219" s="139">
        <v>0</v>
      </c>
      <c r="F219" s="139">
        <v>0</v>
      </c>
      <c r="G219" s="139">
        <v>0</v>
      </c>
      <c r="H219" s="142">
        <v>0</v>
      </c>
      <c r="I219" s="142">
        <v>0</v>
      </c>
      <c r="J219" s="142">
        <v>0</v>
      </c>
      <c r="K219" s="142">
        <v>0</v>
      </c>
      <c r="L219" s="142">
        <v>0</v>
      </c>
      <c r="M219" s="142">
        <v>0</v>
      </c>
      <c r="N219" s="142">
        <v>0</v>
      </c>
      <c r="O219" s="142">
        <v>0</v>
      </c>
      <c r="P219" s="142">
        <v>0</v>
      </c>
      <c r="Q219" s="142">
        <v>0</v>
      </c>
      <c r="R219" s="142">
        <v>0</v>
      </c>
      <c r="S219" s="142">
        <v>0</v>
      </c>
      <c r="T219" s="142">
        <v>0</v>
      </c>
      <c r="U219" s="207" t="e">
        <v>#DIV/0!</v>
      </c>
      <c r="V219" s="142">
        <v>0</v>
      </c>
      <c r="W219" s="142">
        <v>0</v>
      </c>
      <c r="X219" s="142">
        <v>0</v>
      </c>
      <c r="Y219" s="142">
        <v>0</v>
      </c>
      <c r="Z219" s="142">
        <v>0</v>
      </c>
      <c r="AA219" s="142">
        <v>0</v>
      </c>
    </row>
    <row r="220" spans="1:27" x14ac:dyDescent="0.2">
      <c r="A220" s="195"/>
      <c r="B220" s="201" t="s">
        <v>608</v>
      </c>
      <c r="C220" s="202">
        <v>0</v>
      </c>
      <c r="D220" s="202">
        <v>0</v>
      </c>
      <c r="E220" s="202">
        <v>0</v>
      </c>
      <c r="F220" s="202">
        <v>0</v>
      </c>
      <c r="G220" s="202">
        <v>0</v>
      </c>
      <c r="H220" s="202">
        <v>0</v>
      </c>
      <c r="I220" s="202">
        <v>0</v>
      </c>
      <c r="J220" s="202">
        <v>0</v>
      </c>
      <c r="K220" s="202">
        <v>0</v>
      </c>
      <c r="L220" s="202">
        <v>0</v>
      </c>
      <c r="M220" s="202">
        <v>0</v>
      </c>
      <c r="N220" s="202">
        <v>0</v>
      </c>
      <c r="O220" s="202">
        <v>0</v>
      </c>
      <c r="P220" s="202">
        <v>0</v>
      </c>
      <c r="Q220" s="202">
        <v>0</v>
      </c>
      <c r="R220" s="202">
        <v>0</v>
      </c>
      <c r="S220" s="202">
        <v>0</v>
      </c>
      <c r="T220" s="203">
        <v>0</v>
      </c>
      <c r="U220" s="204" t="e">
        <v>#DIV/0!</v>
      </c>
      <c r="V220" s="203">
        <v>0</v>
      </c>
      <c r="W220" s="203">
        <v>0</v>
      </c>
      <c r="X220" s="203">
        <v>0</v>
      </c>
      <c r="Y220" s="203">
        <v>0</v>
      </c>
      <c r="Z220" s="203">
        <v>0</v>
      </c>
      <c r="AA220" s="203">
        <v>0</v>
      </c>
    </row>
    <row r="221" spans="1:27" x14ac:dyDescent="0.2">
      <c r="A221" s="195" t="s">
        <v>1301</v>
      </c>
      <c r="B221" s="209" t="s">
        <v>609</v>
      </c>
      <c r="C221" s="139">
        <v>0</v>
      </c>
      <c r="D221" s="139">
        <v>0</v>
      </c>
      <c r="E221" s="139">
        <v>0</v>
      </c>
      <c r="F221" s="139">
        <v>0</v>
      </c>
      <c r="G221" s="139">
        <v>0</v>
      </c>
      <c r="H221" s="142">
        <v>0</v>
      </c>
      <c r="I221" s="142">
        <v>0</v>
      </c>
      <c r="J221" s="142">
        <v>0</v>
      </c>
      <c r="K221" s="142">
        <v>0</v>
      </c>
      <c r="L221" s="142">
        <v>0</v>
      </c>
      <c r="M221" s="142">
        <v>0</v>
      </c>
      <c r="N221" s="142">
        <v>0</v>
      </c>
      <c r="O221" s="142">
        <v>0</v>
      </c>
      <c r="P221" s="142">
        <v>0</v>
      </c>
      <c r="Q221" s="142">
        <v>0</v>
      </c>
      <c r="R221" s="142">
        <v>0</v>
      </c>
      <c r="S221" s="142">
        <v>0</v>
      </c>
      <c r="T221" s="142">
        <v>0</v>
      </c>
      <c r="U221" s="207" t="e">
        <v>#DIV/0!</v>
      </c>
      <c r="V221" s="142">
        <v>0</v>
      </c>
      <c r="W221" s="142">
        <v>0</v>
      </c>
      <c r="X221" s="142">
        <v>0</v>
      </c>
      <c r="Y221" s="142">
        <v>0</v>
      </c>
      <c r="Z221" s="142">
        <v>0</v>
      </c>
      <c r="AA221" s="142">
        <v>0</v>
      </c>
    </row>
    <row r="222" spans="1:27" x14ac:dyDescent="0.2">
      <c r="A222" s="195" t="s">
        <v>1302</v>
      </c>
      <c r="B222" s="209" t="s">
        <v>610</v>
      </c>
      <c r="C222" s="139">
        <v>0</v>
      </c>
      <c r="D222" s="139">
        <v>0</v>
      </c>
      <c r="E222" s="139">
        <v>0</v>
      </c>
      <c r="F222" s="139">
        <v>0</v>
      </c>
      <c r="G222" s="139">
        <v>0</v>
      </c>
      <c r="H222" s="142">
        <v>0</v>
      </c>
      <c r="I222" s="142">
        <v>0</v>
      </c>
      <c r="J222" s="142">
        <v>0</v>
      </c>
      <c r="K222" s="142">
        <v>0</v>
      </c>
      <c r="L222" s="142">
        <v>0</v>
      </c>
      <c r="M222" s="142">
        <v>0</v>
      </c>
      <c r="N222" s="142">
        <v>0</v>
      </c>
      <c r="O222" s="142">
        <v>0</v>
      </c>
      <c r="P222" s="142">
        <v>0</v>
      </c>
      <c r="Q222" s="142">
        <v>0</v>
      </c>
      <c r="R222" s="142">
        <v>0</v>
      </c>
      <c r="S222" s="142">
        <v>0</v>
      </c>
      <c r="T222" s="142">
        <v>0</v>
      </c>
      <c r="U222" s="207" t="e">
        <v>#DIV/0!</v>
      </c>
      <c r="V222" s="142">
        <v>0</v>
      </c>
      <c r="W222" s="142">
        <v>0</v>
      </c>
      <c r="X222" s="142">
        <v>0</v>
      </c>
      <c r="Y222" s="142">
        <v>0</v>
      </c>
      <c r="Z222" s="142">
        <v>0</v>
      </c>
      <c r="AA222" s="142">
        <v>0</v>
      </c>
    </row>
    <row r="223" spans="1:27" x14ac:dyDescent="0.2">
      <c r="A223" s="195" t="s">
        <v>1303</v>
      </c>
      <c r="B223" s="209" t="s">
        <v>611</v>
      </c>
      <c r="C223" s="139">
        <v>0</v>
      </c>
      <c r="D223" s="139">
        <v>0</v>
      </c>
      <c r="E223" s="139">
        <v>0</v>
      </c>
      <c r="F223" s="139">
        <v>0</v>
      </c>
      <c r="G223" s="139">
        <v>0</v>
      </c>
      <c r="H223" s="142">
        <v>0</v>
      </c>
      <c r="I223" s="142">
        <v>0</v>
      </c>
      <c r="J223" s="142">
        <v>0</v>
      </c>
      <c r="K223" s="142">
        <v>0</v>
      </c>
      <c r="L223" s="142">
        <v>0</v>
      </c>
      <c r="M223" s="142">
        <v>0</v>
      </c>
      <c r="N223" s="142">
        <v>0</v>
      </c>
      <c r="O223" s="142">
        <v>0</v>
      </c>
      <c r="P223" s="142">
        <v>0</v>
      </c>
      <c r="Q223" s="142">
        <v>0</v>
      </c>
      <c r="R223" s="142">
        <v>0</v>
      </c>
      <c r="S223" s="142">
        <v>0</v>
      </c>
      <c r="T223" s="142">
        <v>0</v>
      </c>
      <c r="U223" s="207" t="e">
        <v>#DIV/0!</v>
      </c>
      <c r="V223" s="142">
        <v>0</v>
      </c>
      <c r="W223" s="142">
        <v>0</v>
      </c>
      <c r="X223" s="142">
        <v>0</v>
      </c>
      <c r="Y223" s="142">
        <v>0</v>
      </c>
      <c r="Z223" s="142">
        <v>0</v>
      </c>
      <c r="AA223" s="142">
        <v>0</v>
      </c>
    </row>
    <row r="224" spans="1:27" x14ac:dyDescent="0.2">
      <c r="A224" s="195"/>
      <c r="B224" s="201" t="s">
        <v>612</v>
      </c>
      <c r="C224" s="202">
        <v>0</v>
      </c>
      <c r="D224" s="202">
        <v>0</v>
      </c>
      <c r="E224" s="202">
        <v>0</v>
      </c>
      <c r="F224" s="202">
        <v>0</v>
      </c>
      <c r="G224" s="202">
        <v>0</v>
      </c>
      <c r="H224" s="202">
        <v>0</v>
      </c>
      <c r="I224" s="202">
        <v>0</v>
      </c>
      <c r="J224" s="202">
        <v>0</v>
      </c>
      <c r="K224" s="202">
        <v>0</v>
      </c>
      <c r="L224" s="202">
        <v>0</v>
      </c>
      <c r="M224" s="202">
        <v>0</v>
      </c>
      <c r="N224" s="202">
        <v>0</v>
      </c>
      <c r="O224" s="202">
        <v>0</v>
      </c>
      <c r="P224" s="202">
        <v>0</v>
      </c>
      <c r="Q224" s="202">
        <v>0</v>
      </c>
      <c r="R224" s="202">
        <v>0</v>
      </c>
      <c r="S224" s="202">
        <v>0</v>
      </c>
      <c r="T224" s="203">
        <v>0</v>
      </c>
      <c r="U224" s="204" t="e">
        <v>#DIV/0!</v>
      </c>
      <c r="V224" s="203">
        <v>0</v>
      </c>
      <c r="W224" s="203">
        <v>0</v>
      </c>
      <c r="X224" s="203">
        <v>0</v>
      </c>
      <c r="Y224" s="203">
        <v>0</v>
      </c>
      <c r="Z224" s="203">
        <v>0</v>
      </c>
      <c r="AA224" s="203">
        <v>0</v>
      </c>
    </row>
    <row r="225" spans="1:27" x14ac:dyDescent="0.2">
      <c r="A225" s="195" t="s">
        <v>1304</v>
      </c>
      <c r="B225" s="209" t="s">
        <v>613</v>
      </c>
      <c r="C225" s="139">
        <v>0</v>
      </c>
      <c r="D225" s="139">
        <v>0</v>
      </c>
      <c r="E225" s="139">
        <v>0</v>
      </c>
      <c r="F225" s="139">
        <v>0</v>
      </c>
      <c r="G225" s="139">
        <v>0</v>
      </c>
      <c r="H225" s="142">
        <v>0</v>
      </c>
      <c r="I225" s="142">
        <v>0</v>
      </c>
      <c r="J225" s="142">
        <v>0</v>
      </c>
      <c r="K225" s="142">
        <v>0</v>
      </c>
      <c r="L225" s="142">
        <v>0</v>
      </c>
      <c r="M225" s="142">
        <v>0</v>
      </c>
      <c r="N225" s="142">
        <v>0</v>
      </c>
      <c r="O225" s="142">
        <v>0</v>
      </c>
      <c r="P225" s="142">
        <v>0</v>
      </c>
      <c r="Q225" s="142">
        <v>0</v>
      </c>
      <c r="R225" s="142">
        <v>0</v>
      </c>
      <c r="S225" s="142">
        <v>0</v>
      </c>
      <c r="T225" s="142">
        <v>0</v>
      </c>
      <c r="U225" s="207" t="e">
        <v>#DIV/0!</v>
      </c>
      <c r="V225" s="142">
        <v>0</v>
      </c>
      <c r="W225" s="142">
        <v>0</v>
      </c>
      <c r="X225" s="142">
        <v>0</v>
      </c>
      <c r="Y225" s="142">
        <v>0</v>
      </c>
      <c r="Z225" s="142">
        <v>0</v>
      </c>
      <c r="AA225" s="142">
        <v>0</v>
      </c>
    </row>
    <row r="226" spans="1:27" x14ac:dyDescent="0.2">
      <c r="A226" s="195" t="s">
        <v>1305</v>
      </c>
      <c r="B226" s="209" t="s">
        <v>614</v>
      </c>
      <c r="C226" s="139">
        <v>0</v>
      </c>
      <c r="D226" s="139">
        <v>0</v>
      </c>
      <c r="E226" s="139">
        <v>0</v>
      </c>
      <c r="F226" s="139">
        <v>0</v>
      </c>
      <c r="G226" s="139">
        <v>0</v>
      </c>
      <c r="H226" s="142">
        <v>0</v>
      </c>
      <c r="I226" s="142">
        <v>0</v>
      </c>
      <c r="J226" s="142">
        <v>0</v>
      </c>
      <c r="K226" s="142">
        <v>0</v>
      </c>
      <c r="L226" s="142">
        <v>0</v>
      </c>
      <c r="M226" s="142">
        <v>0</v>
      </c>
      <c r="N226" s="142">
        <v>0</v>
      </c>
      <c r="O226" s="142">
        <v>0</v>
      </c>
      <c r="P226" s="142">
        <v>0</v>
      </c>
      <c r="Q226" s="142">
        <v>0</v>
      </c>
      <c r="R226" s="142">
        <v>0</v>
      </c>
      <c r="S226" s="142">
        <v>0</v>
      </c>
      <c r="T226" s="142">
        <v>0</v>
      </c>
      <c r="U226" s="207" t="e">
        <v>#DIV/0!</v>
      </c>
      <c r="V226" s="142">
        <v>0</v>
      </c>
      <c r="W226" s="142">
        <v>0</v>
      </c>
      <c r="X226" s="142">
        <v>0</v>
      </c>
      <c r="Y226" s="142">
        <v>0</v>
      </c>
      <c r="Z226" s="142">
        <v>0</v>
      </c>
      <c r="AA226" s="142">
        <v>0</v>
      </c>
    </row>
    <row r="227" spans="1:27" x14ac:dyDescent="0.2">
      <c r="A227" s="195" t="s">
        <v>1306</v>
      </c>
      <c r="B227" s="209" t="s">
        <v>615</v>
      </c>
      <c r="C227" s="139">
        <v>0</v>
      </c>
      <c r="D227" s="139">
        <v>0</v>
      </c>
      <c r="E227" s="139">
        <v>0</v>
      </c>
      <c r="F227" s="139">
        <v>0</v>
      </c>
      <c r="G227" s="139">
        <v>0</v>
      </c>
      <c r="H227" s="142">
        <v>0</v>
      </c>
      <c r="I227" s="142">
        <v>0</v>
      </c>
      <c r="J227" s="142">
        <v>0</v>
      </c>
      <c r="K227" s="142">
        <v>0</v>
      </c>
      <c r="L227" s="142">
        <v>0</v>
      </c>
      <c r="M227" s="142">
        <v>0</v>
      </c>
      <c r="N227" s="142">
        <v>0</v>
      </c>
      <c r="O227" s="142">
        <v>0</v>
      </c>
      <c r="P227" s="142">
        <v>0</v>
      </c>
      <c r="Q227" s="142">
        <v>0</v>
      </c>
      <c r="R227" s="142">
        <v>0</v>
      </c>
      <c r="S227" s="142">
        <v>0</v>
      </c>
      <c r="T227" s="142">
        <v>0</v>
      </c>
      <c r="U227" s="207" t="e">
        <v>#DIV/0!</v>
      </c>
      <c r="V227" s="142">
        <v>0</v>
      </c>
      <c r="W227" s="142">
        <v>0</v>
      </c>
      <c r="X227" s="142">
        <v>0</v>
      </c>
      <c r="Y227" s="142">
        <v>0</v>
      </c>
      <c r="Z227" s="142">
        <v>0</v>
      </c>
      <c r="AA227" s="142">
        <v>0</v>
      </c>
    </row>
    <row r="228" spans="1:27" x14ac:dyDescent="0.2">
      <c r="A228" s="195" t="s">
        <v>1307</v>
      </c>
      <c r="B228" s="209" t="s">
        <v>616</v>
      </c>
      <c r="C228" s="139">
        <v>0</v>
      </c>
      <c r="D228" s="139">
        <v>0</v>
      </c>
      <c r="E228" s="139">
        <v>0</v>
      </c>
      <c r="F228" s="139">
        <v>0</v>
      </c>
      <c r="G228" s="139">
        <v>0</v>
      </c>
      <c r="H228" s="142">
        <v>0</v>
      </c>
      <c r="I228" s="142">
        <v>0</v>
      </c>
      <c r="J228" s="142">
        <v>0</v>
      </c>
      <c r="K228" s="142">
        <v>0</v>
      </c>
      <c r="L228" s="142">
        <v>0</v>
      </c>
      <c r="M228" s="142">
        <v>0</v>
      </c>
      <c r="N228" s="142">
        <v>0</v>
      </c>
      <c r="O228" s="142">
        <v>0</v>
      </c>
      <c r="P228" s="142">
        <v>0</v>
      </c>
      <c r="Q228" s="142">
        <v>0</v>
      </c>
      <c r="R228" s="142">
        <v>0</v>
      </c>
      <c r="S228" s="142">
        <v>0</v>
      </c>
      <c r="T228" s="142">
        <v>0</v>
      </c>
      <c r="U228" s="207" t="e">
        <v>#DIV/0!</v>
      </c>
      <c r="V228" s="142">
        <v>0</v>
      </c>
      <c r="W228" s="142">
        <v>0</v>
      </c>
      <c r="X228" s="142">
        <v>0</v>
      </c>
      <c r="Y228" s="142">
        <v>0</v>
      </c>
      <c r="Z228" s="142">
        <v>0</v>
      </c>
      <c r="AA228" s="142">
        <v>0</v>
      </c>
    </row>
    <row r="229" spans="1:27" x14ac:dyDescent="0.2">
      <c r="A229" s="195" t="s">
        <v>1308</v>
      </c>
      <c r="B229" s="209" t="s">
        <v>617</v>
      </c>
      <c r="C229" s="139">
        <v>0</v>
      </c>
      <c r="D229" s="139">
        <v>0</v>
      </c>
      <c r="E229" s="139">
        <v>0</v>
      </c>
      <c r="F229" s="139">
        <v>0</v>
      </c>
      <c r="G229" s="139">
        <v>0</v>
      </c>
      <c r="H229" s="142">
        <v>0</v>
      </c>
      <c r="I229" s="142">
        <v>0</v>
      </c>
      <c r="J229" s="142">
        <v>0</v>
      </c>
      <c r="K229" s="142">
        <v>0</v>
      </c>
      <c r="L229" s="142">
        <v>0</v>
      </c>
      <c r="M229" s="142">
        <v>0</v>
      </c>
      <c r="N229" s="142">
        <v>0</v>
      </c>
      <c r="O229" s="142">
        <v>0</v>
      </c>
      <c r="P229" s="142">
        <v>0</v>
      </c>
      <c r="Q229" s="142">
        <v>0</v>
      </c>
      <c r="R229" s="142">
        <v>0</v>
      </c>
      <c r="S229" s="142">
        <v>0</v>
      </c>
      <c r="T229" s="142">
        <v>0</v>
      </c>
      <c r="U229" s="207" t="e">
        <v>#DIV/0!</v>
      </c>
      <c r="V229" s="142">
        <v>0</v>
      </c>
      <c r="W229" s="142">
        <v>0</v>
      </c>
      <c r="X229" s="142">
        <v>0</v>
      </c>
      <c r="Y229" s="142">
        <v>0</v>
      </c>
      <c r="Z229" s="142">
        <v>0</v>
      </c>
      <c r="AA229" s="142">
        <v>0</v>
      </c>
    </row>
    <row r="230" spans="1:27" x14ac:dyDescent="0.2">
      <c r="A230" s="195" t="s">
        <v>1309</v>
      </c>
      <c r="B230" s="209" t="s">
        <v>618</v>
      </c>
      <c r="C230" s="139">
        <v>0</v>
      </c>
      <c r="D230" s="139">
        <v>0</v>
      </c>
      <c r="E230" s="139">
        <v>0</v>
      </c>
      <c r="F230" s="139">
        <v>0</v>
      </c>
      <c r="G230" s="139">
        <v>0</v>
      </c>
      <c r="H230" s="142">
        <v>0</v>
      </c>
      <c r="I230" s="142">
        <v>0</v>
      </c>
      <c r="J230" s="142">
        <v>0</v>
      </c>
      <c r="K230" s="142">
        <v>0</v>
      </c>
      <c r="L230" s="142">
        <v>0</v>
      </c>
      <c r="M230" s="142">
        <v>0</v>
      </c>
      <c r="N230" s="142">
        <v>0</v>
      </c>
      <c r="O230" s="142">
        <v>0</v>
      </c>
      <c r="P230" s="142">
        <v>0</v>
      </c>
      <c r="Q230" s="142">
        <v>0</v>
      </c>
      <c r="R230" s="142">
        <v>0</v>
      </c>
      <c r="S230" s="142">
        <v>0</v>
      </c>
      <c r="T230" s="142">
        <v>0</v>
      </c>
      <c r="U230" s="207" t="e">
        <v>#DIV/0!</v>
      </c>
      <c r="V230" s="142">
        <v>0</v>
      </c>
      <c r="W230" s="142">
        <v>0</v>
      </c>
      <c r="X230" s="142">
        <v>0</v>
      </c>
      <c r="Y230" s="142">
        <v>0</v>
      </c>
      <c r="Z230" s="142">
        <v>0</v>
      </c>
      <c r="AA230" s="142">
        <v>0</v>
      </c>
    </row>
    <row r="231" spans="1:27" x14ac:dyDescent="0.2">
      <c r="A231" s="195" t="s">
        <v>1310</v>
      </c>
      <c r="B231" s="209" t="s">
        <v>619</v>
      </c>
      <c r="C231" s="139">
        <v>0</v>
      </c>
      <c r="D231" s="139">
        <v>0</v>
      </c>
      <c r="E231" s="139">
        <v>0</v>
      </c>
      <c r="F231" s="139">
        <v>0</v>
      </c>
      <c r="G231" s="139">
        <v>0</v>
      </c>
      <c r="H231" s="142">
        <v>0</v>
      </c>
      <c r="I231" s="142">
        <v>0</v>
      </c>
      <c r="J231" s="142">
        <v>0</v>
      </c>
      <c r="K231" s="142">
        <v>0</v>
      </c>
      <c r="L231" s="142">
        <v>0</v>
      </c>
      <c r="M231" s="142">
        <v>0</v>
      </c>
      <c r="N231" s="142">
        <v>0</v>
      </c>
      <c r="O231" s="142">
        <v>0</v>
      </c>
      <c r="P231" s="142">
        <v>0</v>
      </c>
      <c r="Q231" s="142">
        <v>0</v>
      </c>
      <c r="R231" s="142">
        <v>0</v>
      </c>
      <c r="S231" s="142">
        <v>0</v>
      </c>
      <c r="T231" s="142">
        <v>0</v>
      </c>
      <c r="U231" s="207" t="e">
        <v>#DIV/0!</v>
      </c>
      <c r="V231" s="142">
        <v>0</v>
      </c>
      <c r="W231" s="142">
        <v>0</v>
      </c>
      <c r="X231" s="142">
        <v>0</v>
      </c>
      <c r="Y231" s="142">
        <v>0</v>
      </c>
      <c r="Z231" s="142">
        <v>0</v>
      </c>
      <c r="AA231" s="142">
        <v>0</v>
      </c>
    </row>
    <row r="232" spans="1:27" s="205" customFormat="1" x14ac:dyDescent="0.2">
      <c r="A232" s="195" t="s">
        <v>1311</v>
      </c>
      <c r="B232" s="201" t="s">
        <v>620</v>
      </c>
      <c r="C232" s="208">
        <v>0</v>
      </c>
      <c r="D232" s="208">
        <v>0</v>
      </c>
      <c r="E232" s="208">
        <v>0</v>
      </c>
      <c r="F232" s="208">
        <v>0</v>
      </c>
      <c r="G232" s="208">
        <v>0</v>
      </c>
      <c r="H232" s="203">
        <v>0</v>
      </c>
      <c r="I232" s="203">
        <v>0</v>
      </c>
      <c r="J232" s="203">
        <v>0</v>
      </c>
      <c r="K232" s="203">
        <v>0</v>
      </c>
      <c r="L232" s="203">
        <v>0</v>
      </c>
      <c r="M232" s="203">
        <v>0</v>
      </c>
      <c r="N232" s="203">
        <v>0</v>
      </c>
      <c r="O232" s="203">
        <v>0</v>
      </c>
      <c r="P232" s="203">
        <v>0</v>
      </c>
      <c r="Q232" s="203">
        <v>0</v>
      </c>
      <c r="R232" s="203">
        <v>0</v>
      </c>
      <c r="S232" s="203">
        <v>0</v>
      </c>
      <c r="T232" s="203">
        <v>0</v>
      </c>
      <c r="U232" s="204" t="e">
        <v>#DIV/0!</v>
      </c>
      <c r="V232" s="203">
        <v>0</v>
      </c>
      <c r="W232" s="203">
        <v>0</v>
      </c>
      <c r="X232" s="203">
        <v>0</v>
      </c>
      <c r="Y232" s="203">
        <v>0</v>
      </c>
      <c r="Z232" s="203">
        <v>0</v>
      </c>
      <c r="AA232" s="203">
        <v>0</v>
      </c>
    </row>
    <row r="233" spans="1:27" s="205" customFormat="1" x14ac:dyDescent="0.2">
      <c r="A233" s="195" t="s">
        <v>1312</v>
      </c>
      <c r="B233" s="201" t="s">
        <v>621</v>
      </c>
      <c r="C233" s="208">
        <v>0</v>
      </c>
      <c r="D233" s="208">
        <v>0</v>
      </c>
      <c r="E233" s="208">
        <v>0</v>
      </c>
      <c r="F233" s="208">
        <v>0</v>
      </c>
      <c r="G233" s="208">
        <v>0</v>
      </c>
      <c r="H233" s="203">
        <v>0</v>
      </c>
      <c r="I233" s="203">
        <v>0</v>
      </c>
      <c r="J233" s="203">
        <v>0</v>
      </c>
      <c r="K233" s="203">
        <v>0</v>
      </c>
      <c r="L233" s="203">
        <v>0</v>
      </c>
      <c r="M233" s="203">
        <v>0</v>
      </c>
      <c r="N233" s="203">
        <v>0</v>
      </c>
      <c r="O233" s="203">
        <v>0</v>
      </c>
      <c r="P233" s="203">
        <v>0</v>
      </c>
      <c r="Q233" s="203">
        <v>0</v>
      </c>
      <c r="R233" s="203">
        <v>0</v>
      </c>
      <c r="S233" s="203">
        <v>0</v>
      </c>
      <c r="T233" s="203">
        <v>0</v>
      </c>
      <c r="U233" s="204" t="e">
        <v>#DIV/0!</v>
      </c>
      <c r="V233" s="203">
        <v>0</v>
      </c>
      <c r="W233" s="203">
        <v>0</v>
      </c>
      <c r="X233" s="203">
        <v>0</v>
      </c>
      <c r="Y233" s="203">
        <v>0</v>
      </c>
      <c r="Z233" s="203">
        <v>0</v>
      </c>
      <c r="AA233" s="203">
        <v>0</v>
      </c>
    </row>
    <row r="234" spans="1:27" s="205" customFormat="1" x14ac:dyDescent="0.2">
      <c r="A234" s="195" t="s">
        <v>1313</v>
      </c>
      <c r="B234" s="201" t="s">
        <v>622</v>
      </c>
      <c r="C234" s="208">
        <v>0</v>
      </c>
      <c r="D234" s="208">
        <v>0</v>
      </c>
      <c r="E234" s="208">
        <v>0</v>
      </c>
      <c r="F234" s="208">
        <v>0</v>
      </c>
      <c r="G234" s="208">
        <v>0</v>
      </c>
      <c r="H234" s="203">
        <v>0</v>
      </c>
      <c r="I234" s="203">
        <v>0</v>
      </c>
      <c r="J234" s="203">
        <v>0</v>
      </c>
      <c r="K234" s="203">
        <v>0</v>
      </c>
      <c r="L234" s="203">
        <v>0</v>
      </c>
      <c r="M234" s="203">
        <v>0</v>
      </c>
      <c r="N234" s="203">
        <v>0</v>
      </c>
      <c r="O234" s="203">
        <v>0</v>
      </c>
      <c r="P234" s="203">
        <v>0</v>
      </c>
      <c r="Q234" s="203">
        <v>0</v>
      </c>
      <c r="R234" s="203">
        <v>0</v>
      </c>
      <c r="S234" s="203">
        <v>0</v>
      </c>
      <c r="T234" s="203">
        <v>0</v>
      </c>
      <c r="U234" s="204" t="e">
        <v>#DIV/0!</v>
      </c>
      <c r="V234" s="203">
        <v>0</v>
      </c>
      <c r="W234" s="203">
        <v>0</v>
      </c>
      <c r="X234" s="203">
        <v>0</v>
      </c>
      <c r="Y234" s="203">
        <v>0</v>
      </c>
      <c r="Z234" s="203">
        <v>0</v>
      </c>
      <c r="AA234" s="203">
        <v>0</v>
      </c>
    </row>
    <row r="235" spans="1:27" s="205" customFormat="1" x14ac:dyDescent="0.2">
      <c r="A235" s="195" t="s">
        <v>1314</v>
      </c>
      <c r="B235" s="201" t="s">
        <v>623</v>
      </c>
      <c r="C235" s="208">
        <v>0</v>
      </c>
      <c r="D235" s="208">
        <v>0</v>
      </c>
      <c r="E235" s="208">
        <v>0</v>
      </c>
      <c r="F235" s="208">
        <v>0</v>
      </c>
      <c r="G235" s="208">
        <v>0</v>
      </c>
      <c r="H235" s="203">
        <v>0</v>
      </c>
      <c r="I235" s="203">
        <v>0</v>
      </c>
      <c r="J235" s="203">
        <v>0</v>
      </c>
      <c r="K235" s="203">
        <v>0</v>
      </c>
      <c r="L235" s="203">
        <v>0</v>
      </c>
      <c r="M235" s="203">
        <v>0</v>
      </c>
      <c r="N235" s="203">
        <v>0</v>
      </c>
      <c r="O235" s="203">
        <v>0</v>
      </c>
      <c r="P235" s="203">
        <v>0</v>
      </c>
      <c r="Q235" s="203">
        <v>0</v>
      </c>
      <c r="R235" s="203">
        <v>0</v>
      </c>
      <c r="S235" s="203">
        <v>0</v>
      </c>
      <c r="T235" s="203">
        <v>0</v>
      </c>
      <c r="U235" s="204" t="e">
        <v>#DIV/0!</v>
      </c>
      <c r="V235" s="203">
        <v>0</v>
      </c>
      <c r="W235" s="203">
        <v>0</v>
      </c>
      <c r="X235" s="203">
        <v>0</v>
      </c>
      <c r="Y235" s="203">
        <v>0</v>
      </c>
      <c r="Z235" s="203">
        <v>0</v>
      </c>
      <c r="AA235" s="203">
        <v>0</v>
      </c>
    </row>
    <row r="236" spans="1:27" x14ac:dyDescent="0.2">
      <c r="A236" s="195"/>
      <c r="B236" s="201" t="s">
        <v>624</v>
      </c>
      <c r="C236" s="202">
        <v>0</v>
      </c>
      <c r="D236" s="202">
        <v>0</v>
      </c>
      <c r="E236" s="202">
        <v>0</v>
      </c>
      <c r="F236" s="202">
        <v>0</v>
      </c>
      <c r="G236" s="202">
        <v>0</v>
      </c>
      <c r="H236" s="202">
        <v>0</v>
      </c>
      <c r="I236" s="202">
        <v>0</v>
      </c>
      <c r="J236" s="202">
        <v>0</v>
      </c>
      <c r="K236" s="202">
        <v>0</v>
      </c>
      <c r="L236" s="202">
        <v>0</v>
      </c>
      <c r="M236" s="202">
        <v>0</v>
      </c>
      <c r="N236" s="202">
        <v>0</v>
      </c>
      <c r="O236" s="202">
        <v>0</v>
      </c>
      <c r="P236" s="202">
        <v>0</v>
      </c>
      <c r="Q236" s="202">
        <v>0</v>
      </c>
      <c r="R236" s="202">
        <v>0</v>
      </c>
      <c r="S236" s="202">
        <v>0</v>
      </c>
      <c r="T236" s="203">
        <v>0</v>
      </c>
      <c r="U236" s="204" t="e">
        <v>#DIV/0!</v>
      </c>
      <c r="V236" s="203">
        <v>0</v>
      </c>
      <c r="W236" s="203">
        <v>0</v>
      </c>
      <c r="X236" s="203">
        <v>0</v>
      </c>
      <c r="Y236" s="203">
        <v>0</v>
      </c>
      <c r="Z236" s="203">
        <v>0</v>
      </c>
      <c r="AA236" s="203">
        <v>0</v>
      </c>
    </row>
    <row r="237" spans="1:27" x14ac:dyDescent="0.2">
      <c r="A237" s="195"/>
      <c r="B237" s="209" t="s">
        <v>625</v>
      </c>
      <c r="C237" s="210">
        <v>0</v>
      </c>
      <c r="D237" s="210">
        <v>0</v>
      </c>
      <c r="E237" s="210">
        <v>0</v>
      </c>
      <c r="F237" s="210">
        <v>0</v>
      </c>
      <c r="G237" s="210">
        <v>0</v>
      </c>
      <c r="H237" s="210">
        <v>0</v>
      </c>
      <c r="I237" s="210">
        <v>0</v>
      </c>
      <c r="J237" s="210">
        <v>0</v>
      </c>
      <c r="K237" s="210">
        <v>0</v>
      </c>
      <c r="L237" s="210">
        <v>0</v>
      </c>
      <c r="M237" s="210">
        <v>0</v>
      </c>
      <c r="N237" s="210">
        <v>0</v>
      </c>
      <c r="O237" s="210">
        <v>0</v>
      </c>
      <c r="P237" s="210">
        <v>0</v>
      </c>
      <c r="Q237" s="210">
        <v>0</v>
      </c>
      <c r="R237" s="210">
        <v>0</v>
      </c>
      <c r="S237" s="210">
        <v>0</v>
      </c>
      <c r="T237" s="142">
        <v>0</v>
      </c>
      <c r="U237" s="207" t="e">
        <v>#DIV/0!</v>
      </c>
      <c r="V237" s="142">
        <v>0</v>
      </c>
      <c r="W237" s="142">
        <v>0</v>
      </c>
      <c r="X237" s="142">
        <v>0</v>
      </c>
      <c r="Y237" s="142">
        <v>0</v>
      </c>
      <c r="Z237" s="142">
        <v>0</v>
      </c>
      <c r="AA237" s="142">
        <v>0</v>
      </c>
    </row>
    <row r="238" spans="1:27" x14ac:dyDescent="0.2">
      <c r="A238" s="195"/>
      <c r="B238" s="211" t="s">
        <v>626</v>
      </c>
      <c r="C238" s="210">
        <v>0</v>
      </c>
      <c r="D238" s="210">
        <v>0</v>
      </c>
      <c r="E238" s="210">
        <v>0</v>
      </c>
      <c r="F238" s="210">
        <v>0</v>
      </c>
      <c r="G238" s="210">
        <v>0</v>
      </c>
      <c r="H238" s="210">
        <v>0</v>
      </c>
      <c r="I238" s="210">
        <v>0</v>
      </c>
      <c r="J238" s="210">
        <v>0</v>
      </c>
      <c r="K238" s="210">
        <v>0</v>
      </c>
      <c r="L238" s="210">
        <v>0</v>
      </c>
      <c r="M238" s="210">
        <v>0</v>
      </c>
      <c r="N238" s="210">
        <v>0</v>
      </c>
      <c r="O238" s="210">
        <v>0</v>
      </c>
      <c r="P238" s="210">
        <v>0</v>
      </c>
      <c r="Q238" s="210">
        <v>0</v>
      </c>
      <c r="R238" s="210">
        <v>0</v>
      </c>
      <c r="S238" s="210">
        <v>0</v>
      </c>
      <c r="T238" s="142">
        <v>0</v>
      </c>
      <c r="U238" s="207" t="e">
        <v>#DIV/0!</v>
      </c>
      <c r="V238" s="142">
        <v>0</v>
      </c>
      <c r="W238" s="142">
        <v>0</v>
      </c>
      <c r="X238" s="142">
        <v>0</v>
      </c>
      <c r="Y238" s="142">
        <v>0</v>
      </c>
      <c r="Z238" s="142">
        <v>0</v>
      </c>
      <c r="AA238" s="142">
        <v>0</v>
      </c>
    </row>
    <row r="239" spans="1:27" ht="24" x14ac:dyDescent="0.2">
      <c r="A239" s="195" t="s">
        <v>1315</v>
      </c>
      <c r="B239" s="213" t="s">
        <v>627</v>
      </c>
      <c r="C239" s="139">
        <v>0</v>
      </c>
      <c r="D239" s="139">
        <v>0</v>
      </c>
      <c r="E239" s="139">
        <v>0</v>
      </c>
      <c r="F239" s="139">
        <v>0</v>
      </c>
      <c r="G239" s="139">
        <v>0</v>
      </c>
      <c r="H239" s="142">
        <v>0</v>
      </c>
      <c r="I239" s="142">
        <v>0</v>
      </c>
      <c r="J239" s="142">
        <v>0</v>
      </c>
      <c r="K239" s="142">
        <v>0</v>
      </c>
      <c r="L239" s="142">
        <v>0</v>
      </c>
      <c r="M239" s="142">
        <v>0</v>
      </c>
      <c r="N239" s="142">
        <v>0</v>
      </c>
      <c r="O239" s="142">
        <v>0</v>
      </c>
      <c r="P239" s="142">
        <v>0</v>
      </c>
      <c r="Q239" s="142">
        <v>0</v>
      </c>
      <c r="R239" s="142">
        <v>0</v>
      </c>
      <c r="S239" s="142">
        <v>0</v>
      </c>
      <c r="T239" s="142">
        <v>0</v>
      </c>
      <c r="U239" s="207" t="e">
        <v>#DIV/0!</v>
      </c>
      <c r="V239" s="142">
        <v>0</v>
      </c>
      <c r="W239" s="142">
        <v>0</v>
      </c>
      <c r="X239" s="142">
        <v>0</v>
      </c>
      <c r="Y239" s="142">
        <v>0</v>
      </c>
      <c r="Z239" s="142">
        <v>0</v>
      </c>
      <c r="AA239" s="142">
        <v>0</v>
      </c>
    </row>
    <row r="240" spans="1:27" ht="24" x14ac:dyDescent="0.2">
      <c r="A240" s="195" t="s">
        <v>1316</v>
      </c>
      <c r="B240" s="213" t="s">
        <v>628</v>
      </c>
      <c r="C240" s="139">
        <v>0</v>
      </c>
      <c r="D240" s="139">
        <v>0</v>
      </c>
      <c r="E240" s="139">
        <v>0</v>
      </c>
      <c r="F240" s="139">
        <v>0</v>
      </c>
      <c r="G240" s="139">
        <v>0</v>
      </c>
      <c r="H240" s="142">
        <v>0</v>
      </c>
      <c r="I240" s="142">
        <v>0</v>
      </c>
      <c r="J240" s="142">
        <v>0</v>
      </c>
      <c r="K240" s="142">
        <v>0</v>
      </c>
      <c r="L240" s="142">
        <v>0</v>
      </c>
      <c r="M240" s="142">
        <v>0</v>
      </c>
      <c r="N240" s="142">
        <v>0</v>
      </c>
      <c r="O240" s="142">
        <v>0</v>
      </c>
      <c r="P240" s="142">
        <v>0</v>
      </c>
      <c r="Q240" s="142">
        <v>0</v>
      </c>
      <c r="R240" s="142">
        <v>0</v>
      </c>
      <c r="S240" s="142">
        <v>0</v>
      </c>
      <c r="T240" s="142">
        <v>0</v>
      </c>
      <c r="U240" s="207" t="e">
        <v>#DIV/0!</v>
      </c>
      <c r="V240" s="142">
        <v>0</v>
      </c>
      <c r="W240" s="142">
        <v>0</v>
      </c>
      <c r="X240" s="142">
        <v>0</v>
      </c>
      <c r="Y240" s="142">
        <v>0</v>
      </c>
      <c r="Z240" s="142">
        <v>0</v>
      </c>
      <c r="AA240" s="142">
        <v>0</v>
      </c>
    </row>
    <row r="241" spans="1:27" x14ac:dyDescent="0.2">
      <c r="A241" s="195"/>
      <c r="B241" s="211" t="s">
        <v>1317</v>
      </c>
      <c r="C241" s="139">
        <v>0</v>
      </c>
      <c r="D241" s="139">
        <v>0</v>
      </c>
      <c r="E241" s="139">
        <v>0</v>
      </c>
      <c r="F241" s="139">
        <v>0</v>
      </c>
      <c r="G241" s="139">
        <v>0</v>
      </c>
      <c r="H241" s="139">
        <v>0</v>
      </c>
      <c r="I241" s="139">
        <v>0</v>
      </c>
      <c r="J241" s="139">
        <v>0</v>
      </c>
      <c r="K241" s="139">
        <v>0</v>
      </c>
      <c r="L241" s="139">
        <v>0</v>
      </c>
      <c r="M241" s="139">
        <v>0</v>
      </c>
      <c r="N241" s="139">
        <v>0</v>
      </c>
      <c r="O241" s="139">
        <v>0</v>
      </c>
      <c r="P241" s="139">
        <v>0</v>
      </c>
      <c r="Q241" s="139">
        <v>0</v>
      </c>
      <c r="R241" s="139">
        <v>0</v>
      </c>
      <c r="S241" s="139">
        <v>0</v>
      </c>
      <c r="T241" s="142">
        <v>0</v>
      </c>
      <c r="U241" s="207" t="e">
        <v>#DIV/0!</v>
      </c>
      <c r="V241" s="142">
        <v>0</v>
      </c>
      <c r="W241" s="142">
        <v>0</v>
      </c>
      <c r="X241" s="142">
        <v>0</v>
      </c>
      <c r="Y241" s="142">
        <v>0</v>
      </c>
      <c r="Z241" s="142">
        <v>0</v>
      </c>
      <c r="AA241" s="142">
        <v>0</v>
      </c>
    </row>
    <row r="242" spans="1:27" x14ac:dyDescent="0.2">
      <c r="A242" s="195" t="s">
        <v>1318</v>
      </c>
      <c r="B242" s="213" t="s">
        <v>1319</v>
      </c>
      <c r="C242" s="139">
        <v>0</v>
      </c>
      <c r="D242" s="139">
        <v>0</v>
      </c>
      <c r="E242" s="139">
        <v>0</v>
      </c>
      <c r="F242" s="139">
        <v>0</v>
      </c>
      <c r="G242" s="139">
        <v>0</v>
      </c>
      <c r="H242" s="142">
        <v>0</v>
      </c>
      <c r="I242" s="142">
        <v>0</v>
      </c>
      <c r="J242" s="142">
        <v>0</v>
      </c>
      <c r="K242" s="142">
        <v>0</v>
      </c>
      <c r="L242" s="142">
        <v>0</v>
      </c>
      <c r="M242" s="142">
        <v>0</v>
      </c>
      <c r="N242" s="142">
        <v>0</v>
      </c>
      <c r="O242" s="142">
        <v>0</v>
      </c>
      <c r="P242" s="142">
        <v>0</v>
      </c>
      <c r="Q242" s="142">
        <v>0</v>
      </c>
      <c r="R242" s="142">
        <v>0</v>
      </c>
      <c r="S242" s="142">
        <v>0</v>
      </c>
      <c r="T242" s="142">
        <v>0</v>
      </c>
      <c r="U242" s="207" t="e">
        <v>#DIV/0!</v>
      </c>
      <c r="V242" s="142">
        <v>0</v>
      </c>
      <c r="W242" s="142">
        <v>0</v>
      </c>
      <c r="X242" s="142">
        <v>0</v>
      </c>
      <c r="Y242" s="142">
        <v>0</v>
      </c>
      <c r="Z242" s="142">
        <v>0</v>
      </c>
      <c r="AA242" s="142">
        <v>0</v>
      </c>
    </row>
    <row r="243" spans="1:27" x14ac:dyDescent="0.2">
      <c r="A243" s="212" t="s">
        <v>1320</v>
      </c>
      <c r="B243" s="213" t="s">
        <v>1321</v>
      </c>
      <c r="C243" s="139">
        <v>0</v>
      </c>
      <c r="D243" s="139">
        <v>0</v>
      </c>
      <c r="E243" s="139">
        <v>0</v>
      </c>
      <c r="F243" s="139">
        <v>0</v>
      </c>
      <c r="G243" s="139">
        <v>0</v>
      </c>
      <c r="H243" s="142">
        <v>0</v>
      </c>
      <c r="I243" s="142">
        <v>0</v>
      </c>
      <c r="J243" s="142">
        <v>0</v>
      </c>
      <c r="K243" s="142">
        <v>0</v>
      </c>
      <c r="L243" s="142">
        <v>0</v>
      </c>
      <c r="M243" s="142">
        <v>0</v>
      </c>
      <c r="N243" s="142">
        <v>0</v>
      </c>
      <c r="O243" s="142">
        <v>0</v>
      </c>
      <c r="P243" s="142">
        <v>0</v>
      </c>
      <c r="Q243" s="142">
        <v>0</v>
      </c>
      <c r="R243" s="142">
        <v>0</v>
      </c>
      <c r="S243" s="142">
        <v>0</v>
      </c>
      <c r="T243" s="142">
        <v>0</v>
      </c>
      <c r="U243" s="207" t="e">
        <v>#DIV/0!</v>
      </c>
      <c r="V243" s="142">
        <v>0</v>
      </c>
      <c r="W243" s="142">
        <v>0</v>
      </c>
      <c r="X243" s="142">
        <v>0</v>
      </c>
      <c r="Y243" s="142">
        <v>0</v>
      </c>
      <c r="Z243" s="142">
        <v>0</v>
      </c>
      <c r="AA243" s="142">
        <v>0</v>
      </c>
    </row>
    <row r="244" spans="1:27" x14ac:dyDescent="0.2">
      <c r="A244" s="195" t="s">
        <v>1322</v>
      </c>
      <c r="B244" s="211" t="s">
        <v>629</v>
      </c>
      <c r="C244" s="139">
        <v>0</v>
      </c>
      <c r="D244" s="139">
        <v>0</v>
      </c>
      <c r="E244" s="139">
        <v>0</v>
      </c>
      <c r="F244" s="139">
        <v>0</v>
      </c>
      <c r="G244" s="139">
        <v>0</v>
      </c>
      <c r="H244" s="142">
        <v>0</v>
      </c>
      <c r="I244" s="142">
        <v>0</v>
      </c>
      <c r="J244" s="142">
        <v>0</v>
      </c>
      <c r="K244" s="142">
        <v>0</v>
      </c>
      <c r="L244" s="142">
        <v>0</v>
      </c>
      <c r="M244" s="142">
        <v>0</v>
      </c>
      <c r="N244" s="142">
        <v>0</v>
      </c>
      <c r="O244" s="142">
        <v>0</v>
      </c>
      <c r="P244" s="142">
        <v>0</v>
      </c>
      <c r="Q244" s="142">
        <v>0</v>
      </c>
      <c r="R244" s="142">
        <v>0</v>
      </c>
      <c r="S244" s="142">
        <v>0</v>
      </c>
      <c r="T244" s="142">
        <v>0</v>
      </c>
      <c r="U244" s="207" t="e">
        <v>#DIV/0!</v>
      </c>
      <c r="V244" s="142">
        <v>0</v>
      </c>
      <c r="W244" s="142">
        <v>0</v>
      </c>
      <c r="X244" s="142">
        <v>0</v>
      </c>
      <c r="Y244" s="142">
        <v>0</v>
      </c>
      <c r="Z244" s="142">
        <v>0</v>
      </c>
      <c r="AA244" s="142">
        <v>0</v>
      </c>
    </row>
    <row r="245" spans="1:27" x14ac:dyDescent="0.2">
      <c r="A245" s="195" t="s">
        <v>1323</v>
      </c>
      <c r="B245" s="211" t="s">
        <v>630</v>
      </c>
      <c r="C245" s="139">
        <v>0</v>
      </c>
      <c r="D245" s="139">
        <v>0</v>
      </c>
      <c r="E245" s="139">
        <v>0</v>
      </c>
      <c r="F245" s="139">
        <v>0</v>
      </c>
      <c r="G245" s="139">
        <v>0</v>
      </c>
      <c r="H245" s="142">
        <v>0</v>
      </c>
      <c r="I245" s="142">
        <v>0</v>
      </c>
      <c r="J245" s="142">
        <v>0</v>
      </c>
      <c r="K245" s="142">
        <v>0</v>
      </c>
      <c r="L245" s="142">
        <v>0</v>
      </c>
      <c r="M245" s="142">
        <v>0</v>
      </c>
      <c r="N245" s="142">
        <v>0</v>
      </c>
      <c r="O245" s="142">
        <v>0</v>
      </c>
      <c r="P245" s="142">
        <v>0</v>
      </c>
      <c r="Q245" s="142">
        <v>0</v>
      </c>
      <c r="R245" s="142">
        <v>0</v>
      </c>
      <c r="S245" s="142">
        <v>0</v>
      </c>
      <c r="T245" s="142">
        <v>0</v>
      </c>
      <c r="U245" s="207" t="e">
        <v>#DIV/0!</v>
      </c>
      <c r="V245" s="142">
        <v>0</v>
      </c>
      <c r="W245" s="142">
        <v>0</v>
      </c>
      <c r="X245" s="142">
        <v>0</v>
      </c>
      <c r="Y245" s="142">
        <v>0</v>
      </c>
      <c r="Z245" s="142">
        <v>0</v>
      </c>
      <c r="AA245" s="142">
        <v>0</v>
      </c>
    </row>
    <row r="246" spans="1:27" x14ac:dyDescent="0.2">
      <c r="A246" s="195" t="s">
        <v>1324</v>
      </c>
      <c r="B246" s="209" t="s">
        <v>631</v>
      </c>
      <c r="C246" s="139">
        <v>0</v>
      </c>
      <c r="D246" s="139">
        <v>0</v>
      </c>
      <c r="E246" s="139">
        <v>0</v>
      </c>
      <c r="F246" s="139">
        <v>0</v>
      </c>
      <c r="G246" s="139">
        <v>0</v>
      </c>
      <c r="H246" s="142">
        <v>0</v>
      </c>
      <c r="I246" s="142">
        <v>0</v>
      </c>
      <c r="J246" s="142">
        <v>0</v>
      </c>
      <c r="K246" s="142">
        <v>0</v>
      </c>
      <c r="L246" s="142">
        <v>0</v>
      </c>
      <c r="M246" s="142">
        <v>0</v>
      </c>
      <c r="N246" s="142">
        <v>0</v>
      </c>
      <c r="O246" s="142">
        <v>0</v>
      </c>
      <c r="P246" s="142">
        <v>0</v>
      </c>
      <c r="Q246" s="142">
        <v>0</v>
      </c>
      <c r="R246" s="142">
        <v>0</v>
      </c>
      <c r="S246" s="142">
        <v>0</v>
      </c>
      <c r="T246" s="142">
        <v>0</v>
      </c>
      <c r="U246" s="207" t="e">
        <v>#DIV/0!</v>
      </c>
      <c r="V246" s="142">
        <v>0</v>
      </c>
      <c r="W246" s="142">
        <v>0</v>
      </c>
      <c r="X246" s="142">
        <v>0</v>
      </c>
      <c r="Y246" s="142">
        <v>0</v>
      </c>
      <c r="Z246" s="142">
        <v>0</v>
      </c>
      <c r="AA246" s="142">
        <v>0</v>
      </c>
    </row>
    <row r="247" spans="1:27" x14ac:dyDescent="0.2">
      <c r="A247" s="195" t="s">
        <v>1325</v>
      </c>
      <c r="B247" s="209" t="s">
        <v>632</v>
      </c>
      <c r="C247" s="139">
        <v>0</v>
      </c>
      <c r="D247" s="139">
        <v>0</v>
      </c>
      <c r="E247" s="139">
        <v>0</v>
      </c>
      <c r="F247" s="139">
        <v>0</v>
      </c>
      <c r="G247" s="139">
        <v>0</v>
      </c>
      <c r="H247" s="142">
        <v>0</v>
      </c>
      <c r="I247" s="142">
        <v>0</v>
      </c>
      <c r="J247" s="142">
        <v>0</v>
      </c>
      <c r="K247" s="142">
        <v>0</v>
      </c>
      <c r="L247" s="142">
        <v>0</v>
      </c>
      <c r="M247" s="142">
        <v>0</v>
      </c>
      <c r="N247" s="142">
        <v>0</v>
      </c>
      <c r="O247" s="142">
        <v>0</v>
      </c>
      <c r="P247" s="142">
        <v>0</v>
      </c>
      <c r="Q247" s="142">
        <v>0</v>
      </c>
      <c r="R247" s="142">
        <v>0</v>
      </c>
      <c r="S247" s="142">
        <v>0</v>
      </c>
      <c r="T247" s="142">
        <v>0</v>
      </c>
      <c r="U247" s="207" t="e">
        <v>#DIV/0!</v>
      </c>
      <c r="V247" s="142">
        <v>0</v>
      </c>
      <c r="W247" s="142">
        <v>0</v>
      </c>
      <c r="X247" s="142">
        <v>0</v>
      </c>
      <c r="Y247" s="142">
        <v>0</v>
      </c>
      <c r="Z247" s="142">
        <v>0</v>
      </c>
      <c r="AA247" s="142">
        <v>0</v>
      </c>
    </row>
    <row r="248" spans="1:27" x14ac:dyDescent="0.2">
      <c r="A248" s="195" t="s">
        <v>1326</v>
      </c>
      <c r="B248" s="209" t="s">
        <v>633</v>
      </c>
      <c r="C248" s="139">
        <v>0</v>
      </c>
      <c r="D248" s="139">
        <v>0</v>
      </c>
      <c r="E248" s="139">
        <v>0</v>
      </c>
      <c r="F248" s="139">
        <v>0</v>
      </c>
      <c r="G248" s="139">
        <v>0</v>
      </c>
      <c r="H248" s="142">
        <v>0</v>
      </c>
      <c r="I248" s="142">
        <v>0</v>
      </c>
      <c r="J248" s="142">
        <v>0</v>
      </c>
      <c r="K248" s="142">
        <v>0</v>
      </c>
      <c r="L248" s="142">
        <v>0</v>
      </c>
      <c r="M248" s="142">
        <v>0</v>
      </c>
      <c r="N248" s="142">
        <v>0</v>
      </c>
      <c r="O248" s="142">
        <v>0</v>
      </c>
      <c r="P248" s="142">
        <v>0</v>
      </c>
      <c r="Q248" s="142">
        <v>0</v>
      </c>
      <c r="R248" s="142">
        <v>0</v>
      </c>
      <c r="S248" s="142">
        <v>0</v>
      </c>
      <c r="T248" s="142">
        <v>0</v>
      </c>
      <c r="U248" s="207" t="e">
        <v>#DIV/0!</v>
      </c>
      <c r="V248" s="142">
        <v>0</v>
      </c>
      <c r="W248" s="142">
        <v>0</v>
      </c>
      <c r="X248" s="142">
        <v>0</v>
      </c>
      <c r="Y248" s="142">
        <v>0</v>
      </c>
      <c r="Z248" s="142">
        <v>0</v>
      </c>
      <c r="AA248" s="142">
        <v>0</v>
      </c>
    </row>
    <row r="249" spans="1:27" x14ac:dyDescent="0.2">
      <c r="A249" s="195" t="s">
        <v>1327</v>
      </c>
      <c r="B249" s="209" t="s">
        <v>634</v>
      </c>
      <c r="C249" s="139">
        <v>0</v>
      </c>
      <c r="D249" s="139">
        <v>0</v>
      </c>
      <c r="E249" s="139">
        <v>0</v>
      </c>
      <c r="F249" s="139">
        <v>0</v>
      </c>
      <c r="G249" s="139">
        <v>0</v>
      </c>
      <c r="H249" s="142">
        <v>0</v>
      </c>
      <c r="I249" s="142">
        <v>0</v>
      </c>
      <c r="J249" s="142">
        <v>0</v>
      </c>
      <c r="K249" s="142">
        <v>0</v>
      </c>
      <c r="L249" s="142">
        <v>0</v>
      </c>
      <c r="M249" s="142">
        <v>0</v>
      </c>
      <c r="N249" s="142">
        <v>0</v>
      </c>
      <c r="O249" s="142">
        <v>0</v>
      </c>
      <c r="P249" s="142">
        <v>0</v>
      </c>
      <c r="Q249" s="142">
        <v>0</v>
      </c>
      <c r="R249" s="142">
        <v>0</v>
      </c>
      <c r="S249" s="142">
        <v>0</v>
      </c>
      <c r="T249" s="142">
        <v>0</v>
      </c>
      <c r="U249" s="207" t="e">
        <v>#DIV/0!</v>
      </c>
      <c r="V249" s="142">
        <v>0</v>
      </c>
      <c r="W249" s="142">
        <v>0</v>
      </c>
      <c r="X249" s="142">
        <v>0</v>
      </c>
      <c r="Y249" s="142">
        <v>0</v>
      </c>
      <c r="Z249" s="142">
        <v>0</v>
      </c>
      <c r="AA249" s="142">
        <v>0</v>
      </c>
    </row>
    <row r="250" spans="1:27" x14ac:dyDescent="0.2">
      <c r="A250" s="195" t="s">
        <v>1328</v>
      </c>
      <c r="B250" s="209" t="s">
        <v>635</v>
      </c>
      <c r="C250" s="139">
        <v>0</v>
      </c>
      <c r="D250" s="139">
        <v>0</v>
      </c>
      <c r="E250" s="139">
        <v>0</v>
      </c>
      <c r="F250" s="139">
        <v>0</v>
      </c>
      <c r="G250" s="139">
        <v>0</v>
      </c>
      <c r="H250" s="142">
        <v>0</v>
      </c>
      <c r="I250" s="142">
        <v>0</v>
      </c>
      <c r="J250" s="142">
        <v>0</v>
      </c>
      <c r="K250" s="142">
        <v>0</v>
      </c>
      <c r="L250" s="142">
        <v>0</v>
      </c>
      <c r="M250" s="142">
        <v>0</v>
      </c>
      <c r="N250" s="142">
        <v>0</v>
      </c>
      <c r="O250" s="142">
        <v>0</v>
      </c>
      <c r="P250" s="142">
        <v>0</v>
      </c>
      <c r="Q250" s="142">
        <v>0</v>
      </c>
      <c r="R250" s="142">
        <v>0</v>
      </c>
      <c r="S250" s="142">
        <v>0</v>
      </c>
      <c r="T250" s="142">
        <v>0</v>
      </c>
      <c r="U250" s="207" t="e">
        <v>#DIV/0!</v>
      </c>
      <c r="V250" s="142">
        <v>0</v>
      </c>
      <c r="W250" s="142">
        <v>0</v>
      </c>
      <c r="X250" s="142">
        <v>0</v>
      </c>
      <c r="Y250" s="142">
        <v>0</v>
      </c>
      <c r="Z250" s="142">
        <v>0</v>
      </c>
      <c r="AA250" s="142">
        <v>0</v>
      </c>
    </row>
    <row r="251" spans="1:27" x14ac:dyDescent="0.2">
      <c r="A251" s="195"/>
      <c r="B251" s="201" t="s">
        <v>636</v>
      </c>
      <c r="C251" s="202">
        <v>0</v>
      </c>
      <c r="D251" s="202">
        <v>0</v>
      </c>
      <c r="E251" s="202">
        <v>0</v>
      </c>
      <c r="F251" s="202">
        <v>0</v>
      </c>
      <c r="G251" s="202">
        <v>0</v>
      </c>
      <c r="H251" s="202">
        <v>0</v>
      </c>
      <c r="I251" s="202">
        <v>0</v>
      </c>
      <c r="J251" s="202">
        <v>0</v>
      </c>
      <c r="K251" s="202">
        <v>0</v>
      </c>
      <c r="L251" s="202">
        <v>0</v>
      </c>
      <c r="M251" s="202">
        <v>0</v>
      </c>
      <c r="N251" s="202">
        <v>0</v>
      </c>
      <c r="O251" s="202">
        <v>0</v>
      </c>
      <c r="P251" s="202">
        <v>0</v>
      </c>
      <c r="Q251" s="202">
        <v>0</v>
      </c>
      <c r="R251" s="202">
        <v>0</v>
      </c>
      <c r="S251" s="202">
        <v>0</v>
      </c>
      <c r="T251" s="203">
        <v>0</v>
      </c>
      <c r="U251" s="204" t="e">
        <v>#DIV/0!</v>
      </c>
      <c r="V251" s="203">
        <v>0</v>
      </c>
      <c r="W251" s="203">
        <v>0</v>
      </c>
      <c r="X251" s="203">
        <v>0</v>
      </c>
      <c r="Y251" s="203">
        <v>0</v>
      </c>
      <c r="Z251" s="203">
        <v>0</v>
      </c>
      <c r="AA251" s="203">
        <v>0</v>
      </c>
    </row>
    <row r="252" spans="1:27" x14ac:dyDescent="0.2">
      <c r="A252" s="195" t="s">
        <v>1329</v>
      </c>
      <c r="B252" s="209" t="s">
        <v>637</v>
      </c>
      <c r="C252" s="139">
        <v>0</v>
      </c>
      <c r="D252" s="139">
        <v>0</v>
      </c>
      <c r="E252" s="139">
        <v>0</v>
      </c>
      <c r="F252" s="139">
        <v>0</v>
      </c>
      <c r="G252" s="139">
        <v>0</v>
      </c>
      <c r="H252" s="142">
        <v>0</v>
      </c>
      <c r="I252" s="142">
        <v>0</v>
      </c>
      <c r="J252" s="142">
        <v>0</v>
      </c>
      <c r="K252" s="142">
        <v>0</v>
      </c>
      <c r="L252" s="142">
        <v>0</v>
      </c>
      <c r="M252" s="142">
        <v>0</v>
      </c>
      <c r="N252" s="142">
        <v>0</v>
      </c>
      <c r="O252" s="142">
        <v>0</v>
      </c>
      <c r="P252" s="142">
        <v>0</v>
      </c>
      <c r="Q252" s="142">
        <v>0</v>
      </c>
      <c r="R252" s="142">
        <v>0</v>
      </c>
      <c r="S252" s="142">
        <v>0</v>
      </c>
      <c r="T252" s="142">
        <v>0</v>
      </c>
      <c r="U252" s="207" t="e">
        <v>#DIV/0!</v>
      </c>
      <c r="V252" s="142">
        <v>0</v>
      </c>
      <c r="W252" s="142">
        <v>0</v>
      </c>
      <c r="X252" s="142">
        <v>0</v>
      </c>
      <c r="Y252" s="142">
        <v>0</v>
      </c>
      <c r="Z252" s="142">
        <v>0</v>
      </c>
      <c r="AA252" s="142">
        <v>0</v>
      </c>
    </row>
    <row r="253" spans="1:27" x14ac:dyDescent="0.2">
      <c r="A253" s="195" t="s">
        <v>1330</v>
      </c>
      <c r="B253" s="209" t="s">
        <v>638</v>
      </c>
      <c r="C253" s="139">
        <v>0</v>
      </c>
      <c r="D253" s="139">
        <v>0</v>
      </c>
      <c r="E253" s="139">
        <v>0</v>
      </c>
      <c r="F253" s="139">
        <v>0</v>
      </c>
      <c r="G253" s="139">
        <v>0</v>
      </c>
      <c r="H253" s="142">
        <v>0</v>
      </c>
      <c r="I253" s="142">
        <v>0</v>
      </c>
      <c r="J253" s="142">
        <v>0</v>
      </c>
      <c r="K253" s="142">
        <v>0</v>
      </c>
      <c r="L253" s="142">
        <v>0</v>
      </c>
      <c r="M253" s="142">
        <v>0</v>
      </c>
      <c r="N253" s="142">
        <v>0</v>
      </c>
      <c r="O253" s="142">
        <v>0</v>
      </c>
      <c r="P253" s="142">
        <v>0</v>
      </c>
      <c r="Q253" s="142">
        <v>0</v>
      </c>
      <c r="R253" s="142">
        <v>0</v>
      </c>
      <c r="S253" s="142">
        <v>0</v>
      </c>
      <c r="T253" s="142">
        <v>0</v>
      </c>
      <c r="U253" s="207" t="e">
        <v>#DIV/0!</v>
      </c>
      <c r="V253" s="142">
        <v>0</v>
      </c>
      <c r="W253" s="142">
        <v>0</v>
      </c>
      <c r="X253" s="142">
        <v>0</v>
      </c>
      <c r="Y253" s="142">
        <v>0</v>
      </c>
      <c r="Z253" s="142">
        <v>0</v>
      </c>
      <c r="AA253" s="142">
        <v>0</v>
      </c>
    </row>
    <row r="254" spans="1:27" x14ac:dyDescent="0.2">
      <c r="A254" s="195" t="s">
        <v>1331</v>
      </c>
      <c r="B254" s="209" t="s">
        <v>639</v>
      </c>
      <c r="C254" s="139">
        <v>0</v>
      </c>
      <c r="D254" s="139">
        <v>0</v>
      </c>
      <c r="E254" s="139">
        <v>0</v>
      </c>
      <c r="F254" s="139">
        <v>0</v>
      </c>
      <c r="G254" s="139">
        <v>0</v>
      </c>
      <c r="H254" s="142">
        <v>0</v>
      </c>
      <c r="I254" s="142">
        <v>0</v>
      </c>
      <c r="J254" s="142">
        <v>0</v>
      </c>
      <c r="K254" s="142">
        <v>0</v>
      </c>
      <c r="L254" s="142">
        <v>0</v>
      </c>
      <c r="M254" s="142">
        <v>0</v>
      </c>
      <c r="N254" s="142">
        <v>0</v>
      </c>
      <c r="O254" s="142">
        <v>0</v>
      </c>
      <c r="P254" s="142">
        <v>0</v>
      </c>
      <c r="Q254" s="142">
        <v>0</v>
      </c>
      <c r="R254" s="142">
        <v>0</v>
      </c>
      <c r="S254" s="142">
        <v>0</v>
      </c>
      <c r="T254" s="142">
        <v>0</v>
      </c>
      <c r="U254" s="207" t="e">
        <v>#DIV/0!</v>
      </c>
      <c r="V254" s="142">
        <v>0</v>
      </c>
      <c r="W254" s="142">
        <v>0</v>
      </c>
      <c r="X254" s="142">
        <v>0</v>
      </c>
      <c r="Y254" s="142">
        <v>0</v>
      </c>
      <c r="Z254" s="142">
        <v>0</v>
      </c>
      <c r="AA254" s="142">
        <v>0</v>
      </c>
    </row>
    <row r="255" spans="1:27" x14ac:dyDescent="0.2">
      <c r="A255" s="195"/>
      <c r="B255" s="201" t="s">
        <v>640</v>
      </c>
      <c r="C255" s="202">
        <v>0</v>
      </c>
      <c r="D255" s="202">
        <v>0</v>
      </c>
      <c r="E255" s="202">
        <v>0</v>
      </c>
      <c r="F255" s="202">
        <v>0</v>
      </c>
      <c r="G255" s="202">
        <v>0</v>
      </c>
      <c r="H255" s="202">
        <v>0</v>
      </c>
      <c r="I255" s="202">
        <v>0</v>
      </c>
      <c r="J255" s="202">
        <v>0</v>
      </c>
      <c r="K255" s="202">
        <v>0</v>
      </c>
      <c r="L255" s="202">
        <v>0</v>
      </c>
      <c r="M255" s="202">
        <v>0</v>
      </c>
      <c r="N255" s="202">
        <v>0</v>
      </c>
      <c r="O255" s="202">
        <v>0</v>
      </c>
      <c r="P255" s="202">
        <v>0</v>
      </c>
      <c r="Q255" s="202">
        <v>0</v>
      </c>
      <c r="R255" s="202">
        <v>0</v>
      </c>
      <c r="S255" s="202">
        <v>0</v>
      </c>
      <c r="T255" s="203">
        <v>0</v>
      </c>
      <c r="U255" s="204" t="e">
        <v>#DIV/0!</v>
      </c>
      <c r="V255" s="203">
        <v>0</v>
      </c>
      <c r="W255" s="203">
        <v>0</v>
      </c>
      <c r="X255" s="203">
        <v>0</v>
      </c>
      <c r="Y255" s="203">
        <v>0</v>
      </c>
      <c r="Z255" s="203">
        <v>0</v>
      </c>
      <c r="AA255" s="203">
        <v>0</v>
      </c>
    </row>
    <row r="256" spans="1:27" x14ac:dyDescent="0.2">
      <c r="A256" s="195" t="s">
        <v>1332</v>
      </c>
      <c r="B256" s="209" t="s">
        <v>641</v>
      </c>
      <c r="C256" s="139">
        <v>0</v>
      </c>
      <c r="D256" s="139">
        <v>0</v>
      </c>
      <c r="E256" s="139">
        <v>0</v>
      </c>
      <c r="F256" s="139">
        <v>0</v>
      </c>
      <c r="G256" s="139">
        <v>0</v>
      </c>
      <c r="H256" s="142">
        <v>0</v>
      </c>
      <c r="I256" s="142">
        <v>0</v>
      </c>
      <c r="J256" s="142">
        <v>0</v>
      </c>
      <c r="K256" s="142">
        <v>0</v>
      </c>
      <c r="L256" s="142">
        <v>0</v>
      </c>
      <c r="M256" s="142">
        <v>0</v>
      </c>
      <c r="N256" s="142">
        <v>0</v>
      </c>
      <c r="O256" s="142">
        <v>0</v>
      </c>
      <c r="P256" s="142">
        <v>0</v>
      </c>
      <c r="Q256" s="142">
        <v>0</v>
      </c>
      <c r="R256" s="142">
        <v>0</v>
      </c>
      <c r="S256" s="142">
        <v>0</v>
      </c>
      <c r="T256" s="142">
        <v>0</v>
      </c>
      <c r="U256" s="207" t="e">
        <v>#DIV/0!</v>
      </c>
      <c r="V256" s="142">
        <v>0</v>
      </c>
      <c r="W256" s="142">
        <v>0</v>
      </c>
      <c r="X256" s="142">
        <v>0</v>
      </c>
      <c r="Y256" s="142">
        <v>0</v>
      </c>
      <c r="Z256" s="142">
        <v>0</v>
      </c>
      <c r="AA256" s="142">
        <v>0</v>
      </c>
    </row>
    <row r="257" spans="1:27" x14ac:dyDescent="0.2">
      <c r="A257" s="195" t="s">
        <v>1333</v>
      </c>
      <c r="B257" s="209" t="s">
        <v>642</v>
      </c>
      <c r="C257" s="139">
        <v>0</v>
      </c>
      <c r="D257" s="139">
        <v>0</v>
      </c>
      <c r="E257" s="139">
        <v>0</v>
      </c>
      <c r="F257" s="139">
        <v>0</v>
      </c>
      <c r="G257" s="139">
        <v>0</v>
      </c>
      <c r="H257" s="142">
        <v>0</v>
      </c>
      <c r="I257" s="142">
        <v>0</v>
      </c>
      <c r="J257" s="142">
        <v>0</v>
      </c>
      <c r="K257" s="142">
        <v>0</v>
      </c>
      <c r="L257" s="142">
        <v>0</v>
      </c>
      <c r="M257" s="142">
        <v>0</v>
      </c>
      <c r="N257" s="142">
        <v>0</v>
      </c>
      <c r="O257" s="142">
        <v>0</v>
      </c>
      <c r="P257" s="142">
        <v>0</v>
      </c>
      <c r="Q257" s="142">
        <v>0</v>
      </c>
      <c r="R257" s="142">
        <v>0</v>
      </c>
      <c r="S257" s="142">
        <v>0</v>
      </c>
      <c r="T257" s="142">
        <v>0</v>
      </c>
      <c r="U257" s="207" t="e">
        <v>#DIV/0!</v>
      </c>
      <c r="V257" s="142">
        <v>0</v>
      </c>
      <c r="W257" s="142">
        <v>0</v>
      </c>
      <c r="X257" s="142">
        <v>0</v>
      </c>
      <c r="Y257" s="142">
        <v>0</v>
      </c>
      <c r="Z257" s="142">
        <v>0</v>
      </c>
      <c r="AA257" s="142">
        <v>0</v>
      </c>
    </row>
    <row r="258" spans="1:27" x14ac:dyDescent="0.2">
      <c r="A258" s="195" t="s">
        <v>1334</v>
      </c>
      <c r="B258" s="209" t="s">
        <v>643</v>
      </c>
      <c r="C258" s="139">
        <v>0</v>
      </c>
      <c r="D258" s="139">
        <v>0</v>
      </c>
      <c r="E258" s="139">
        <v>0</v>
      </c>
      <c r="F258" s="139">
        <v>0</v>
      </c>
      <c r="G258" s="139">
        <v>0</v>
      </c>
      <c r="H258" s="142">
        <v>0</v>
      </c>
      <c r="I258" s="142">
        <v>0</v>
      </c>
      <c r="J258" s="142">
        <v>0</v>
      </c>
      <c r="K258" s="142">
        <v>0</v>
      </c>
      <c r="L258" s="142">
        <v>0</v>
      </c>
      <c r="M258" s="142">
        <v>0</v>
      </c>
      <c r="N258" s="142">
        <v>0</v>
      </c>
      <c r="O258" s="142">
        <v>0</v>
      </c>
      <c r="P258" s="142">
        <v>0</v>
      </c>
      <c r="Q258" s="142">
        <v>0</v>
      </c>
      <c r="R258" s="142">
        <v>0</v>
      </c>
      <c r="S258" s="142">
        <v>0</v>
      </c>
      <c r="T258" s="142">
        <v>0</v>
      </c>
      <c r="U258" s="207" t="e">
        <v>#DIV/0!</v>
      </c>
      <c r="V258" s="142">
        <v>0</v>
      </c>
      <c r="W258" s="142">
        <v>0</v>
      </c>
      <c r="X258" s="142">
        <v>0</v>
      </c>
      <c r="Y258" s="142">
        <v>0</v>
      </c>
      <c r="Z258" s="142">
        <v>0</v>
      </c>
      <c r="AA258" s="142">
        <v>0</v>
      </c>
    </row>
    <row r="259" spans="1:27" x14ac:dyDescent="0.2">
      <c r="A259" s="195" t="s">
        <v>1335</v>
      </c>
      <c r="B259" s="209" t="s">
        <v>644</v>
      </c>
      <c r="C259" s="139">
        <v>0</v>
      </c>
      <c r="D259" s="139">
        <v>0</v>
      </c>
      <c r="E259" s="139">
        <v>0</v>
      </c>
      <c r="F259" s="139">
        <v>0</v>
      </c>
      <c r="G259" s="139">
        <v>0</v>
      </c>
      <c r="H259" s="142">
        <v>0</v>
      </c>
      <c r="I259" s="142">
        <v>0</v>
      </c>
      <c r="J259" s="142">
        <v>0</v>
      </c>
      <c r="K259" s="142">
        <v>0</v>
      </c>
      <c r="L259" s="142">
        <v>0</v>
      </c>
      <c r="M259" s="142">
        <v>0</v>
      </c>
      <c r="N259" s="142">
        <v>0</v>
      </c>
      <c r="O259" s="142">
        <v>0</v>
      </c>
      <c r="P259" s="142">
        <v>0</v>
      </c>
      <c r="Q259" s="142">
        <v>0</v>
      </c>
      <c r="R259" s="142">
        <v>0</v>
      </c>
      <c r="S259" s="142">
        <v>0</v>
      </c>
      <c r="T259" s="142">
        <v>0</v>
      </c>
      <c r="U259" s="207" t="e">
        <v>#DIV/0!</v>
      </c>
      <c r="V259" s="142">
        <v>0</v>
      </c>
      <c r="W259" s="142">
        <v>0</v>
      </c>
      <c r="X259" s="142">
        <v>0</v>
      </c>
      <c r="Y259" s="142">
        <v>0</v>
      </c>
      <c r="Z259" s="142">
        <v>0</v>
      </c>
      <c r="AA259" s="142">
        <v>0</v>
      </c>
    </row>
    <row r="260" spans="1:27" x14ac:dyDescent="0.2">
      <c r="A260" s="195" t="s">
        <v>1336</v>
      </c>
      <c r="B260" s="209" t="s">
        <v>645</v>
      </c>
      <c r="C260" s="139">
        <v>0</v>
      </c>
      <c r="D260" s="139">
        <v>0</v>
      </c>
      <c r="E260" s="139">
        <v>0</v>
      </c>
      <c r="F260" s="139">
        <v>0</v>
      </c>
      <c r="G260" s="139">
        <v>0</v>
      </c>
      <c r="H260" s="142">
        <v>0</v>
      </c>
      <c r="I260" s="142">
        <v>0</v>
      </c>
      <c r="J260" s="142">
        <v>0</v>
      </c>
      <c r="K260" s="142">
        <v>0</v>
      </c>
      <c r="L260" s="142">
        <v>0</v>
      </c>
      <c r="M260" s="142">
        <v>0</v>
      </c>
      <c r="N260" s="142">
        <v>0</v>
      </c>
      <c r="O260" s="142">
        <v>0</v>
      </c>
      <c r="P260" s="142">
        <v>0</v>
      </c>
      <c r="Q260" s="142">
        <v>0</v>
      </c>
      <c r="R260" s="142">
        <v>0</v>
      </c>
      <c r="S260" s="142">
        <v>0</v>
      </c>
      <c r="T260" s="142">
        <v>0</v>
      </c>
      <c r="U260" s="207" t="e">
        <v>#DIV/0!</v>
      </c>
      <c r="V260" s="142">
        <v>0</v>
      </c>
      <c r="W260" s="142">
        <v>0</v>
      </c>
      <c r="X260" s="142">
        <v>0</v>
      </c>
      <c r="Y260" s="142">
        <v>0</v>
      </c>
      <c r="Z260" s="142">
        <v>0</v>
      </c>
      <c r="AA260" s="142">
        <v>0</v>
      </c>
    </row>
    <row r="261" spans="1:27" x14ac:dyDescent="0.2">
      <c r="A261" s="195" t="s">
        <v>1337</v>
      </c>
      <c r="B261" s="209" t="s">
        <v>646</v>
      </c>
      <c r="C261" s="139">
        <v>0</v>
      </c>
      <c r="D261" s="139">
        <v>0</v>
      </c>
      <c r="E261" s="139">
        <v>0</v>
      </c>
      <c r="F261" s="139">
        <v>0</v>
      </c>
      <c r="G261" s="139">
        <v>0</v>
      </c>
      <c r="H261" s="142">
        <v>0</v>
      </c>
      <c r="I261" s="142">
        <v>0</v>
      </c>
      <c r="J261" s="142">
        <v>0</v>
      </c>
      <c r="K261" s="142">
        <v>0</v>
      </c>
      <c r="L261" s="142">
        <v>0</v>
      </c>
      <c r="M261" s="142">
        <v>0</v>
      </c>
      <c r="N261" s="142">
        <v>0</v>
      </c>
      <c r="O261" s="142">
        <v>0</v>
      </c>
      <c r="P261" s="142">
        <v>0</v>
      </c>
      <c r="Q261" s="142">
        <v>0</v>
      </c>
      <c r="R261" s="142">
        <v>0</v>
      </c>
      <c r="S261" s="142">
        <v>0</v>
      </c>
      <c r="T261" s="142">
        <v>0</v>
      </c>
      <c r="U261" s="207" t="e">
        <v>#DIV/0!</v>
      </c>
      <c r="V261" s="142">
        <v>0</v>
      </c>
      <c r="W261" s="142">
        <v>0</v>
      </c>
      <c r="X261" s="142">
        <v>0</v>
      </c>
      <c r="Y261" s="142">
        <v>0</v>
      </c>
      <c r="Z261" s="142">
        <v>0</v>
      </c>
      <c r="AA261" s="142">
        <v>0</v>
      </c>
    </row>
    <row r="262" spans="1:27" x14ac:dyDescent="0.2">
      <c r="A262" s="195"/>
      <c r="B262" s="196" t="s">
        <v>647</v>
      </c>
      <c r="C262" s="197">
        <v>0</v>
      </c>
      <c r="D262" s="197">
        <v>0</v>
      </c>
      <c r="E262" s="197">
        <v>0</v>
      </c>
      <c r="F262" s="197">
        <v>0</v>
      </c>
      <c r="G262" s="197">
        <v>0</v>
      </c>
      <c r="H262" s="197">
        <v>0</v>
      </c>
      <c r="I262" s="197">
        <v>0</v>
      </c>
      <c r="J262" s="197">
        <v>0</v>
      </c>
      <c r="K262" s="197">
        <v>0</v>
      </c>
      <c r="L262" s="197">
        <v>0</v>
      </c>
      <c r="M262" s="197">
        <v>0</v>
      </c>
      <c r="N262" s="197">
        <v>0</v>
      </c>
      <c r="O262" s="197">
        <v>0</v>
      </c>
      <c r="P262" s="197">
        <v>0</v>
      </c>
      <c r="Q262" s="197">
        <v>0</v>
      </c>
      <c r="R262" s="197">
        <v>0</v>
      </c>
      <c r="S262" s="197">
        <v>0</v>
      </c>
      <c r="T262" s="198">
        <v>0</v>
      </c>
      <c r="U262" s="199" t="e">
        <v>#DIV/0!</v>
      </c>
      <c r="V262" s="198">
        <v>0</v>
      </c>
      <c r="W262" s="198">
        <v>0</v>
      </c>
      <c r="X262" s="198">
        <v>0</v>
      </c>
      <c r="Y262" s="198">
        <v>0</v>
      </c>
      <c r="Z262" s="198">
        <v>0</v>
      </c>
      <c r="AA262" s="198">
        <v>0</v>
      </c>
    </row>
    <row r="263" spans="1:27" x14ac:dyDescent="0.2">
      <c r="A263" s="195"/>
      <c r="B263" s="201" t="s">
        <v>648</v>
      </c>
      <c r="C263" s="202">
        <v>0</v>
      </c>
      <c r="D263" s="202">
        <v>0</v>
      </c>
      <c r="E263" s="202">
        <v>0</v>
      </c>
      <c r="F263" s="202">
        <v>0</v>
      </c>
      <c r="G263" s="202">
        <v>0</v>
      </c>
      <c r="H263" s="202">
        <v>0</v>
      </c>
      <c r="I263" s="202">
        <v>0</v>
      </c>
      <c r="J263" s="202">
        <v>0</v>
      </c>
      <c r="K263" s="202">
        <v>0</v>
      </c>
      <c r="L263" s="202">
        <v>0</v>
      </c>
      <c r="M263" s="202">
        <v>0</v>
      </c>
      <c r="N263" s="202">
        <v>0</v>
      </c>
      <c r="O263" s="202">
        <v>0</v>
      </c>
      <c r="P263" s="202">
        <v>0</v>
      </c>
      <c r="Q263" s="202">
        <v>0</v>
      </c>
      <c r="R263" s="202">
        <v>0</v>
      </c>
      <c r="S263" s="202">
        <v>0</v>
      </c>
      <c r="T263" s="203">
        <v>0</v>
      </c>
      <c r="U263" s="204" t="e">
        <v>#DIV/0!</v>
      </c>
      <c r="V263" s="203">
        <v>0</v>
      </c>
      <c r="W263" s="203">
        <v>0</v>
      </c>
      <c r="X263" s="203">
        <v>0</v>
      </c>
      <c r="Y263" s="203">
        <v>0</v>
      </c>
      <c r="Z263" s="203">
        <v>0</v>
      </c>
      <c r="AA263" s="203">
        <v>0</v>
      </c>
    </row>
    <row r="264" spans="1:27" x14ac:dyDescent="0.2">
      <c r="A264" s="195" t="s">
        <v>1338</v>
      </c>
      <c r="B264" s="209" t="s">
        <v>649</v>
      </c>
      <c r="C264" s="139">
        <v>0</v>
      </c>
      <c r="D264" s="139">
        <v>0</v>
      </c>
      <c r="E264" s="139">
        <v>0</v>
      </c>
      <c r="F264" s="139">
        <v>0</v>
      </c>
      <c r="G264" s="139">
        <v>0</v>
      </c>
      <c r="H264" s="142">
        <v>0</v>
      </c>
      <c r="I264" s="142">
        <v>0</v>
      </c>
      <c r="J264" s="142">
        <v>0</v>
      </c>
      <c r="K264" s="142">
        <v>0</v>
      </c>
      <c r="L264" s="142">
        <v>0</v>
      </c>
      <c r="M264" s="142">
        <v>0</v>
      </c>
      <c r="N264" s="142">
        <v>0</v>
      </c>
      <c r="O264" s="142">
        <v>0</v>
      </c>
      <c r="P264" s="142">
        <v>0</v>
      </c>
      <c r="Q264" s="142">
        <v>0</v>
      </c>
      <c r="R264" s="142">
        <v>0</v>
      </c>
      <c r="S264" s="142">
        <v>0</v>
      </c>
      <c r="T264" s="142">
        <v>0</v>
      </c>
      <c r="U264" s="207" t="e">
        <v>#DIV/0!</v>
      </c>
      <c r="V264" s="142">
        <v>0</v>
      </c>
      <c r="W264" s="142">
        <v>0</v>
      </c>
      <c r="X264" s="142">
        <v>0</v>
      </c>
      <c r="Y264" s="142">
        <v>0</v>
      </c>
      <c r="Z264" s="142">
        <v>0</v>
      </c>
      <c r="AA264" s="142">
        <v>0</v>
      </c>
    </row>
    <row r="265" spans="1:27" x14ac:dyDescent="0.2">
      <c r="A265" s="195" t="s">
        <v>1339</v>
      </c>
      <c r="B265" s="209" t="s">
        <v>650</v>
      </c>
      <c r="C265" s="139">
        <v>0</v>
      </c>
      <c r="D265" s="139">
        <v>0</v>
      </c>
      <c r="E265" s="139">
        <v>0</v>
      </c>
      <c r="F265" s="139">
        <v>0</v>
      </c>
      <c r="G265" s="139">
        <v>0</v>
      </c>
      <c r="H265" s="142">
        <v>0</v>
      </c>
      <c r="I265" s="142">
        <v>0</v>
      </c>
      <c r="J265" s="142">
        <v>0</v>
      </c>
      <c r="K265" s="142">
        <v>0</v>
      </c>
      <c r="L265" s="142">
        <v>0</v>
      </c>
      <c r="M265" s="142">
        <v>0</v>
      </c>
      <c r="N265" s="142">
        <v>0</v>
      </c>
      <c r="O265" s="142">
        <v>0</v>
      </c>
      <c r="P265" s="142">
        <v>0</v>
      </c>
      <c r="Q265" s="142">
        <v>0</v>
      </c>
      <c r="R265" s="142">
        <v>0</v>
      </c>
      <c r="S265" s="142">
        <v>0</v>
      </c>
      <c r="T265" s="142">
        <v>0</v>
      </c>
      <c r="U265" s="207" t="e">
        <v>#DIV/0!</v>
      </c>
      <c r="V265" s="142">
        <v>0</v>
      </c>
      <c r="W265" s="142">
        <v>0</v>
      </c>
      <c r="X265" s="142">
        <v>0</v>
      </c>
      <c r="Y265" s="142">
        <v>0</v>
      </c>
      <c r="Z265" s="142">
        <v>0</v>
      </c>
      <c r="AA265" s="142">
        <v>0</v>
      </c>
    </row>
    <row r="266" spans="1:27" x14ac:dyDescent="0.2">
      <c r="A266" s="195" t="s">
        <v>1340</v>
      </c>
      <c r="B266" s="209" t="s">
        <v>651</v>
      </c>
      <c r="C266" s="139">
        <v>0</v>
      </c>
      <c r="D266" s="139">
        <v>0</v>
      </c>
      <c r="E266" s="139">
        <v>0</v>
      </c>
      <c r="F266" s="139">
        <v>0</v>
      </c>
      <c r="G266" s="139">
        <v>0</v>
      </c>
      <c r="H266" s="142">
        <v>0</v>
      </c>
      <c r="I266" s="142">
        <v>0</v>
      </c>
      <c r="J266" s="142">
        <v>0</v>
      </c>
      <c r="K266" s="142">
        <v>0</v>
      </c>
      <c r="L266" s="142">
        <v>0</v>
      </c>
      <c r="M266" s="142">
        <v>0</v>
      </c>
      <c r="N266" s="142">
        <v>0</v>
      </c>
      <c r="O266" s="142">
        <v>0</v>
      </c>
      <c r="P266" s="142">
        <v>0</v>
      </c>
      <c r="Q266" s="142">
        <v>0</v>
      </c>
      <c r="R266" s="142">
        <v>0</v>
      </c>
      <c r="S266" s="142">
        <v>0</v>
      </c>
      <c r="T266" s="142">
        <v>0</v>
      </c>
      <c r="U266" s="207" t="e">
        <v>#DIV/0!</v>
      </c>
      <c r="V266" s="142">
        <v>0</v>
      </c>
      <c r="W266" s="142">
        <v>0</v>
      </c>
      <c r="X266" s="142">
        <v>0</v>
      </c>
      <c r="Y266" s="142">
        <v>0</v>
      </c>
      <c r="Z266" s="142">
        <v>0</v>
      </c>
      <c r="AA266" s="142">
        <v>0</v>
      </c>
    </row>
    <row r="267" spans="1:27" x14ac:dyDescent="0.2">
      <c r="A267" s="195" t="s">
        <v>1341</v>
      </c>
      <c r="B267" s="209" t="s">
        <v>652</v>
      </c>
      <c r="C267" s="139">
        <v>0</v>
      </c>
      <c r="D267" s="139">
        <v>0</v>
      </c>
      <c r="E267" s="139">
        <v>0</v>
      </c>
      <c r="F267" s="139">
        <v>0</v>
      </c>
      <c r="G267" s="139">
        <v>0</v>
      </c>
      <c r="H267" s="142">
        <v>0</v>
      </c>
      <c r="I267" s="142">
        <v>0</v>
      </c>
      <c r="J267" s="142">
        <v>0</v>
      </c>
      <c r="K267" s="142">
        <v>0</v>
      </c>
      <c r="L267" s="142">
        <v>0</v>
      </c>
      <c r="M267" s="142">
        <v>0</v>
      </c>
      <c r="N267" s="142">
        <v>0</v>
      </c>
      <c r="O267" s="142">
        <v>0</v>
      </c>
      <c r="P267" s="142">
        <v>0</v>
      </c>
      <c r="Q267" s="142">
        <v>0</v>
      </c>
      <c r="R267" s="142">
        <v>0</v>
      </c>
      <c r="S267" s="142">
        <v>0</v>
      </c>
      <c r="T267" s="142">
        <v>0</v>
      </c>
      <c r="U267" s="207" t="e">
        <v>#DIV/0!</v>
      </c>
      <c r="V267" s="142">
        <v>0</v>
      </c>
      <c r="W267" s="142">
        <v>0</v>
      </c>
      <c r="X267" s="142">
        <v>0</v>
      </c>
      <c r="Y267" s="142">
        <v>0</v>
      </c>
      <c r="Z267" s="142">
        <v>0</v>
      </c>
      <c r="AA267" s="142">
        <v>0</v>
      </c>
    </row>
    <row r="268" spans="1:27" x14ac:dyDescent="0.2">
      <c r="A268" s="195" t="s">
        <v>1342</v>
      </c>
      <c r="B268" s="209" t="s">
        <v>653</v>
      </c>
      <c r="C268" s="139">
        <v>0</v>
      </c>
      <c r="D268" s="139">
        <v>0</v>
      </c>
      <c r="E268" s="139">
        <v>0</v>
      </c>
      <c r="F268" s="139">
        <v>0</v>
      </c>
      <c r="G268" s="139">
        <v>0</v>
      </c>
      <c r="H268" s="142">
        <v>0</v>
      </c>
      <c r="I268" s="142">
        <v>0</v>
      </c>
      <c r="J268" s="142">
        <v>0</v>
      </c>
      <c r="K268" s="142">
        <v>0</v>
      </c>
      <c r="L268" s="142">
        <v>0</v>
      </c>
      <c r="M268" s="142">
        <v>0</v>
      </c>
      <c r="N268" s="142">
        <v>0</v>
      </c>
      <c r="O268" s="142">
        <v>0</v>
      </c>
      <c r="P268" s="142">
        <v>0</v>
      </c>
      <c r="Q268" s="142">
        <v>0</v>
      </c>
      <c r="R268" s="142">
        <v>0</v>
      </c>
      <c r="S268" s="142">
        <v>0</v>
      </c>
      <c r="T268" s="142">
        <v>0</v>
      </c>
      <c r="U268" s="207" t="e">
        <v>#DIV/0!</v>
      </c>
      <c r="V268" s="142">
        <v>0</v>
      </c>
      <c r="W268" s="142">
        <v>0</v>
      </c>
      <c r="X268" s="142">
        <v>0</v>
      </c>
      <c r="Y268" s="142">
        <v>0</v>
      </c>
      <c r="Z268" s="142">
        <v>0</v>
      </c>
      <c r="AA268" s="142">
        <v>0</v>
      </c>
    </row>
    <row r="269" spans="1:27" x14ac:dyDescent="0.2">
      <c r="A269" s="195" t="s">
        <v>1343</v>
      </c>
      <c r="B269" s="209" t="s">
        <v>654</v>
      </c>
      <c r="C269" s="139">
        <v>0</v>
      </c>
      <c r="D269" s="139">
        <v>0</v>
      </c>
      <c r="E269" s="139">
        <v>0</v>
      </c>
      <c r="F269" s="139">
        <v>0</v>
      </c>
      <c r="G269" s="139">
        <v>0</v>
      </c>
      <c r="H269" s="142">
        <v>0</v>
      </c>
      <c r="I269" s="142">
        <v>0</v>
      </c>
      <c r="J269" s="142">
        <v>0</v>
      </c>
      <c r="K269" s="142">
        <v>0</v>
      </c>
      <c r="L269" s="142">
        <v>0</v>
      </c>
      <c r="M269" s="142">
        <v>0</v>
      </c>
      <c r="N269" s="142">
        <v>0</v>
      </c>
      <c r="O269" s="142">
        <v>0</v>
      </c>
      <c r="P269" s="142">
        <v>0</v>
      </c>
      <c r="Q269" s="142">
        <v>0</v>
      </c>
      <c r="R269" s="142">
        <v>0</v>
      </c>
      <c r="S269" s="142">
        <v>0</v>
      </c>
      <c r="T269" s="142">
        <v>0</v>
      </c>
      <c r="U269" s="207" t="e">
        <v>#DIV/0!</v>
      </c>
      <c r="V269" s="142">
        <v>0</v>
      </c>
      <c r="W269" s="142">
        <v>0</v>
      </c>
      <c r="X269" s="142">
        <v>0</v>
      </c>
      <c r="Y269" s="142">
        <v>0</v>
      </c>
      <c r="Z269" s="142">
        <v>0</v>
      </c>
      <c r="AA269" s="142">
        <v>0</v>
      </c>
    </row>
    <row r="270" spans="1:27" x14ac:dyDescent="0.2">
      <c r="A270" s="195" t="s">
        <v>1344</v>
      </c>
      <c r="B270" s="209" t="s">
        <v>655</v>
      </c>
      <c r="C270" s="139">
        <v>0</v>
      </c>
      <c r="D270" s="139">
        <v>0</v>
      </c>
      <c r="E270" s="139">
        <v>0</v>
      </c>
      <c r="F270" s="139">
        <v>0</v>
      </c>
      <c r="G270" s="139">
        <v>0</v>
      </c>
      <c r="H270" s="142">
        <v>0</v>
      </c>
      <c r="I270" s="142">
        <v>0</v>
      </c>
      <c r="J270" s="142">
        <v>0</v>
      </c>
      <c r="K270" s="142">
        <v>0</v>
      </c>
      <c r="L270" s="142">
        <v>0</v>
      </c>
      <c r="M270" s="142">
        <v>0</v>
      </c>
      <c r="N270" s="142">
        <v>0</v>
      </c>
      <c r="O270" s="142">
        <v>0</v>
      </c>
      <c r="P270" s="142">
        <v>0</v>
      </c>
      <c r="Q270" s="142">
        <v>0</v>
      </c>
      <c r="R270" s="142">
        <v>0</v>
      </c>
      <c r="S270" s="142">
        <v>0</v>
      </c>
      <c r="T270" s="142">
        <v>0</v>
      </c>
      <c r="U270" s="207" t="e">
        <v>#DIV/0!</v>
      </c>
      <c r="V270" s="142">
        <v>0</v>
      </c>
      <c r="W270" s="142">
        <v>0</v>
      </c>
      <c r="X270" s="142">
        <v>0</v>
      </c>
      <c r="Y270" s="142">
        <v>0</v>
      </c>
      <c r="Z270" s="142">
        <v>0</v>
      </c>
      <c r="AA270" s="142">
        <v>0</v>
      </c>
    </row>
    <row r="271" spans="1:27" x14ac:dyDescent="0.2">
      <c r="A271" s="195" t="s">
        <v>1345</v>
      </c>
      <c r="B271" s="209" t="s">
        <v>656</v>
      </c>
      <c r="C271" s="139">
        <v>0</v>
      </c>
      <c r="D271" s="139">
        <v>0</v>
      </c>
      <c r="E271" s="139">
        <v>0</v>
      </c>
      <c r="F271" s="139">
        <v>0</v>
      </c>
      <c r="G271" s="139">
        <v>0</v>
      </c>
      <c r="H271" s="142">
        <v>0</v>
      </c>
      <c r="I271" s="142">
        <v>0</v>
      </c>
      <c r="J271" s="142">
        <v>0</v>
      </c>
      <c r="K271" s="142">
        <v>0</v>
      </c>
      <c r="L271" s="142">
        <v>0</v>
      </c>
      <c r="M271" s="142">
        <v>0</v>
      </c>
      <c r="N271" s="142">
        <v>0</v>
      </c>
      <c r="O271" s="142">
        <v>0</v>
      </c>
      <c r="P271" s="142">
        <v>0</v>
      </c>
      <c r="Q271" s="142">
        <v>0</v>
      </c>
      <c r="R271" s="142">
        <v>0</v>
      </c>
      <c r="S271" s="142">
        <v>0</v>
      </c>
      <c r="T271" s="142">
        <v>0</v>
      </c>
      <c r="U271" s="207" t="e">
        <v>#DIV/0!</v>
      </c>
      <c r="V271" s="142">
        <v>0</v>
      </c>
      <c r="W271" s="142">
        <v>0</v>
      </c>
      <c r="X271" s="142">
        <v>0</v>
      </c>
      <c r="Y271" s="142">
        <v>0</v>
      </c>
      <c r="Z271" s="142">
        <v>0</v>
      </c>
      <c r="AA271" s="142">
        <v>0</v>
      </c>
    </row>
    <row r="272" spans="1:27" x14ac:dyDescent="0.2">
      <c r="A272" s="195" t="s">
        <v>1346</v>
      </c>
      <c r="B272" s="209" t="s">
        <v>657</v>
      </c>
      <c r="C272" s="139">
        <v>0</v>
      </c>
      <c r="D272" s="139">
        <v>0</v>
      </c>
      <c r="E272" s="139">
        <v>0</v>
      </c>
      <c r="F272" s="139">
        <v>0</v>
      </c>
      <c r="G272" s="139">
        <v>0</v>
      </c>
      <c r="H272" s="142">
        <v>0</v>
      </c>
      <c r="I272" s="142">
        <v>0</v>
      </c>
      <c r="J272" s="142">
        <v>0</v>
      </c>
      <c r="K272" s="142">
        <v>0</v>
      </c>
      <c r="L272" s="142">
        <v>0</v>
      </c>
      <c r="M272" s="142">
        <v>0</v>
      </c>
      <c r="N272" s="142">
        <v>0</v>
      </c>
      <c r="O272" s="142">
        <v>0</v>
      </c>
      <c r="P272" s="142">
        <v>0</v>
      </c>
      <c r="Q272" s="142">
        <v>0</v>
      </c>
      <c r="R272" s="142">
        <v>0</v>
      </c>
      <c r="S272" s="142">
        <v>0</v>
      </c>
      <c r="T272" s="142">
        <v>0</v>
      </c>
      <c r="U272" s="207" t="e">
        <v>#DIV/0!</v>
      </c>
      <c r="V272" s="142">
        <v>0</v>
      </c>
      <c r="W272" s="142">
        <v>0</v>
      </c>
      <c r="X272" s="142">
        <v>0</v>
      </c>
      <c r="Y272" s="142">
        <v>0</v>
      </c>
      <c r="Z272" s="142">
        <v>0</v>
      </c>
      <c r="AA272" s="142">
        <v>0</v>
      </c>
    </row>
    <row r="273" spans="1:27" x14ac:dyDescent="0.2">
      <c r="A273" s="195" t="s">
        <v>1347</v>
      </c>
      <c r="B273" s="209" t="s">
        <v>658</v>
      </c>
      <c r="C273" s="139">
        <v>0</v>
      </c>
      <c r="D273" s="139">
        <v>0</v>
      </c>
      <c r="E273" s="139">
        <v>0</v>
      </c>
      <c r="F273" s="139">
        <v>0</v>
      </c>
      <c r="G273" s="139">
        <v>0</v>
      </c>
      <c r="H273" s="142">
        <v>0</v>
      </c>
      <c r="I273" s="142">
        <v>0</v>
      </c>
      <c r="J273" s="142">
        <v>0</v>
      </c>
      <c r="K273" s="142">
        <v>0</v>
      </c>
      <c r="L273" s="142">
        <v>0</v>
      </c>
      <c r="M273" s="142">
        <v>0</v>
      </c>
      <c r="N273" s="142">
        <v>0</v>
      </c>
      <c r="O273" s="142">
        <v>0</v>
      </c>
      <c r="P273" s="142">
        <v>0</v>
      </c>
      <c r="Q273" s="142">
        <v>0</v>
      </c>
      <c r="R273" s="142">
        <v>0</v>
      </c>
      <c r="S273" s="142">
        <v>0</v>
      </c>
      <c r="T273" s="142">
        <v>0</v>
      </c>
      <c r="U273" s="207" t="e">
        <v>#DIV/0!</v>
      </c>
      <c r="V273" s="142">
        <v>0</v>
      </c>
      <c r="W273" s="142">
        <v>0</v>
      </c>
      <c r="X273" s="142">
        <v>0</v>
      </c>
      <c r="Y273" s="142">
        <v>0</v>
      </c>
      <c r="Z273" s="142">
        <v>0</v>
      </c>
      <c r="AA273" s="142">
        <v>0</v>
      </c>
    </row>
    <row r="274" spans="1:27" x14ac:dyDescent="0.2">
      <c r="A274" s="195" t="s">
        <v>1348</v>
      </c>
      <c r="B274" s="209" t="s">
        <v>659</v>
      </c>
      <c r="C274" s="139">
        <v>0</v>
      </c>
      <c r="D274" s="139">
        <v>0</v>
      </c>
      <c r="E274" s="139">
        <v>0</v>
      </c>
      <c r="F274" s="139">
        <v>0</v>
      </c>
      <c r="G274" s="139">
        <v>0</v>
      </c>
      <c r="H274" s="142">
        <v>0</v>
      </c>
      <c r="I274" s="142">
        <v>0</v>
      </c>
      <c r="J274" s="142">
        <v>0</v>
      </c>
      <c r="K274" s="142">
        <v>0</v>
      </c>
      <c r="L274" s="142">
        <v>0</v>
      </c>
      <c r="M274" s="142">
        <v>0</v>
      </c>
      <c r="N274" s="142">
        <v>0</v>
      </c>
      <c r="O274" s="142">
        <v>0</v>
      </c>
      <c r="P274" s="142">
        <v>0</v>
      </c>
      <c r="Q274" s="142">
        <v>0</v>
      </c>
      <c r="R274" s="142">
        <v>0</v>
      </c>
      <c r="S274" s="142">
        <v>0</v>
      </c>
      <c r="T274" s="142">
        <v>0</v>
      </c>
      <c r="U274" s="207" t="e">
        <v>#DIV/0!</v>
      </c>
      <c r="V274" s="142">
        <v>0</v>
      </c>
      <c r="W274" s="142">
        <v>0</v>
      </c>
      <c r="X274" s="142">
        <v>0</v>
      </c>
      <c r="Y274" s="142">
        <v>0</v>
      </c>
      <c r="Z274" s="142">
        <v>0</v>
      </c>
      <c r="AA274" s="142">
        <v>0</v>
      </c>
    </row>
    <row r="275" spans="1:27" x14ac:dyDescent="0.2">
      <c r="A275" s="195" t="s">
        <v>1349</v>
      </c>
      <c r="B275" s="209" t="s">
        <v>660</v>
      </c>
      <c r="C275" s="139">
        <v>0</v>
      </c>
      <c r="D275" s="139">
        <v>0</v>
      </c>
      <c r="E275" s="139">
        <v>0</v>
      </c>
      <c r="F275" s="139">
        <v>0</v>
      </c>
      <c r="G275" s="139">
        <v>0</v>
      </c>
      <c r="H275" s="142">
        <v>0</v>
      </c>
      <c r="I275" s="142">
        <v>0</v>
      </c>
      <c r="J275" s="142">
        <v>0</v>
      </c>
      <c r="K275" s="142">
        <v>0</v>
      </c>
      <c r="L275" s="142">
        <v>0</v>
      </c>
      <c r="M275" s="142">
        <v>0</v>
      </c>
      <c r="N275" s="142">
        <v>0</v>
      </c>
      <c r="O275" s="142">
        <v>0</v>
      </c>
      <c r="P275" s="142">
        <v>0</v>
      </c>
      <c r="Q275" s="142">
        <v>0</v>
      </c>
      <c r="R275" s="142">
        <v>0</v>
      </c>
      <c r="S275" s="142">
        <v>0</v>
      </c>
      <c r="T275" s="142">
        <v>0</v>
      </c>
      <c r="U275" s="207" t="e">
        <v>#DIV/0!</v>
      </c>
      <c r="V275" s="142">
        <v>0</v>
      </c>
      <c r="W275" s="142">
        <v>0</v>
      </c>
      <c r="X275" s="142">
        <v>0</v>
      </c>
      <c r="Y275" s="142">
        <v>0</v>
      </c>
      <c r="Z275" s="142">
        <v>0</v>
      </c>
      <c r="AA275" s="142">
        <v>0</v>
      </c>
    </row>
    <row r="276" spans="1:27" x14ac:dyDescent="0.2">
      <c r="A276" s="195" t="s">
        <v>1350</v>
      </c>
      <c r="B276" s="209" t="s">
        <v>661</v>
      </c>
      <c r="C276" s="139">
        <v>0</v>
      </c>
      <c r="D276" s="139">
        <v>0</v>
      </c>
      <c r="E276" s="139">
        <v>0</v>
      </c>
      <c r="F276" s="139">
        <v>0</v>
      </c>
      <c r="G276" s="139">
        <v>0</v>
      </c>
      <c r="H276" s="142">
        <v>0</v>
      </c>
      <c r="I276" s="142">
        <v>0</v>
      </c>
      <c r="J276" s="142">
        <v>0</v>
      </c>
      <c r="K276" s="142">
        <v>0</v>
      </c>
      <c r="L276" s="142">
        <v>0</v>
      </c>
      <c r="M276" s="142">
        <v>0</v>
      </c>
      <c r="N276" s="142">
        <v>0</v>
      </c>
      <c r="O276" s="142">
        <v>0</v>
      </c>
      <c r="P276" s="142">
        <v>0</v>
      </c>
      <c r="Q276" s="142">
        <v>0</v>
      </c>
      <c r="R276" s="142">
        <v>0</v>
      </c>
      <c r="S276" s="142">
        <v>0</v>
      </c>
      <c r="T276" s="142">
        <v>0</v>
      </c>
      <c r="U276" s="207" t="e">
        <v>#DIV/0!</v>
      </c>
      <c r="V276" s="142">
        <v>0</v>
      </c>
      <c r="W276" s="142">
        <v>0</v>
      </c>
      <c r="X276" s="142">
        <v>0</v>
      </c>
      <c r="Y276" s="142">
        <v>0</v>
      </c>
      <c r="Z276" s="142">
        <v>0</v>
      </c>
      <c r="AA276" s="142">
        <v>0</v>
      </c>
    </row>
    <row r="277" spans="1:27" x14ac:dyDescent="0.2">
      <c r="A277" s="195" t="s">
        <v>1351</v>
      </c>
      <c r="B277" s="209" t="s">
        <v>662</v>
      </c>
      <c r="C277" s="139">
        <v>0</v>
      </c>
      <c r="D277" s="139">
        <v>0</v>
      </c>
      <c r="E277" s="139">
        <v>0</v>
      </c>
      <c r="F277" s="139">
        <v>0</v>
      </c>
      <c r="G277" s="139">
        <v>0</v>
      </c>
      <c r="H277" s="142">
        <v>0</v>
      </c>
      <c r="I277" s="142">
        <v>0</v>
      </c>
      <c r="J277" s="142">
        <v>0</v>
      </c>
      <c r="K277" s="142">
        <v>0</v>
      </c>
      <c r="L277" s="142">
        <v>0</v>
      </c>
      <c r="M277" s="142">
        <v>0</v>
      </c>
      <c r="N277" s="142">
        <v>0</v>
      </c>
      <c r="O277" s="142">
        <v>0</v>
      </c>
      <c r="P277" s="142">
        <v>0</v>
      </c>
      <c r="Q277" s="142">
        <v>0</v>
      </c>
      <c r="R277" s="142">
        <v>0</v>
      </c>
      <c r="S277" s="142">
        <v>0</v>
      </c>
      <c r="T277" s="142">
        <v>0</v>
      </c>
      <c r="U277" s="207" t="e">
        <v>#DIV/0!</v>
      </c>
      <c r="V277" s="142">
        <v>0</v>
      </c>
      <c r="W277" s="142">
        <v>0</v>
      </c>
      <c r="X277" s="142">
        <v>0</v>
      </c>
      <c r="Y277" s="142">
        <v>0</v>
      </c>
      <c r="Z277" s="142">
        <v>0</v>
      </c>
      <c r="AA277" s="142">
        <v>0</v>
      </c>
    </row>
    <row r="278" spans="1:27" s="205" customFormat="1" x14ac:dyDescent="0.2">
      <c r="A278" s="195" t="s">
        <v>1352</v>
      </c>
      <c r="B278" s="201" t="s">
        <v>663</v>
      </c>
      <c r="C278" s="208">
        <v>0</v>
      </c>
      <c r="D278" s="208">
        <v>0</v>
      </c>
      <c r="E278" s="208">
        <v>0</v>
      </c>
      <c r="F278" s="208">
        <v>0</v>
      </c>
      <c r="G278" s="208">
        <v>0</v>
      </c>
      <c r="H278" s="203">
        <v>0</v>
      </c>
      <c r="I278" s="203">
        <v>0</v>
      </c>
      <c r="J278" s="203">
        <v>0</v>
      </c>
      <c r="K278" s="203">
        <v>0</v>
      </c>
      <c r="L278" s="203">
        <v>0</v>
      </c>
      <c r="M278" s="203">
        <v>0</v>
      </c>
      <c r="N278" s="203">
        <v>0</v>
      </c>
      <c r="O278" s="203">
        <v>0</v>
      </c>
      <c r="P278" s="203">
        <v>0</v>
      </c>
      <c r="Q278" s="203">
        <v>0</v>
      </c>
      <c r="R278" s="203">
        <v>0</v>
      </c>
      <c r="S278" s="203">
        <v>0</v>
      </c>
      <c r="T278" s="203">
        <v>0</v>
      </c>
      <c r="U278" s="204" t="e">
        <v>#DIV/0!</v>
      </c>
      <c r="V278" s="203">
        <v>0</v>
      </c>
      <c r="W278" s="203">
        <v>0</v>
      </c>
      <c r="X278" s="203">
        <v>0</v>
      </c>
      <c r="Y278" s="203">
        <v>0</v>
      </c>
      <c r="Z278" s="203">
        <v>0</v>
      </c>
      <c r="AA278" s="203">
        <v>0</v>
      </c>
    </row>
    <row r="279" spans="1:27" x14ac:dyDescent="0.2">
      <c r="A279" s="195"/>
      <c r="B279" s="196" t="s">
        <v>664</v>
      </c>
      <c r="C279" s="197">
        <v>0</v>
      </c>
      <c r="D279" s="197">
        <v>0</v>
      </c>
      <c r="E279" s="197">
        <v>0</v>
      </c>
      <c r="F279" s="197">
        <v>0</v>
      </c>
      <c r="G279" s="197">
        <v>0</v>
      </c>
      <c r="H279" s="197">
        <v>0</v>
      </c>
      <c r="I279" s="197">
        <v>0</v>
      </c>
      <c r="J279" s="197">
        <v>0</v>
      </c>
      <c r="K279" s="197">
        <v>0</v>
      </c>
      <c r="L279" s="197">
        <v>0</v>
      </c>
      <c r="M279" s="197">
        <v>0</v>
      </c>
      <c r="N279" s="197">
        <v>0</v>
      </c>
      <c r="O279" s="197">
        <v>0</v>
      </c>
      <c r="P279" s="197">
        <v>0</v>
      </c>
      <c r="Q279" s="197">
        <v>0</v>
      </c>
      <c r="R279" s="197">
        <v>0</v>
      </c>
      <c r="S279" s="197">
        <v>0</v>
      </c>
      <c r="T279" s="198">
        <v>0</v>
      </c>
      <c r="U279" s="199" t="e">
        <v>#DIV/0!</v>
      </c>
      <c r="V279" s="198">
        <v>0</v>
      </c>
      <c r="W279" s="198">
        <v>0</v>
      </c>
      <c r="X279" s="198">
        <v>0</v>
      </c>
      <c r="Y279" s="198">
        <v>0</v>
      </c>
      <c r="Z279" s="198">
        <v>0</v>
      </c>
      <c r="AA279" s="198">
        <v>0</v>
      </c>
    </row>
    <row r="280" spans="1:27" x14ac:dyDescent="0.2">
      <c r="A280" s="195"/>
      <c r="B280" s="201" t="s">
        <v>665</v>
      </c>
      <c r="C280" s="202">
        <v>0</v>
      </c>
      <c r="D280" s="202">
        <v>0</v>
      </c>
      <c r="E280" s="202">
        <v>0</v>
      </c>
      <c r="F280" s="202">
        <v>0</v>
      </c>
      <c r="G280" s="202">
        <v>0</v>
      </c>
      <c r="H280" s="202">
        <v>0</v>
      </c>
      <c r="I280" s="202">
        <v>0</v>
      </c>
      <c r="J280" s="202">
        <v>0</v>
      </c>
      <c r="K280" s="202">
        <v>0</v>
      </c>
      <c r="L280" s="202">
        <v>0</v>
      </c>
      <c r="M280" s="202">
        <v>0</v>
      </c>
      <c r="N280" s="202">
        <v>0</v>
      </c>
      <c r="O280" s="202">
        <v>0</v>
      </c>
      <c r="P280" s="202">
        <v>0</v>
      </c>
      <c r="Q280" s="202">
        <v>0</v>
      </c>
      <c r="R280" s="202">
        <v>0</v>
      </c>
      <c r="S280" s="202">
        <v>0</v>
      </c>
      <c r="T280" s="203">
        <v>0</v>
      </c>
      <c r="U280" s="204" t="e">
        <v>#DIV/0!</v>
      </c>
      <c r="V280" s="203">
        <v>0</v>
      </c>
      <c r="W280" s="203">
        <v>0</v>
      </c>
      <c r="X280" s="203">
        <v>0</v>
      </c>
      <c r="Y280" s="203">
        <v>0</v>
      </c>
      <c r="Z280" s="203">
        <v>0</v>
      </c>
      <c r="AA280" s="203">
        <v>0</v>
      </c>
    </row>
    <row r="281" spans="1:27" x14ac:dyDescent="0.2">
      <c r="A281" s="195" t="s">
        <v>1353</v>
      </c>
      <c r="B281" s="209" t="s">
        <v>666</v>
      </c>
      <c r="C281" s="139">
        <v>0</v>
      </c>
      <c r="D281" s="139">
        <v>0</v>
      </c>
      <c r="E281" s="139">
        <v>0</v>
      </c>
      <c r="F281" s="139">
        <v>0</v>
      </c>
      <c r="G281" s="139">
        <v>0</v>
      </c>
      <c r="H281" s="142">
        <v>0</v>
      </c>
      <c r="I281" s="142">
        <v>0</v>
      </c>
      <c r="J281" s="142">
        <v>0</v>
      </c>
      <c r="K281" s="142">
        <v>0</v>
      </c>
      <c r="L281" s="142">
        <v>0</v>
      </c>
      <c r="M281" s="142">
        <v>0</v>
      </c>
      <c r="N281" s="142">
        <v>0</v>
      </c>
      <c r="O281" s="142">
        <v>0</v>
      </c>
      <c r="P281" s="142">
        <v>0</v>
      </c>
      <c r="Q281" s="142">
        <v>0</v>
      </c>
      <c r="R281" s="142">
        <v>0</v>
      </c>
      <c r="S281" s="142">
        <v>0</v>
      </c>
      <c r="T281" s="142">
        <v>0</v>
      </c>
      <c r="U281" s="207" t="e">
        <v>#DIV/0!</v>
      </c>
      <c r="V281" s="142">
        <v>0</v>
      </c>
      <c r="W281" s="142">
        <v>0</v>
      </c>
      <c r="X281" s="142">
        <v>0</v>
      </c>
      <c r="Y281" s="142">
        <v>0</v>
      </c>
      <c r="Z281" s="142">
        <v>0</v>
      </c>
      <c r="AA281" s="142">
        <v>0</v>
      </c>
    </row>
    <row r="282" spans="1:27" x14ac:dyDescent="0.2">
      <c r="A282" s="195" t="s">
        <v>1354</v>
      </c>
      <c r="B282" s="209" t="s">
        <v>667</v>
      </c>
      <c r="C282" s="139">
        <v>0</v>
      </c>
      <c r="D282" s="139">
        <v>0</v>
      </c>
      <c r="E282" s="139">
        <v>0</v>
      </c>
      <c r="F282" s="139">
        <v>0</v>
      </c>
      <c r="G282" s="139">
        <v>0</v>
      </c>
      <c r="H282" s="142">
        <v>0</v>
      </c>
      <c r="I282" s="142">
        <v>0</v>
      </c>
      <c r="J282" s="142">
        <v>0</v>
      </c>
      <c r="K282" s="142">
        <v>0</v>
      </c>
      <c r="L282" s="142">
        <v>0</v>
      </c>
      <c r="M282" s="142">
        <v>0</v>
      </c>
      <c r="N282" s="142">
        <v>0</v>
      </c>
      <c r="O282" s="142">
        <v>0</v>
      </c>
      <c r="P282" s="142">
        <v>0</v>
      </c>
      <c r="Q282" s="142">
        <v>0</v>
      </c>
      <c r="R282" s="142">
        <v>0</v>
      </c>
      <c r="S282" s="142">
        <v>0</v>
      </c>
      <c r="T282" s="142">
        <v>0</v>
      </c>
      <c r="U282" s="207" t="e">
        <v>#DIV/0!</v>
      </c>
      <c r="V282" s="142">
        <v>0</v>
      </c>
      <c r="W282" s="142">
        <v>0</v>
      </c>
      <c r="X282" s="142">
        <v>0</v>
      </c>
      <c r="Y282" s="142">
        <v>0</v>
      </c>
      <c r="Z282" s="142">
        <v>0</v>
      </c>
      <c r="AA282" s="142">
        <v>0</v>
      </c>
    </row>
    <row r="283" spans="1:27" x14ac:dyDescent="0.2">
      <c r="A283" s="195" t="s">
        <v>1355</v>
      </c>
      <c r="B283" s="209" t="s">
        <v>668</v>
      </c>
      <c r="C283" s="139">
        <v>0</v>
      </c>
      <c r="D283" s="139">
        <v>0</v>
      </c>
      <c r="E283" s="139">
        <v>0</v>
      </c>
      <c r="F283" s="139">
        <v>0</v>
      </c>
      <c r="G283" s="139">
        <v>0</v>
      </c>
      <c r="H283" s="142">
        <v>0</v>
      </c>
      <c r="I283" s="142">
        <v>0</v>
      </c>
      <c r="J283" s="142">
        <v>0</v>
      </c>
      <c r="K283" s="142">
        <v>0</v>
      </c>
      <c r="L283" s="142">
        <v>0</v>
      </c>
      <c r="M283" s="142">
        <v>0</v>
      </c>
      <c r="N283" s="142">
        <v>0</v>
      </c>
      <c r="O283" s="142">
        <v>0</v>
      </c>
      <c r="P283" s="142">
        <v>0</v>
      </c>
      <c r="Q283" s="142">
        <v>0</v>
      </c>
      <c r="R283" s="142">
        <v>0</v>
      </c>
      <c r="S283" s="142">
        <v>0</v>
      </c>
      <c r="T283" s="142">
        <v>0</v>
      </c>
      <c r="U283" s="207" t="e">
        <v>#DIV/0!</v>
      </c>
      <c r="V283" s="142">
        <v>0</v>
      </c>
      <c r="W283" s="142">
        <v>0</v>
      </c>
      <c r="X283" s="142">
        <v>0</v>
      </c>
      <c r="Y283" s="142">
        <v>0</v>
      </c>
      <c r="Z283" s="142">
        <v>0</v>
      </c>
      <c r="AA283" s="142">
        <v>0</v>
      </c>
    </row>
    <row r="284" spans="1:27" x14ac:dyDescent="0.2">
      <c r="A284" s="195" t="s">
        <v>1356</v>
      </c>
      <c r="B284" s="209" t="s">
        <v>669</v>
      </c>
      <c r="C284" s="139">
        <v>0</v>
      </c>
      <c r="D284" s="139">
        <v>0</v>
      </c>
      <c r="E284" s="139">
        <v>0</v>
      </c>
      <c r="F284" s="139">
        <v>0</v>
      </c>
      <c r="G284" s="139">
        <v>0</v>
      </c>
      <c r="H284" s="142">
        <v>0</v>
      </c>
      <c r="I284" s="142">
        <v>0</v>
      </c>
      <c r="J284" s="142">
        <v>0</v>
      </c>
      <c r="K284" s="142">
        <v>0</v>
      </c>
      <c r="L284" s="142">
        <v>0</v>
      </c>
      <c r="M284" s="142">
        <v>0</v>
      </c>
      <c r="N284" s="142">
        <v>0</v>
      </c>
      <c r="O284" s="142">
        <v>0</v>
      </c>
      <c r="P284" s="142">
        <v>0</v>
      </c>
      <c r="Q284" s="142">
        <v>0</v>
      </c>
      <c r="R284" s="142">
        <v>0</v>
      </c>
      <c r="S284" s="142">
        <v>0</v>
      </c>
      <c r="T284" s="142">
        <v>0</v>
      </c>
      <c r="U284" s="207" t="e">
        <v>#DIV/0!</v>
      </c>
      <c r="V284" s="142">
        <v>0</v>
      </c>
      <c r="W284" s="142">
        <v>0</v>
      </c>
      <c r="X284" s="142">
        <v>0</v>
      </c>
      <c r="Y284" s="142">
        <v>0</v>
      </c>
      <c r="Z284" s="142">
        <v>0</v>
      </c>
      <c r="AA284" s="142">
        <v>0</v>
      </c>
    </row>
    <row r="285" spans="1:27" x14ac:dyDescent="0.2">
      <c r="A285" s="195" t="s">
        <v>1357</v>
      </c>
      <c r="B285" s="209" t="s">
        <v>670</v>
      </c>
      <c r="C285" s="139">
        <v>0</v>
      </c>
      <c r="D285" s="139">
        <v>0</v>
      </c>
      <c r="E285" s="139">
        <v>0</v>
      </c>
      <c r="F285" s="139">
        <v>0</v>
      </c>
      <c r="G285" s="139">
        <v>0</v>
      </c>
      <c r="H285" s="142">
        <v>0</v>
      </c>
      <c r="I285" s="142">
        <v>0</v>
      </c>
      <c r="J285" s="142">
        <v>0</v>
      </c>
      <c r="K285" s="142">
        <v>0</v>
      </c>
      <c r="L285" s="142">
        <v>0</v>
      </c>
      <c r="M285" s="142">
        <v>0</v>
      </c>
      <c r="N285" s="142">
        <v>0</v>
      </c>
      <c r="O285" s="142">
        <v>0</v>
      </c>
      <c r="P285" s="142">
        <v>0</v>
      </c>
      <c r="Q285" s="142">
        <v>0</v>
      </c>
      <c r="R285" s="142">
        <v>0</v>
      </c>
      <c r="S285" s="142">
        <v>0</v>
      </c>
      <c r="T285" s="142">
        <v>0</v>
      </c>
      <c r="U285" s="207" t="e">
        <v>#DIV/0!</v>
      </c>
      <c r="V285" s="142">
        <v>0</v>
      </c>
      <c r="W285" s="142">
        <v>0</v>
      </c>
      <c r="X285" s="142">
        <v>0</v>
      </c>
      <c r="Y285" s="142">
        <v>0</v>
      </c>
      <c r="Z285" s="142">
        <v>0</v>
      </c>
      <c r="AA285" s="142">
        <v>0</v>
      </c>
    </row>
    <row r="286" spans="1:27" x14ac:dyDescent="0.2">
      <c r="A286" s="195" t="s">
        <v>1358</v>
      </c>
      <c r="B286" s="209" t="s">
        <v>671</v>
      </c>
      <c r="C286" s="139">
        <v>0</v>
      </c>
      <c r="D286" s="139">
        <v>0</v>
      </c>
      <c r="E286" s="139">
        <v>0</v>
      </c>
      <c r="F286" s="139">
        <v>0</v>
      </c>
      <c r="G286" s="139">
        <v>0</v>
      </c>
      <c r="H286" s="142">
        <v>0</v>
      </c>
      <c r="I286" s="142">
        <v>0</v>
      </c>
      <c r="J286" s="142">
        <v>0</v>
      </c>
      <c r="K286" s="142">
        <v>0</v>
      </c>
      <c r="L286" s="142">
        <v>0</v>
      </c>
      <c r="M286" s="142">
        <v>0</v>
      </c>
      <c r="N286" s="142">
        <v>0</v>
      </c>
      <c r="O286" s="142">
        <v>0</v>
      </c>
      <c r="P286" s="142">
        <v>0</v>
      </c>
      <c r="Q286" s="142">
        <v>0</v>
      </c>
      <c r="R286" s="142">
        <v>0</v>
      </c>
      <c r="S286" s="142">
        <v>0</v>
      </c>
      <c r="T286" s="142">
        <v>0</v>
      </c>
      <c r="U286" s="207" t="e">
        <v>#DIV/0!</v>
      </c>
      <c r="V286" s="142">
        <v>0</v>
      </c>
      <c r="W286" s="142">
        <v>0</v>
      </c>
      <c r="X286" s="142">
        <v>0</v>
      </c>
      <c r="Y286" s="142">
        <v>0</v>
      </c>
      <c r="Z286" s="142">
        <v>0</v>
      </c>
      <c r="AA286" s="142">
        <v>0</v>
      </c>
    </row>
    <row r="287" spans="1:27" x14ac:dyDescent="0.2">
      <c r="A287" s="195" t="s">
        <v>1359</v>
      </c>
      <c r="B287" s="209" t="s">
        <v>672</v>
      </c>
      <c r="C287" s="139">
        <v>0</v>
      </c>
      <c r="D287" s="139">
        <v>0</v>
      </c>
      <c r="E287" s="139">
        <v>0</v>
      </c>
      <c r="F287" s="139">
        <v>0</v>
      </c>
      <c r="G287" s="139">
        <v>0</v>
      </c>
      <c r="H287" s="142">
        <v>0</v>
      </c>
      <c r="I287" s="142">
        <v>0</v>
      </c>
      <c r="J287" s="142">
        <v>0</v>
      </c>
      <c r="K287" s="142">
        <v>0</v>
      </c>
      <c r="L287" s="142">
        <v>0</v>
      </c>
      <c r="M287" s="142">
        <v>0</v>
      </c>
      <c r="N287" s="142">
        <v>0</v>
      </c>
      <c r="O287" s="142">
        <v>0</v>
      </c>
      <c r="P287" s="142">
        <v>0</v>
      </c>
      <c r="Q287" s="142">
        <v>0</v>
      </c>
      <c r="R287" s="142">
        <v>0</v>
      </c>
      <c r="S287" s="142">
        <v>0</v>
      </c>
      <c r="T287" s="142">
        <v>0</v>
      </c>
      <c r="U287" s="207" t="e">
        <v>#DIV/0!</v>
      </c>
      <c r="V287" s="142">
        <v>0</v>
      </c>
      <c r="W287" s="142">
        <v>0</v>
      </c>
      <c r="X287" s="142">
        <v>0</v>
      </c>
      <c r="Y287" s="142">
        <v>0</v>
      </c>
      <c r="Z287" s="142">
        <v>0</v>
      </c>
      <c r="AA287" s="142">
        <v>0</v>
      </c>
    </row>
    <row r="288" spans="1:27" x14ac:dyDescent="0.2">
      <c r="A288" s="195" t="s">
        <v>1360</v>
      </c>
      <c r="B288" s="209" t="s">
        <v>673</v>
      </c>
      <c r="C288" s="139">
        <v>0</v>
      </c>
      <c r="D288" s="139">
        <v>0</v>
      </c>
      <c r="E288" s="139">
        <v>0</v>
      </c>
      <c r="F288" s="139">
        <v>0</v>
      </c>
      <c r="G288" s="139">
        <v>0</v>
      </c>
      <c r="H288" s="142">
        <v>0</v>
      </c>
      <c r="I288" s="142">
        <v>0</v>
      </c>
      <c r="J288" s="142">
        <v>0</v>
      </c>
      <c r="K288" s="142">
        <v>0</v>
      </c>
      <c r="L288" s="142">
        <v>0</v>
      </c>
      <c r="M288" s="142">
        <v>0</v>
      </c>
      <c r="N288" s="142">
        <v>0</v>
      </c>
      <c r="O288" s="142">
        <v>0</v>
      </c>
      <c r="P288" s="142">
        <v>0</v>
      </c>
      <c r="Q288" s="142">
        <v>0</v>
      </c>
      <c r="R288" s="142">
        <v>0</v>
      </c>
      <c r="S288" s="142">
        <v>0</v>
      </c>
      <c r="T288" s="142">
        <v>0</v>
      </c>
      <c r="U288" s="207" t="e">
        <v>#DIV/0!</v>
      </c>
      <c r="V288" s="142">
        <v>0</v>
      </c>
      <c r="W288" s="142">
        <v>0</v>
      </c>
      <c r="X288" s="142">
        <v>0</v>
      </c>
      <c r="Y288" s="142">
        <v>0</v>
      </c>
      <c r="Z288" s="142">
        <v>0</v>
      </c>
      <c r="AA288" s="142">
        <v>0</v>
      </c>
    </row>
    <row r="289" spans="1:27" x14ac:dyDescent="0.2">
      <c r="A289" s="195" t="s">
        <v>1361</v>
      </c>
      <c r="B289" s="209" t="s">
        <v>674</v>
      </c>
      <c r="C289" s="139">
        <v>0</v>
      </c>
      <c r="D289" s="139">
        <v>0</v>
      </c>
      <c r="E289" s="139">
        <v>0</v>
      </c>
      <c r="F289" s="139">
        <v>0</v>
      </c>
      <c r="G289" s="139">
        <v>0</v>
      </c>
      <c r="H289" s="142">
        <v>0</v>
      </c>
      <c r="I289" s="142">
        <v>0</v>
      </c>
      <c r="J289" s="142">
        <v>0</v>
      </c>
      <c r="K289" s="142">
        <v>0</v>
      </c>
      <c r="L289" s="142">
        <v>0</v>
      </c>
      <c r="M289" s="142">
        <v>0</v>
      </c>
      <c r="N289" s="142">
        <v>0</v>
      </c>
      <c r="O289" s="142">
        <v>0</v>
      </c>
      <c r="P289" s="142">
        <v>0</v>
      </c>
      <c r="Q289" s="142">
        <v>0</v>
      </c>
      <c r="R289" s="142">
        <v>0</v>
      </c>
      <c r="S289" s="142">
        <v>0</v>
      </c>
      <c r="T289" s="142">
        <v>0</v>
      </c>
      <c r="U289" s="207" t="e">
        <v>#DIV/0!</v>
      </c>
      <c r="V289" s="142">
        <v>0</v>
      </c>
      <c r="W289" s="142">
        <v>0</v>
      </c>
      <c r="X289" s="142">
        <v>0</v>
      </c>
      <c r="Y289" s="142">
        <v>0</v>
      </c>
      <c r="Z289" s="142">
        <v>0</v>
      </c>
      <c r="AA289" s="142">
        <v>0</v>
      </c>
    </row>
    <row r="290" spans="1:27" x14ac:dyDescent="0.2">
      <c r="A290" s="195" t="s">
        <v>1362</v>
      </c>
      <c r="B290" s="209" t="s">
        <v>675</v>
      </c>
      <c r="C290" s="139">
        <v>0</v>
      </c>
      <c r="D290" s="139">
        <v>0</v>
      </c>
      <c r="E290" s="139">
        <v>0</v>
      </c>
      <c r="F290" s="139">
        <v>0</v>
      </c>
      <c r="G290" s="139">
        <v>0</v>
      </c>
      <c r="H290" s="142">
        <v>0</v>
      </c>
      <c r="I290" s="142">
        <v>0</v>
      </c>
      <c r="J290" s="142">
        <v>0</v>
      </c>
      <c r="K290" s="142">
        <v>0</v>
      </c>
      <c r="L290" s="142">
        <v>0</v>
      </c>
      <c r="M290" s="142">
        <v>0</v>
      </c>
      <c r="N290" s="142">
        <v>0</v>
      </c>
      <c r="O290" s="142">
        <v>0</v>
      </c>
      <c r="P290" s="142">
        <v>0</v>
      </c>
      <c r="Q290" s="142">
        <v>0</v>
      </c>
      <c r="R290" s="142">
        <v>0</v>
      </c>
      <c r="S290" s="142">
        <v>0</v>
      </c>
      <c r="T290" s="142">
        <v>0</v>
      </c>
      <c r="U290" s="207" t="e">
        <v>#DIV/0!</v>
      </c>
      <c r="V290" s="142">
        <v>0</v>
      </c>
      <c r="W290" s="142">
        <v>0</v>
      </c>
      <c r="X290" s="142">
        <v>0</v>
      </c>
      <c r="Y290" s="142">
        <v>0</v>
      </c>
      <c r="Z290" s="142">
        <v>0</v>
      </c>
      <c r="AA290" s="142">
        <v>0</v>
      </c>
    </row>
    <row r="291" spans="1:27" x14ac:dyDescent="0.2">
      <c r="A291" s="195" t="s">
        <v>1363</v>
      </c>
      <c r="B291" s="209" t="s">
        <v>676</v>
      </c>
      <c r="C291" s="139">
        <v>0</v>
      </c>
      <c r="D291" s="139">
        <v>0</v>
      </c>
      <c r="E291" s="139">
        <v>0</v>
      </c>
      <c r="F291" s="139">
        <v>0</v>
      </c>
      <c r="G291" s="139">
        <v>0</v>
      </c>
      <c r="H291" s="142">
        <v>0</v>
      </c>
      <c r="I291" s="142">
        <v>0</v>
      </c>
      <c r="J291" s="142">
        <v>0</v>
      </c>
      <c r="K291" s="142">
        <v>0</v>
      </c>
      <c r="L291" s="142">
        <v>0</v>
      </c>
      <c r="M291" s="142">
        <v>0</v>
      </c>
      <c r="N291" s="142">
        <v>0</v>
      </c>
      <c r="O291" s="142">
        <v>0</v>
      </c>
      <c r="P291" s="142">
        <v>0</v>
      </c>
      <c r="Q291" s="142">
        <v>0</v>
      </c>
      <c r="R291" s="142">
        <v>0</v>
      </c>
      <c r="S291" s="142">
        <v>0</v>
      </c>
      <c r="T291" s="142">
        <v>0</v>
      </c>
      <c r="U291" s="207" t="e">
        <v>#DIV/0!</v>
      </c>
      <c r="V291" s="142">
        <v>0</v>
      </c>
      <c r="W291" s="142">
        <v>0</v>
      </c>
      <c r="X291" s="142">
        <v>0</v>
      </c>
      <c r="Y291" s="142">
        <v>0</v>
      </c>
      <c r="Z291" s="142">
        <v>0</v>
      </c>
      <c r="AA291" s="142">
        <v>0</v>
      </c>
    </row>
    <row r="292" spans="1:27" x14ac:dyDescent="0.2">
      <c r="A292" s="195" t="s">
        <v>1364</v>
      </c>
      <c r="B292" s="209" t="s">
        <v>677</v>
      </c>
      <c r="C292" s="139">
        <v>0</v>
      </c>
      <c r="D292" s="139">
        <v>0</v>
      </c>
      <c r="E292" s="139">
        <v>0</v>
      </c>
      <c r="F292" s="139">
        <v>0</v>
      </c>
      <c r="G292" s="139">
        <v>0</v>
      </c>
      <c r="H292" s="142">
        <v>0</v>
      </c>
      <c r="I292" s="142">
        <v>0</v>
      </c>
      <c r="J292" s="142">
        <v>0</v>
      </c>
      <c r="K292" s="142">
        <v>0</v>
      </c>
      <c r="L292" s="142">
        <v>0</v>
      </c>
      <c r="M292" s="142">
        <v>0</v>
      </c>
      <c r="N292" s="142">
        <v>0</v>
      </c>
      <c r="O292" s="142">
        <v>0</v>
      </c>
      <c r="P292" s="142">
        <v>0</v>
      </c>
      <c r="Q292" s="142">
        <v>0</v>
      </c>
      <c r="R292" s="142">
        <v>0</v>
      </c>
      <c r="S292" s="142">
        <v>0</v>
      </c>
      <c r="T292" s="142">
        <v>0</v>
      </c>
      <c r="U292" s="207" t="e">
        <v>#DIV/0!</v>
      </c>
      <c r="V292" s="142">
        <v>0</v>
      </c>
      <c r="W292" s="142">
        <v>0</v>
      </c>
      <c r="X292" s="142">
        <v>0</v>
      </c>
      <c r="Y292" s="142">
        <v>0</v>
      </c>
      <c r="Z292" s="142">
        <v>0</v>
      </c>
      <c r="AA292" s="142">
        <v>0</v>
      </c>
    </row>
    <row r="293" spans="1:27" x14ac:dyDescent="0.2">
      <c r="A293" s="195" t="s">
        <v>1365</v>
      </c>
      <c r="B293" s="209" t="s">
        <v>678</v>
      </c>
      <c r="C293" s="139">
        <v>0</v>
      </c>
      <c r="D293" s="139">
        <v>0</v>
      </c>
      <c r="E293" s="139">
        <v>0</v>
      </c>
      <c r="F293" s="139">
        <v>0</v>
      </c>
      <c r="G293" s="139">
        <v>0</v>
      </c>
      <c r="H293" s="142">
        <v>0</v>
      </c>
      <c r="I293" s="142">
        <v>0</v>
      </c>
      <c r="J293" s="142">
        <v>0</v>
      </c>
      <c r="K293" s="142">
        <v>0</v>
      </c>
      <c r="L293" s="142">
        <v>0</v>
      </c>
      <c r="M293" s="142">
        <v>0</v>
      </c>
      <c r="N293" s="142">
        <v>0</v>
      </c>
      <c r="O293" s="142">
        <v>0</v>
      </c>
      <c r="P293" s="142">
        <v>0</v>
      </c>
      <c r="Q293" s="142">
        <v>0</v>
      </c>
      <c r="R293" s="142">
        <v>0</v>
      </c>
      <c r="S293" s="142">
        <v>0</v>
      </c>
      <c r="T293" s="142">
        <v>0</v>
      </c>
      <c r="U293" s="207" t="e">
        <v>#DIV/0!</v>
      </c>
      <c r="V293" s="142">
        <v>0</v>
      </c>
      <c r="W293" s="142">
        <v>0</v>
      </c>
      <c r="X293" s="142">
        <v>0</v>
      </c>
      <c r="Y293" s="142">
        <v>0</v>
      </c>
      <c r="Z293" s="142">
        <v>0</v>
      </c>
      <c r="AA293" s="142">
        <v>0</v>
      </c>
    </row>
    <row r="294" spans="1:27" x14ac:dyDescent="0.2">
      <c r="A294" s="195" t="s">
        <v>1366</v>
      </c>
      <c r="B294" s="209" t="s">
        <v>679</v>
      </c>
      <c r="C294" s="139">
        <v>0</v>
      </c>
      <c r="D294" s="139">
        <v>0</v>
      </c>
      <c r="E294" s="139">
        <v>0</v>
      </c>
      <c r="F294" s="139">
        <v>0</v>
      </c>
      <c r="G294" s="139">
        <v>0</v>
      </c>
      <c r="H294" s="142">
        <v>0</v>
      </c>
      <c r="I294" s="142">
        <v>0</v>
      </c>
      <c r="J294" s="142">
        <v>0</v>
      </c>
      <c r="K294" s="142">
        <v>0</v>
      </c>
      <c r="L294" s="142">
        <v>0</v>
      </c>
      <c r="M294" s="142">
        <v>0</v>
      </c>
      <c r="N294" s="142">
        <v>0</v>
      </c>
      <c r="O294" s="142">
        <v>0</v>
      </c>
      <c r="P294" s="142">
        <v>0</v>
      </c>
      <c r="Q294" s="142">
        <v>0</v>
      </c>
      <c r="R294" s="142">
        <v>0</v>
      </c>
      <c r="S294" s="142">
        <v>0</v>
      </c>
      <c r="T294" s="142">
        <v>0</v>
      </c>
      <c r="U294" s="207" t="e">
        <v>#DIV/0!</v>
      </c>
      <c r="V294" s="142">
        <v>0</v>
      </c>
      <c r="W294" s="142">
        <v>0</v>
      </c>
      <c r="X294" s="142">
        <v>0</v>
      </c>
      <c r="Y294" s="142">
        <v>0</v>
      </c>
      <c r="Z294" s="142">
        <v>0</v>
      </c>
      <c r="AA294" s="142">
        <v>0</v>
      </c>
    </row>
    <row r="295" spans="1:27" x14ac:dyDescent="0.2">
      <c r="A295" s="195" t="s">
        <v>1367</v>
      </c>
      <c r="B295" s="209" t="s">
        <v>680</v>
      </c>
      <c r="C295" s="139">
        <v>0</v>
      </c>
      <c r="D295" s="139">
        <v>0</v>
      </c>
      <c r="E295" s="139">
        <v>0</v>
      </c>
      <c r="F295" s="139">
        <v>0</v>
      </c>
      <c r="G295" s="139">
        <v>0</v>
      </c>
      <c r="H295" s="142">
        <v>0</v>
      </c>
      <c r="I295" s="142">
        <v>0</v>
      </c>
      <c r="J295" s="142">
        <v>0</v>
      </c>
      <c r="K295" s="142">
        <v>0</v>
      </c>
      <c r="L295" s="142">
        <v>0</v>
      </c>
      <c r="M295" s="142">
        <v>0</v>
      </c>
      <c r="N295" s="142">
        <v>0</v>
      </c>
      <c r="O295" s="142">
        <v>0</v>
      </c>
      <c r="P295" s="142">
        <v>0</v>
      </c>
      <c r="Q295" s="142">
        <v>0</v>
      </c>
      <c r="R295" s="142">
        <v>0</v>
      </c>
      <c r="S295" s="142">
        <v>0</v>
      </c>
      <c r="T295" s="142">
        <v>0</v>
      </c>
      <c r="U295" s="207" t="e">
        <v>#DIV/0!</v>
      </c>
      <c r="V295" s="142">
        <v>0</v>
      </c>
      <c r="W295" s="142">
        <v>0</v>
      </c>
      <c r="X295" s="142">
        <v>0</v>
      </c>
      <c r="Y295" s="142">
        <v>0</v>
      </c>
      <c r="Z295" s="142">
        <v>0</v>
      </c>
      <c r="AA295" s="142">
        <v>0</v>
      </c>
    </row>
    <row r="296" spans="1:27" x14ac:dyDescent="0.2">
      <c r="A296" s="195" t="s">
        <v>1368</v>
      </c>
      <c r="B296" s="209" t="s">
        <v>681</v>
      </c>
      <c r="C296" s="139">
        <v>0</v>
      </c>
      <c r="D296" s="139">
        <v>0</v>
      </c>
      <c r="E296" s="139">
        <v>0</v>
      </c>
      <c r="F296" s="139">
        <v>0</v>
      </c>
      <c r="G296" s="139">
        <v>0</v>
      </c>
      <c r="H296" s="142">
        <v>0</v>
      </c>
      <c r="I296" s="142">
        <v>0</v>
      </c>
      <c r="J296" s="142">
        <v>0</v>
      </c>
      <c r="K296" s="142">
        <v>0</v>
      </c>
      <c r="L296" s="142">
        <v>0</v>
      </c>
      <c r="M296" s="142">
        <v>0</v>
      </c>
      <c r="N296" s="142">
        <v>0</v>
      </c>
      <c r="O296" s="142">
        <v>0</v>
      </c>
      <c r="P296" s="142">
        <v>0</v>
      </c>
      <c r="Q296" s="142">
        <v>0</v>
      </c>
      <c r="R296" s="142">
        <v>0</v>
      </c>
      <c r="S296" s="142">
        <v>0</v>
      </c>
      <c r="T296" s="142">
        <v>0</v>
      </c>
      <c r="U296" s="207" t="e">
        <v>#DIV/0!</v>
      </c>
      <c r="V296" s="142">
        <v>0</v>
      </c>
      <c r="W296" s="142">
        <v>0</v>
      </c>
      <c r="X296" s="142">
        <v>0</v>
      </c>
      <c r="Y296" s="142">
        <v>0</v>
      </c>
      <c r="Z296" s="142">
        <v>0</v>
      </c>
      <c r="AA296" s="142">
        <v>0</v>
      </c>
    </row>
    <row r="297" spans="1:27" x14ac:dyDescent="0.2">
      <c r="A297" s="195" t="s">
        <v>1369</v>
      </c>
      <c r="B297" s="209" t="s">
        <v>682</v>
      </c>
      <c r="C297" s="139">
        <v>0</v>
      </c>
      <c r="D297" s="139">
        <v>0</v>
      </c>
      <c r="E297" s="139">
        <v>0</v>
      </c>
      <c r="F297" s="139">
        <v>0</v>
      </c>
      <c r="G297" s="139">
        <v>0</v>
      </c>
      <c r="H297" s="142">
        <v>0</v>
      </c>
      <c r="I297" s="142">
        <v>0</v>
      </c>
      <c r="J297" s="142">
        <v>0</v>
      </c>
      <c r="K297" s="142">
        <v>0</v>
      </c>
      <c r="L297" s="142">
        <v>0</v>
      </c>
      <c r="M297" s="142">
        <v>0</v>
      </c>
      <c r="N297" s="142">
        <v>0</v>
      </c>
      <c r="O297" s="142">
        <v>0</v>
      </c>
      <c r="P297" s="142">
        <v>0</v>
      </c>
      <c r="Q297" s="142">
        <v>0</v>
      </c>
      <c r="R297" s="142">
        <v>0</v>
      </c>
      <c r="S297" s="142">
        <v>0</v>
      </c>
      <c r="T297" s="142">
        <v>0</v>
      </c>
      <c r="U297" s="207" t="e">
        <v>#DIV/0!</v>
      </c>
      <c r="V297" s="142">
        <v>0</v>
      </c>
      <c r="W297" s="142">
        <v>0</v>
      </c>
      <c r="X297" s="142">
        <v>0</v>
      </c>
      <c r="Y297" s="142">
        <v>0</v>
      </c>
      <c r="Z297" s="142">
        <v>0</v>
      </c>
      <c r="AA297" s="142">
        <v>0</v>
      </c>
    </row>
    <row r="298" spans="1:27" x14ac:dyDescent="0.2">
      <c r="A298" s="195" t="s">
        <v>1370</v>
      </c>
      <c r="B298" s="209" t="s">
        <v>683</v>
      </c>
      <c r="C298" s="139">
        <v>0</v>
      </c>
      <c r="D298" s="139">
        <v>0</v>
      </c>
      <c r="E298" s="139">
        <v>0</v>
      </c>
      <c r="F298" s="139">
        <v>0</v>
      </c>
      <c r="G298" s="139">
        <v>0</v>
      </c>
      <c r="H298" s="142">
        <v>0</v>
      </c>
      <c r="I298" s="142">
        <v>0</v>
      </c>
      <c r="J298" s="142">
        <v>0</v>
      </c>
      <c r="K298" s="142">
        <v>0</v>
      </c>
      <c r="L298" s="142">
        <v>0</v>
      </c>
      <c r="M298" s="142">
        <v>0</v>
      </c>
      <c r="N298" s="142">
        <v>0</v>
      </c>
      <c r="O298" s="142">
        <v>0</v>
      </c>
      <c r="P298" s="142">
        <v>0</v>
      </c>
      <c r="Q298" s="142">
        <v>0</v>
      </c>
      <c r="R298" s="142">
        <v>0</v>
      </c>
      <c r="S298" s="142">
        <v>0</v>
      </c>
      <c r="T298" s="142">
        <v>0</v>
      </c>
      <c r="U298" s="207" t="e">
        <v>#DIV/0!</v>
      </c>
      <c r="V298" s="142">
        <v>0</v>
      </c>
      <c r="W298" s="142">
        <v>0</v>
      </c>
      <c r="X298" s="142">
        <v>0</v>
      </c>
      <c r="Y298" s="142">
        <v>0</v>
      </c>
      <c r="Z298" s="142">
        <v>0</v>
      </c>
      <c r="AA298" s="142">
        <v>0</v>
      </c>
    </row>
    <row r="299" spans="1:27" x14ac:dyDescent="0.2">
      <c r="A299" s="195"/>
      <c r="B299" s="214" t="s">
        <v>684</v>
      </c>
      <c r="C299" s="215">
        <v>0</v>
      </c>
      <c r="D299" s="215">
        <v>0</v>
      </c>
      <c r="E299" s="215">
        <v>0</v>
      </c>
      <c r="F299" s="215">
        <v>0</v>
      </c>
      <c r="G299" s="215">
        <v>0</v>
      </c>
      <c r="H299" s="215">
        <v>0</v>
      </c>
      <c r="I299" s="215">
        <v>0</v>
      </c>
      <c r="J299" s="215">
        <v>0</v>
      </c>
      <c r="K299" s="215">
        <v>0</v>
      </c>
      <c r="L299" s="215">
        <v>0</v>
      </c>
      <c r="M299" s="215">
        <v>0</v>
      </c>
      <c r="N299" s="215">
        <v>0</v>
      </c>
      <c r="O299" s="215">
        <v>0</v>
      </c>
      <c r="P299" s="215">
        <v>0</v>
      </c>
      <c r="Q299" s="215">
        <v>0</v>
      </c>
      <c r="R299" s="215">
        <v>0</v>
      </c>
      <c r="S299" s="215">
        <v>0</v>
      </c>
      <c r="T299" s="216">
        <v>0</v>
      </c>
      <c r="U299" s="217" t="e">
        <v>#DIV/0!</v>
      </c>
      <c r="V299" s="216">
        <v>0</v>
      </c>
      <c r="W299" s="216">
        <v>0</v>
      </c>
      <c r="X299" s="216">
        <v>0</v>
      </c>
      <c r="Y299" s="216">
        <v>0</v>
      </c>
      <c r="Z299" s="216">
        <v>0</v>
      </c>
      <c r="AA299" s="216">
        <v>0</v>
      </c>
    </row>
    <row r="300" spans="1:27" s="205" customFormat="1" x14ac:dyDescent="0.2">
      <c r="A300" s="195" t="s">
        <v>1371</v>
      </c>
      <c r="B300" s="201" t="s">
        <v>685</v>
      </c>
      <c r="C300" s="208">
        <v>0</v>
      </c>
      <c r="D300" s="208">
        <v>0</v>
      </c>
      <c r="E300" s="208">
        <v>0</v>
      </c>
      <c r="F300" s="208">
        <v>0</v>
      </c>
      <c r="G300" s="208">
        <v>0</v>
      </c>
      <c r="H300" s="203">
        <v>0</v>
      </c>
      <c r="I300" s="203">
        <v>0</v>
      </c>
      <c r="J300" s="203">
        <v>0</v>
      </c>
      <c r="K300" s="203">
        <v>0</v>
      </c>
      <c r="L300" s="203">
        <v>0</v>
      </c>
      <c r="M300" s="203">
        <v>0</v>
      </c>
      <c r="N300" s="203">
        <v>0</v>
      </c>
      <c r="O300" s="203">
        <v>0</v>
      </c>
      <c r="P300" s="203">
        <v>0</v>
      </c>
      <c r="Q300" s="203">
        <v>0</v>
      </c>
      <c r="R300" s="203">
        <v>0</v>
      </c>
      <c r="S300" s="203">
        <v>0</v>
      </c>
      <c r="T300" s="203">
        <v>0</v>
      </c>
      <c r="U300" s="204" t="e">
        <v>#DIV/0!</v>
      </c>
      <c r="V300" s="203">
        <v>0</v>
      </c>
      <c r="W300" s="203">
        <v>0</v>
      </c>
      <c r="X300" s="203">
        <v>0</v>
      </c>
      <c r="Y300" s="203">
        <v>0</v>
      </c>
      <c r="Z300" s="203">
        <v>0</v>
      </c>
      <c r="AA300" s="203">
        <v>0</v>
      </c>
    </row>
    <row r="301" spans="1:27" x14ac:dyDescent="0.2">
      <c r="A301" s="195"/>
      <c r="B301" s="201" t="s">
        <v>686</v>
      </c>
      <c r="C301" s="202">
        <v>0</v>
      </c>
      <c r="D301" s="202">
        <v>0</v>
      </c>
      <c r="E301" s="202">
        <v>0</v>
      </c>
      <c r="F301" s="202">
        <v>0</v>
      </c>
      <c r="G301" s="202">
        <v>0</v>
      </c>
      <c r="H301" s="202">
        <v>0</v>
      </c>
      <c r="I301" s="202">
        <v>0</v>
      </c>
      <c r="J301" s="202">
        <v>0</v>
      </c>
      <c r="K301" s="202">
        <v>0</v>
      </c>
      <c r="L301" s="202">
        <v>0</v>
      </c>
      <c r="M301" s="202">
        <v>0</v>
      </c>
      <c r="N301" s="202">
        <v>0</v>
      </c>
      <c r="O301" s="202">
        <v>0</v>
      </c>
      <c r="P301" s="202">
        <v>0</v>
      </c>
      <c r="Q301" s="202">
        <v>0</v>
      </c>
      <c r="R301" s="202">
        <v>0</v>
      </c>
      <c r="S301" s="202">
        <v>0</v>
      </c>
      <c r="T301" s="203">
        <v>0</v>
      </c>
      <c r="U301" s="204" t="e">
        <v>#DIV/0!</v>
      </c>
      <c r="V301" s="203">
        <v>0</v>
      </c>
      <c r="W301" s="203">
        <v>0</v>
      </c>
      <c r="X301" s="203">
        <v>0</v>
      </c>
      <c r="Y301" s="203">
        <v>0</v>
      </c>
      <c r="Z301" s="203">
        <v>0</v>
      </c>
      <c r="AA301" s="203">
        <v>0</v>
      </c>
    </row>
    <row r="302" spans="1:27" ht="24" x14ac:dyDescent="0.2">
      <c r="A302" s="195" t="s">
        <v>1372</v>
      </c>
      <c r="B302" s="209" t="s">
        <v>687</v>
      </c>
      <c r="C302" s="139">
        <v>0</v>
      </c>
      <c r="D302" s="139">
        <v>0</v>
      </c>
      <c r="E302" s="139">
        <v>0</v>
      </c>
      <c r="F302" s="139">
        <v>0</v>
      </c>
      <c r="G302" s="139">
        <v>0</v>
      </c>
      <c r="H302" s="142">
        <v>0</v>
      </c>
      <c r="I302" s="142">
        <v>0</v>
      </c>
      <c r="J302" s="142">
        <v>0</v>
      </c>
      <c r="K302" s="142">
        <v>0</v>
      </c>
      <c r="L302" s="142">
        <v>0</v>
      </c>
      <c r="M302" s="142">
        <v>0</v>
      </c>
      <c r="N302" s="142">
        <v>0</v>
      </c>
      <c r="O302" s="142">
        <v>0</v>
      </c>
      <c r="P302" s="142">
        <v>0</v>
      </c>
      <c r="Q302" s="142">
        <v>0</v>
      </c>
      <c r="R302" s="142">
        <v>0</v>
      </c>
      <c r="S302" s="142">
        <v>0</v>
      </c>
      <c r="T302" s="142">
        <v>0</v>
      </c>
      <c r="U302" s="207" t="e">
        <v>#DIV/0!</v>
      </c>
      <c r="V302" s="142">
        <v>0</v>
      </c>
      <c r="W302" s="142">
        <v>0</v>
      </c>
      <c r="X302" s="142">
        <v>0</v>
      </c>
      <c r="Y302" s="142">
        <v>0</v>
      </c>
      <c r="Z302" s="142">
        <v>0</v>
      </c>
      <c r="AA302" s="142">
        <v>0</v>
      </c>
    </row>
    <row r="303" spans="1:27" x14ac:dyDescent="0.2">
      <c r="A303" s="195" t="s">
        <v>1373</v>
      </c>
      <c r="B303" s="209" t="s">
        <v>688</v>
      </c>
      <c r="C303" s="139">
        <v>0</v>
      </c>
      <c r="D303" s="139">
        <v>0</v>
      </c>
      <c r="E303" s="139">
        <v>0</v>
      </c>
      <c r="F303" s="139">
        <v>0</v>
      </c>
      <c r="G303" s="139">
        <v>0</v>
      </c>
      <c r="H303" s="142">
        <v>0</v>
      </c>
      <c r="I303" s="142">
        <v>0</v>
      </c>
      <c r="J303" s="142">
        <v>0</v>
      </c>
      <c r="K303" s="142">
        <v>0</v>
      </c>
      <c r="L303" s="142">
        <v>0</v>
      </c>
      <c r="M303" s="142">
        <v>0</v>
      </c>
      <c r="N303" s="142">
        <v>0</v>
      </c>
      <c r="O303" s="142">
        <v>0</v>
      </c>
      <c r="P303" s="142">
        <v>0</v>
      </c>
      <c r="Q303" s="142">
        <v>0</v>
      </c>
      <c r="R303" s="142">
        <v>0</v>
      </c>
      <c r="S303" s="142">
        <v>0</v>
      </c>
      <c r="T303" s="142">
        <v>0</v>
      </c>
      <c r="U303" s="207" t="e">
        <v>#DIV/0!</v>
      </c>
      <c r="V303" s="142">
        <v>0</v>
      </c>
      <c r="W303" s="142">
        <v>0</v>
      </c>
      <c r="X303" s="142">
        <v>0</v>
      </c>
      <c r="Y303" s="142">
        <v>0</v>
      </c>
      <c r="Z303" s="142">
        <v>0</v>
      </c>
      <c r="AA303" s="142">
        <v>0</v>
      </c>
    </row>
    <row r="304" spans="1:27" x14ac:dyDescent="0.2">
      <c r="A304" s="195" t="s">
        <v>1374</v>
      </c>
      <c r="B304" s="209" t="s">
        <v>689</v>
      </c>
      <c r="C304" s="139">
        <v>0</v>
      </c>
      <c r="D304" s="139">
        <v>0</v>
      </c>
      <c r="E304" s="139">
        <v>0</v>
      </c>
      <c r="F304" s="139">
        <v>0</v>
      </c>
      <c r="G304" s="139">
        <v>0</v>
      </c>
      <c r="H304" s="142">
        <v>0</v>
      </c>
      <c r="I304" s="142">
        <v>0</v>
      </c>
      <c r="J304" s="142">
        <v>0</v>
      </c>
      <c r="K304" s="142">
        <v>0</v>
      </c>
      <c r="L304" s="142">
        <v>0</v>
      </c>
      <c r="M304" s="142">
        <v>0</v>
      </c>
      <c r="N304" s="142">
        <v>0</v>
      </c>
      <c r="O304" s="142">
        <v>0</v>
      </c>
      <c r="P304" s="142">
        <v>0</v>
      </c>
      <c r="Q304" s="142">
        <v>0</v>
      </c>
      <c r="R304" s="142">
        <v>0</v>
      </c>
      <c r="S304" s="142">
        <v>0</v>
      </c>
      <c r="T304" s="142">
        <v>0</v>
      </c>
      <c r="U304" s="207" t="e">
        <v>#DIV/0!</v>
      </c>
      <c r="V304" s="142">
        <v>0</v>
      </c>
      <c r="W304" s="142">
        <v>0</v>
      </c>
      <c r="X304" s="142">
        <v>0</v>
      </c>
      <c r="Y304" s="142">
        <v>0</v>
      </c>
      <c r="Z304" s="142">
        <v>0</v>
      </c>
      <c r="AA304" s="142">
        <v>0</v>
      </c>
    </row>
    <row r="305" spans="1:27" x14ac:dyDescent="0.2">
      <c r="A305" s="195"/>
      <c r="B305" s="201" t="s">
        <v>690</v>
      </c>
      <c r="C305" s="202">
        <v>0</v>
      </c>
      <c r="D305" s="202">
        <v>0</v>
      </c>
      <c r="E305" s="202">
        <v>0</v>
      </c>
      <c r="F305" s="202">
        <v>0</v>
      </c>
      <c r="G305" s="202">
        <v>0</v>
      </c>
      <c r="H305" s="202">
        <v>0</v>
      </c>
      <c r="I305" s="202">
        <v>0</v>
      </c>
      <c r="J305" s="202">
        <v>0</v>
      </c>
      <c r="K305" s="202">
        <v>0</v>
      </c>
      <c r="L305" s="202">
        <v>0</v>
      </c>
      <c r="M305" s="202">
        <v>0</v>
      </c>
      <c r="N305" s="202">
        <v>0</v>
      </c>
      <c r="O305" s="202">
        <v>0</v>
      </c>
      <c r="P305" s="202">
        <v>0</v>
      </c>
      <c r="Q305" s="202">
        <v>0</v>
      </c>
      <c r="R305" s="202">
        <v>0</v>
      </c>
      <c r="S305" s="202">
        <v>0</v>
      </c>
      <c r="T305" s="203">
        <v>0</v>
      </c>
      <c r="U305" s="204" t="e">
        <v>#DIV/0!</v>
      </c>
      <c r="V305" s="203">
        <v>0</v>
      </c>
      <c r="W305" s="203">
        <v>0</v>
      </c>
      <c r="X305" s="203">
        <v>0</v>
      </c>
      <c r="Y305" s="203">
        <v>0</v>
      </c>
      <c r="Z305" s="203">
        <v>0</v>
      </c>
      <c r="AA305" s="203">
        <v>0</v>
      </c>
    </row>
    <row r="306" spans="1:27" x14ac:dyDescent="0.2">
      <c r="A306" s="195" t="s">
        <v>1375</v>
      </c>
      <c r="B306" s="209" t="s">
        <v>691</v>
      </c>
      <c r="C306" s="139">
        <v>0</v>
      </c>
      <c r="D306" s="139">
        <v>0</v>
      </c>
      <c r="E306" s="139">
        <v>0</v>
      </c>
      <c r="F306" s="139">
        <v>0</v>
      </c>
      <c r="G306" s="139">
        <v>0</v>
      </c>
      <c r="H306" s="142">
        <v>0</v>
      </c>
      <c r="I306" s="142">
        <v>0</v>
      </c>
      <c r="J306" s="142">
        <v>0</v>
      </c>
      <c r="K306" s="142">
        <v>0</v>
      </c>
      <c r="L306" s="142">
        <v>0</v>
      </c>
      <c r="M306" s="142">
        <v>0</v>
      </c>
      <c r="N306" s="142">
        <v>0</v>
      </c>
      <c r="O306" s="142">
        <v>0</v>
      </c>
      <c r="P306" s="142">
        <v>0</v>
      </c>
      <c r="Q306" s="142">
        <v>0</v>
      </c>
      <c r="R306" s="142">
        <v>0</v>
      </c>
      <c r="S306" s="142">
        <v>0</v>
      </c>
      <c r="T306" s="142">
        <v>0</v>
      </c>
      <c r="U306" s="207" t="e">
        <v>#DIV/0!</v>
      </c>
      <c r="V306" s="142">
        <v>0</v>
      </c>
      <c r="W306" s="142">
        <v>0</v>
      </c>
      <c r="X306" s="142">
        <v>0</v>
      </c>
      <c r="Y306" s="142">
        <v>0</v>
      </c>
      <c r="Z306" s="142">
        <v>0</v>
      </c>
      <c r="AA306" s="142">
        <v>0</v>
      </c>
    </row>
    <row r="307" spans="1:27" x14ac:dyDescent="0.2">
      <c r="A307" s="195" t="s">
        <v>1376</v>
      </c>
      <c r="B307" s="209" t="s">
        <v>692</v>
      </c>
      <c r="C307" s="139">
        <v>0</v>
      </c>
      <c r="D307" s="139">
        <v>0</v>
      </c>
      <c r="E307" s="139">
        <v>0</v>
      </c>
      <c r="F307" s="139">
        <v>0</v>
      </c>
      <c r="G307" s="139">
        <v>0</v>
      </c>
      <c r="H307" s="142">
        <v>0</v>
      </c>
      <c r="I307" s="142">
        <v>0</v>
      </c>
      <c r="J307" s="142">
        <v>0</v>
      </c>
      <c r="K307" s="142">
        <v>0</v>
      </c>
      <c r="L307" s="142">
        <v>0</v>
      </c>
      <c r="M307" s="142">
        <v>0</v>
      </c>
      <c r="N307" s="142">
        <v>0</v>
      </c>
      <c r="O307" s="142">
        <v>0</v>
      </c>
      <c r="P307" s="142">
        <v>0</v>
      </c>
      <c r="Q307" s="142">
        <v>0</v>
      </c>
      <c r="R307" s="142">
        <v>0</v>
      </c>
      <c r="S307" s="142">
        <v>0</v>
      </c>
      <c r="T307" s="142">
        <v>0</v>
      </c>
      <c r="U307" s="207" t="e">
        <v>#DIV/0!</v>
      </c>
      <c r="V307" s="142">
        <v>0</v>
      </c>
      <c r="W307" s="142">
        <v>0</v>
      </c>
      <c r="X307" s="142">
        <v>0</v>
      </c>
      <c r="Y307" s="142">
        <v>0</v>
      </c>
      <c r="Z307" s="142">
        <v>0</v>
      </c>
      <c r="AA307" s="142">
        <v>0</v>
      </c>
    </row>
    <row r="308" spans="1:27" x14ac:dyDescent="0.2">
      <c r="A308" s="195" t="s">
        <v>1377</v>
      </c>
      <c r="B308" s="209" t="s">
        <v>693</v>
      </c>
      <c r="C308" s="139">
        <v>0</v>
      </c>
      <c r="D308" s="139">
        <v>0</v>
      </c>
      <c r="E308" s="139">
        <v>0</v>
      </c>
      <c r="F308" s="139">
        <v>0</v>
      </c>
      <c r="G308" s="139">
        <v>0</v>
      </c>
      <c r="H308" s="142">
        <v>0</v>
      </c>
      <c r="I308" s="142">
        <v>0</v>
      </c>
      <c r="J308" s="142">
        <v>0</v>
      </c>
      <c r="K308" s="142">
        <v>0</v>
      </c>
      <c r="L308" s="142">
        <v>0</v>
      </c>
      <c r="M308" s="142">
        <v>0</v>
      </c>
      <c r="N308" s="142">
        <v>0</v>
      </c>
      <c r="O308" s="142">
        <v>0</v>
      </c>
      <c r="P308" s="142">
        <v>0</v>
      </c>
      <c r="Q308" s="142">
        <v>0</v>
      </c>
      <c r="R308" s="142">
        <v>0</v>
      </c>
      <c r="S308" s="142">
        <v>0</v>
      </c>
      <c r="T308" s="142">
        <v>0</v>
      </c>
      <c r="U308" s="207" t="e">
        <v>#DIV/0!</v>
      </c>
      <c r="V308" s="142">
        <v>0</v>
      </c>
      <c r="W308" s="142">
        <v>0</v>
      </c>
      <c r="X308" s="142">
        <v>0</v>
      </c>
      <c r="Y308" s="142">
        <v>0</v>
      </c>
      <c r="Z308" s="142">
        <v>0</v>
      </c>
      <c r="AA308" s="142">
        <v>0</v>
      </c>
    </row>
    <row r="309" spans="1:27" s="205" customFormat="1" x14ac:dyDescent="0.2">
      <c r="A309" s="195" t="s">
        <v>1378</v>
      </c>
      <c r="B309" s="201" t="s">
        <v>694</v>
      </c>
      <c r="C309" s="208">
        <v>0</v>
      </c>
      <c r="D309" s="208">
        <v>0</v>
      </c>
      <c r="E309" s="208">
        <v>0</v>
      </c>
      <c r="F309" s="208">
        <v>0</v>
      </c>
      <c r="G309" s="208">
        <v>0</v>
      </c>
      <c r="H309" s="203">
        <v>0</v>
      </c>
      <c r="I309" s="203">
        <v>0</v>
      </c>
      <c r="J309" s="203">
        <v>0</v>
      </c>
      <c r="K309" s="203">
        <v>0</v>
      </c>
      <c r="L309" s="203">
        <v>0</v>
      </c>
      <c r="M309" s="203">
        <v>0</v>
      </c>
      <c r="N309" s="203">
        <v>0</v>
      </c>
      <c r="O309" s="203">
        <v>0</v>
      </c>
      <c r="P309" s="203">
        <v>0</v>
      </c>
      <c r="Q309" s="203">
        <v>0</v>
      </c>
      <c r="R309" s="203">
        <v>0</v>
      </c>
      <c r="S309" s="203">
        <v>0</v>
      </c>
      <c r="T309" s="203">
        <v>0</v>
      </c>
      <c r="U309" s="204" t="e">
        <v>#DIV/0!</v>
      </c>
      <c r="V309" s="203">
        <v>0</v>
      </c>
      <c r="W309" s="203">
        <v>0</v>
      </c>
      <c r="X309" s="203">
        <v>0</v>
      </c>
      <c r="Y309" s="203">
        <v>0</v>
      </c>
      <c r="Z309" s="203">
        <v>0</v>
      </c>
      <c r="AA309" s="203">
        <v>0</v>
      </c>
    </row>
    <row r="310" spans="1:27" s="205" customFormat="1" x14ac:dyDescent="0.2">
      <c r="A310" s="140"/>
      <c r="B310" s="218" t="s">
        <v>35</v>
      </c>
      <c r="C310" s="219">
        <v>0</v>
      </c>
      <c r="D310" s="219">
        <v>0</v>
      </c>
      <c r="E310" s="219">
        <v>0</v>
      </c>
      <c r="F310" s="219">
        <v>0</v>
      </c>
      <c r="G310" s="219">
        <v>0</v>
      </c>
      <c r="H310" s="219">
        <v>0</v>
      </c>
      <c r="I310" s="219">
        <v>0</v>
      </c>
      <c r="J310" s="219">
        <v>0</v>
      </c>
      <c r="K310" s="219">
        <v>0</v>
      </c>
      <c r="L310" s="219">
        <v>0</v>
      </c>
      <c r="M310" s="219">
        <v>0</v>
      </c>
      <c r="N310" s="219">
        <v>0</v>
      </c>
      <c r="O310" s="219">
        <v>0</v>
      </c>
      <c r="P310" s="219">
        <v>0</v>
      </c>
      <c r="Q310" s="219">
        <v>0</v>
      </c>
      <c r="R310" s="219">
        <v>0</v>
      </c>
      <c r="S310" s="219">
        <v>0</v>
      </c>
      <c r="T310" s="220">
        <v>0</v>
      </c>
      <c r="U310" s="221" t="e">
        <v>#DIV/0!</v>
      </c>
      <c r="V310" s="220">
        <v>0</v>
      </c>
      <c r="W310" s="220">
        <v>0</v>
      </c>
      <c r="X310" s="220">
        <v>0</v>
      </c>
      <c r="Y310" s="220">
        <v>0</v>
      </c>
      <c r="Z310" s="220">
        <v>0</v>
      </c>
      <c r="AA310" s="220">
        <v>0</v>
      </c>
    </row>
    <row r="311" spans="1:27" x14ac:dyDescent="0.2">
      <c r="A311" s="195"/>
      <c r="B311" s="222" t="s">
        <v>1379</v>
      </c>
      <c r="C311" s="223">
        <v>0</v>
      </c>
      <c r="D311" s="223">
        <v>0</v>
      </c>
      <c r="E311" s="223">
        <v>0</v>
      </c>
      <c r="F311" s="223">
        <v>0</v>
      </c>
      <c r="G311" s="223">
        <v>0</v>
      </c>
      <c r="H311" s="223">
        <v>0</v>
      </c>
      <c r="I311" s="223">
        <v>0</v>
      </c>
      <c r="J311" s="223">
        <v>0</v>
      </c>
      <c r="K311" s="223">
        <v>0</v>
      </c>
      <c r="L311" s="223">
        <v>0</v>
      </c>
      <c r="M311" s="223">
        <v>0</v>
      </c>
      <c r="N311" s="223">
        <v>0</v>
      </c>
      <c r="O311" s="223">
        <v>0</v>
      </c>
      <c r="P311" s="223">
        <v>0</v>
      </c>
      <c r="Q311" s="223">
        <v>0</v>
      </c>
      <c r="R311" s="223">
        <v>0</v>
      </c>
      <c r="S311" s="223">
        <v>0</v>
      </c>
      <c r="T311" s="224">
        <v>0</v>
      </c>
      <c r="U311" s="225" t="e">
        <v>#DIV/0!</v>
      </c>
      <c r="V311" s="224">
        <v>0</v>
      </c>
      <c r="W311" s="224">
        <v>0</v>
      </c>
      <c r="X311" s="224">
        <v>0</v>
      </c>
      <c r="Y311" s="224">
        <v>0</v>
      </c>
      <c r="Z311" s="224">
        <v>0</v>
      </c>
      <c r="AA311" s="224">
        <v>0</v>
      </c>
    </row>
    <row r="312" spans="1:27" x14ac:dyDescent="0.2">
      <c r="A312" s="195"/>
      <c r="B312" s="226" t="s">
        <v>74</v>
      </c>
      <c r="C312" s="227">
        <v>0</v>
      </c>
      <c r="D312" s="227">
        <v>0</v>
      </c>
      <c r="E312" s="227">
        <v>0</v>
      </c>
      <c r="F312" s="227">
        <v>0</v>
      </c>
      <c r="G312" s="227">
        <v>0</v>
      </c>
      <c r="H312" s="227">
        <v>0</v>
      </c>
      <c r="I312" s="227">
        <v>0</v>
      </c>
      <c r="J312" s="227">
        <v>0</v>
      </c>
      <c r="K312" s="227">
        <v>0</v>
      </c>
      <c r="L312" s="227">
        <v>0</v>
      </c>
      <c r="M312" s="227">
        <v>0</v>
      </c>
      <c r="N312" s="227">
        <v>0</v>
      </c>
      <c r="O312" s="227">
        <v>0</v>
      </c>
      <c r="P312" s="227">
        <v>0</v>
      </c>
      <c r="Q312" s="227">
        <v>0</v>
      </c>
      <c r="R312" s="227">
        <v>0</v>
      </c>
      <c r="S312" s="227">
        <v>0</v>
      </c>
      <c r="T312" s="228">
        <v>0</v>
      </c>
      <c r="U312" s="229" t="e">
        <v>#DIV/0!</v>
      </c>
      <c r="V312" s="228">
        <v>0</v>
      </c>
      <c r="W312" s="228">
        <v>0</v>
      </c>
      <c r="X312" s="228">
        <v>0</v>
      </c>
      <c r="Y312" s="228">
        <v>0</v>
      </c>
      <c r="Z312" s="228">
        <v>0</v>
      </c>
      <c r="AA312" s="228">
        <v>0</v>
      </c>
    </row>
  </sheetData>
  <sheetProtection formatCells="0" formatColumns="0" formatRows="0" autoFilter="0"/>
  <mergeCells count="28">
    <mergeCell ref="X10:X11"/>
    <mergeCell ref="Y10:Y11"/>
    <mergeCell ref="Z10:Z11"/>
    <mergeCell ref="AA10:AA11"/>
    <mergeCell ref="P10:P11"/>
    <mergeCell ref="Q10:Q11"/>
    <mergeCell ref="R10:R11"/>
    <mergeCell ref="S10:S11"/>
    <mergeCell ref="V10:V11"/>
    <mergeCell ref="W10:W11"/>
    <mergeCell ref="O10:O11"/>
    <mergeCell ref="A10:A12"/>
    <mergeCell ref="B10:B12"/>
    <mergeCell ref="C10:C11"/>
    <mergeCell ref="D10:D11"/>
    <mergeCell ref="H10:H11"/>
    <mergeCell ref="I10:I11"/>
    <mergeCell ref="J10:J11"/>
    <mergeCell ref="K10:K11"/>
    <mergeCell ref="L10:L11"/>
    <mergeCell ref="M10:M11"/>
    <mergeCell ref="N10:N11"/>
    <mergeCell ref="B9:AA9"/>
    <mergeCell ref="A2:W2"/>
    <mergeCell ref="A3:W3"/>
    <mergeCell ref="A4:W4"/>
    <mergeCell ref="B6:E6"/>
    <mergeCell ref="B7:F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C7D0-929B-42CE-B4AD-ABEFE8549A52}">
  <sheetPr>
    <tabColor theme="1"/>
  </sheetPr>
  <dimension ref="A1:AA484"/>
  <sheetViews>
    <sheetView zoomScale="90" zoomScaleNormal="90" workbookViewId="0">
      <pane ySplit="9" topLeftCell="A463" activePane="bottomLeft" state="frozen"/>
      <selection activeCell="L1" sqref="L1"/>
      <selection pane="bottomLeft" activeCell="J498" sqref="J498"/>
    </sheetView>
  </sheetViews>
  <sheetFormatPr defaultColWidth="8.7109375" defaultRowHeight="12" x14ac:dyDescent="0.2"/>
  <cols>
    <col min="1" max="1" width="51.85546875" style="654" customWidth="1"/>
    <col min="2" max="2" width="16.140625" style="654" customWidth="1"/>
    <col min="3" max="3" width="16.85546875" style="654" customWidth="1"/>
    <col min="4" max="4" width="18.7109375" style="654" customWidth="1"/>
    <col min="5" max="5" width="15.140625" style="654" customWidth="1"/>
    <col min="6" max="6" width="15.42578125" style="654" customWidth="1"/>
    <col min="7" max="7" width="13" style="654" customWidth="1"/>
    <col min="8" max="8" width="13.140625" style="654" customWidth="1"/>
    <col min="9" max="10" width="12.85546875" style="654" customWidth="1"/>
    <col min="11" max="11" width="12.5703125" style="654" customWidth="1"/>
    <col min="12" max="12" width="12.85546875" style="654" customWidth="1"/>
    <col min="13" max="13" width="12.7109375" style="654" customWidth="1"/>
    <col min="14" max="14" width="11.7109375" style="654" customWidth="1"/>
    <col min="15" max="15" width="12.5703125" style="654" customWidth="1"/>
    <col min="16" max="16" width="12.28515625" style="654" customWidth="1"/>
    <col min="17" max="17" width="11.42578125" style="654" customWidth="1"/>
    <col min="18" max="18" width="12.140625" style="654" customWidth="1"/>
    <col min="19" max="19" width="13" style="654" customWidth="1"/>
    <col min="20" max="20" width="17.7109375" style="654" bestFit="1" customWidth="1"/>
    <col min="21" max="21" width="13.42578125" style="654" bestFit="1" customWidth="1"/>
    <col min="22" max="22" width="18.42578125" style="654" customWidth="1"/>
    <col min="23" max="23" width="15.85546875" style="654" customWidth="1"/>
    <col min="24" max="24" width="14.85546875" style="654" customWidth="1"/>
    <col min="25" max="25" width="13" style="654" customWidth="1"/>
    <col min="26" max="26" width="13.85546875" style="654" customWidth="1"/>
    <col min="27" max="16384" width="8.7109375" style="654"/>
  </cols>
  <sheetData>
    <row r="1" spans="1:26" s="638" customFormat="1" ht="15" x14ac:dyDescent="0.2">
      <c r="A1" s="14"/>
      <c r="B1" s="14"/>
      <c r="C1" s="6"/>
      <c r="D1" s="637"/>
      <c r="E1" s="637"/>
      <c r="F1" s="637"/>
      <c r="G1" s="637"/>
    </row>
    <row r="2" spans="1:26" s="638" customFormat="1" ht="15" x14ac:dyDescent="0.2">
      <c r="A2" s="546" t="s">
        <v>0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</row>
    <row r="3" spans="1:26" s="638" customFormat="1" ht="15" x14ac:dyDescent="0.2">
      <c r="A3" s="546" t="s">
        <v>248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</row>
    <row r="4" spans="1:26" s="638" customFormat="1" ht="15" x14ac:dyDescent="0.2">
      <c r="A4" s="547">
        <v>2026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</row>
    <row r="5" spans="1:26" s="588" customFormat="1" x14ac:dyDescent="0.2">
      <c r="A5" s="4"/>
      <c r="B5" s="6"/>
      <c r="C5" s="709"/>
      <c r="D5" s="639"/>
      <c r="E5" s="639"/>
      <c r="G5" s="640"/>
      <c r="I5" s="639"/>
      <c r="J5" s="639"/>
      <c r="S5" s="709"/>
      <c r="T5" s="709"/>
      <c r="U5" s="709"/>
      <c r="V5" s="709"/>
      <c r="W5" s="7"/>
      <c r="X5" s="7"/>
      <c r="Y5" s="7"/>
      <c r="Z5" s="7" t="s">
        <v>1</v>
      </c>
    </row>
    <row r="6" spans="1:26" s="588" customFormat="1" x14ac:dyDescent="0.2">
      <c r="A6" s="548" t="s">
        <v>25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</row>
    <row r="7" spans="1:26" s="588" customFormat="1" x14ac:dyDescent="0.2">
      <c r="A7" s="549" t="s">
        <v>249</v>
      </c>
      <c r="B7" s="549" t="s">
        <v>2</v>
      </c>
      <c r="C7" s="549" t="s">
        <v>3</v>
      </c>
      <c r="D7" s="641" t="s">
        <v>4</v>
      </c>
      <c r="E7" s="642"/>
      <c r="F7" s="642"/>
      <c r="G7" s="643" t="s">
        <v>5</v>
      </c>
      <c r="H7" s="643" t="s">
        <v>6</v>
      </c>
      <c r="I7" s="643" t="s">
        <v>7</v>
      </c>
      <c r="J7" s="643" t="s">
        <v>8</v>
      </c>
      <c r="K7" s="643" t="s">
        <v>9</v>
      </c>
      <c r="L7" s="643" t="s">
        <v>10</v>
      </c>
      <c r="M7" s="643" t="s">
        <v>11</v>
      </c>
      <c r="N7" s="643" t="s">
        <v>12</v>
      </c>
      <c r="O7" s="643" t="s">
        <v>13</v>
      </c>
      <c r="P7" s="643" t="s">
        <v>14</v>
      </c>
      <c r="Q7" s="643" t="s">
        <v>15</v>
      </c>
      <c r="R7" s="643" t="s">
        <v>16</v>
      </c>
      <c r="S7" s="641" t="s">
        <v>17</v>
      </c>
      <c r="T7" s="641" t="s">
        <v>18</v>
      </c>
      <c r="U7" s="643" t="s">
        <v>19</v>
      </c>
      <c r="V7" s="643" t="s">
        <v>48</v>
      </c>
      <c r="W7" s="642"/>
      <c r="X7" s="642"/>
      <c r="Y7" s="642"/>
      <c r="Z7" s="642"/>
    </row>
    <row r="8" spans="1:26" s="588" customFormat="1" ht="24" x14ac:dyDescent="0.2">
      <c r="A8" s="549"/>
      <c r="B8" s="549"/>
      <c r="C8" s="549"/>
      <c r="D8" s="644" t="s">
        <v>1426</v>
      </c>
      <c r="E8" s="645"/>
      <c r="F8" s="645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4" t="s">
        <v>1426</v>
      </c>
      <c r="T8" s="644" t="s">
        <v>1426</v>
      </c>
      <c r="U8" s="643"/>
      <c r="V8" s="643"/>
      <c r="W8" s="645"/>
      <c r="X8" s="645"/>
      <c r="Y8" s="645"/>
      <c r="Z8" s="645"/>
    </row>
    <row r="9" spans="1:26" s="588" customFormat="1" x14ac:dyDescent="0.2">
      <c r="A9" s="549"/>
      <c r="B9" s="646" t="s">
        <v>20</v>
      </c>
      <c r="C9" s="646" t="s">
        <v>21</v>
      </c>
      <c r="D9" s="646" t="s">
        <v>22</v>
      </c>
      <c r="E9" s="647"/>
      <c r="F9" s="647"/>
      <c r="G9" s="646" t="s">
        <v>23</v>
      </c>
      <c r="H9" s="646" t="s">
        <v>23</v>
      </c>
      <c r="I9" s="646" t="s">
        <v>23</v>
      </c>
      <c r="J9" s="646" t="s">
        <v>23</v>
      </c>
      <c r="K9" s="646" t="s">
        <v>23</v>
      </c>
      <c r="L9" s="646" t="s">
        <v>23</v>
      </c>
      <c r="M9" s="646" t="s">
        <v>23</v>
      </c>
      <c r="N9" s="646" t="s">
        <v>23</v>
      </c>
      <c r="O9" s="646" t="s">
        <v>23</v>
      </c>
      <c r="P9" s="646" t="s">
        <v>23</v>
      </c>
      <c r="Q9" s="646" t="s">
        <v>23</v>
      </c>
      <c r="R9" s="646" t="s">
        <v>23</v>
      </c>
      <c r="S9" s="646" t="s">
        <v>49</v>
      </c>
      <c r="T9" s="646" t="s">
        <v>50</v>
      </c>
      <c r="U9" s="646" t="s">
        <v>51</v>
      </c>
      <c r="V9" s="646" t="s">
        <v>52</v>
      </c>
      <c r="W9" s="647"/>
      <c r="X9" s="647"/>
      <c r="Y9" s="647"/>
      <c r="Z9" s="647"/>
    </row>
    <row r="10" spans="1:26" x14ac:dyDescent="0.2">
      <c r="A10" s="648" t="s">
        <v>250</v>
      </c>
      <c r="B10" s="649">
        <v>46250305</v>
      </c>
      <c r="C10" s="649">
        <v>46250305</v>
      </c>
      <c r="D10" s="649">
        <v>20280986.739999998</v>
      </c>
      <c r="E10" s="650"/>
      <c r="F10" s="650"/>
      <c r="G10" s="649">
        <v>9996406.4420000017</v>
      </c>
      <c r="H10" s="649">
        <v>2352300.9699999988</v>
      </c>
      <c r="I10" s="649">
        <v>2791147.1380000003</v>
      </c>
      <c r="J10" s="649">
        <v>2330184.6249999995</v>
      </c>
      <c r="K10" s="649">
        <v>5459769.256000001</v>
      </c>
      <c r="L10" s="649">
        <v>5227143.193</v>
      </c>
      <c r="M10" s="649">
        <v>3084062.4339999999</v>
      </c>
      <c r="N10" s="649">
        <v>5761373.176</v>
      </c>
      <c r="O10" s="649">
        <v>6384373.1560000004</v>
      </c>
      <c r="P10" s="649">
        <v>0</v>
      </c>
      <c r="Q10" s="649">
        <v>0</v>
      </c>
      <c r="R10" s="649">
        <v>0</v>
      </c>
      <c r="S10" s="649">
        <v>43386760.390000008</v>
      </c>
      <c r="T10" s="651">
        <v>0.93808593024413589</v>
      </c>
      <c r="U10" s="652">
        <v>2863544.609999992</v>
      </c>
      <c r="V10" s="652">
        <v>-23105773.65000001</v>
      </c>
      <c r="W10" s="653"/>
      <c r="X10" s="653"/>
      <c r="Y10" s="653"/>
      <c r="Z10" s="653"/>
    </row>
    <row r="11" spans="1:26" x14ac:dyDescent="0.2">
      <c r="A11" s="597" t="s">
        <v>251</v>
      </c>
      <c r="B11" s="655">
        <v>0</v>
      </c>
      <c r="C11" s="655">
        <v>0</v>
      </c>
      <c r="D11" s="655">
        <v>0</v>
      </c>
      <c r="E11" s="650"/>
      <c r="F11" s="650"/>
      <c r="G11" s="655">
        <v>0</v>
      </c>
      <c r="H11" s="655">
        <v>0</v>
      </c>
      <c r="I11" s="655">
        <v>0</v>
      </c>
      <c r="J11" s="655">
        <v>0</v>
      </c>
      <c r="K11" s="655">
        <v>0</v>
      </c>
      <c r="L11" s="655">
        <v>0</v>
      </c>
      <c r="M11" s="655">
        <v>0</v>
      </c>
      <c r="N11" s="655">
        <v>0</v>
      </c>
      <c r="O11" s="655">
        <v>0</v>
      </c>
      <c r="P11" s="655">
        <v>0</v>
      </c>
      <c r="Q11" s="655">
        <v>0</v>
      </c>
      <c r="R11" s="655">
        <v>0</v>
      </c>
      <c r="S11" s="655">
        <v>0</v>
      </c>
      <c r="T11" s="600" t="e">
        <v>#DIV/0!</v>
      </c>
      <c r="U11" s="656">
        <v>0</v>
      </c>
      <c r="V11" s="656">
        <v>0</v>
      </c>
      <c r="W11" s="653"/>
      <c r="X11" s="653"/>
      <c r="Y11" s="653"/>
      <c r="Z11" s="653"/>
    </row>
    <row r="12" spans="1:26" x14ac:dyDescent="0.2">
      <c r="A12" s="602" t="s">
        <v>252</v>
      </c>
      <c r="B12" s="657">
        <v>0</v>
      </c>
      <c r="C12" s="657">
        <v>0</v>
      </c>
      <c r="D12" s="657">
        <v>0</v>
      </c>
      <c r="E12" s="653"/>
      <c r="F12" s="653"/>
      <c r="G12" s="657">
        <v>0</v>
      </c>
      <c r="H12" s="657">
        <v>0</v>
      </c>
      <c r="I12" s="657">
        <v>0</v>
      </c>
      <c r="J12" s="657">
        <v>0</v>
      </c>
      <c r="K12" s="657">
        <v>0</v>
      </c>
      <c r="L12" s="657">
        <v>0</v>
      </c>
      <c r="M12" s="657">
        <v>0</v>
      </c>
      <c r="N12" s="657">
        <v>0</v>
      </c>
      <c r="O12" s="657">
        <v>0</v>
      </c>
      <c r="P12" s="657">
        <v>0</v>
      </c>
      <c r="Q12" s="657">
        <v>0</v>
      </c>
      <c r="R12" s="657">
        <v>0</v>
      </c>
      <c r="S12" s="657">
        <v>0</v>
      </c>
      <c r="T12" s="604" t="e">
        <v>#DIV/0!</v>
      </c>
      <c r="U12" s="658">
        <v>0</v>
      </c>
      <c r="V12" s="658">
        <v>0</v>
      </c>
      <c r="W12" s="653"/>
      <c r="X12" s="653"/>
      <c r="Y12" s="653"/>
      <c r="Z12" s="653"/>
    </row>
    <row r="13" spans="1:26" x14ac:dyDescent="0.2">
      <c r="A13" s="602" t="s">
        <v>253</v>
      </c>
      <c r="B13" s="657">
        <v>0</v>
      </c>
      <c r="C13" s="657">
        <v>0</v>
      </c>
      <c r="D13" s="657">
        <v>0</v>
      </c>
      <c r="E13" s="653"/>
      <c r="F13" s="653"/>
      <c r="G13" s="657">
        <v>0</v>
      </c>
      <c r="H13" s="657">
        <v>0</v>
      </c>
      <c r="I13" s="657">
        <v>0</v>
      </c>
      <c r="J13" s="657">
        <v>0</v>
      </c>
      <c r="K13" s="657">
        <v>0</v>
      </c>
      <c r="L13" s="657">
        <v>0</v>
      </c>
      <c r="M13" s="657">
        <v>0</v>
      </c>
      <c r="N13" s="657">
        <v>0</v>
      </c>
      <c r="O13" s="657">
        <v>0</v>
      </c>
      <c r="P13" s="657">
        <v>0</v>
      </c>
      <c r="Q13" s="657">
        <v>0</v>
      </c>
      <c r="R13" s="657">
        <v>0</v>
      </c>
      <c r="S13" s="657">
        <v>0</v>
      </c>
      <c r="T13" s="604" t="e">
        <v>#DIV/0!</v>
      </c>
      <c r="U13" s="658">
        <v>0</v>
      </c>
      <c r="V13" s="658">
        <v>0</v>
      </c>
      <c r="W13" s="653"/>
      <c r="X13" s="653"/>
      <c r="Y13" s="653"/>
      <c r="Z13" s="653"/>
    </row>
    <row r="14" spans="1:26" x14ac:dyDescent="0.2">
      <c r="A14" s="602" t="s">
        <v>254</v>
      </c>
      <c r="B14" s="657">
        <v>0</v>
      </c>
      <c r="C14" s="657">
        <v>0</v>
      </c>
      <c r="D14" s="657">
        <v>0</v>
      </c>
      <c r="E14" s="653"/>
      <c r="F14" s="653"/>
      <c r="G14" s="657">
        <v>0</v>
      </c>
      <c r="H14" s="657">
        <v>0</v>
      </c>
      <c r="I14" s="657">
        <v>0</v>
      </c>
      <c r="J14" s="657">
        <v>0</v>
      </c>
      <c r="K14" s="657">
        <v>0</v>
      </c>
      <c r="L14" s="657">
        <v>0</v>
      </c>
      <c r="M14" s="657">
        <v>0</v>
      </c>
      <c r="N14" s="657">
        <v>0</v>
      </c>
      <c r="O14" s="657">
        <v>0</v>
      </c>
      <c r="P14" s="657">
        <v>0</v>
      </c>
      <c r="Q14" s="657">
        <v>0</v>
      </c>
      <c r="R14" s="657">
        <v>0</v>
      </c>
      <c r="S14" s="657">
        <v>0</v>
      </c>
      <c r="T14" s="604" t="e">
        <v>#DIV/0!</v>
      </c>
      <c r="U14" s="658">
        <v>0</v>
      </c>
      <c r="V14" s="658">
        <v>0</v>
      </c>
      <c r="W14" s="653"/>
      <c r="X14" s="653"/>
      <c r="Y14" s="653"/>
      <c r="Z14" s="653"/>
    </row>
    <row r="15" spans="1:26" x14ac:dyDescent="0.2">
      <c r="A15" s="602" t="s">
        <v>255</v>
      </c>
      <c r="B15" s="657">
        <v>0</v>
      </c>
      <c r="C15" s="657">
        <v>0</v>
      </c>
      <c r="D15" s="657">
        <v>0</v>
      </c>
      <c r="E15" s="653"/>
      <c r="F15" s="653"/>
      <c r="G15" s="657">
        <v>0</v>
      </c>
      <c r="H15" s="657">
        <v>0</v>
      </c>
      <c r="I15" s="657">
        <v>0</v>
      </c>
      <c r="J15" s="657">
        <v>0</v>
      </c>
      <c r="K15" s="657">
        <v>0</v>
      </c>
      <c r="L15" s="657">
        <v>0</v>
      </c>
      <c r="M15" s="657">
        <v>0</v>
      </c>
      <c r="N15" s="657">
        <v>0</v>
      </c>
      <c r="O15" s="657">
        <v>0</v>
      </c>
      <c r="P15" s="657">
        <v>0</v>
      </c>
      <c r="Q15" s="657">
        <v>0</v>
      </c>
      <c r="R15" s="657">
        <v>0</v>
      </c>
      <c r="S15" s="657">
        <v>0</v>
      </c>
      <c r="T15" s="604" t="e">
        <v>#DIV/0!</v>
      </c>
      <c r="U15" s="658">
        <v>0</v>
      </c>
      <c r="V15" s="658">
        <v>0</v>
      </c>
      <c r="W15" s="653"/>
      <c r="X15" s="653"/>
      <c r="Y15" s="653"/>
      <c r="Z15" s="653"/>
    </row>
    <row r="16" spans="1:26" x14ac:dyDescent="0.2">
      <c r="A16" s="602" t="s">
        <v>256</v>
      </c>
      <c r="B16" s="657">
        <v>0</v>
      </c>
      <c r="C16" s="657">
        <v>0</v>
      </c>
      <c r="D16" s="657">
        <v>0</v>
      </c>
      <c r="E16" s="653"/>
      <c r="F16" s="653"/>
      <c r="G16" s="657">
        <v>0</v>
      </c>
      <c r="H16" s="657">
        <v>0</v>
      </c>
      <c r="I16" s="657">
        <v>0</v>
      </c>
      <c r="J16" s="657">
        <v>0</v>
      </c>
      <c r="K16" s="657">
        <v>0</v>
      </c>
      <c r="L16" s="657">
        <v>0</v>
      </c>
      <c r="M16" s="657">
        <v>0</v>
      </c>
      <c r="N16" s="657">
        <v>0</v>
      </c>
      <c r="O16" s="657">
        <v>0</v>
      </c>
      <c r="P16" s="657">
        <v>0</v>
      </c>
      <c r="Q16" s="657">
        <v>0</v>
      </c>
      <c r="R16" s="657">
        <v>0</v>
      </c>
      <c r="S16" s="657">
        <v>0</v>
      </c>
      <c r="T16" s="604" t="e">
        <v>#DIV/0!</v>
      </c>
      <c r="U16" s="658">
        <v>0</v>
      </c>
      <c r="V16" s="658">
        <v>0</v>
      </c>
      <c r="W16" s="653"/>
      <c r="X16" s="653"/>
      <c r="Y16" s="653"/>
      <c r="Z16" s="653"/>
    </row>
    <row r="17" spans="1:26" x14ac:dyDescent="0.2">
      <c r="A17" s="602" t="s">
        <v>257</v>
      </c>
      <c r="B17" s="657">
        <v>0</v>
      </c>
      <c r="C17" s="657">
        <v>0</v>
      </c>
      <c r="D17" s="657">
        <v>0</v>
      </c>
      <c r="E17" s="653"/>
      <c r="F17" s="653"/>
      <c r="G17" s="657">
        <v>0</v>
      </c>
      <c r="H17" s="657">
        <v>0</v>
      </c>
      <c r="I17" s="657">
        <v>0</v>
      </c>
      <c r="J17" s="657">
        <v>0</v>
      </c>
      <c r="K17" s="657">
        <v>0</v>
      </c>
      <c r="L17" s="657">
        <v>0</v>
      </c>
      <c r="M17" s="657">
        <v>0</v>
      </c>
      <c r="N17" s="657">
        <v>0</v>
      </c>
      <c r="O17" s="657">
        <v>0</v>
      </c>
      <c r="P17" s="657">
        <v>0</v>
      </c>
      <c r="Q17" s="657">
        <v>0</v>
      </c>
      <c r="R17" s="657">
        <v>0</v>
      </c>
      <c r="S17" s="657">
        <v>0</v>
      </c>
      <c r="T17" s="604" t="e">
        <v>#DIV/0!</v>
      </c>
      <c r="U17" s="658">
        <v>0</v>
      </c>
      <c r="V17" s="658">
        <v>0</v>
      </c>
      <c r="W17" s="653"/>
      <c r="X17" s="653"/>
      <c r="Y17" s="653"/>
      <c r="Z17" s="653"/>
    </row>
    <row r="18" spans="1:26" x14ac:dyDescent="0.2">
      <c r="A18" s="602" t="s">
        <v>258</v>
      </c>
      <c r="B18" s="657">
        <v>0</v>
      </c>
      <c r="C18" s="657">
        <v>0</v>
      </c>
      <c r="D18" s="657">
        <v>0</v>
      </c>
      <c r="E18" s="653"/>
      <c r="F18" s="653"/>
      <c r="G18" s="657">
        <v>0</v>
      </c>
      <c r="H18" s="657">
        <v>0</v>
      </c>
      <c r="I18" s="657">
        <v>0</v>
      </c>
      <c r="J18" s="657">
        <v>0</v>
      </c>
      <c r="K18" s="657">
        <v>0</v>
      </c>
      <c r="L18" s="657">
        <v>0</v>
      </c>
      <c r="M18" s="657">
        <v>0</v>
      </c>
      <c r="N18" s="657">
        <v>0</v>
      </c>
      <c r="O18" s="657">
        <v>0</v>
      </c>
      <c r="P18" s="657">
        <v>0</v>
      </c>
      <c r="Q18" s="657">
        <v>0</v>
      </c>
      <c r="R18" s="657">
        <v>0</v>
      </c>
      <c r="S18" s="657">
        <v>0</v>
      </c>
      <c r="T18" s="604" t="e">
        <v>#DIV/0!</v>
      </c>
      <c r="U18" s="658">
        <v>0</v>
      </c>
      <c r="V18" s="658">
        <v>0</v>
      </c>
      <c r="W18" s="653"/>
      <c r="X18" s="653"/>
      <c r="Y18" s="653"/>
      <c r="Z18" s="653"/>
    </row>
    <row r="19" spans="1:26" x14ac:dyDescent="0.2">
      <c r="A19" s="602" t="s">
        <v>259</v>
      </c>
      <c r="B19" s="657">
        <v>0</v>
      </c>
      <c r="C19" s="657">
        <v>0</v>
      </c>
      <c r="D19" s="657">
        <v>0</v>
      </c>
      <c r="E19" s="653"/>
      <c r="F19" s="653"/>
      <c r="G19" s="657">
        <v>0</v>
      </c>
      <c r="H19" s="657">
        <v>0</v>
      </c>
      <c r="I19" s="657">
        <v>0</v>
      </c>
      <c r="J19" s="657">
        <v>0</v>
      </c>
      <c r="K19" s="657">
        <v>0</v>
      </c>
      <c r="L19" s="657">
        <v>0</v>
      </c>
      <c r="M19" s="657">
        <v>0</v>
      </c>
      <c r="N19" s="657">
        <v>0</v>
      </c>
      <c r="O19" s="657">
        <v>0</v>
      </c>
      <c r="P19" s="657">
        <v>0</v>
      </c>
      <c r="Q19" s="657">
        <v>0</v>
      </c>
      <c r="R19" s="657">
        <v>0</v>
      </c>
      <c r="S19" s="657">
        <v>0</v>
      </c>
      <c r="T19" s="604" t="e">
        <v>#DIV/0!</v>
      </c>
      <c r="U19" s="658">
        <v>0</v>
      </c>
      <c r="V19" s="658">
        <v>0</v>
      </c>
      <c r="W19" s="653"/>
      <c r="X19" s="653"/>
      <c r="Y19" s="653"/>
      <c r="Z19" s="653"/>
    </row>
    <row r="20" spans="1:26" x14ac:dyDescent="0.2">
      <c r="A20" s="602" t="s">
        <v>260</v>
      </c>
      <c r="B20" s="657">
        <v>0</v>
      </c>
      <c r="C20" s="657">
        <v>0</v>
      </c>
      <c r="D20" s="657">
        <v>0</v>
      </c>
      <c r="E20" s="653"/>
      <c r="F20" s="653"/>
      <c r="G20" s="657">
        <v>0</v>
      </c>
      <c r="H20" s="657">
        <v>0</v>
      </c>
      <c r="I20" s="657">
        <v>0</v>
      </c>
      <c r="J20" s="657">
        <v>0</v>
      </c>
      <c r="K20" s="657">
        <v>0</v>
      </c>
      <c r="L20" s="657">
        <v>0</v>
      </c>
      <c r="M20" s="657">
        <v>0</v>
      </c>
      <c r="N20" s="657">
        <v>0</v>
      </c>
      <c r="O20" s="657">
        <v>0</v>
      </c>
      <c r="P20" s="657">
        <v>0</v>
      </c>
      <c r="Q20" s="657">
        <v>0</v>
      </c>
      <c r="R20" s="657">
        <v>0</v>
      </c>
      <c r="S20" s="657">
        <v>0</v>
      </c>
      <c r="T20" s="604" t="e">
        <v>#DIV/0!</v>
      </c>
      <c r="U20" s="658">
        <v>0</v>
      </c>
      <c r="V20" s="658">
        <v>0</v>
      </c>
      <c r="W20" s="653"/>
      <c r="X20" s="653"/>
      <c r="Y20" s="653"/>
      <c r="Z20" s="653"/>
    </row>
    <row r="21" spans="1:26" x14ac:dyDescent="0.2">
      <c r="A21" s="602" t="s">
        <v>261</v>
      </c>
      <c r="B21" s="657">
        <v>0</v>
      </c>
      <c r="C21" s="657">
        <v>0</v>
      </c>
      <c r="D21" s="657">
        <v>0</v>
      </c>
      <c r="E21" s="653"/>
      <c r="F21" s="653"/>
      <c r="G21" s="657">
        <v>0</v>
      </c>
      <c r="H21" s="657">
        <v>0</v>
      </c>
      <c r="I21" s="657">
        <v>0</v>
      </c>
      <c r="J21" s="657">
        <v>0</v>
      </c>
      <c r="K21" s="657">
        <v>0</v>
      </c>
      <c r="L21" s="657">
        <v>0</v>
      </c>
      <c r="M21" s="657">
        <v>0</v>
      </c>
      <c r="N21" s="657">
        <v>0</v>
      </c>
      <c r="O21" s="657">
        <v>0</v>
      </c>
      <c r="P21" s="657">
        <v>0</v>
      </c>
      <c r="Q21" s="657">
        <v>0</v>
      </c>
      <c r="R21" s="657">
        <v>0</v>
      </c>
      <c r="S21" s="657">
        <v>0</v>
      </c>
      <c r="T21" s="604" t="e">
        <v>#DIV/0!</v>
      </c>
      <c r="U21" s="658">
        <v>0</v>
      </c>
      <c r="V21" s="658">
        <v>0</v>
      </c>
      <c r="W21" s="653"/>
      <c r="X21" s="653"/>
      <c r="Y21" s="653"/>
      <c r="Z21" s="653"/>
    </row>
    <row r="22" spans="1:26" x14ac:dyDescent="0.2">
      <c r="A22" s="602" t="s">
        <v>262</v>
      </c>
      <c r="B22" s="657">
        <v>0</v>
      </c>
      <c r="C22" s="657">
        <v>0</v>
      </c>
      <c r="D22" s="657">
        <v>0</v>
      </c>
      <c r="E22" s="653"/>
      <c r="F22" s="653"/>
      <c r="G22" s="657">
        <v>0</v>
      </c>
      <c r="H22" s="657">
        <v>0</v>
      </c>
      <c r="I22" s="657">
        <v>0</v>
      </c>
      <c r="J22" s="657">
        <v>0</v>
      </c>
      <c r="K22" s="657">
        <v>0</v>
      </c>
      <c r="L22" s="657">
        <v>0</v>
      </c>
      <c r="M22" s="657">
        <v>0</v>
      </c>
      <c r="N22" s="657">
        <v>0</v>
      </c>
      <c r="O22" s="657">
        <v>0</v>
      </c>
      <c r="P22" s="657">
        <v>0</v>
      </c>
      <c r="Q22" s="657">
        <v>0</v>
      </c>
      <c r="R22" s="657">
        <v>0</v>
      </c>
      <c r="S22" s="657">
        <v>0</v>
      </c>
      <c r="T22" s="604" t="e">
        <v>#DIV/0!</v>
      </c>
      <c r="U22" s="658">
        <v>0</v>
      </c>
      <c r="V22" s="658">
        <v>0</v>
      </c>
      <c r="W22" s="653"/>
      <c r="X22" s="653"/>
      <c r="Y22" s="653"/>
      <c r="Z22" s="653"/>
    </row>
    <row r="23" spans="1:26" s="661" customFormat="1" x14ac:dyDescent="0.2">
      <c r="A23" s="597" t="s">
        <v>263</v>
      </c>
      <c r="B23" s="659">
        <v>0</v>
      </c>
      <c r="C23" s="659">
        <v>0</v>
      </c>
      <c r="D23" s="659">
        <v>0</v>
      </c>
      <c r="E23" s="660"/>
      <c r="F23" s="660"/>
      <c r="G23" s="659">
        <v>0</v>
      </c>
      <c r="H23" s="659">
        <v>0</v>
      </c>
      <c r="I23" s="659">
        <v>0</v>
      </c>
      <c r="J23" s="659">
        <v>0</v>
      </c>
      <c r="K23" s="659">
        <v>0</v>
      </c>
      <c r="L23" s="659">
        <v>0</v>
      </c>
      <c r="M23" s="659">
        <v>0</v>
      </c>
      <c r="N23" s="659">
        <v>0</v>
      </c>
      <c r="O23" s="659">
        <v>0</v>
      </c>
      <c r="P23" s="659">
        <v>0</v>
      </c>
      <c r="Q23" s="659">
        <v>0</v>
      </c>
      <c r="R23" s="659">
        <v>0</v>
      </c>
      <c r="S23" s="659">
        <v>0</v>
      </c>
      <c r="T23" s="600" t="e">
        <v>#DIV/0!</v>
      </c>
      <c r="U23" s="656">
        <v>0</v>
      </c>
      <c r="V23" s="656">
        <v>0</v>
      </c>
      <c r="W23" s="660"/>
      <c r="X23" s="660"/>
      <c r="Y23" s="660"/>
      <c r="Z23" s="660"/>
    </row>
    <row r="24" spans="1:26" x14ac:dyDescent="0.2">
      <c r="A24" s="597" t="s">
        <v>264</v>
      </c>
      <c r="B24" s="655">
        <v>46250305</v>
      </c>
      <c r="C24" s="655">
        <v>46250305</v>
      </c>
      <c r="D24" s="655">
        <v>20280986.739999998</v>
      </c>
      <c r="E24" s="650"/>
      <c r="F24" s="650"/>
      <c r="G24" s="655">
        <v>9996406.4420000017</v>
      </c>
      <c r="H24" s="655">
        <v>2352300.9699999988</v>
      </c>
      <c r="I24" s="655">
        <v>2791147.1380000003</v>
      </c>
      <c r="J24" s="655">
        <v>2330184.6249999995</v>
      </c>
      <c r="K24" s="655">
        <v>5459769.256000001</v>
      </c>
      <c r="L24" s="655">
        <v>5227143.193</v>
      </c>
      <c r="M24" s="655">
        <v>3084062.4339999999</v>
      </c>
      <c r="N24" s="655">
        <v>5761373.176</v>
      </c>
      <c r="O24" s="655">
        <v>6384373.1560000004</v>
      </c>
      <c r="P24" s="655">
        <v>0</v>
      </c>
      <c r="Q24" s="655">
        <v>0</v>
      </c>
      <c r="R24" s="655">
        <v>0</v>
      </c>
      <c r="S24" s="655">
        <v>43386760.390000008</v>
      </c>
      <c r="T24" s="600">
        <v>0.93808593024413589</v>
      </c>
      <c r="U24" s="656">
        <v>2863544.609999992</v>
      </c>
      <c r="V24" s="656">
        <v>-23105773.65000001</v>
      </c>
      <c r="W24" s="653"/>
      <c r="X24" s="653"/>
      <c r="Y24" s="653"/>
      <c r="Z24" s="653"/>
    </row>
    <row r="25" spans="1:26" ht="24" x14ac:dyDescent="0.2">
      <c r="A25" s="602" t="s">
        <v>265</v>
      </c>
      <c r="B25" s="657">
        <v>20018983</v>
      </c>
      <c r="C25" s="657">
        <v>20018983</v>
      </c>
      <c r="D25" s="657">
        <v>10568282.039999999</v>
      </c>
      <c r="E25" s="653"/>
      <c r="F25" s="653"/>
      <c r="G25" s="657">
        <v>6003303.6659999955</v>
      </c>
      <c r="H25" s="657">
        <v>405564.31999999983</v>
      </c>
      <c r="I25" s="657">
        <v>933788.92</v>
      </c>
      <c r="J25" s="657">
        <v>0</v>
      </c>
      <c r="K25" s="657">
        <v>3225625.1300000004</v>
      </c>
      <c r="L25" s="657">
        <v>3865098.58</v>
      </c>
      <c r="M25" s="657">
        <v>971008.89600000018</v>
      </c>
      <c r="N25" s="657">
        <v>2821472.142</v>
      </c>
      <c r="O25" s="657">
        <v>4389453.9060000004</v>
      </c>
      <c r="P25" s="657">
        <v>0</v>
      </c>
      <c r="Q25" s="657">
        <v>0</v>
      </c>
      <c r="R25" s="657">
        <v>0</v>
      </c>
      <c r="S25" s="657">
        <v>22615315.559999995</v>
      </c>
      <c r="T25" s="604">
        <v>1.1296935293865824</v>
      </c>
      <c r="U25" s="658">
        <v>-2596332.5599999949</v>
      </c>
      <c r="V25" s="658">
        <v>-12047033.519999996</v>
      </c>
      <c r="W25" s="653"/>
      <c r="X25" s="653"/>
      <c r="Y25" s="653"/>
      <c r="Z25" s="653"/>
    </row>
    <row r="26" spans="1:26" ht="24" x14ac:dyDescent="0.2">
      <c r="A26" s="602" t="s">
        <v>266</v>
      </c>
      <c r="B26" s="657">
        <v>7431800</v>
      </c>
      <c r="C26" s="657">
        <v>7431800</v>
      </c>
      <c r="D26" s="657">
        <v>2382975.9</v>
      </c>
      <c r="E26" s="653"/>
      <c r="F26" s="653"/>
      <c r="G26" s="657">
        <v>719298.94800000032</v>
      </c>
      <c r="H26" s="657">
        <v>998231.76599999913</v>
      </c>
      <c r="I26" s="657">
        <v>734731.42399999988</v>
      </c>
      <c r="J26" s="657">
        <v>868097.40100000007</v>
      </c>
      <c r="K26" s="657">
        <v>693489.39200000023</v>
      </c>
      <c r="L26" s="657">
        <v>654741.49980000034</v>
      </c>
      <c r="M26" s="657">
        <v>668914.09799999977</v>
      </c>
      <c r="N26" s="657">
        <v>879018.44599999953</v>
      </c>
      <c r="O26" s="657">
        <v>665906.15599999996</v>
      </c>
      <c r="P26" s="657">
        <v>0</v>
      </c>
      <c r="Q26" s="657">
        <v>0</v>
      </c>
      <c r="R26" s="657">
        <v>0</v>
      </c>
      <c r="S26" s="657">
        <v>6882429.1307999995</v>
      </c>
      <c r="T26" s="604">
        <v>0.92607835662961857</v>
      </c>
      <c r="U26" s="658">
        <v>549370.86920000054</v>
      </c>
      <c r="V26" s="658">
        <v>-4499453.2307999991</v>
      </c>
      <c r="W26" s="653"/>
      <c r="X26" s="653"/>
      <c r="Y26" s="653"/>
      <c r="Z26" s="653"/>
    </row>
    <row r="27" spans="1:26" x14ac:dyDescent="0.2">
      <c r="A27" s="602" t="s">
        <v>267</v>
      </c>
      <c r="B27" s="657">
        <v>13912824</v>
      </c>
      <c r="C27" s="657">
        <v>13912824</v>
      </c>
      <c r="D27" s="657">
        <v>5642663.6699999999</v>
      </c>
      <c r="E27" s="653"/>
      <c r="F27" s="653"/>
      <c r="G27" s="657">
        <v>2794140.3340000049</v>
      </c>
      <c r="H27" s="657">
        <v>270321.20000000007</v>
      </c>
      <c r="I27" s="657">
        <v>623737.80000000005</v>
      </c>
      <c r="J27" s="657">
        <v>885721.2019999997</v>
      </c>
      <c r="K27" s="657">
        <v>1068743.1299999997</v>
      </c>
      <c r="L27" s="657">
        <v>266961.63</v>
      </c>
      <c r="M27" s="657">
        <v>997965.18799999985</v>
      </c>
      <c r="N27" s="657">
        <v>1471908.4880000001</v>
      </c>
      <c r="O27" s="657">
        <v>885076.10000000009</v>
      </c>
      <c r="P27" s="657">
        <v>0</v>
      </c>
      <c r="Q27" s="657">
        <v>0</v>
      </c>
      <c r="R27" s="657">
        <v>0</v>
      </c>
      <c r="S27" s="657">
        <v>9264575.0720000044</v>
      </c>
      <c r="T27" s="604">
        <v>0.66590183790149315</v>
      </c>
      <c r="U27" s="658">
        <v>4648248.9279999956</v>
      </c>
      <c r="V27" s="658">
        <v>-3621911.4020000044</v>
      </c>
      <c r="W27" s="653"/>
      <c r="X27" s="653"/>
      <c r="Y27" s="653"/>
      <c r="Z27" s="653"/>
    </row>
    <row r="28" spans="1:26" x14ac:dyDescent="0.2">
      <c r="A28" s="602" t="s">
        <v>268</v>
      </c>
      <c r="B28" s="657">
        <v>4886698</v>
      </c>
      <c r="C28" s="657">
        <v>4886698</v>
      </c>
      <c r="D28" s="657">
        <v>1687065.13</v>
      </c>
      <c r="E28" s="653"/>
      <c r="F28" s="653"/>
      <c r="G28" s="657">
        <v>479663.49400000001</v>
      </c>
      <c r="H28" s="657">
        <v>678183.68400000012</v>
      </c>
      <c r="I28" s="657">
        <v>498888.99399999995</v>
      </c>
      <c r="J28" s="657">
        <v>576366.02199999988</v>
      </c>
      <c r="K28" s="657">
        <v>471911.60400000022</v>
      </c>
      <c r="L28" s="657">
        <v>440341.48319999996</v>
      </c>
      <c r="M28" s="657">
        <v>446174.25199999986</v>
      </c>
      <c r="N28" s="657">
        <v>588974.10000000079</v>
      </c>
      <c r="O28" s="657">
        <v>443936.99400000018</v>
      </c>
      <c r="P28" s="657">
        <v>0</v>
      </c>
      <c r="Q28" s="657">
        <v>0</v>
      </c>
      <c r="R28" s="657">
        <v>0</v>
      </c>
      <c r="S28" s="657">
        <v>4624440.6272000009</v>
      </c>
      <c r="T28" s="604">
        <v>0.94633239606785624</v>
      </c>
      <c r="U28" s="658">
        <v>262257.37279999908</v>
      </c>
      <c r="V28" s="658">
        <v>-2937375.497200001</v>
      </c>
      <c r="W28" s="653"/>
      <c r="X28" s="653"/>
      <c r="Y28" s="653"/>
      <c r="Z28" s="653"/>
    </row>
    <row r="29" spans="1:26" x14ac:dyDescent="0.2">
      <c r="A29" s="648" t="s">
        <v>269</v>
      </c>
      <c r="B29" s="649">
        <v>500</v>
      </c>
      <c r="C29" s="649">
        <v>500</v>
      </c>
      <c r="D29" s="649">
        <v>0</v>
      </c>
      <c r="E29" s="650"/>
      <c r="F29" s="650"/>
      <c r="G29" s="649">
        <v>0</v>
      </c>
      <c r="H29" s="649">
        <v>0</v>
      </c>
      <c r="I29" s="649">
        <v>0</v>
      </c>
      <c r="J29" s="649">
        <v>0</v>
      </c>
      <c r="K29" s="649">
        <v>0</v>
      </c>
      <c r="L29" s="649">
        <v>0</v>
      </c>
      <c r="M29" s="649">
        <v>0</v>
      </c>
      <c r="N29" s="649">
        <v>0</v>
      </c>
      <c r="O29" s="649">
        <v>0</v>
      </c>
      <c r="P29" s="649">
        <v>0</v>
      </c>
      <c r="Q29" s="649">
        <v>0</v>
      </c>
      <c r="R29" s="649">
        <v>0</v>
      </c>
      <c r="S29" s="649">
        <v>0</v>
      </c>
      <c r="T29" s="651">
        <v>0</v>
      </c>
      <c r="U29" s="652">
        <v>500</v>
      </c>
      <c r="V29" s="652">
        <v>0</v>
      </c>
      <c r="W29" s="653"/>
      <c r="X29" s="653"/>
      <c r="Y29" s="653"/>
      <c r="Z29" s="653"/>
    </row>
    <row r="30" spans="1:26" x14ac:dyDescent="0.2">
      <c r="A30" s="597" t="s">
        <v>270</v>
      </c>
      <c r="B30" s="655">
        <v>0</v>
      </c>
      <c r="C30" s="655">
        <v>0</v>
      </c>
      <c r="D30" s="655">
        <v>0</v>
      </c>
      <c r="E30" s="650"/>
      <c r="F30" s="650"/>
      <c r="G30" s="655">
        <v>0</v>
      </c>
      <c r="H30" s="655">
        <v>0</v>
      </c>
      <c r="I30" s="655">
        <v>0</v>
      </c>
      <c r="J30" s="655">
        <v>0</v>
      </c>
      <c r="K30" s="655">
        <v>0</v>
      </c>
      <c r="L30" s="655">
        <v>0</v>
      </c>
      <c r="M30" s="655">
        <v>0</v>
      </c>
      <c r="N30" s="655">
        <v>0</v>
      </c>
      <c r="O30" s="655">
        <v>0</v>
      </c>
      <c r="P30" s="655">
        <v>0</v>
      </c>
      <c r="Q30" s="655">
        <v>0</v>
      </c>
      <c r="R30" s="655">
        <v>0</v>
      </c>
      <c r="S30" s="655">
        <v>0</v>
      </c>
      <c r="T30" s="600" t="e">
        <v>#DIV/0!</v>
      </c>
      <c r="U30" s="656">
        <v>0</v>
      </c>
      <c r="V30" s="656">
        <v>0</v>
      </c>
      <c r="W30" s="653"/>
      <c r="X30" s="653"/>
      <c r="Y30" s="653"/>
      <c r="Z30" s="653"/>
    </row>
    <row r="31" spans="1:26" x14ac:dyDescent="0.2">
      <c r="A31" s="602" t="s">
        <v>271</v>
      </c>
      <c r="B31" s="657">
        <v>0</v>
      </c>
      <c r="C31" s="657">
        <v>0</v>
      </c>
      <c r="D31" s="657">
        <v>0</v>
      </c>
      <c r="E31" s="653"/>
      <c r="F31" s="653"/>
      <c r="G31" s="657">
        <v>0</v>
      </c>
      <c r="H31" s="657">
        <v>0</v>
      </c>
      <c r="I31" s="657">
        <v>0</v>
      </c>
      <c r="J31" s="657">
        <v>0</v>
      </c>
      <c r="K31" s="657">
        <v>0</v>
      </c>
      <c r="L31" s="657">
        <v>0</v>
      </c>
      <c r="M31" s="657">
        <v>0</v>
      </c>
      <c r="N31" s="657">
        <v>0</v>
      </c>
      <c r="O31" s="657">
        <v>0</v>
      </c>
      <c r="P31" s="657">
        <v>0</v>
      </c>
      <c r="Q31" s="657">
        <v>0</v>
      </c>
      <c r="R31" s="657">
        <v>0</v>
      </c>
      <c r="S31" s="657">
        <v>0</v>
      </c>
      <c r="T31" s="604" t="e">
        <v>#DIV/0!</v>
      </c>
      <c r="U31" s="658">
        <v>0</v>
      </c>
      <c r="V31" s="658">
        <v>0</v>
      </c>
      <c r="W31" s="653"/>
      <c r="X31" s="653"/>
      <c r="Y31" s="653"/>
      <c r="Z31" s="653"/>
    </row>
    <row r="32" spans="1:26" x14ac:dyDescent="0.2">
      <c r="A32" s="602" t="s">
        <v>272</v>
      </c>
      <c r="B32" s="657">
        <v>0</v>
      </c>
      <c r="C32" s="657">
        <v>0</v>
      </c>
      <c r="D32" s="657">
        <v>0</v>
      </c>
      <c r="E32" s="653"/>
      <c r="F32" s="653"/>
      <c r="G32" s="657">
        <v>0</v>
      </c>
      <c r="H32" s="657">
        <v>0</v>
      </c>
      <c r="I32" s="657">
        <v>0</v>
      </c>
      <c r="J32" s="657">
        <v>0</v>
      </c>
      <c r="K32" s="657">
        <v>0</v>
      </c>
      <c r="L32" s="657">
        <v>0</v>
      </c>
      <c r="M32" s="657">
        <v>0</v>
      </c>
      <c r="N32" s="657">
        <v>0</v>
      </c>
      <c r="O32" s="657">
        <v>0</v>
      </c>
      <c r="P32" s="657">
        <v>0</v>
      </c>
      <c r="Q32" s="657">
        <v>0</v>
      </c>
      <c r="R32" s="657">
        <v>0</v>
      </c>
      <c r="S32" s="657">
        <v>0</v>
      </c>
      <c r="T32" s="604" t="e">
        <v>#DIV/0!</v>
      </c>
      <c r="U32" s="658">
        <v>0</v>
      </c>
      <c r="V32" s="658">
        <v>0</v>
      </c>
      <c r="W32" s="653"/>
      <c r="X32" s="653"/>
      <c r="Y32" s="653"/>
      <c r="Z32" s="653"/>
    </row>
    <row r="33" spans="1:26" x14ac:dyDescent="0.2">
      <c r="A33" s="602" t="s">
        <v>273</v>
      </c>
      <c r="B33" s="657">
        <v>0</v>
      </c>
      <c r="C33" s="657">
        <v>0</v>
      </c>
      <c r="D33" s="657">
        <v>0</v>
      </c>
      <c r="E33" s="653"/>
      <c r="F33" s="653"/>
      <c r="G33" s="657">
        <v>0</v>
      </c>
      <c r="H33" s="657">
        <v>0</v>
      </c>
      <c r="I33" s="657">
        <v>0</v>
      </c>
      <c r="J33" s="657">
        <v>0</v>
      </c>
      <c r="K33" s="657">
        <v>0</v>
      </c>
      <c r="L33" s="657">
        <v>0</v>
      </c>
      <c r="M33" s="657">
        <v>0</v>
      </c>
      <c r="N33" s="657">
        <v>0</v>
      </c>
      <c r="O33" s="657">
        <v>0</v>
      </c>
      <c r="P33" s="657">
        <v>0</v>
      </c>
      <c r="Q33" s="657">
        <v>0</v>
      </c>
      <c r="R33" s="657">
        <v>0</v>
      </c>
      <c r="S33" s="657">
        <v>0</v>
      </c>
      <c r="T33" s="604" t="e">
        <v>#DIV/0!</v>
      </c>
      <c r="U33" s="658">
        <v>0</v>
      </c>
      <c r="V33" s="658">
        <v>0</v>
      </c>
      <c r="W33" s="653"/>
      <c r="X33" s="653"/>
      <c r="Y33" s="653"/>
      <c r="Z33" s="653"/>
    </row>
    <row r="34" spans="1:26" x14ac:dyDescent="0.2">
      <c r="A34" s="602" t="s">
        <v>274</v>
      </c>
      <c r="B34" s="657">
        <v>0</v>
      </c>
      <c r="C34" s="657">
        <v>0</v>
      </c>
      <c r="D34" s="657">
        <v>0</v>
      </c>
      <c r="E34" s="653"/>
      <c r="F34" s="653"/>
      <c r="G34" s="657">
        <v>0</v>
      </c>
      <c r="H34" s="657">
        <v>0</v>
      </c>
      <c r="I34" s="657">
        <v>0</v>
      </c>
      <c r="J34" s="657">
        <v>0</v>
      </c>
      <c r="K34" s="657">
        <v>0</v>
      </c>
      <c r="L34" s="657">
        <v>0</v>
      </c>
      <c r="M34" s="657">
        <v>0</v>
      </c>
      <c r="N34" s="657">
        <v>0</v>
      </c>
      <c r="O34" s="657">
        <v>0</v>
      </c>
      <c r="P34" s="657">
        <v>0</v>
      </c>
      <c r="Q34" s="657">
        <v>0</v>
      </c>
      <c r="R34" s="657">
        <v>0</v>
      </c>
      <c r="S34" s="657">
        <v>0</v>
      </c>
      <c r="T34" s="604" t="e">
        <v>#DIV/0!</v>
      </c>
      <c r="U34" s="658">
        <v>0</v>
      </c>
      <c r="V34" s="658">
        <v>0</v>
      </c>
      <c r="W34" s="653"/>
      <c r="X34" s="653"/>
      <c r="Y34" s="653"/>
      <c r="Z34" s="653"/>
    </row>
    <row r="35" spans="1:26" x14ac:dyDescent="0.2">
      <c r="A35" s="602" t="s">
        <v>275</v>
      </c>
      <c r="B35" s="657">
        <v>0</v>
      </c>
      <c r="C35" s="657">
        <v>0</v>
      </c>
      <c r="D35" s="657">
        <v>0</v>
      </c>
      <c r="E35" s="653"/>
      <c r="F35" s="653"/>
      <c r="G35" s="657">
        <v>0</v>
      </c>
      <c r="H35" s="657">
        <v>0</v>
      </c>
      <c r="I35" s="657">
        <v>0</v>
      </c>
      <c r="J35" s="657">
        <v>0</v>
      </c>
      <c r="K35" s="657">
        <v>0</v>
      </c>
      <c r="L35" s="657">
        <v>0</v>
      </c>
      <c r="M35" s="657">
        <v>0</v>
      </c>
      <c r="N35" s="657">
        <v>0</v>
      </c>
      <c r="O35" s="657">
        <v>0</v>
      </c>
      <c r="P35" s="657">
        <v>0</v>
      </c>
      <c r="Q35" s="657">
        <v>0</v>
      </c>
      <c r="R35" s="657">
        <v>0</v>
      </c>
      <c r="S35" s="657">
        <v>0</v>
      </c>
      <c r="T35" s="604" t="e">
        <v>#DIV/0!</v>
      </c>
      <c r="U35" s="658">
        <v>0</v>
      </c>
      <c r="V35" s="658">
        <v>0</v>
      </c>
      <c r="W35" s="653"/>
      <c r="X35" s="653"/>
      <c r="Y35" s="653"/>
      <c r="Z35" s="653"/>
    </row>
    <row r="36" spans="1:26" x14ac:dyDescent="0.2">
      <c r="A36" s="602" t="s">
        <v>276</v>
      </c>
      <c r="B36" s="657">
        <v>0</v>
      </c>
      <c r="C36" s="657">
        <v>0</v>
      </c>
      <c r="D36" s="657">
        <v>0</v>
      </c>
      <c r="E36" s="653"/>
      <c r="F36" s="653"/>
      <c r="G36" s="657">
        <v>0</v>
      </c>
      <c r="H36" s="657">
        <v>0</v>
      </c>
      <c r="I36" s="657">
        <v>0</v>
      </c>
      <c r="J36" s="657">
        <v>0</v>
      </c>
      <c r="K36" s="657">
        <v>0</v>
      </c>
      <c r="L36" s="657">
        <v>0</v>
      </c>
      <c r="M36" s="657">
        <v>0</v>
      </c>
      <c r="N36" s="657">
        <v>0</v>
      </c>
      <c r="O36" s="657">
        <v>0</v>
      </c>
      <c r="P36" s="657">
        <v>0</v>
      </c>
      <c r="Q36" s="657">
        <v>0</v>
      </c>
      <c r="R36" s="657">
        <v>0</v>
      </c>
      <c r="S36" s="657">
        <v>0</v>
      </c>
      <c r="T36" s="604" t="e">
        <v>#DIV/0!</v>
      </c>
      <c r="U36" s="658">
        <v>0</v>
      </c>
      <c r="V36" s="658">
        <v>0</v>
      </c>
      <c r="W36" s="653"/>
      <c r="X36" s="653"/>
      <c r="Y36" s="653"/>
      <c r="Z36" s="653"/>
    </row>
    <row r="37" spans="1:26" x14ac:dyDescent="0.2">
      <c r="A37" s="602" t="s">
        <v>277</v>
      </c>
      <c r="B37" s="657">
        <v>0</v>
      </c>
      <c r="C37" s="657">
        <v>0</v>
      </c>
      <c r="D37" s="657">
        <v>0</v>
      </c>
      <c r="E37" s="653"/>
      <c r="F37" s="653"/>
      <c r="G37" s="657">
        <v>0</v>
      </c>
      <c r="H37" s="657">
        <v>0</v>
      </c>
      <c r="I37" s="657">
        <v>0</v>
      </c>
      <c r="J37" s="657">
        <v>0</v>
      </c>
      <c r="K37" s="657">
        <v>0</v>
      </c>
      <c r="L37" s="657">
        <v>0</v>
      </c>
      <c r="M37" s="657">
        <v>0</v>
      </c>
      <c r="N37" s="657">
        <v>0</v>
      </c>
      <c r="O37" s="657">
        <v>0</v>
      </c>
      <c r="P37" s="657">
        <v>0</v>
      </c>
      <c r="Q37" s="657">
        <v>0</v>
      </c>
      <c r="R37" s="657">
        <v>0</v>
      </c>
      <c r="S37" s="657">
        <v>0</v>
      </c>
      <c r="T37" s="604" t="e">
        <v>#DIV/0!</v>
      </c>
      <c r="U37" s="658">
        <v>0</v>
      </c>
      <c r="V37" s="658">
        <v>0</v>
      </c>
      <c r="W37" s="653"/>
      <c r="X37" s="653"/>
      <c r="Y37" s="653"/>
      <c r="Z37" s="653"/>
    </row>
    <row r="38" spans="1:26" x14ac:dyDescent="0.2">
      <c r="A38" s="602" t="s">
        <v>278</v>
      </c>
      <c r="B38" s="657">
        <v>0</v>
      </c>
      <c r="C38" s="657">
        <v>0</v>
      </c>
      <c r="D38" s="657">
        <v>0</v>
      </c>
      <c r="E38" s="653"/>
      <c r="F38" s="653"/>
      <c r="G38" s="657">
        <v>0</v>
      </c>
      <c r="H38" s="657">
        <v>0</v>
      </c>
      <c r="I38" s="657">
        <v>0</v>
      </c>
      <c r="J38" s="657">
        <v>0</v>
      </c>
      <c r="K38" s="657">
        <v>0</v>
      </c>
      <c r="L38" s="657">
        <v>0</v>
      </c>
      <c r="M38" s="657">
        <v>0</v>
      </c>
      <c r="N38" s="657">
        <v>0</v>
      </c>
      <c r="O38" s="657">
        <v>0</v>
      </c>
      <c r="P38" s="657">
        <v>0</v>
      </c>
      <c r="Q38" s="657">
        <v>0</v>
      </c>
      <c r="R38" s="657">
        <v>0</v>
      </c>
      <c r="S38" s="657">
        <v>0</v>
      </c>
      <c r="T38" s="604" t="e">
        <v>#DIV/0!</v>
      </c>
      <c r="U38" s="658">
        <v>0</v>
      </c>
      <c r="V38" s="658">
        <v>0</v>
      </c>
      <c r="W38" s="653"/>
      <c r="X38" s="653"/>
      <c r="Y38" s="653"/>
      <c r="Z38" s="653"/>
    </row>
    <row r="39" spans="1:26" x14ac:dyDescent="0.2">
      <c r="A39" s="602" t="s">
        <v>279</v>
      </c>
      <c r="B39" s="657">
        <v>0</v>
      </c>
      <c r="C39" s="657">
        <v>0</v>
      </c>
      <c r="D39" s="657">
        <v>0</v>
      </c>
      <c r="E39" s="653"/>
      <c r="F39" s="653"/>
      <c r="G39" s="657">
        <v>0</v>
      </c>
      <c r="H39" s="657">
        <v>0</v>
      </c>
      <c r="I39" s="657">
        <v>0</v>
      </c>
      <c r="J39" s="657">
        <v>0</v>
      </c>
      <c r="K39" s="657">
        <v>0</v>
      </c>
      <c r="L39" s="657">
        <v>0</v>
      </c>
      <c r="M39" s="657">
        <v>0</v>
      </c>
      <c r="N39" s="657">
        <v>0</v>
      </c>
      <c r="O39" s="657">
        <v>0</v>
      </c>
      <c r="P39" s="657">
        <v>0</v>
      </c>
      <c r="Q39" s="657">
        <v>0</v>
      </c>
      <c r="R39" s="657">
        <v>0</v>
      </c>
      <c r="S39" s="657">
        <v>0</v>
      </c>
      <c r="T39" s="604" t="e">
        <v>#DIV/0!</v>
      </c>
      <c r="U39" s="658">
        <v>0</v>
      </c>
      <c r="V39" s="658">
        <v>0</v>
      </c>
      <c r="W39" s="653"/>
      <c r="X39" s="653"/>
      <c r="Y39" s="653"/>
      <c r="Z39" s="653"/>
    </row>
    <row r="40" spans="1:26" x14ac:dyDescent="0.2">
      <c r="A40" s="602" t="s">
        <v>280</v>
      </c>
      <c r="B40" s="657">
        <v>0</v>
      </c>
      <c r="C40" s="657">
        <v>0</v>
      </c>
      <c r="D40" s="657">
        <v>0</v>
      </c>
      <c r="E40" s="653"/>
      <c r="F40" s="653"/>
      <c r="G40" s="657">
        <v>0</v>
      </c>
      <c r="H40" s="657">
        <v>0</v>
      </c>
      <c r="I40" s="657">
        <v>0</v>
      </c>
      <c r="J40" s="657">
        <v>0</v>
      </c>
      <c r="K40" s="657">
        <v>0</v>
      </c>
      <c r="L40" s="657">
        <v>0</v>
      </c>
      <c r="M40" s="657">
        <v>0</v>
      </c>
      <c r="N40" s="657">
        <v>0</v>
      </c>
      <c r="O40" s="657">
        <v>0</v>
      </c>
      <c r="P40" s="657">
        <v>0</v>
      </c>
      <c r="Q40" s="657">
        <v>0</v>
      </c>
      <c r="R40" s="657">
        <v>0</v>
      </c>
      <c r="S40" s="657">
        <v>0</v>
      </c>
      <c r="T40" s="604" t="e">
        <v>#DIV/0!</v>
      </c>
      <c r="U40" s="658">
        <v>0</v>
      </c>
      <c r="V40" s="658">
        <v>0</v>
      </c>
      <c r="W40" s="653"/>
      <c r="X40" s="653"/>
      <c r="Y40" s="653"/>
      <c r="Z40" s="653"/>
    </row>
    <row r="41" spans="1:26" x14ac:dyDescent="0.2">
      <c r="A41" s="602" t="s">
        <v>281</v>
      </c>
      <c r="B41" s="657">
        <v>0</v>
      </c>
      <c r="C41" s="657">
        <v>0</v>
      </c>
      <c r="D41" s="657">
        <v>0</v>
      </c>
      <c r="E41" s="653"/>
      <c r="F41" s="653"/>
      <c r="G41" s="657">
        <v>0</v>
      </c>
      <c r="H41" s="657">
        <v>0</v>
      </c>
      <c r="I41" s="657">
        <v>0</v>
      </c>
      <c r="J41" s="657">
        <v>0</v>
      </c>
      <c r="K41" s="657">
        <v>0</v>
      </c>
      <c r="L41" s="657">
        <v>0</v>
      </c>
      <c r="M41" s="657">
        <v>0</v>
      </c>
      <c r="N41" s="657">
        <v>0</v>
      </c>
      <c r="O41" s="657">
        <v>0</v>
      </c>
      <c r="P41" s="657">
        <v>0</v>
      </c>
      <c r="Q41" s="657">
        <v>0</v>
      </c>
      <c r="R41" s="657">
        <v>0</v>
      </c>
      <c r="S41" s="657">
        <v>0</v>
      </c>
      <c r="T41" s="604" t="e">
        <v>#DIV/0!</v>
      </c>
      <c r="U41" s="658">
        <v>0</v>
      </c>
      <c r="V41" s="658">
        <v>0</v>
      </c>
      <c r="W41" s="653"/>
      <c r="X41" s="653"/>
      <c r="Y41" s="653"/>
      <c r="Z41" s="653"/>
    </row>
    <row r="42" spans="1:26" x14ac:dyDescent="0.2">
      <c r="A42" s="602" t="s">
        <v>282</v>
      </c>
      <c r="B42" s="657">
        <v>0</v>
      </c>
      <c r="C42" s="657">
        <v>0</v>
      </c>
      <c r="D42" s="657">
        <v>0</v>
      </c>
      <c r="E42" s="653"/>
      <c r="F42" s="653"/>
      <c r="G42" s="657">
        <v>0</v>
      </c>
      <c r="H42" s="657">
        <v>0</v>
      </c>
      <c r="I42" s="657">
        <v>0</v>
      </c>
      <c r="J42" s="657">
        <v>0</v>
      </c>
      <c r="K42" s="657">
        <v>0</v>
      </c>
      <c r="L42" s="657">
        <v>0</v>
      </c>
      <c r="M42" s="657">
        <v>0</v>
      </c>
      <c r="N42" s="657">
        <v>0</v>
      </c>
      <c r="O42" s="657">
        <v>0</v>
      </c>
      <c r="P42" s="657">
        <v>0</v>
      </c>
      <c r="Q42" s="657">
        <v>0</v>
      </c>
      <c r="R42" s="657">
        <v>0</v>
      </c>
      <c r="S42" s="657">
        <v>0</v>
      </c>
      <c r="T42" s="604" t="e">
        <v>#DIV/0!</v>
      </c>
      <c r="U42" s="658">
        <v>0</v>
      </c>
      <c r="V42" s="658">
        <v>0</v>
      </c>
      <c r="W42" s="653"/>
      <c r="X42" s="653"/>
      <c r="Y42" s="653"/>
      <c r="Z42" s="653"/>
    </row>
    <row r="43" spans="1:26" x14ac:dyDescent="0.2">
      <c r="A43" s="602" t="s">
        <v>283</v>
      </c>
      <c r="B43" s="657">
        <v>0</v>
      </c>
      <c r="C43" s="657">
        <v>0</v>
      </c>
      <c r="D43" s="657">
        <v>0</v>
      </c>
      <c r="E43" s="653"/>
      <c r="F43" s="653"/>
      <c r="G43" s="657">
        <v>0</v>
      </c>
      <c r="H43" s="657">
        <v>0</v>
      </c>
      <c r="I43" s="657">
        <v>0</v>
      </c>
      <c r="J43" s="657">
        <v>0</v>
      </c>
      <c r="K43" s="657">
        <v>0</v>
      </c>
      <c r="L43" s="657">
        <v>0</v>
      </c>
      <c r="M43" s="657">
        <v>0</v>
      </c>
      <c r="N43" s="657">
        <v>0</v>
      </c>
      <c r="O43" s="657">
        <v>0</v>
      </c>
      <c r="P43" s="657">
        <v>0</v>
      </c>
      <c r="Q43" s="657">
        <v>0</v>
      </c>
      <c r="R43" s="657">
        <v>0</v>
      </c>
      <c r="S43" s="657">
        <v>0</v>
      </c>
      <c r="T43" s="604" t="e">
        <v>#DIV/0!</v>
      </c>
      <c r="U43" s="658">
        <v>0</v>
      </c>
      <c r="V43" s="658">
        <v>0</v>
      </c>
      <c r="W43" s="653"/>
      <c r="X43" s="653"/>
      <c r="Y43" s="653"/>
      <c r="Z43" s="653"/>
    </row>
    <row r="44" spans="1:26" x14ac:dyDescent="0.2">
      <c r="A44" s="602" t="s">
        <v>284</v>
      </c>
      <c r="B44" s="657">
        <v>0</v>
      </c>
      <c r="C44" s="657">
        <v>0</v>
      </c>
      <c r="D44" s="657">
        <v>0</v>
      </c>
      <c r="E44" s="653"/>
      <c r="F44" s="653"/>
      <c r="G44" s="657">
        <v>0</v>
      </c>
      <c r="H44" s="657">
        <v>0</v>
      </c>
      <c r="I44" s="657">
        <v>0</v>
      </c>
      <c r="J44" s="657">
        <v>0</v>
      </c>
      <c r="K44" s="657">
        <v>0</v>
      </c>
      <c r="L44" s="657">
        <v>0</v>
      </c>
      <c r="M44" s="657">
        <v>0</v>
      </c>
      <c r="N44" s="657">
        <v>0</v>
      </c>
      <c r="O44" s="657">
        <v>0</v>
      </c>
      <c r="P44" s="657">
        <v>0</v>
      </c>
      <c r="Q44" s="657">
        <v>0</v>
      </c>
      <c r="R44" s="657">
        <v>0</v>
      </c>
      <c r="S44" s="657">
        <v>0</v>
      </c>
      <c r="T44" s="604" t="e">
        <v>#DIV/0!</v>
      </c>
      <c r="U44" s="658">
        <v>0</v>
      </c>
      <c r="V44" s="658">
        <v>0</v>
      </c>
      <c r="W44" s="653"/>
      <c r="X44" s="653"/>
      <c r="Y44" s="653"/>
      <c r="Z44" s="653"/>
    </row>
    <row r="45" spans="1:26" x14ac:dyDescent="0.2">
      <c r="A45" s="602" t="s">
        <v>285</v>
      </c>
      <c r="B45" s="657">
        <v>0</v>
      </c>
      <c r="C45" s="657">
        <v>0</v>
      </c>
      <c r="D45" s="657">
        <v>0</v>
      </c>
      <c r="E45" s="653"/>
      <c r="F45" s="653"/>
      <c r="G45" s="657">
        <v>0</v>
      </c>
      <c r="H45" s="657">
        <v>0</v>
      </c>
      <c r="I45" s="657">
        <v>0</v>
      </c>
      <c r="J45" s="657">
        <v>0</v>
      </c>
      <c r="K45" s="657">
        <v>0</v>
      </c>
      <c r="L45" s="657">
        <v>0</v>
      </c>
      <c r="M45" s="657">
        <v>0</v>
      </c>
      <c r="N45" s="657">
        <v>0</v>
      </c>
      <c r="O45" s="657">
        <v>0</v>
      </c>
      <c r="P45" s="657">
        <v>0</v>
      </c>
      <c r="Q45" s="657">
        <v>0</v>
      </c>
      <c r="R45" s="657">
        <v>0</v>
      </c>
      <c r="S45" s="657">
        <v>0</v>
      </c>
      <c r="T45" s="604" t="e">
        <v>#DIV/0!</v>
      </c>
      <c r="U45" s="658">
        <v>0</v>
      </c>
      <c r="V45" s="658">
        <v>0</v>
      </c>
      <c r="W45" s="653"/>
      <c r="X45" s="653"/>
      <c r="Y45" s="653"/>
      <c r="Z45" s="653"/>
    </row>
    <row r="46" spans="1:26" x14ac:dyDescent="0.2">
      <c r="A46" s="602" t="s">
        <v>286</v>
      </c>
      <c r="B46" s="657">
        <v>0</v>
      </c>
      <c r="C46" s="657">
        <v>0</v>
      </c>
      <c r="D46" s="657">
        <v>0</v>
      </c>
      <c r="E46" s="653"/>
      <c r="F46" s="653"/>
      <c r="G46" s="657">
        <v>0</v>
      </c>
      <c r="H46" s="657">
        <v>0</v>
      </c>
      <c r="I46" s="657">
        <v>0</v>
      </c>
      <c r="J46" s="657">
        <v>0</v>
      </c>
      <c r="K46" s="657">
        <v>0</v>
      </c>
      <c r="L46" s="657">
        <v>0</v>
      </c>
      <c r="M46" s="657">
        <v>0</v>
      </c>
      <c r="N46" s="657">
        <v>0</v>
      </c>
      <c r="O46" s="657">
        <v>0</v>
      </c>
      <c r="P46" s="657">
        <v>0</v>
      </c>
      <c r="Q46" s="657">
        <v>0</v>
      </c>
      <c r="R46" s="657">
        <v>0</v>
      </c>
      <c r="S46" s="657">
        <v>0</v>
      </c>
      <c r="T46" s="604" t="e">
        <v>#DIV/0!</v>
      </c>
      <c r="U46" s="658">
        <v>0</v>
      </c>
      <c r="V46" s="658">
        <v>0</v>
      </c>
      <c r="W46" s="653"/>
      <c r="X46" s="653"/>
      <c r="Y46" s="653"/>
      <c r="Z46" s="653"/>
    </row>
    <row r="47" spans="1:26" x14ac:dyDescent="0.2">
      <c r="A47" s="602" t="s">
        <v>287</v>
      </c>
      <c r="B47" s="657">
        <v>0</v>
      </c>
      <c r="C47" s="657">
        <v>0</v>
      </c>
      <c r="D47" s="657">
        <v>0</v>
      </c>
      <c r="E47" s="653"/>
      <c r="F47" s="653"/>
      <c r="G47" s="657">
        <v>0</v>
      </c>
      <c r="H47" s="657">
        <v>0</v>
      </c>
      <c r="I47" s="657">
        <v>0</v>
      </c>
      <c r="J47" s="657">
        <v>0</v>
      </c>
      <c r="K47" s="657">
        <v>0</v>
      </c>
      <c r="L47" s="657">
        <v>0</v>
      </c>
      <c r="M47" s="657">
        <v>0</v>
      </c>
      <c r="N47" s="657">
        <v>0</v>
      </c>
      <c r="O47" s="657">
        <v>0</v>
      </c>
      <c r="P47" s="657">
        <v>0</v>
      </c>
      <c r="Q47" s="657">
        <v>0</v>
      </c>
      <c r="R47" s="657">
        <v>0</v>
      </c>
      <c r="S47" s="657">
        <v>0</v>
      </c>
      <c r="T47" s="604" t="e">
        <v>#DIV/0!</v>
      </c>
      <c r="U47" s="658">
        <v>0</v>
      </c>
      <c r="V47" s="658">
        <v>0</v>
      </c>
      <c r="W47" s="653"/>
      <c r="X47" s="653"/>
      <c r="Y47" s="653"/>
      <c r="Z47" s="653"/>
    </row>
    <row r="48" spans="1:26" x14ac:dyDescent="0.2">
      <c r="A48" s="602" t="s">
        <v>288</v>
      </c>
      <c r="B48" s="657">
        <v>0</v>
      </c>
      <c r="C48" s="657">
        <v>0</v>
      </c>
      <c r="D48" s="657">
        <v>0</v>
      </c>
      <c r="E48" s="653"/>
      <c r="F48" s="653"/>
      <c r="G48" s="657">
        <v>0</v>
      </c>
      <c r="H48" s="657">
        <v>0</v>
      </c>
      <c r="I48" s="657">
        <v>0</v>
      </c>
      <c r="J48" s="657">
        <v>0</v>
      </c>
      <c r="K48" s="657">
        <v>0</v>
      </c>
      <c r="L48" s="657">
        <v>0</v>
      </c>
      <c r="M48" s="657">
        <v>0</v>
      </c>
      <c r="N48" s="657">
        <v>0</v>
      </c>
      <c r="O48" s="657">
        <v>0</v>
      </c>
      <c r="P48" s="657">
        <v>0</v>
      </c>
      <c r="Q48" s="657">
        <v>0</v>
      </c>
      <c r="R48" s="657">
        <v>0</v>
      </c>
      <c r="S48" s="657">
        <v>0</v>
      </c>
      <c r="T48" s="604" t="e">
        <v>#DIV/0!</v>
      </c>
      <c r="U48" s="658">
        <v>0</v>
      </c>
      <c r="V48" s="658">
        <v>0</v>
      </c>
      <c r="W48" s="653"/>
      <c r="X48" s="653"/>
      <c r="Y48" s="653"/>
      <c r="Z48" s="653"/>
    </row>
    <row r="49" spans="1:26" x14ac:dyDescent="0.2">
      <c r="A49" s="597" t="s">
        <v>289</v>
      </c>
      <c r="B49" s="655">
        <v>500</v>
      </c>
      <c r="C49" s="655">
        <v>500</v>
      </c>
      <c r="D49" s="655">
        <v>0</v>
      </c>
      <c r="E49" s="650"/>
      <c r="F49" s="650"/>
      <c r="G49" s="655">
        <v>0</v>
      </c>
      <c r="H49" s="655">
        <v>0</v>
      </c>
      <c r="I49" s="655">
        <v>0</v>
      </c>
      <c r="J49" s="655">
        <v>0</v>
      </c>
      <c r="K49" s="655">
        <v>0</v>
      </c>
      <c r="L49" s="655">
        <v>0</v>
      </c>
      <c r="M49" s="655">
        <v>0</v>
      </c>
      <c r="N49" s="655">
        <v>0</v>
      </c>
      <c r="O49" s="655">
        <v>0</v>
      </c>
      <c r="P49" s="655">
        <v>0</v>
      </c>
      <c r="Q49" s="655">
        <v>0</v>
      </c>
      <c r="R49" s="655">
        <v>0</v>
      </c>
      <c r="S49" s="655">
        <v>0</v>
      </c>
      <c r="T49" s="600">
        <v>0</v>
      </c>
      <c r="U49" s="656">
        <v>500</v>
      </c>
      <c r="V49" s="656">
        <v>0</v>
      </c>
      <c r="W49" s="653"/>
      <c r="X49" s="653"/>
      <c r="Y49" s="653"/>
      <c r="Z49" s="653"/>
    </row>
    <row r="50" spans="1:26" x14ac:dyDescent="0.2">
      <c r="A50" s="602" t="s">
        <v>290</v>
      </c>
      <c r="B50" s="657">
        <v>0</v>
      </c>
      <c r="C50" s="657">
        <v>0</v>
      </c>
      <c r="D50" s="657">
        <v>0</v>
      </c>
      <c r="E50" s="653"/>
      <c r="F50" s="653"/>
      <c r="G50" s="657">
        <v>0</v>
      </c>
      <c r="H50" s="657">
        <v>0</v>
      </c>
      <c r="I50" s="657">
        <v>0</v>
      </c>
      <c r="J50" s="657">
        <v>0</v>
      </c>
      <c r="K50" s="657">
        <v>0</v>
      </c>
      <c r="L50" s="657">
        <v>0</v>
      </c>
      <c r="M50" s="657">
        <v>0</v>
      </c>
      <c r="N50" s="657">
        <v>0</v>
      </c>
      <c r="O50" s="657">
        <v>0</v>
      </c>
      <c r="P50" s="657">
        <v>0</v>
      </c>
      <c r="Q50" s="657">
        <v>0</v>
      </c>
      <c r="R50" s="657">
        <v>0</v>
      </c>
      <c r="S50" s="657">
        <v>0</v>
      </c>
      <c r="T50" s="604" t="e">
        <v>#DIV/0!</v>
      </c>
      <c r="U50" s="658">
        <v>0</v>
      </c>
      <c r="V50" s="658">
        <v>0</v>
      </c>
      <c r="W50" s="653"/>
      <c r="X50" s="653"/>
      <c r="Y50" s="653"/>
      <c r="Z50" s="653"/>
    </row>
    <row r="51" spans="1:26" x14ac:dyDescent="0.2">
      <c r="A51" s="602" t="s">
        <v>291</v>
      </c>
      <c r="B51" s="657">
        <v>0</v>
      </c>
      <c r="C51" s="657">
        <v>0</v>
      </c>
      <c r="D51" s="657">
        <v>0</v>
      </c>
      <c r="E51" s="653"/>
      <c r="F51" s="653"/>
      <c r="G51" s="657">
        <v>0</v>
      </c>
      <c r="H51" s="657">
        <v>0</v>
      </c>
      <c r="I51" s="657">
        <v>0</v>
      </c>
      <c r="J51" s="657">
        <v>0</v>
      </c>
      <c r="K51" s="657">
        <v>0</v>
      </c>
      <c r="L51" s="657">
        <v>0</v>
      </c>
      <c r="M51" s="657">
        <v>0</v>
      </c>
      <c r="N51" s="657">
        <v>0</v>
      </c>
      <c r="O51" s="657">
        <v>0</v>
      </c>
      <c r="P51" s="657">
        <v>0</v>
      </c>
      <c r="Q51" s="657">
        <v>0</v>
      </c>
      <c r="R51" s="657">
        <v>0</v>
      </c>
      <c r="S51" s="657">
        <v>0</v>
      </c>
      <c r="T51" s="604" t="e">
        <v>#DIV/0!</v>
      </c>
      <c r="U51" s="658">
        <v>0</v>
      </c>
      <c r="V51" s="658">
        <v>0</v>
      </c>
      <c r="W51" s="653"/>
      <c r="X51" s="653"/>
      <c r="Y51" s="653"/>
      <c r="Z51" s="653"/>
    </row>
    <row r="52" spans="1:26" x14ac:dyDescent="0.2">
      <c r="A52" s="602" t="s">
        <v>292</v>
      </c>
      <c r="B52" s="657">
        <v>0</v>
      </c>
      <c r="C52" s="657">
        <v>0</v>
      </c>
      <c r="D52" s="657">
        <v>0</v>
      </c>
      <c r="E52" s="653"/>
      <c r="F52" s="653"/>
      <c r="G52" s="657">
        <v>0</v>
      </c>
      <c r="H52" s="657">
        <v>0</v>
      </c>
      <c r="I52" s="657">
        <v>0</v>
      </c>
      <c r="J52" s="657">
        <v>0</v>
      </c>
      <c r="K52" s="657">
        <v>0</v>
      </c>
      <c r="L52" s="657">
        <v>0</v>
      </c>
      <c r="M52" s="657">
        <v>0</v>
      </c>
      <c r="N52" s="657">
        <v>0</v>
      </c>
      <c r="O52" s="657">
        <v>0</v>
      </c>
      <c r="P52" s="657">
        <v>0</v>
      </c>
      <c r="Q52" s="657">
        <v>0</v>
      </c>
      <c r="R52" s="657">
        <v>0</v>
      </c>
      <c r="S52" s="657">
        <v>0</v>
      </c>
      <c r="T52" s="604" t="e">
        <v>#DIV/0!</v>
      </c>
      <c r="U52" s="658">
        <v>0</v>
      </c>
      <c r="V52" s="658">
        <v>0</v>
      </c>
      <c r="W52" s="653"/>
      <c r="X52" s="653"/>
      <c r="Y52" s="653"/>
      <c r="Z52" s="653"/>
    </row>
    <row r="53" spans="1:26" x14ac:dyDescent="0.2">
      <c r="A53" s="602" t="s">
        <v>293</v>
      </c>
      <c r="B53" s="657">
        <v>500</v>
      </c>
      <c r="C53" s="657">
        <v>500</v>
      </c>
      <c r="D53" s="657">
        <v>0</v>
      </c>
      <c r="E53" s="653"/>
      <c r="F53" s="653"/>
      <c r="G53" s="657">
        <v>0</v>
      </c>
      <c r="H53" s="657">
        <v>0</v>
      </c>
      <c r="I53" s="657">
        <v>0</v>
      </c>
      <c r="J53" s="657">
        <v>0</v>
      </c>
      <c r="K53" s="657">
        <v>0</v>
      </c>
      <c r="L53" s="657">
        <v>0</v>
      </c>
      <c r="M53" s="657">
        <v>0</v>
      </c>
      <c r="N53" s="657">
        <v>0</v>
      </c>
      <c r="O53" s="657">
        <v>0</v>
      </c>
      <c r="P53" s="657">
        <v>0</v>
      </c>
      <c r="Q53" s="657">
        <v>0</v>
      </c>
      <c r="R53" s="657">
        <v>0</v>
      </c>
      <c r="S53" s="657">
        <v>0</v>
      </c>
      <c r="T53" s="604">
        <v>0</v>
      </c>
      <c r="U53" s="658">
        <v>500</v>
      </c>
      <c r="V53" s="658">
        <v>0</v>
      </c>
      <c r="W53" s="653"/>
      <c r="X53" s="653"/>
      <c r="Y53" s="653"/>
      <c r="Z53" s="653"/>
    </row>
    <row r="54" spans="1:26" x14ac:dyDescent="0.2">
      <c r="A54" s="602" t="s">
        <v>294</v>
      </c>
      <c r="B54" s="657">
        <v>0</v>
      </c>
      <c r="C54" s="657">
        <v>0</v>
      </c>
      <c r="D54" s="657">
        <v>0</v>
      </c>
      <c r="E54" s="653"/>
      <c r="F54" s="653"/>
      <c r="G54" s="657">
        <v>0</v>
      </c>
      <c r="H54" s="657">
        <v>0</v>
      </c>
      <c r="I54" s="657">
        <v>0</v>
      </c>
      <c r="J54" s="657">
        <v>0</v>
      </c>
      <c r="K54" s="657">
        <v>0</v>
      </c>
      <c r="L54" s="657">
        <v>0</v>
      </c>
      <c r="M54" s="657">
        <v>0</v>
      </c>
      <c r="N54" s="657">
        <v>0</v>
      </c>
      <c r="O54" s="657">
        <v>0</v>
      </c>
      <c r="P54" s="657">
        <v>0</v>
      </c>
      <c r="Q54" s="657">
        <v>0</v>
      </c>
      <c r="R54" s="657">
        <v>0</v>
      </c>
      <c r="S54" s="657">
        <v>0</v>
      </c>
      <c r="T54" s="604" t="e">
        <v>#DIV/0!</v>
      </c>
      <c r="U54" s="658">
        <v>0</v>
      </c>
      <c r="V54" s="658">
        <v>0</v>
      </c>
      <c r="W54" s="653"/>
      <c r="X54" s="653"/>
      <c r="Y54" s="653"/>
      <c r="Z54" s="653"/>
    </row>
    <row r="55" spans="1:26" x14ac:dyDescent="0.2">
      <c r="A55" s="602" t="s">
        <v>295</v>
      </c>
      <c r="B55" s="657">
        <v>0</v>
      </c>
      <c r="C55" s="657">
        <v>0</v>
      </c>
      <c r="D55" s="657">
        <v>0</v>
      </c>
      <c r="E55" s="653"/>
      <c r="F55" s="653"/>
      <c r="G55" s="657">
        <v>0</v>
      </c>
      <c r="H55" s="657">
        <v>0</v>
      </c>
      <c r="I55" s="657">
        <v>0</v>
      </c>
      <c r="J55" s="657">
        <v>0</v>
      </c>
      <c r="K55" s="657">
        <v>0</v>
      </c>
      <c r="L55" s="657">
        <v>0</v>
      </c>
      <c r="M55" s="657">
        <v>0</v>
      </c>
      <c r="N55" s="657">
        <v>0</v>
      </c>
      <c r="O55" s="657">
        <v>0</v>
      </c>
      <c r="P55" s="657">
        <v>0</v>
      </c>
      <c r="Q55" s="657">
        <v>0</v>
      </c>
      <c r="R55" s="657">
        <v>0</v>
      </c>
      <c r="S55" s="657">
        <v>0</v>
      </c>
      <c r="T55" s="604" t="e">
        <v>#DIV/0!</v>
      </c>
      <c r="U55" s="658">
        <v>0</v>
      </c>
      <c r="V55" s="658">
        <v>0</v>
      </c>
      <c r="W55" s="653"/>
      <c r="X55" s="653"/>
      <c r="Y55" s="653"/>
      <c r="Z55" s="653"/>
    </row>
    <row r="56" spans="1:26" x14ac:dyDescent="0.2">
      <c r="A56" s="602" t="s">
        <v>296</v>
      </c>
      <c r="B56" s="657">
        <v>0</v>
      </c>
      <c r="C56" s="657">
        <v>0</v>
      </c>
      <c r="D56" s="657">
        <v>0</v>
      </c>
      <c r="E56" s="653"/>
      <c r="F56" s="653"/>
      <c r="G56" s="657">
        <v>0</v>
      </c>
      <c r="H56" s="657">
        <v>0</v>
      </c>
      <c r="I56" s="657">
        <v>0</v>
      </c>
      <c r="J56" s="657">
        <v>0</v>
      </c>
      <c r="K56" s="657">
        <v>0</v>
      </c>
      <c r="L56" s="657">
        <v>0</v>
      </c>
      <c r="M56" s="657">
        <v>0</v>
      </c>
      <c r="N56" s="657">
        <v>0</v>
      </c>
      <c r="O56" s="657">
        <v>0</v>
      </c>
      <c r="P56" s="657">
        <v>0</v>
      </c>
      <c r="Q56" s="657">
        <v>0</v>
      </c>
      <c r="R56" s="657">
        <v>0</v>
      </c>
      <c r="S56" s="657">
        <v>0</v>
      </c>
      <c r="T56" s="604" t="e">
        <v>#DIV/0!</v>
      </c>
      <c r="U56" s="658">
        <v>0</v>
      </c>
      <c r="V56" s="658">
        <v>0</v>
      </c>
      <c r="W56" s="653"/>
      <c r="X56" s="653"/>
      <c r="Y56" s="653"/>
      <c r="Z56" s="653"/>
    </row>
    <row r="57" spans="1:26" x14ac:dyDescent="0.2">
      <c r="A57" s="648" t="s">
        <v>297</v>
      </c>
      <c r="B57" s="649">
        <v>60000</v>
      </c>
      <c r="C57" s="649">
        <v>60000</v>
      </c>
      <c r="D57" s="649">
        <v>39928.222999999991</v>
      </c>
      <c r="E57" s="650"/>
      <c r="F57" s="650"/>
      <c r="G57" s="649">
        <v>8618.36</v>
      </c>
      <c r="H57" s="649">
        <v>2246.9499999999998</v>
      </c>
      <c r="I57" s="649">
        <v>5529.7139999999999</v>
      </c>
      <c r="J57" s="649">
        <v>5328.4939999999997</v>
      </c>
      <c r="K57" s="649">
        <v>5433.9750000000004</v>
      </c>
      <c r="L57" s="649">
        <v>4735.3899999999994</v>
      </c>
      <c r="M57" s="649">
        <v>2861.8240000000005</v>
      </c>
      <c r="N57" s="649">
        <v>3061.8399999999997</v>
      </c>
      <c r="O57" s="649">
        <v>2111.674</v>
      </c>
      <c r="P57" s="649">
        <v>0</v>
      </c>
      <c r="Q57" s="649">
        <v>0</v>
      </c>
      <c r="R57" s="649">
        <v>0</v>
      </c>
      <c r="S57" s="649">
        <v>39928.220999999998</v>
      </c>
      <c r="T57" s="651">
        <v>0.66547034999999999</v>
      </c>
      <c r="U57" s="652">
        <v>20071.779000000002</v>
      </c>
      <c r="V57" s="652">
        <v>1.999999993131496E-3</v>
      </c>
      <c r="W57" s="653"/>
      <c r="X57" s="653"/>
      <c r="Y57" s="653"/>
      <c r="Z57" s="653"/>
    </row>
    <row r="58" spans="1:26" x14ac:dyDescent="0.2">
      <c r="A58" s="662" t="s">
        <v>298</v>
      </c>
      <c r="B58" s="655">
        <v>0</v>
      </c>
      <c r="C58" s="655">
        <v>0</v>
      </c>
      <c r="D58" s="655">
        <v>0</v>
      </c>
      <c r="E58" s="650"/>
      <c r="F58" s="650"/>
      <c r="G58" s="655">
        <v>0</v>
      </c>
      <c r="H58" s="655">
        <v>0</v>
      </c>
      <c r="I58" s="655">
        <v>0</v>
      </c>
      <c r="J58" s="655">
        <v>0</v>
      </c>
      <c r="K58" s="655">
        <v>0</v>
      </c>
      <c r="L58" s="655">
        <v>0</v>
      </c>
      <c r="M58" s="655">
        <v>0</v>
      </c>
      <c r="N58" s="655">
        <v>0</v>
      </c>
      <c r="O58" s="655">
        <v>0</v>
      </c>
      <c r="P58" s="655">
        <v>0</v>
      </c>
      <c r="Q58" s="655">
        <v>0</v>
      </c>
      <c r="R58" s="655">
        <v>0</v>
      </c>
      <c r="S58" s="655">
        <v>0</v>
      </c>
      <c r="T58" s="600" t="e">
        <v>#DIV/0!</v>
      </c>
      <c r="U58" s="656">
        <v>0</v>
      </c>
      <c r="V58" s="656">
        <v>0</v>
      </c>
      <c r="W58" s="653"/>
      <c r="X58" s="653"/>
      <c r="Y58" s="653"/>
      <c r="Z58" s="653"/>
    </row>
    <row r="59" spans="1:26" ht="24" x14ac:dyDescent="0.2">
      <c r="A59" s="602" t="s">
        <v>299</v>
      </c>
      <c r="B59" s="657">
        <v>0</v>
      </c>
      <c r="C59" s="657">
        <v>0</v>
      </c>
      <c r="D59" s="657">
        <v>0</v>
      </c>
      <c r="E59" s="653"/>
      <c r="F59" s="653"/>
      <c r="G59" s="657">
        <v>0</v>
      </c>
      <c r="H59" s="657">
        <v>0</v>
      </c>
      <c r="I59" s="657">
        <v>0</v>
      </c>
      <c r="J59" s="657">
        <v>0</v>
      </c>
      <c r="K59" s="657">
        <v>0</v>
      </c>
      <c r="L59" s="657">
        <v>0</v>
      </c>
      <c r="M59" s="657">
        <v>0</v>
      </c>
      <c r="N59" s="657">
        <v>0</v>
      </c>
      <c r="O59" s="657">
        <v>0</v>
      </c>
      <c r="P59" s="657">
        <v>0</v>
      </c>
      <c r="Q59" s="657">
        <v>0</v>
      </c>
      <c r="R59" s="657">
        <v>0</v>
      </c>
      <c r="S59" s="657">
        <v>0</v>
      </c>
      <c r="T59" s="604" t="e">
        <v>#DIV/0!</v>
      </c>
      <c r="U59" s="658">
        <v>0</v>
      </c>
      <c r="V59" s="658">
        <v>0</v>
      </c>
      <c r="W59" s="653"/>
      <c r="X59" s="653"/>
      <c r="Y59" s="653"/>
      <c r="Z59" s="653"/>
    </row>
    <row r="60" spans="1:26" x14ac:dyDescent="0.2">
      <c r="A60" s="602" t="s">
        <v>300</v>
      </c>
      <c r="B60" s="657">
        <v>0</v>
      </c>
      <c r="C60" s="657">
        <v>0</v>
      </c>
      <c r="D60" s="657">
        <v>0</v>
      </c>
      <c r="E60" s="653"/>
      <c r="F60" s="653"/>
      <c r="G60" s="657">
        <v>0</v>
      </c>
      <c r="H60" s="657">
        <v>0</v>
      </c>
      <c r="I60" s="657">
        <v>0</v>
      </c>
      <c r="J60" s="657">
        <v>0</v>
      </c>
      <c r="K60" s="657">
        <v>0</v>
      </c>
      <c r="L60" s="657">
        <v>0</v>
      </c>
      <c r="M60" s="657">
        <v>0</v>
      </c>
      <c r="N60" s="657">
        <v>0</v>
      </c>
      <c r="O60" s="657">
        <v>0</v>
      </c>
      <c r="P60" s="657">
        <v>0</v>
      </c>
      <c r="Q60" s="657">
        <v>0</v>
      </c>
      <c r="R60" s="657">
        <v>0</v>
      </c>
      <c r="S60" s="657">
        <v>0</v>
      </c>
      <c r="T60" s="604" t="e">
        <v>#DIV/0!</v>
      </c>
      <c r="U60" s="658">
        <v>0</v>
      </c>
      <c r="V60" s="658">
        <v>0</v>
      </c>
      <c r="W60" s="653"/>
      <c r="X60" s="653"/>
      <c r="Y60" s="653"/>
      <c r="Z60" s="653"/>
    </row>
    <row r="61" spans="1:26" ht="24" x14ac:dyDescent="0.2">
      <c r="A61" s="602" t="s">
        <v>301</v>
      </c>
      <c r="B61" s="657">
        <v>0</v>
      </c>
      <c r="C61" s="657">
        <v>0</v>
      </c>
      <c r="D61" s="657">
        <v>0</v>
      </c>
      <c r="E61" s="653"/>
      <c r="F61" s="653"/>
      <c r="G61" s="657">
        <v>0</v>
      </c>
      <c r="H61" s="657">
        <v>0</v>
      </c>
      <c r="I61" s="657">
        <v>0</v>
      </c>
      <c r="J61" s="657">
        <v>0</v>
      </c>
      <c r="K61" s="657">
        <v>0</v>
      </c>
      <c r="L61" s="657">
        <v>0</v>
      </c>
      <c r="M61" s="657">
        <v>0</v>
      </c>
      <c r="N61" s="657">
        <v>0</v>
      </c>
      <c r="O61" s="657">
        <v>0</v>
      </c>
      <c r="P61" s="657">
        <v>0</v>
      </c>
      <c r="Q61" s="657">
        <v>0</v>
      </c>
      <c r="R61" s="657">
        <v>0</v>
      </c>
      <c r="S61" s="657">
        <v>0</v>
      </c>
      <c r="T61" s="604" t="e">
        <v>#DIV/0!</v>
      </c>
      <c r="U61" s="658">
        <v>0</v>
      </c>
      <c r="V61" s="658">
        <v>0</v>
      </c>
      <c r="W61" s="653"/>
      <c r="X61" s="653"/>
      <c r="Y61" s="653"/>
      <c r="Z61" s="653"/>
    </row>
    <row r="62" spans="1:26" x14ac:dyDescent="0.2">
      <c r="A62" s="602" t="s">
        <v>302</v>
      </c>
      <c r="B62" s="657">
        <v>0</v>
      </c>
      <c r="C62" s="657">
        <v>0</v>
      </c>
      <c r="D62" s="657">
        <v>0</v>
      </c>
      <c r="E62" s="653"/>
      <c r="F62" s="653"/>
      <c r="G62" s="657">
        <v>0</v>
      </c>
      <c r="H62" s="657">
        <v>0</v>
      </c>
      <c r="I62" s="657">
        <v>0</v>
      </c>
      <c r="J62" s="657">
        <v>0</v>
      </c>
      <c r="K62" s="657">
        <v>0</v>
      </c>
      <c r="L62" s="657">
        <v>0</v>
      </c>
      <c r="M62" s="657">
        <v>0</v>
      </c>
      <c r="N62" s="657">
        <v>0</v>
      </c>
      <c r="O62" s="657">
        <v>0</v>
      </c>
      <c r="P62" s="657">
        <v>0</v>
      </c>
      <c r="Q62" s="657">
        <v>0</v>
      </c>
      <c r="R62" s="657">
        <v>0</v>
      </c>
      <c r="S62" s="657">
        <v>0</v>
      </c>
      <c r="T62" s="604" t="e">
        <v>#DIV/0!</v>
      </c>
      <c r="U62" s="658">
        <v>0</v>
      </c>
      <c r="V62" s="658">
        <v>0</v>
      </c>
      <c r="W62" s="653"/>
      <c r="X62" s="653"/>
      <c r="Y62" s="653"/>
      <c r="Z62" s="653"/>
    </row>
    <row r="63" spans="1:26" x14ac:dyDescent="0.2">
      <c r="A63" s="602" t="s">
        <v>303</v>
      </c>
      <c r="B63" s="657">
        <v>0</v>
      </c>
      <c r="C63" s="657">
        <v>0</v>
      </c>
      <c r="D63" s="657">
        <v>0</v>
      </c>
      <c r="E63" s="653"/>
      <c r="F63" s="653"/>
      <c r="G63" s="657">
        <v>0</v>
      </c>
      <c r="H63" s="657">
        <v>0</v>
      </c>
      <c r="I63" s="657">
        <v>0</v>
      </c>
      <c r="J63" s="657">
        <v>0</v>
      </c>
      <c r="K63" s="657">
        <v>0</v>
      </c>
      <c r="L63" s="657">
        <v>0</v>
      </c>
      <c r="M63" s="657">
        <v>0</v>
      </c>
      <c r="N63" s="657">
        <v>0</v>
      </c>
      <c r="O63" s="657">
        <v>0</v>
      </c>
      <c r="P63" s="657">
        <v>0</v>
      </c>
      <c r="Q63" s="657">
        <v>0</v>
      </c>
      <c r="R63" s="657">
        <v>0</v>
      </c>
      <c r="S63" s="657">
        <v>0</v>
      </c>
      <c r="T63" s="604" t="e">
        <v>#DIV/0!</v>
      </c>
      <c r="U63" s="658">
        <v>0</v>
      </c>
      <c r="V63" s="658">
        <v>0</v>
      </c>
      <c r="W63" s="653"/>
      <c r="X63" s="653"/>
      <c r="Y63" s="653"/>
      <c r="Z63" s="653"/>
    </row>
    <row r="64" spans="1:26" x14ac:dyDescent="0.2">
      <c r="A64" s="662" t="s">
        <v>304</v>
      </c>
      <c r="B64" s="659">
        <v>0</v>
      </c>
      <c r="C64" s="659">
        <v>0</v>
      </c>
      <c r="D64" s="659">
        <v>0</v>
      </c>
      <c r="E64" s="660"/>
      <c r="F64" s="660"/>
      <c r="G64" s="659">
        <v>0</v>
      </c>
      <c r="H64" s="659">
        <v>0</v>
      </c>
      <c r="I64" s="659">
        <v>0</v>
      </c>
      <c r="J64" s="659">
        <v>0</v>
      </c>
      <c r="K64" s="659">
        <v>0</v>
      </c>
      <c r="L64" s="659">
        <v>0</v>
      </c>
      <c r="M64" s="659">
        <v>0</v>
      </c>
      <c r="N64" s="659">
        <v>0</v>
      </c>
      <c r="O64" s="659">
        <v>0</v>
      </c>
      <c r="P64" s="659">
        <v>0</v>
      </c>
      <c r="Q64" s="659">
        <v>0</v>
      </c>
      <c r="R64" s="659">
        <v>0</v>
      </c>
      <c r="S64" s="659">
        <v>0</v>
      </c>
      <c r="T64" s="600" t="e">
        <v>#DIV/0!</v>
      </c>
      <c r="U64" s="656">
        <v>0</v>
      </c>
      <c r="V64" s="656">
        <v>0</v>
      </c>
      <c r="W64" s="660"/>
      <c r="X64" s="660"/>
      <c r="Y64" s="653"/>
      <c r="Z64" s="653"/>
    </row>
    <row r="65" spans="1:26" x14ac:dyDescent="0.2">
      <c r="A65" s="662" t="s">
        <v>305</v>
      </c>
      <c r="B65" s="659">
        <v>60000</v>
      </c>
      <c r="C65" s="659">
        <v>60000</v>
      </c>
      <c r="D65" s="659">
        <v>39928.222999999991</v>
      </c>
      <c r="E65" s="660"/>
      <c r="F65" s="660"/>
      <c r="G65" s="659">
        <v>8618.36</v>
      </c>
      <c r="H65" s="659">
        <v>2246.9499999999998</v>
      </c>
      <c r="I65" s="659">
        <v>5529.7139999999999</v>
      </c>
      <c r="J65" s="659">
        <v>5328.4939999999997</v>
      </c>
      <c r="K65" s="659">
        <v>5433.9750000000004</v>
      </c>
      <c r="L65" s="659">
        <v>4735.3899999999994</v>
      </c>
      <c r="M65" s="659">
        <v>2861.8240000000005</v>
      </c>
      <c r="N65" s="659">
        <v>3061.8399999999997</v>
      </c>
      <c r="O65" s="659">
        <v>2111.674</v>
      </c>
      <c r="P65" s="659">
        <v>0</v>
      </c>
      <c r="Q65" s="659">
        <v>0</v>
      </c>
      <c r="R65" s="659">
        <v>0</v>
      </c>
      <c r="S65" s="659">
        <v>39928.220999999998</v>
      </c>
      <c r="T65" s="600">
        <v>0.66547034999999999</v>
      </c>
      <c r="U65" s="656">
        <v>20071.779000000002</v>
      </c>
      <c r="V65" s="656">
        <v>1.999999993131496E-3</v>
      </c>
      <c r="W65" s="660"/>
      <c r="X65" s="660"/>
      <c r="Y65" s="653"/>
      <c r="Z65" s="653"/>
    </row>
    <row r="66" spans="1:26" x14ac:dyDescent="0.2">
      <c r="A66" s="662" t="s">
        <v>306</v>
      </c>
      <c r="B66" s="655">
        <v>0</v>
      </c>
      <c r="C66" s="655">
        <v>0</v>
      </c>
      <c r="D66" s="655">
        <v>0</v>
      </c>
      <c r="E66" s="650"/>
      <c r="F66" s="650"/>
      <c r="G66" s="655">
        <v>0</v>
      </c>
      <c r="H66" s="655">
        <v>0</v>
      </c>
      <c r="I66" s="655">
        <v>0</v>
      </c>
      <c r="J66" s="655">
        <v>0</v>
      </c>
      <c r="K66" s="655">
        <v>0</v>
      </c>
      <c r="L66" s="655">
        <v>0</v>
      </c>
      <c r="M66" s="655">
        <v>0</v>
      </c>
      <c r="N66" s="655">
        <v>0</v>
      </c>
      <c r="O66" s="655">
        <v>0</v>
      </c>
      <c r="P66" s="655">
        <v>0</v>
      </c>
      <c r="Q66" s="655">
        <v>0</v>
      </c>
      <c r="R66" s="655">
        <v>0</v>
      </c>
      <c r="S66" s="655">
        <v>0</v>
      </c>
      <c r="T66" s="600" t="e">
        <v>#DIV/0!</v>
      </c>
      <c r="U66" s="656">
        <v>0</v>
      </c>
      <c r="V66" s="656">
        <v>0</v>
      </c>
      <c r="W66" s="660"/>
      <c r="X66" s="660"/>
      <c r="Y66" s="653"/>
      <c r="Z66" s="653"/>
    </row>
    <row r="67" spans="1:26" x14ac:dyDescent="0.2">
      <c r="A67" s="602" t="s">
        <v>307</v>
      </c>
      <c r="B67" s="657">
        <v>0</v>
      </c>
      <c r="C67" s="657">
        <v>0</v>
      </c>
      <c r="D67" s="657">
        <v>0</v>
      </c>
      <c r="E67" s="653"/>
      <c r="F67" s="653"/>
      <c r="G67" s="657">
        <v>0</v>
      </c>
      <c r="H67" s="657">
        <v>0</v>
      </c>
      <c r="I67" s="657">
        <v>0</v>
      </c>
      <c r="J67" s="657">
        <v>0</v>
      </c>
      <c r="K67" s="657">
        <v>0</v>
      </c>
      <c r="L67" s="657">
        <v>0</v>
      </c>
      <c r="M67" s="657">
        <v>0</v>
      </c>
      <c r="N67" s="657">
        <v>0</v>
      </c>
      <c r="O67" s="657">
        <v>0</v>
      </c>
      <c r="P67" s="657">
        <v>0</v>
      </c>
      <c r="Q67" s="657">
        <v>0</v>
      </c>
      <c r="R67" s="657">
        <v>0</v>
      </c>
      <c r="S67" s="657">
        <v>0</v>
      </c>
      <c r="T67" s="604" t="e">
        <v>#DIV/0!</v>
      </c>
      <c r="U67" s="658">
        <v>0</v>
      </c>
      <c r="V67" s="658">
        <v>0</v>
      </c>
      <c r="W67" s="653"/>
      <c r="X67" s="653"/>
      <c r="Y67" s="653"/>
      <c r="Z67" s="653"/>
    </row>
    <row r="68" spans="1:26" ht="24" x14ac:dyDescent="0.2">
      <c r="A68" s="602" t="s">
        <v>308</v>
      </c>
      <c r="B68" s="657">
        <v>0</v>
      </c>
      <c r="C68" s="657">
        <v>0</v>
      </c>
      <c r="D68" s="657">
        <v>0</v>
      </c>
      <c r="E68" s="653"/>
      <c r="F68" s="653"/>
      <c r="G68" s="657">
        <v>0</v>
      </c>
      <c r="H68" s="657">
        <v>0</v>
      </c>
      <c r="I68" s="657">
        <v>0</v>
      </c>
      <c r="J68" s="657">
        <v>0</v>
      </c>
      <c r="K68" s="657">
        <v>0</v>
      </c>
      <c r="L68" s="657">
        <v>0</v>
      </c>
      <c r="M68" s="657">
        <v>0</v>
      </c>
      <c r="N68" s="657">
        <v>0</v>
      </c>
      <c r="O68" s="657">
        <v>0</v>
      </c>
      <c r="P68" s="657">
        <v>0</v>
      </c>
      <c r="Q68" s="657">
        <v>0</v>
      </c>
      <c r="R68" s="657">
        <v>0</v>
      </c>
      <c r="S68" s="657">
        <v>0</v>
      </c>
      <c r="T68" s="604" t="e">
        <v>#DIV/0!</v>
      </c>
      <c r="U68" s="658">
        <v>0</v>
      </c>
      <c r="V68" s="658">
        <v>0</v>
      </c>
      <c r="W68" s="653"/>
      <c r="X68" s="653"/>
      <c r="Y68" s="653"/>
      <c r="Z68" s="653"/>
    </row>
    <row r="69" spans="1:26" x14ac:dyDescent="0.2">
      <c r="A69" s="602" t="s">
        <v>309</v>
      </c>
      <c r="B69" s="657">
        <v>0</v>
      </c>
      <c r="C69" s="657">
        <v>0</v>
      </c>
      <c r="D69" s="657">
        <v>0</v>
      </c>
      <c r="E69" s="653"/>
      <c r="F69" s="653"/>
      <c r="G69" s="657">
        <v>0</v>
      </c>
      <c r="H69" s="657">
        <v>0</v>
      </c>
      <c r="I69" s="657">
        <v>0</v>
      </c>
      <c r="J69" s="657">
        <v>0</v>
      </c>
      <c r="K69" s="657">
        <v>0</v>
      </c>
      <c r="L69" s="657">
        <v>0</v>
      </c>
      <c r="M69" s="657">
        <v>0</v>
      </c>
      <c r="N69" s="657">
        <v>0</v>
      </c>
      <c r="O69" s="657">
        <v>0</v>
      </c>
      <c r="P69" s="657">
        <v>0</v>
      </c>
      <c r="Q69" s="657">
        <v>0</v>
      </c>
      <c r="R69" s="657">
        <v>0</v>
      </c>
      <c r="S69" s="657">
        <v>0</v>
      </c>
      <c r="T69" s="604" t="e">
        <v>#DIV/0!</v>
      </c>
      <c r="U69" s="658">
        <v>0</v>
      </c>
      <c r="V69" s="658">
        <v>0</v>
      </c>
      <c r="W69" s="653"/>
      <c r="X69" s="653"/>
      <c r="Y69" s="653"/>
      <c r="Z69" s="653"/>
    </row>
    <row r="70" spans="1:26" x14ac:dyDescent="0.2">
      <c r="A70" s="662" t="s">
        <v>310</v>
      </c>
      <c r="B70" s="659">
        <v>0</v>
      </c>
      <c r="C70" s="659">
        <v>0</v>
      </c>
      <c r="D70" s="659">
        <v>0</v>
      </c>
      <c r="E70" s="660"/>
      <c r="F70" s="660"/>
      <c r="G70" s="659">
        <v>0</v>
      </c>
      <c r="H70" s="659">
        <v>0</v>
      </c>
      <c r="I70" s="659">
        <v>0</v>
      </c>
      <c r="J70" s="659">
        <v>0</v>
      </c>
      <c r="K70" s="659">
        <v>0</v>
      </c>
      <c r="L70" s="659">
        <v>0</v>
      </c>
      <c r="M70" s="659">
        <v>0</v>
      </c>
      <c r="N70" s="659">
        <v>0</v>
      </c>
      <c r="O70" s="659">
        <v>0</v>
      </c>
      <c r="P70" s="659">
        <v>0</v>
      </c>
      <c r="Q70" s="659">
        <v>0</v>
      </c>
      <c r="R70" s="659">
        <v>0</v>
      </c>
      <c r="S70" s="659">
        <v>0</v>
      </c>
      <c r="T70" s="600" t="e">
        <v>#DIV/0!</v>
      </c>
      <c r="U70" s="656">
        <v>0</v>
      </c>
      <c r="V70" s="656">
        <v>0</v>
      </c>
      <c r="W70" s="660"/>
      <c r="X70" s="660"/>
      <c r="Y70" s="653"/>
      <c r="Z70" s="653"/>
    </row>
    <row r="71" spans="1:26" x14ac:dyDescent="0.2">
      <c r="A71" s="648" t="s">
        <v>311</v>
      </c>
      <c r="B71" s="649">
        <v>124422207</v>
      </c>
      <c r="C71" s="649">
        <v>114995029.67</v>
      </c>
      <c r="D71" s="649">
        <v>66477824.873999998</v>
      </c>
      <c r="E71" s="650"/>
      <c r="F71" s="650"/>
      <c r="G71" s="649">
        <v>0</v>
      </c>
      <c r="H71" s="649">
        <v>0</v>
      </c>
      <c r="I71" s="649">
        <v>52939801.634000011</v>
      </c>
      <c r="J71" s="649">
        <v>1000</v>
      </c>
      <c r="K71" s="649">
        <v>0</v>
      </c>
      <c r="L71" s="649">
        <v>10462</v>
      </c>
      <c r="M71" s="649">
        <v>13475300.73</v>
      </c>
      <c r="N71" s="649">
        <v>4659.7</v>
      </c>
      <c r="O71" s="649">
        <v>19060.760000000002</v>
      </c>
      <c r="P71" s="649">
        <v>0</v>
      </c>
      <c r="Q71" s="649">
        <v>0</v>
      </c>
      <c r="R71" s="649">
        <v>0</v>
      </c>
      <c r="S71" s="649">
        <v>66450284.824000008</v>
      </c>
      <c r="T71" s="651">
        <v>0.57785353866764222</v>
      </c>
      <c r="U71" s="652">
        <v>48544744.845999993</v>
      </c>
      <c r="V71" s="652">
        <v>27540.049999989569</v>
      </c>
      <c r="W71" s="653"/>
      <c r="X71" s="653"/>
      <c r="Y71" s="653"/>
      <c r="Z71" s="653"/>
    </row>
    <row r="72" spans="1:26" ht="24" x14ac:dyDescent="0.2">
      <c r="A72" s="662" t="s">
        <v>312</v>
      </c>
      <c r="B72" s="659">
        <v>0</v>
      </c>
      <c r="C72" s="659">
        <v>0</v>
      </c>
      <c r="D72" s="659">
        <v>0</v>
      </c>
      <c r="E72" s="660"/>
      <c r="F72" s="660"/>
      <c r="G72" s="659">
        <v>0</v>
      </c>
      <c r="H72" s="659">
        <v>0</v>
      </c>
      <c r="I72" s="659">
        <v>0</v>
      </c>
      <c r="J72" s="659">
        <v>0</v>
      </c>
      <c r="K72" s="659">
        <v>0</v>
      </c>
      <c r="L72" s="659">
        <v>0</v>
      </c>
      <c r="M72" s="659">
        <v>0</v>
      </c>
      <c r="N72" s="659">
        <v>0</v>
      </c>
      <c r="O72" s="659">
        <v>0</v>
      </c>
      <c r="P72" s="659">
        <v>0</v>
      </c>
      <c r="Q72" s="659">
        <v>0</v>
      </c>
      <c r="R72" s="659">
        <v>0</v>
      </c>
      <c r="S72" s="659">
        <v>0</v>
      </c>
      <c r="T72" s="600" t="e">
        <v>#DIV/0!</v>
      </c>
      <c r="U72" s="656">
        <v>0</v>
      </c>
      <c r="V72" s="656">
        <v>0</v>
      </c>
      <c r="W72" s="660"/>
      <c r="X72" s="653"/>
      <c r="Y72" s="653"/>
      <c r="Z72" s="653"/>
    </row>
    <row r="73" spans="1:26" x14ac:dyDescent="0.2">
      <c r="A73" s="662" t="s">
        <v>313</v>
      </c>
      <c r="B73" s="655">
        <v>124422207</v>
      </c>
      <c r="C73" s="655">
        <v>114995029.67</v>
      </c>
      <c r="D73" s="655">
        <v>52864469.564000003</v>
      </c>
      <c r="E73" s="650"/>
      <c r="F73" s="650"/>
      <c r="G73" s="655">
        <v>0</v>
      </c>
      <c r="H73" s="655">
        <v>0</v>
      </c>
      <c r="I73" s="655">
        <v>52781159.434000008</v>
      </c>
      <c r="J73" s="655">
        <v>0</v>
      </c>
      <c r="K73" s="655">
        <v>0</v>
      </c>
      <c r="L73" s="655">
        <v>0</v>
      </c>
      <c r="M73" s="655">
        <v>83310.13</v>
      </c>
      <c r="N73" s="655">
        <v>0</v>
      </c>
      <c r="O73" s="655">
        <v>0</v>
      </c>
      <c r="P73" s="655">
        <v>0</v>
      </c>
      <c r="Q73" s="655">
        <v>0</v>
      </c>
      <c r="R73" s="655">
        <v>0</v>
      </c>
      <c r="S73" s="655">
        <v>52864469.56400001</v>
      </c>
      <c r="T73" s="600">
        <v>0.45971090851234708</v>
      </c>
      <c r="U73" s="656">
        <v>62130560.105999991</v>
      </c>
      <c r="V73" s="656">
        <v>0</v>
      </c>
      <c r="W73" s="660"/>
      <c r="X73" s="653"/>
      <c r="Y73" s="653"/>
      <c r="Z73" s="653"/>
    </row>
    <row r="74" spans="1:26" x14ac:dyDescent="0.2">
      <c r="A74" s="602" t="s">
        <v>314</v>
      </c>
      <c r="B74" s="663">
        <v>124088400</v>
      </c>
      <c r="C74" s="663">
        <v>114796575.46000001</v>
      </c>
      <c r="D74" s="663">
        <v>52752375.470000006</v>
      </c>
      <c r="E74" s="664"/>
      <c r="F74" s="664"/>
      <c r="G74" s="663">
        <v>0</v>
      </c>
      <c r="H74" s="663">
        <v>0</v>
      </c>
      <c r="I74" s="663">
        <v>52752375.470000006</v>
      </c>
      <c r="J74" s="663">
        <v>0</v>
      </c>
      <c r="K74" s="663">
        <v>0</v>
      </c>
      <c r="L74" s="663">
        <v>0</v>
      </c>
      <c r="M74" s="663">
        <v>0</v>
      </c>
      <c r="N74" s="663">
        <v>0</v>
      </c>
      <c r="O74" s="663">
        <v>0</v>
      </c>
      <c r="P74" s="663">
        <v>0</v>
      </c>
      <c r="Q74" s="663">
        <v>0</v>
      </c>
      <c r="R74" s="663">
        <v>0</v>
      </c>
      <c r="S74" s="663">
        <v>52752375.470000006</v>
      </c>
      <c r="T74" s="604">
        <v>0.45952917374596397</v>
      </c>
      <c r="U74" s="658">
        <v>62044199.990000002</v>
      </c>
      <c r="V74" s="658">
        <v>0</v>
      </c>
      <c r="W74" s="653"/>
      <c r="X74" s="653"/>
      <c r="Y74" s="653"/>
      <c r="Z74" s="653"/>
    </row>
    <row r="75" spans="1:26" ht="24" x14ac:dyDescent="0.2">
      <c r="A75" s="607" t="s">
        <v>315</v>
      </c>
      <c r="B75" s="663">
        <v>124088400</v>
      </c>
      <c r="C75" s="663">
        <v>114796575.46000001</v>
      </c>
      <c r="D75" s="663">
        <v>52752375.470000006</v>
      </c>
      <c r="E75" s="650"/>
      <c r="F75" s="650"/>
      <c r="G75" s="663">
        <v>0</v>
      </c>
      <c r="H75" s="663">
        <v>0</v>
      </c>
      <c r="I75" s="663">
        <v>52752375.470000006</v>
      </c>
      <c r="J75" s="663">
        <v>0</v>
      </c>
      <c r="K75" s="663">
        <v>0</v>
      </c>
      <c r="L75" s="663">
        <v>0</v>
      </c>
      <c r="M75" s="663">
        <v>0</v>
      </c>
      <c r="N75" s="663">
        <v>0</v>
      </c>
      <c r="O75" s="663">
        <v>0</v>
      </c>
      <c r="P75" s="663">
        <v>0</v>
      </c>
      <c r="Q75" s="663">
        <v>0</v>
      </c>
      <c r="R75" s="663">
        <v>0</v>
      </c>
      <c r="S75" s="663">
        <v>52752375.470000006</v>
      </c>
      <c r="T75" s="604">
        <v>0.45952917374596397</v>
      </c>
      <c r="U75" s="658">
        <v>62044199.990000002</v>
      </c>
      <c r="V75" s="658">
        <v>0</v>
      </c>
      <c r="W75" s="660"/>
      <c r="X75" s="653"/>
      <c r="Y75" s="653"/>
      <c r="Z75" s="653"/>
    </row>
    <row r="76" spans="1:26" x14ac:dyDescent="0.2">
      <c r="A76" s="608" t="s">
        <v>316</v>
      </c>
      <c r="B76" s="665">
        <v>104250000</v>
      </c>
      <c r="C76" s="665">
        <v>98418327.620000005</v>
      </c>
      <c r="D76" s="665">
        <v>46293327.630000003</v>
      </c>
      <c r="E76" s="650"/>
      <c r="F76" s="650"/>
      <c r="G76" s="665">
        <v>0</v>
      </c>
      <c r="H76" s="665">
        <v>0</v>
      </c>
      <c r="I76" s="665">
        <v>46293327.630000003</v>
      </c>
      <c r="J76" s="665">
        <v>0</v>
      </c>
      <c r="K76" s="665">
        <v>0</v>
      </c>
      <c r="L76" s="665">
        <v>0</v>
      </c>
      <c r="M76" s="665">
        <v>0</v>
      </c>
      <c r="N76" s="665">
        <v>0</v>
      </c>
      <c r="O76" s="665">
        <v>0</v>
      </c>
      <c r="P76" s="665">
        <v>0</v>
      </c>
      <c r="Q76" s="665">
        <v>0</v>
      </c>
      <c r="R76" s="665">
        <v>0</v>
      </c>
      <c r="S76" s="665">
        <v>46293327.630000003</v>
      </c>
      <c r="T76" s="604">
        <v>0.47037303670452268</v>
      </c>
      <c r="U76" s="658">
        <v>52124999.990000002</v>
      </c>
      <c r="V76" s="658">
        <v>0</v>
      </c>
      <c r="W76" s="660"/>
      <c r="X76" s="653"/>
      <c r="Y76" s="653"/>
      <c r="Z76" s="653"/>
    </row>
    <row r="77" spans="1:26" x14ac:dyDescent="0.2">
      <c r="A77" s="608" t="s">
        <v>317</v>
      </c>
      <c r="B77" s="665">
        <v>16388400</v>
      </c>
      <c r="C77" s="665">
        <v>14034327.91</v>
      </c>
      <c r="D77" s="665">
        <v>5840127.9100000001</v>
      </c>
      <c r="E77" s="650"/>
      <c r="F77" s="650"/>
      <c r="G77" s="665">
        <v>0</v>
      </c>
      <c r="H77" s="665">
        <v>0</v>
      </c>
      <c r="I77" s="665">
        <v>5840127.9100000001</v>
      </c>
      <c r="J77" s="665">
        <v>0</v>
      </c>
      <c r="K77" s="665">
        <v>0</v>
      </c>
      <c r="L77" s="665">
        <v>0</v>
      </c>
      <c r="M77" s="665">
        <v>0</v>
      </c>
      <c r="N77" s="665">
        <v>0</v>
      </c>
      <c r="O77" s="665">
        <v>0</v>
      </c>
      <c r="P77" s="665">
        <v>0</v>
      </c>
      <c r="Q77" s="665">
        <v>0</v>
      </c>
      <c r="R77" s="665">
        <v>0</v>
      </c>
      <c r="S77" s="665">
        <v>5840127.9100000001</v>
      </c>
      <c r="T77" s="604">
        <v>0.41613164146169646</v>
      </c>
      <c r="U77" s="658">
        <v>8194200</v>
      </c>
      <c r="V77" s="658">
        <v>0</v>
      </c>
      <c r="W77" s="660"/>
      <c r="X77" s="653"/>
      <c r="Y77" s="653"/>
      <c r="Z77" s="653"/>
    </row>
    <row r="78" spans="1:26" ht="24" x14ac:dyDescent="0.2">
      <c r="A78" s="608" t="s">
        <v>318</v>
      </c>
      <c r="B78" s="665">
        <v>3450000</v>
      </c>
      <c r="C78" s="665">
        <v>2343919.9299999997</v>
      </c>
      <c r="D78" s="665">
        <v>618919.93000000005</v>
      </c>
      <c r="E78" s="650"/>
      <c r="F78" s="650"/>
      <c r="G78" s="665">
        <v>0</v>
      </c>
      <c r="H78" s="665">
        <v>0</v>
      </c>
      <c r="I78" s="665">
        <v>618919.93000000005</v>
      </c>
      <c r="J78" s="665">
        <v>0</v>
      </c>
      <c r="K78" s="665">
        <v>0</v>
      </c>
      <c r="L78" s="665">
        <v>0</v>
      </c>
      <c r="M78" s="665">
        <v>0</v>
      </c>
      <c r="N78" s="665">
        <v>0</v>
      </c>
      <c r="O78" s="665">
        <v>0</v>
      </c>
      <c r="P78" s="665">
        <v>0</v>
      </c>
      <c r="Q78" s="665">
        <v>0</v>
      </c>
      <c r="R78" s="665">
        <v>0</v>
      </c>
      <c r="S78" s="665">
        <v>618919.93000000005</v>
      </c>
      <c r="T78" s="604">
        <v>0.26405335868277724</v>
      </c>
      <c r="U78" s="658">
        <v>1724999.9999999995</v>
      </c>
      <c r="V78" s="658">
        <v>0</v>
      </c>
      <c r="W78" s="660"/>
      <c r="X78" s="653"/>
      <c r="Y78" s="653"/>
      <c r="Z78" s="653"/>
    </row>
    <row r="79" spans="1:26" ht="24" x14ac:dyDescent="0.2">
      <c r="A79" s="608" t="s">
        <v>319</v>
      </c>
      <c r="B79" s="665">
        <v>0</v>
      </c>
      <c r="C79" s="665">
        <v>0</v>
      </c>
      <c r="D79" s="665">
        <v>0</v>
      </c>
      <c r="E79" s="650"/>
      <c r="F79" s="650"/>
      <c r="G79" s="665">
        <v>0</v>
      </c>
      <c r="H79" s="665">
        <v>0</v>
      </c>
      <c r="I79" s="665">
        <v>0</v>
      </c>
      <c r="J79" s="665">
        <v>0</v>
      </c>
      <c r="K79" s="665">
        <v>0</v>
      </c>
      <c r="L79" s="665">
        <v>0</v>
      </c>
      <c r="M79" s="665">
        <v>0</v>
      </c>
      <c r="N79" s="665">
        <v>0</v>
      </c>
      <c r="O79" s="665">
        <v>0</v>
      </c>
      <c r="P79" s="665">
        <v>0</v>
      </c>
      <c r="Q79" s="665">
        <v>0</v>
      </c>
      <c r="R79" s="665">
        <v>0</v>
      </c>
      <c r="S79" s="665">
        <v>0</v>
      </c>
      <c r="T79" s="604" t="e">
        <v>#DIV/0!</v>
      </c>
      <c r="U79" s="658">
        <v>0</v>
      </c>
      <c r="V79" s="658">
        <v>0</v>
      </c>
      <c r="W79" s="660"/>
      <c r="X79" s="653"/>
      <c r="Y79" s="653"/>
      <c r="Z79" s="653"/>
    </row>
    <row r="80" spans="1:26" ht="24" x14ac:dyDescent="0.2">
      <c r="A80" s="607" t="s">
        <v>320</v>
      </c>
      <c r="B80" s="657">
        <v>0</v>
      </c>
      <c r="C80" s="657">
        <v>0</v>
      </c>
      <c r="D80" s="657">
        <v>0</v>
      </c>
      <c r="E80" s="653"/>
      <c r="F80" s="653"/>
      <c r="G80" s="657">
        <v>0</v>
      </c>
      <c r="H80" s="657">
        <v>0</v>
      </c>
      <c r="I80" s="657">
        <v>0</v>
      </c>
      <c r="J80" s="657">
        <v>0</v>
      </c>
      <c r="K80" s="657">
        <v>0</v>
      </c>
      <c r="L80" s="657">
        <v>0</v>
      </c>
      <c r="M80" s="657">
        <v>0</v>
      </c>
      <c r="N80" s="657">
        <v>0</v>
      </c>
      <c r="O80" s="657">
        <v>0</v>
      </c>
      <c r="P80" s="657">
        <v>0</v>
      </c>
      <c r="Q80" s="657">
        <v>0</v>
      </c>
      <c r="R80" s="657">
        <v>0</v>
      </c>
      <c r="S80" s="657">
        <v>0</v>
      </c>
      <c r="T80" s="604" t="e">
        <v>#DIV/0!</v>
      </c>
      <c r="U80" s="658">
        <v>0</v>
      </c>
      <c r="V80" s="658">
        <v>0</v>
      </c>
      <c r="W80" s="653"/>
      <c r="X80" s="653"/>
      <c r="Y80" s="653"/>
      <c r="Z80" s="653"/>
    </row>
    <row r="81" spans="1:26" x14ac:dyDescent="0.2">
      <c r="A81" s="602" t="s">
        <v>1399</v>
      </c>
      <c r="B81" s="657">
        <v>333807</v>
      </c>
      <c r="C81" s="657">
        <v>198454.21</v>
      </c>
      <c r="D81" s="657">
        <v>112094.09400000001</v>
      </c>
      <c r="E81" s="653"/>
      <c r="F81" s="653"/>
      <c r="G81" s="657">
        <v>0</v>
      </c>
      <c r="H81" s="657">
        <v>0</v>
      </c>
      <c r="I81" s="657">
        <v>28783.964</v>
      </c>
      <c r="J81" s="657">
        <v>0</v>
      </c>
      <c r="K81" s="657">
        <v>0</v>
      </c>
      <c r="L81" s="657">
        <v>0</v>
      </c>
      <c r="M81" s="657">
        <v>83310.13</v>
      </c>
      <c r="N81" s="657">
        <v>0</v>
      </c>
      <c r="O81" s="657">
        <v>0</v>
      </c>
      <c r="P81" s="657">
        <v>0</v>
      </c>
      <c r="Q81" s="657">
        <v>0</v>
      </c>
      <c r="R81" s="657">
        <v>0</v>
      </c>
      <c r="S81" s="657">
        <v>112094.09400000001</v>
      </c>
      <c r="T81" s="604">
        <v>0.56483605966333505</v>
      </c>
      <c r="U81" s="658">
        <v>86360.11599999998</v>
      </c>
      <c r="V81" s="658">
        <v>0</v>
      </c>
      <c r="W81" s="653"/>
      <c r="X81" s="653"/>
      <c r="Y81" s="653"/>
      <c r="Z81" s="653"/>
    </row>
    <row r="82" spans="1:26" x14ac:dyDescent="0.2">
      <c r="A82" s="607" t="s">
        <v>1400</v>
      </c>
      <c r="B82" s="657">
        <v>333807</v>
      </c>
      <c r="C82" s="657">
        <v>198454.21</v>
      </c>
      <c r="D82" s="657">
        <v>112094.09400000001</v>
      </c>
      <c r="E82" s="653"/>
      <c r="F82" s="653"/>
      <c r="G82" s="657">
        <v>0</v>
      </c>
      <c r="H82" s="657">
        <v>0</v>
      </c>
      <c r="I82" s="657">
        <v>28783.964</v>
      </c>
      <c r="J82" s="657">
        <v>0</v>
      </c>
      <c r="K82" s="657">
        <v>0</v>
      </c>
      <c r="L82" s="657">
        <v>0</v>
      </c>
      <c r="M82" s="657">
        <v>83310.13</v>
      </c>
      <c r="N82" s="657">
        <v>0</v>
      </c>
      <c r="O82" s="657">
        <v>0</v>
      </c>
      <c r="P82" s="657">
        <v>0</v>
      </c>
      <c r="Q82" s="657">
        <v>0</v>
      </c>
      <c r="R82" s="657">
        <v>0</v>
      </c>
      <c r="S82" s="657">
        <v>112094.09400000001</v>
      </c>
      <c r="T82" s="604">
        <v>0.56483605966333505</v>
      </c>
      <c r="U82" s="658">
        <v>86360.11599999998</v>
      </c>
      <c r="V82" s="658">
        <v>0</v>
      </c>
      <c r="W82" s="653"/>
      <c r="X82" s="653"/>
      <c r="Y82" s="653"/>
      <c r="Z82" s="653"/>
    </row>
    <row r="83" spans="1:26" x14ac:dyDescent="0.2">
      <c r="A83" s="607" t="s">
        <v>1401</v>
      </c>
      <c r="B83" s="657">
        <v>0</v>
      </c>
      <c r="C83" s="657">
        <v>0</v>
      </c>
      <c r="D83" s="657">
        <v>0</v>
      </c>
      <c r="E83" s="653"/>
      <c r="F83" s="653"/>
      <c r="G83" s="657">
        <v>0</v>
      </c>
      <c r="H83" s="657">
        <v>0</v>
      </c>
      <c r="I83" s="657">
        <v>0</v>
      </c>
      <c r="J83" s="657">
        <v>0</v>
      </c>
      <c r="K83" s="657">
        <v>0</v>
      </c>
      <c r="L83" s="657">
        <v>0</v>
      </c>
      <c r="M83" s="657">
        <v>0</v>
      </c>
      <c r="N83" s="657">
        <v>0</v>
      </c>
      <c r="O83" s="657">
        <v>0</v>
      </c>
      <c r="P83" s="657">
        <v>0</v>
      </c>
      <c r="Q83" s="657">
        <v>0</v>
      </c>
      <c r="R83" s="657">
        <v>0</v>
      </c>
      <c r="S83" s="657">
        <v>0</v>
      </c>
      <c r="T83" s="604" t="e">
        <v>#DIV/0!</v>
      </c>
      <c r="U83" s="658">
        <v>0</v>
      </c>
      <c r="V83" s="658">
        <v>0</v>
      </c>
      <c r="W83" s="653"/>
      <c r="X83" s="653"/>
      <c r="Y83" s="653"/>
      <c r="Z83" s="653"/>
    </row>
    <row r="84" spans="1:26" x14ac:dyDescent="0.2">
      <c r="A84" s="602" t="s">
        <v>321</v>
      </c>
      <c r="B84" s="657">
        <v>0</v>
      </c>
      <c r="C84" s="657">
        <v>0</v>
      </c>
      <c r="D84" s="657">
        <v>0</v>
      </c>
      <c r="E84" s="653"/>
      <c r="F84" s="653"/>
      <c r="G84" s="657">
        <v>0</v>
      </c>
      <c r="H84" s="657">
        <v>0</v>
      </c>
      <c r="I84" s="657">
        <v>0</v>
      </c>
      <c r="J84" s="657">
        <v>0</v>
      </c>
      <c r="K84" s="657">
        <v>0</v>
      </c>
      <c r="L84" s="657">
        <v>0</v>
      </c>
      <c r="M84" s="657">
        <v>0</v>
      </c>
      <c r="N84" s="657">
        <v>0</v>
      </c>
      <c r="O84" s="657">
        <v>0</v>
      </c>
      <c r="P84" s="657">
        <v>0</v>
      </c>
      <c r="Q84" s="657">
        <v>0</v>
      </c>
      <c r="R84" s="657">
        <v>0</v>
      </c>
      <c r="S84" s="657">
        <v>0</v>
      </c>
      <c r="T84" s="604" t="e">
        <v>#DIV/0!</v>
      </c>
      <c r="U84" s="658">
        <v>0</v>
      </c>
      <c r="V84" s="658">
        <v>0</v>
      </c>
      <c r="W84" s="653"/>
      <c r="X84" s="653"/>
      <c r="Y84" s="653"/>
      <c r="Z84" s="653"/>
    </row>
    <row r="85" spans="1:26" x14ac:dyDescent="0.2">
      <c r="A85" s="602" t="s">
        <v>322</v>
      </c>
      <c r="B85" s="657">
        <v>0</v>
      </c>
      <c r="C85" s="657">
        <v>0</v>
      </c>
      <c r="D85" s="657">
        <v>0</v>
      </c>
      <c r="E85" s="653"/>
      <c r="F85" s="653"/>
      <c r="G85" s="657">
        <v>0</v>
      </c>
      <c r="H85" s="657">
        <v>0</v>
      </c>
      <c r="I85" s="657">
        <v>0</v>
      </c>
      <c r="J85" s="657">
        <v>0</v>
      </c>
      <c r="K85" s="657">
        <v>0</v>
      </c>
      <c r="L85" s="657">
        <v>0</v>
      </c>
      <c r="M85" s="657">
        <v>0</v>
      </c>
      <c r="N85" s="657">
        <v>0</v>
      </c>
      <c r="O85" s="657">
        <v>0</v>
      </c>
      <c r="P85" s="657">
        <v>0</v>
      </c>
      <c r="Q85" s="657">
        <v>0</v>
      </c>
      <c r="R85" s="657">
        <v>0</v>
      </c>
      <c r="S85" s="657">
        <v>0</v>
      </c>
      <c r="T85" s="604" t="e">
        <v>#DIV/0!</v>
      </c>
      <c r="U85" s="658">
        <v>0</v>
      </c>
      <c r="V85" s="658">
        <v>0</v>
      </c>
      <c r="W85" s="653"/>
      <c r="X85" s="653"/>
      <c r="Y85" s="653"/>
      <c r="Z85" s="653"/>
    </row>
    <row r="86" spans="1:26" x14ac:dyDescent="0.2">
      <c r="A86" s="662" t="s">
        <v>323</v>
      </c>
      <c r="B86" s="659">
        <v>0</v>
      </c>
      <c r="C86" s="659">
        <v>0</v>
      </c>
      <c r="D86" s="659">
        <v>0</v>
      </c>
      <c r="E86" s="660"/>
      <c r="F86" s="660"/>
      <c r="G86" s="659">
        <v>0</v>
      </c>
      <c r="H86" s="659">
        <v>0</v>
      </c>
      <c r="I86" s="659">
        <v>0</v>
      </c>
      <c r="J86" s="659">
        <v>0</v>
      </c>
      <c r="K86" s="659">
        <v>0</v>
      </c>
      <c r="L86" s="659">
        <v>0</v>
      </c>
      <c r="M86" s="659">
        <v>0</v>
      </c>
      <c r="N86" s="659">
        <v>0</v>
      </c>
      <c r="O86" s="659">
        <v>0</v>
      </c>
      <c r="P86" s="659">
        <v>0</v>
      </c>
      <c r="Q86" s="659">
        <v>0</v>
      </c>
      <c r="R86" s="659">
        <v>0</v>
      </c>
      <c r="S86" s="659">
        <v>0</v>
      </c>
      <c r="T86" s="600" t="e">
        <v>#DIV/0!</v>
      </c>
      <c r="U86" s="656">
        <v>0</v>
      </c>
      <c r="V86" s="656">
        <v>0</v>
      </c>
      <c r="W86" s="660"/>
      <c r="X86" s="653"/>
      <c r="Y86" s="653"/>
      <c r="Z86" s="653"/>
    </row>
    <row r="87" spans="1:26" x14ac:dyDescent="0.2">
      <c r="A87" s="662" t="s">
        <v>324</v>
      </c>
      <c r="B87" s="659">
        <v>0</v>
      </c>
      <c r="C87" s="659">
        <v>0</v>
      </c>
      <c r="D87" s="659">
        <v>13613355.309999999</v>
      </c>
      <c r="E87" s="660"/>
      <c r="F87" s="660"/>
      <c r="G87" s="659">
        <v>0</v>
      </c>
      <c r="H87" s="659">
        <v>0</v>
      </c>
      <c r="I87" s="659">
        <v>158642.20000000001</v>
      </c>
      <c r="J87" s="659">
        <v>1000</v>
      </c>
      <c r="K87" s="659">
        <v>0</v>
      </c>
      <c r="L87" s="659">
        <v>10462</v>
      </c>
      <c r="M87" s="659">
        <v>13391990.6</v>
      </c>
      <c r="N87" s="659">
        <v>4659.7</v>
      </c>
      <c r="O87" s="659">
        <v>19060.760000000002</v>
      </c>
      <c r="P87" s="659">
        <v>0</v>
      </c>
      <c r="Q87" s="659">
        <v>0</v>
      </c>
      <c r="R87" s="659">
        <v>0</v>
      </c>
      <c r="S87" s="659">
        <v>13585815.259999998</v>
      </c>
      <c r="T87" s="600" t="e">
        <v>#DIV/0!</v>
      </c>
      <c r="U87" s="656">
        <v>-13585815.259999998</v>
      </c>
      <c r="V87" s="656">
        <v>27540.050000000745</v>
      </c>
      <c r="W87" s="660"/>
      <c r="X87" s="653"/>
      <c r="Y87" s="653"/>
      <c r="Z87" s="653"/>
    </row>
    <row r="88" spans="1:26" x14ac:dyDescent="0.2">
      <c r="A88" s="662" t="s">
        <v>325</v>
      </c>
      <c r="B88" s="655">
        <v>0</v>
      </c>
      <c r="C88" s="655">
        <v>0</v>
      </c>
      <c r="D88" s="655">
        <v>0</v>
      </c>
      <c r="E88" s="650"/>
      <c r="F88" s="650"/>
      <c r="G88" s="655">
        <v>0</v>
      </c>
      <c r="H88" s="655">
        <v>0</v>
      </c>
      <c r="I88" s="655">
        <v>0</v>
      </c>
      <c r="J88" s="655">
        <v>0</v>
      </c>
      <c r="K88" s="655">
        <v>0</v>
      </c>
      <c r="L88" s="655">
        <v>0</v>
      </c>
      <c r="M88" s="655">
        <v>0</v>
      </c>
      <c r="N88" s="655">
        <v>0</v>
      </c>
      <c r="O88" s="655">
        <v>0</v>
      </c>
      <c r="P88" s="655">
        <v>0</v>
      </c>
      <c r="Q88" s="655">
        <v>0</v>
      </c>
      <c r="R88" s="655">
        <v>0</v>
      </c>
      <c r="S88" s="655">
        <v>0</v>
      </c>
      <c r="T88" s="600" t="e">
        <v>#DIV/0!</v>
      </c>
      <c r="U88" s="656">
        <v>0</v>
      </c>
      <c r="V88" s="656">
        <v>0</v>
      </c>
      <c r="W88" s="660"/>
      <c r="X88" s="653"/>
      <c r="Y88" s="653"/>
      <c r="Z88" s="653"/>
    </row>
    <row r="89" spans="1:26" x14ac:dyDescent="0.2">
      <c r="A89" s="602" t="s">
        <v>326</v>
      </c>
      <c r="B89" s="657">
        <v>0</v>
      </c>
      <c r="C89" s="657">
        <v>0</v>
      </c>
      <c r="D89" s="657">
        <v>0</v>
      </c>
      <c r="E89" s="653"/>
      <c r="F89" s="653"/>
      <c r="G89" s="657">
        <v>0</v>
      </c>
      <c r="H89" s="657">
        <v>0</v>
      </c>
      <c r="I89" s="657">
        <v>0</v>
      </c>
      <c r="J89" s="657">
        <v>0</v>
      </c>
      <c r="K89" s="657">
        <v>0</v>
      </c>
      <c r="L89" s="657">
        <v>0</v>
      </c>
      <c r="M89" s="657">
        <v>0</v>
      </c>
      <c r="N89" s="657">
        <v>0</v>
      </c>
      <c r="O89" s="657">
        <v>0</v>
      </c>
      <c r="P89" s="657">
        <v>0</v>
      </c>
      <c r="Q89" s="657">
        <v>0</v>
      </c>
      <c r="R89" s="657">
        <v>0</v>
      </c>
      <c r="S89" s="657">
        <v>0</v>
      </c>
      <c r="T89" s="604" t="e">
        <v>#DIV/0!</v>
      </c>
      <c r="U89" s="658">
        <v>0</v>
      </c>
      <c r="V89" s="658">
        <v>0</v>
      </c>
      <c r="W89" s="653"/>
      <c r="X89" s="653"/>
      <c r="Y89" s="653"/>
      <c r="Z89" s="653"/>
    </row>
    <row r="90" spans="1:26" x14ac:dyDescent="0.2">
      <c r="A90" s="602" t="s">
        <v>327</v>
      </c>
      <c r="B90" s="657">
        <v>0</v>
      </c>
      <c r="C90" s="657">
        <v>0</v>
      </c>
      <c r="D90" s="657">
        <v>0</v>
      </c>
      <c r="E90" s="653"/>
      <c r="F90" s="653"/>
      <c r="G90" s="657">
        <v>0</v>
      </c>
      <c r="H90" s="657">
        <v>0</v>
      </c>
      <c r="I90" s="657">
        <v>0</v>
      </c>
      <c r="J90" s="657">
        <v>0</v>
      </c>
      <c r="K90" s="657">
        <v>0</v>
      </c>
      <c r="L90" s="657">
        <v>0</v>
      </c>
      <c r="M90" s="657">
        <v>0</v>
      </c>
      <c r="N90" s="657">
        <v>0</v>
      </c>
      <c r="O90" s="657">
        <v>0</v>
      </c>
      <c r="P90" s="657">
        <v>0</v>
      </c>
      <c r="Q90" s="657">
        <v>0</v>
      </c>
      <c r="R90" s="657">
        <v>0</v>
      </c>
      <c r="S90" s="657">
        <v>0</v>
      </c>
      <c r="T90" s="604" t="e">
        <v>#DIV/0!</v>
      </c>
      <c r="U90" s="658">
        <v>0</v>
      </c>
      <c r="V90" s="658">
        <v>0</v>
      </c>
      <c r="W90" s="653"/>
      <c r="X90" s="653"/>
      <c r="Y90" s="653"/>
      <c r="Z90" s="653"/>
    </row>
    <row r="91" spans="1:26" ht="24" x14ac:dyDescent="0.2">
      <c r="A91" s="602" t="s">
        <v>328</v>
      </c>
      <c r="B91" s="657">
        <v>0</v>
      </c>
      <c r="C91" s="657">
        <v>0</v>
      </c>
      <c r="D91" s="657">
        <v>0</v>
      </c>
      <c r="E91" s="653"/>
      <c r="F91" s="653"/>
      <c r="G91" s="657">
        <v>0</v>
      </c>
      <c r="H91" s="657">
        <v>0</v>
      </c>
      <c r="I91" s="657">
        <v>0</v>
      </c>
      <c r="J91" s="657">
        <v>0</v>
      </c>
      <c r="K91" s="657">
        <v>0</v>
      </c>
      <c r="L91" s="657">
        <v>0</v>
      </c>
      <c r="M91" s="657">
        <v>0</v>
      </c>
      <c r="N91" s="657">
        <v>0</v>
      </c>
      <c r="O91" s="657">
        <v>0</v>
      </c>
      <c r="P91" s="657">
        <v>0</v>
      </c>
      <c r="Q91" s="657">
        <v>0</v>
      </c>
      <c r="R91" s="657">
        <v>0</v>
      </c>
      <c r="S91" s="657">
        <v>0</v>
      </c>
      <c r="T91" s="604" t="e">
        <v>#DIV/0!</v>
      </c>
      <c r="U91" s="658">
        <v>0</v>
      </c>
      <c r="V91" s="658">
        <v>0</v>
      </c>
      <c r="W91" s="653"/>
      <c r="X91" s="653"/>
      <c r="Y91" s="653"/>
      <c r="Z91" s="653"/>
    </row>
    <row r="92" spans="1:26" x14ac:dyDescent="0.2">
      <c r="A92" s="662" t="s">
        <v>329</v>
      </c>
      <c r="B92" s="655">
        <v>0</v>
      </c>
      <c r="C92" s="655">
        <v>0</v>
      </c>
      <c r="D92" s="655">
        <v>0</v>
      </c>
      <c r="E92" s="650"/>
      <c r="F92" s="650"/>
      <c r="G92" s="655">
        <v>0</v>
      </c>
      <c r="H92" s="655">
        <v>0</v>
      </c>
      <c r="I92" s="655">
        <v>0</v>
      </c>
      <c r="J92" s="655">
        <v>0</v>
      </c>
      <c r="K92" s="655">
        <v>0</v>
      </c>
      <c r="L92" s="655">
        <v>0</v>
      </c>
      <c r="M92" s="655">
        <v>0</v>
      </c>
      <c r="N92" s="655">
        <v>0</v>
      </c>
      <c r="O92" s="655">
        <v>0</v>
      </c>
      <c r="P92" s="655">
        <v>0</v>
      </c>
      <c r="Q92" s="655">
        <v>0</v>
      </c>
      <c r="R92" s="655">
        <v>0</v>
      </c>
      <c r="S92" s="655">
        <v>0</v>
      </c>
      <c r="T92" s="600" t="e">
        <v>#DIV/0!</v>
      </c>
      <c r="U92" s="656">
        <v>0</v>
      </c>
      <c r="V92" s="656">
        <v>0</v>
      </c>
      <c r="W92" s="660"/>
      <c r="X92" s="660"/>
      <c r="Y92" s="653"/>
      <c r="Z92" s="653"/>
    </row>
    <row r="93" spans="1:26" x14ac:dyDescent="0.2">
      <c r="A93" s="602" t="s">
        <v>330</v>
      </c>
      <c r="B93" s="657">
        <v>0</v>
      </c>
      <c r="C93" s="657">
        <v>0</v>
      </c>
      <c r="D93" s="657">
        <v>0</v>
      </c>
      <c r="E93" s="653"/>
      <c r="F93" s="653"/>
      <c r="G93" s="657">
        <v>0</v>
      </c>
      <c r="H93" s="657">
        <v>0</v>
      </c>
      <c r="I93" s="657">
        <v>0</v>
      </c>
      <c r="J93" s="657">
        <v>0</v>
      </c>
      <c r="K93" s="657">
        <v>0</v>
      </c>
      <c r="L93" s="657">
        <v>0</v>
      </c>
      <c r="M93" s="657">
        <v>0</v>
      </c>
      <c r="N93" s="657">
        <v>0</v>
      </c>
      <c r="O93" s="657">
        <v>0</v>
      </c>
      <c r="P93" s="657">
        <v>0</v>
      </c>
      <c r="Q93" s="657">
        <v>0</v>
      </c>
      <c r="R93" s="657">
        <v>0</v>
      </c>
      <c r="S93" s="657">
        <v>0</v>
      </c>
      <c r="T93" s="604" t="e">
        <v>#DIV/0!</v>
      </c>
      <c r="U93" s="658">
        <v>0</v>
      </c>
      <c r="V93" s="658">
        <v>0</v>
      </c>
      <c r="W93" s="653"/>
      <c r="X93" s="653"/>
      <c r="Y93" s="653"/>
      <c r="Z93" s="653"/>
    </row>
    <row r="94" spans="1:26" ht="24" x14ac:dyDescent="0.2">
      <c r="A94" s="602" t="s">
        <v>331</v>
      </c>
      <c r="B94" s="657">
        <v>0</v>
      </c>
      <c r="C94" s="657">
        <v>0</v>
      </c>
      <c r="D94" s="657">
        <v>0</v>
      </c>
      <c r="E94" s="653"/>
      <c r="F94" s="653"/>
      <c r="G94" s="657">
        <v>0</v>
      </c>
      <c r="H94" s="657">
        <v>0</v>
      </c>
      <c r="I94" s="657">
        <v>0</v>
      </c>
      <c r="J94" s="657">
        <v>0</v>
      </c>
      <c r="K94" s="657">
        <v>0</v>
      </c>
      <c r="L94" s="657">
        <v>0</v>
      </c>
      <c r="M94" s="657">
        <v>0</v>
      </c>
      <c r="N94" s="657">
        <v>0</v>
      </c>
      <c r="O94" s="657">
        <v>0</v>
      </c>
      <c r="P94" s="657">
        <v>0</v>
      </c>
      <c r="Q94" s="657">
        <v>0</v>
      </c>
      <c r="R94" s="657">
        <v>0</v>
      </c>
      <c r="S94" s="657">
        <v>0</v>
      </c>
      <c r="T94" s="604" t="e">
        <v>#DIV/0!</v>
      </c>
      <c r="U94" s="658">
        <v>0</v>
      </c>
      <c r="V94" s="658">
        <v>0</v>
      </c>
      <c r="W94" s="653"/>
      <c r="X94" s="653"/>
      <c r="Y94" s="653"/>
      <c r="Z94" s="653"/>
    </row>
    <row r="95" spans="1:26" x14ac:dyDescent="0.2">
      <c r="A95" s="602" t="s">
        <v>332</v>
      </c>
      <c r="B95" s="657">
        <v>0</v>
      </c>
      <c r="C95" s="657">
        <v>0</v>
      </c>
      <c r="D95" s="657">
        <v>0</v>
      </c>
      <c r="E95" s="653"/>
      <c r="F95" s="653"/>
      <c r="G95" s="657">
        <v>0</v>
      </c>
      <c r="H95" s="657">
        <v>0</v>
      </c>
      <c r="I95" s="657">
        <v>0</v>
      </c>
      <c r="J95" s="657">
        <v>0</v>
      </c>
      <c r="K95" s="657">
        <v>0</v>
      </c>
      <c r="L95" s="657">
        <v>0</v>
      </c>
      <c r="M95" s="657">
        <v>0</v>
      </c>
      <c r="N95" s="657">
        <v>0</v>
      </c>
      <c r="O95" s="657">
        <v>0</v>
      </c>
      <c r="P95" s="657">
        <v>0</v>
      </c>
      <c r="Q95" s="657">
        <v>0</v>
      </c>
      <c r="R95" s="657">
        <v>0</v>
      </c>
      <c r="S95" s="657">
        <v>0</v>
      </c>
      <c r="T95" s="604" t="e">
        <v>#DIV/0!</v>
      </c>
      <c r="U95" s="658">
        <v>0</v>
      </c>
      <c r="V95" s="658">
        <v>0</v>
      </c>
      <c r="W95" s="653"/>
      <c r="X95" s="653"/>
      <c r="Y95" s="653"/>
      <c r="Z95" s="653"/>
    </row>
    <row r="96" spans="1:26" x14ac:dyDescent="0.2">
      <c r="A96" s="662" t="s">
        <v>333</v>
      </c>
      <c r="B96" s="659">
        <v>0</v>
      </c>
      <c r="C96" s="659">
        <v>0</v>
      </c>
      <c r="D96" s="659">
        <v>0</v>
      </c>
      <c r="E96" s="660"/>
      <c r="F96" s="660"/>
      <c r="G96" s="659">
        <v>0</v>
      </c>
      <c r="H96" s="659">
        <v>0</v>
      </c>
      <c r="I96" s="659">
        <v>0</v>
      </c>
      <c r="J96" s="659">
        <v>0</v>
      </c>
      <c r="K96" s="659">
        <v>0</v>
      </c>
      <c r="L96" s="659">
        <v>0</v>
      </c>
      <c r="M96" s="659">
        <v>0</v>
      </c>
      <c r="N96" s="659">
        <v>0</v>
      </c>
      <c r="O96" s="659">
        <v>0</v>
      </c>
      <c r="P96" s="659">
        <v>0</v>
      </c>
      <c r="Q96" s="659">
        <v>0</v>
      </c>
      <c r="R96" s="659">
        <v>0</v>
      </c>
      <c r="S96" s="659">
        <v>0</v>
      </c>
      <c r="T96" s="600" t="e">
        <v>#DIV/0!</v>
      </c>
      <c r="U96" s="656">
        <v>0</v>
      </c>
      <c r="V96" s="656">
        <v>0</v>
      </c>
      <c r="W96" s="660"/>
      <c r="X96" s="660"/>
      <c r="Y96" s="653"/>
      <c r="Z96" s="653"/>
    </row>
    <row r="97" spans="1:26" ht="24" x14ac:dyDescent="0.2">
      <c r="A97" s="662" t="s">
        <v>334</v>
      </c>
      <c r="B97" s="659">
        <v>0</v>
      </c>
      <c r="C97" s="659">
        <v>0</v>
      </c>
      <c r="D97" s="659">
        <v>0</v>
      </c>
      <c r="E97" s="660"/>
      <c r="F97" s="660"/>
      <c r="G97" s="659">
        <v>0</v>
      </c>
      <c r="H97" s="659">
        <v>0</v>
      </c>
      <c r="I97" s="659">
        <v>0</v>
      </c>
      <c r="J97" s="659">
        <v>0</v>
      </c>
      <c r="K97" s="659">
        <v>0</v>
      </c>
      <c r="L97" s="659">
        <v>0</v>
      </c>
      <c r="M97" s="659">
        <v>0</v>
      </c>
      <c r="N97" s="659">
        <v>0</v>
      </c>
      <c r="O97" s="659">
        <v>0</v>
      </c>
      <c r="P97" s="659">
        <v>0</v>
      </c>
      <c r="Q97" s="659">
        <v>0</v>
      </c>
      <c r="R97" s="659">
        <v>0</v>
      </c>
      <c r="S97" s="659">
        <v>0</v>
      </c>
      <c r="T97" s="600" t="e">
        <v>#DIV/0!</v>
      </c>
      <c r="U97" s="656">
        <v>0</v>
      </c>
      <c r="V97" s="656">
        <v>0</v>
      </c>
      <c r="W97" s="660"/>
      <c r="X97" s="660"/>
      <c r="Y97" s="653"/>
      <c r="Z97" s="653"/>
    </row>
    <row r="98" spans="1:26" x14ac:dyDescent="0.2">
      <c r="A98" s="662" t="s">
        <v>335</v>
      </c>
      <c r="B98" s="655">
        <v>0</v>
      </c>
      <c r="C98" s="655">
        <v>0</v>
      </c>
      <c r="D98" s="655">
        <v>0</v>
      </c>
      <c r="E98" s="650"/>
      <c r="F98" s="650"/>
      <c r="G98" s="655">
        <v>0</v>
      </c>
      <c r="H98" s="655">
        <v>0</v>
      </c>
      <c r="I98" s="655">
        <v>0</v>
      </c>
      <c r="J98" s="655">
        <v>0</v>
      </c>
      <c r="K98" s="655">
        <v>0</v>
      </c>
      <c r="L98" s="655">
        <v>0</v>
      </c>
      <c r="M98" s="655">
        <v>0</v>
      </c>
      <c r="N98" s="655">
        <v>0</v>
      </c>
      <c r="O98" s="655">
        <v>0</v>
      </c>
      <c r="P98" s="655">
        <v>0</v>
      </c>
      <c r="Q98" s="655">
        <v>0</v>
      </c>
      <c r="R98" s="655">
        <v>0</v>
      </c>
      <c r="S98" s="655">
        <v>0</v>
      </c>
      <c r="T98" s="600" t="e">
        <v>#DIV/0!</v>
      </c>
      <c r="U98" s="656">
        <v>0</v>
      </c>
      <c r="V98" s="656">
        <v>0</v>
      </c>
      <c r="W98" s="660"/>
      <c r="X98" s="660"/>
      <c r="Y98" s="653"/>
      <c r="Z98" s="653"/>
    </row>
    <row r="99" spans="1:26" x14ac:dyDescent="0.2">
      <c r="A99" s="602" t="s">
        <v>336</v>
      </c>
      <c r="B99" s="657">
        <v>0</v>
      </c>
      <c r="C99" s="657">
        <v>0</v>
      </c>
      <c r="D99" s="657">
        <v>0</v>
      </c>
      <c r="E99" s="653"/>
      <c r="F99" s="653"/>
      <c r="G99" s="657">
        <v>0</v>
      </c>
      <c r="H99" s="657">
        <v>0</v>
      </c>
      <c r="I99" s="657">
        <v>0</v>
      </c>
      <c r="J99" s="657">
        <v>0</v>
      </c>
      <c r="K99" s="657">
        <v>0</v>
      </c>
      <c r="L99" s="657">
        <v>0</v>
      </c>
      <c r="M99" s="657">
        <v>0</v>
      </c>
      <c r="N99" s="657">
        <v>0</v>
      </c>
      <c r="O99" s="657">
        <v>0</v>
      </c>
      <c r="P99" s="657">
        <v>0</v>
      </c>
      <c r="Q99" s="657">
        <v>0</v>
      </c>
      <c r="R99" s="657">
        <v>0</v>
      </c>
      <c r="S99" s="657">
        <v>0</v>
      </c>
      <c r="T99" s="604" t="e">
        <v>#DIV/0!</v>
      </c>
      <c r="U99" s="658">
        <v>0</v>
      </c>
      <c r="V99" s="658">
        <v>0</v>
      </c>
      <c r="W99" s="653"/>
      <c r="X99" s="653"/>
      <c r="Y99" s="653"/>
      <c r="Z99" s="653"/>
    </row>
    <row r="100" spans="1:26" x14ac:dyDescent="0.2">
      <c r="A100" s="602" t="s">
        <v>1402</v>
      </c>
      <c r="B100" s="657">
        <v>0</v>
      </c>
      <c r="C100" s="657">
        <v>0</v>
      </c>
      <c r="D100" s="657">
        <v>0</v>
      </c>
      <c r="E100" s="653"/>
      <c r="F100" s="653"/>
      <c r="G100" s="657">
        <v>0</v>
      </c>
      <c r="H100" s="657">
        <v>0</v>
      </c>
      <c r="I100" s="657">
        <v>0</v>
      </c>
      <c r="J100" s="657">
        <v>0</v>
      </c>
      <c r="K100" s="657">
        <v>0</v>
      </c>
      <c r="L100" s="657">
        <v>0</v>
      </c>
      <c r="M100" s="657">
        <v>0</v>
      </c>
      <c r="N100" s="657">
        <v>0</v>
      </c>
      <c r="O100" s="657">
        <v>0</v>
      </c>
      <c r="P100" s="657">
        <v>0</v>
      </c>
      <c r="Q100" s="657">
        <v>0</v>
      </c>
      <c r="R100" s="657">
        <v>0</v>
      </c>
      <c r="S100" s="657">
        <v>0</v>
      </c>
      <c r="T100" s="604" t="e">
        <v>#DIV/0!</v>
      </c>
      <c r="U100" s="658">
        <v>0</v>
      </c>
      <c r="V100" s="658">
        <v>0</v>
      </c>
      <c r="W100" s="653"/>
      <c r="X100" s="653"/>
      <c r="Y100" s="653"/>
      <c r="Z100" s="653"/>
    </row>
    <row r="101" spans="1:26" x14ac:dyDescent="0.2">
      <c r="A101" s="607" t="s">
        <v>1403</v>
      </c>
      <c r="B101" s="657">
        <v>0</v>
      </c>
      <c r="C101" s="657">
        <v>0</v>
      </c>
      <c r="D101" s="657">
        <v>0</v>
      </c>
      <c r="E101" s="653"/>
      <c r="F101" s="653"/>
      <c r="G101" s="657">
        <v>0</v>
      </c>
      <c r="H101" s="657">
        <v>0</v>
      </c>
      <c r="I101" s="657">
        <v>0</v>
      </c>
      <c r="J101" s="657">
        <v>0</v>
      </c>
      <c r="K101" s="657">
        <v>0</v>
      </c>
      <c r="L101" s="657">
        <v>0</v>
      </c>
      <c r="M101" s="657">
        <v>0</v>
      </c>
      <c r="N101" s="657">
        <v>0</v>
      </c>
      <c r="O101" s="657">
        <v>0</v>
      </c>
      <c r="P101" s="657">
        <v>0</v>
      </c>
      <c r="Q101" s="657">
        <v>0</v>
      </c>
      <c r="R101" s="657">
        <v>0</v>
      </c>
      <c r="S101" s="657">
        <v>0</v>
      </c>
      <c r="T101" s="604" t="e">
        <v>#DIV/0!</v>
      </c>
      <c r="U101" s="658">
        <v>0</v>
      </c>
      <c r="V101" s="658">
        <v>0</v>
      </c>
      <c r="W101" s="653"/>
      <c r="X101" s="653"/>
      <c r="Y101" s="653"/>
      <c r="Z101" s="653"/>
    </row>
    <row r="102" spans="1:26" x14ac:dyDescent="0.2">
      <c r="A102" s="607" t="s">
        <v>1404</v>
      </c>
      <c r="B102" s="657">
        <v>0</v>
      </c>
      <c r="C102" s="657">
        <v>0</v>
      </c>
      <c r="D102" s="657">
        <v>0</v>
      </c>
      <c r="E102" s="653"/>
      <c r="F102" s="653"/>
      <c r="G102" s="657">
        <v>0</v>
      </c>
      <c r="H102" s="657">
        <v>0</v>
      </c>
      <c r="I102" s="657">
        <v>0</v>
      </c>
      <c r="J102" s="657">
        <v>0</v>
      </c>
      <c r="K102" s="657">
        <v>0</v>
      </c>
      <c r="L102" s="657">
        <v>0</v>
      </c>
      <c r="M102" s="657">
        <v>0</v>
      </c>
      <c r="N102" s="657">
        <v>0</v>
      </c>
      <c r="O102" s="657">
        <v>0</v>
      </c>
      <c r="P102" s="657">
        <v>0</v>
      </c>
      <c r="Q102" s="657">
        <v>0</v>
      </c>
      <c r="R102" s="657">
        <v>0</v>
      </c>
      <c r="S102" s="657">
        <v>0</v>
      </c>
      <c r="T102" s="604" t="e">
        <v>#DIV/0!</v>
      </c>
      <c r="U102" s="658">
        <v>0</v>
      </c>
      <c r="V102" s="658">
        <v>0</v>
      </c>
      <c r="W102" s="653"/>
      <c r="X102" s="653"/>
      <c r="Y102" s="653"/>
      <c r="Z102" s="653"/>
    </row>
    <row r="103" spans="1:26" x14ac:dyDescent="0.2">
      <c r="A103" s="602" t="s">
        <v>337</v>
      </c>
      <c r="B103" s="657">
        <v>0</v>
      </c>
      <c r="C103" s="657">
        <v>0</v>
      </c>
      <c r="D103" s="657">
        <v>0</v>
      </c>
      <c r="E103" s="653"/>
      <c r="F103" s="653"/>
      <c r="G103" s="657">
        <v>0</v>
      </c>
      <c r="H103" s="657">
        <v>0</v>
      </c>
      <c r="I103" s="657">
        <v>0</v>
      </c>
      <c r="J103" s="657">
        <v>0</v>
      </c>
      <c r="K103" s="657">
        <v>0</v>
      </c>
      <c r="L103" s="657">
        <v>0</v>
      </c>
      <c r="M103" s="657">
        <v>0</v>
      </c>
      <c r="N103" s="657">
        <v>0</v>
      </c>
      <c r="O103" s="657">
        <v>0</v>
      </c>
      <c r="P103" s="657">
        <v>0</v>
      </c>
      <c r="Q103" s="657">
        <v>0</v>
      </c>
      <c r="R103" s="657">
        <v>0</v>
      </c>
      <c r="S103" s="657">
        <v>0</v>
      </c>
      <c r="T103" s="604" t="e">
        <v>#DIV/0!</v>
      </c>
      <c r="U103" s="658">
        <v>0</v>
      </c>
      <c r="V103" s="658">
        <v>0</v>
      </c>
      <c r="W103" s="653"/>
      <c r="X103" s="653"/>
      <c r="Y103" s="653"/>
      <c r="Z103" s="653"/>
    </row>
    <row r="104" spans="1:26" x14ac:dyDescent="0.2">
      <c r="A104" s="602" t="s">
        <v>338</v>
      </c>
      <c r="B104" s="657">
        <v>0</v>
      </c>
      <c r="C104" s="657">
        <v>0</v>
      </c>
      <c r="D104" s="657">
        <v>0</v>
      </c>
      <c r="E104" s="653"/>
      <c r="F104" s="653"/>
      <c r="G104" s="657">
        <v>0</v>
      </c>
      <c r="H104" s="657">
        <v>0</v>
      </c>
      <c r="I104" s="657">
        <v>0</v>
      </c>
      <c r="J104" s="657">
        <v>0</v>
      </c>
      <c r="K104" s="657">
        <v>0</v>
      </c>
      <c r="L104" s="657">
        <v>0</v>
      </c>
      <c r="M104" s="657">
        <v>0</v>
      </c>
      <c r="N104" s="657">
        <v>0</v>
      </c>
      <c r="O104" s="657">
        <v>0</v>
      </c>
      <c r="P104" s="657">
        <v>0</v>
      </c>
      <c r="Q104" s="657">
        <v>0</v>
      </c>
      <c r="R104" s="657">
        <v>0</v>
      </c>
      <c r="S104" s="657">
        <v>0</v>
      </c>
      <c r="T104" s="604" t="e">
        <v>#DIV/0!</v>
      </c>
      <c r="U104" s="658">
        <v>0</v>
      </c>
      <c r="V104" s="658">
        <v>0</v>
      </c>
      <c r="W104" s="653"/>
      <c r="X104" s="653"/>
      <c r="Y104" s="653"/>
      <c r="Z104" s="653"/>
    </row>
    <row r="105" spans="1:26" x14ac:dyDescent="0.2">
      <c r="A105" s="662" t="s">
        <v>339</v>
      </c>
      <c r="B105" s="659">
        <v>0</v>
      </c>
      <c r="C105" s="659">
        <v>0</v>
      </c>
      <c r="D105" s="659">
        <v>0</v>
      </c>
      <c r="E105" s="660"/>
      <c r="F105" s="660"/>
      <c r="G105" s="659">
        <v>0</v>
      </c>
      <c r="H105" s="659">
        <v>0</v>
      </c>
      <c r="I105" s="659">
        <v>0</v>
      </c>
      <c r="J105" s="659">
        <v>0</v>
      </c>
      <c r="K105" s="659">
        <v>0</v>
      </c>
      <c r="L105" s="659">
        <v>0</v>
      </c>
      <c r="M105" s="659">
        <v>0</v>
      </c>
      <c r="N105" s="659">
        <v>0</v>
      </c>
      <c r="O105" s="659">
        <v>0</v>
      </c>
      <c r="P105" s="659">
        <v>0</v>
      </c>
      <c r="Q105" s="659">
        <v>0</v>
      </c>
      <c r="R105" s="659">
        <v>0</v>
      </c>
      <c r="S105" s="659">
        <v>0</v>
      </c>
      <c r="T105" s="600" t="e">
        <v>#DIV/0!</v>
      </c>
      <c r="U105" s="656">
        <v>0</v>
      </c>
      <c r="V105" s="656">
        <v>0</v>
      </c>
      <c r="W105" s="660"/>
      <c r="X105" s="660"/>
      <c r="Y105" s="660"/>
      <c r="Z105" s="653"/>
    </row>
    <row r="106" spans="1:26" x14ac:dyDescent="0.2">
      <c r="A106" s="648" t="s">
        <v>340</v>
      </c>
      <c r="B106" s="649">
        <v>0</v>
      </c>
      <c r="C106" s="649">
        <v>0</v>
      </c>
      <c r="D106" s="649">
        <v>0</v>
      </c>
      <c r="E106" s="650"/>
      <c r="F106" s="650"/>
      <c r="G106" s="649">
        <v>0</v>
      </c>
      <c r="H106" s="649">
        <v>0</v>
      </c>
      <c r="I106" s="649">
        <v>0</v>
      </c>
      <c r="J106" s="649">
        <v>0</v>
      </c>
      <c r="K106" s="649">
        <v>0</v>
      </c>
      <c r="L106" s="649">
        <v>0</v>
      </c>
      <c r="M106" s="649">
        <v>0</v>
      </c>
      <c r="N106" s="649">
        <v>0</v>
      </c>
      <c r="O106" s="649">
        <v>0</v>
      </c>
      <c r="P106" s="649">
        <v>0</v>
      </c>
      <c r="Q106" s="649">
        <v>0</v>
      </c>
      <c r="R106" s="649">
        <v>0</v>
      </c>
      <c r="S106" s="649">
        <v>0</v>
      </c>
      <c r="T106" s="651" t="e">
        <v>#DIV/0!</v>
      </c>
      <c r="U106" s="652">
        <v>0</v>
      </c>
      <c r="V106" s="652">
        <v>0</v>
      </c>
      <c r="W106" s="653"/>
      <c r="X106" s="653"/>
      <c r="Y106" s="653"/>
      <c r="Z106" s="653"/>
    </row>
    <row r="107" spans="1:26" x14ac:dyDescent="0.2">
      <c r="A107" s="662" t="s">
        <v>341</v>
      </c>
      <c r="B107" s="655">
        <v>0</v>
      </c>
      <c r="C107" s="655">
        <v>0</v>
      </c>
      <c r="D107" s="655">
        <v>0</v>
      </c>
      <c r="E107" s="650"/>
      <c r="F107" s="650"/>
      <c r="G107" s="655">
        <v>0</v>
      </c>
      <c r="H107" s="655">
        <v>0</v>
      </c>
      <c r="I107" s="655">
        <v>0</v>
      </c>
      <c r="J107" s="655">
        <v>0</v>
      </c>
      <c r="K107" s="655">
        <v>0</v>
      </c>
      <c r="L107" s="655">
        <v>0</v>
      </c>
      <c r="M107" s="655">
        <v>0</v>
      </c>
      <c r="N107" s="655">
        <v>0</v>
      </c>
      <c r="O107" s="655">
        <v>0</v>
      </c>
      <c r="P107" s="655">
        <v>0</v>
      </c>
      <c r="Q107" s="655">
        <v>0</v>
      </c>
      <c r="R107" s="655">
        <v>0</v>
      </c>
      <c r="S107" s="655">
        <v>0</v>
      </c>
      <c r="T107" s="600" t="e">
        <v>#DIV/0!</v>
      </c>
      <c r="U107" s="656">
        <v>0</v>
      </c>
      <c r="V107" s="656">
        <v>0</v>
      </c>
      <c r="W107" s="653"/>
      <c r="X107" s="653"/>
      <c r="Y107" s="653"/>
      <c r="Z107" s="653"/>
    </row>
    <row r="108" spans="1:26" x14ac:dyDescent="0.2">
      <c r="A108" s="602" t="s">
        <v>342</v>
      </c>
      <c r="B108" s="657">
        <v>0</v>
      </c>
      <c r="C108" s="657">
        <v>0</v>
      </c>
      <c r="D108" s="657">
        <v>0</v>
      </c>
      <c r="E108" s="653"/>
      <c r="F108" s="653"/>
      <c r="G108" s="657">
        <v>0</v>
      </c>
      <c r="H108" s="657">
        <v>0</v>
      </c>
      <c r="I108" s="657">
        <v>0</v>
      </c>
      <c r="J108" s="657">
        <v>0</v>
      </c>
      <c r="K108" s="657">
        <v>0</v>
      </c>
      <c r="L108" s="657">
        <v>0</v>
      </c>
      <c r="M108" s="657">
        <v>0</v>
      </c>
      <c r="N108" s="657">
        <v>0</v>
      </c>
      <c r="O108" s="657">
        <v>0</v>
      </c>
      <c r="P108" s="657">
        <v>0</v>
      </c>
      <c r="Q108" s="657">
        <v>0</v>
      </c>
      <c r="R108" s="657">
        <v>0</v>
      </c>
      <c r="S108" s="657">
        <v>0</v>
      </c>
      <c r="T108" s="604" t="e">
        <v>#DIV/0!</v>
      </c>
      <c r="U108" s="658">
        <v>0</v>
      </c>
      <c r="V108" s="658">
        <v>0</v>
      </c>
      <c r="W108" s="653"/>
      <c r="X108" s="653"/>
      <c r="Y108" s="653"/>
      <c r="Z108" s="653"/>
    </row>
    <row r="109" spans="1:26" x14ac:dyDescent="0.2">
      <c r="A109" s="602" t="s">
        <v>343</v>
      </c>
      <c r="B109" s="657">
        <v>0</v>
      </c>
      <c r="C109" s="657">
        <v>0</v>
      </c>
      <c r="D109" s="657">
        <v>0</v>
      </c>
      <c r="E109" s="653"/>
      <c r="F109" s="653"/>
      <c r="G109" s="657">
        <v>0</v>
      </c>
      <c r="H109" s="657">
        <v>0</v>
      </c>
      <c r="I109" s="657">
        <v>0</v>
      </c>
      <c r="J109" s="657">
        <v>0</v>
      </c>
      <c r="K109" s="657">
        <v>0</v>
      </c>
      <c r="L109" s="657">
        <v>0</v>
      </c>
      <c r="M109" s="657">
        <v>0</v>
      </c>
      <c r="N109" s="657">
        <v>0</v>
      </c>
      <c r="O109" s="657">
        <v>0</v>
      </c>
      <c r="P109" s="657">
        <v>0</v>
      </c>
      <c r="Q109" s="657">
        <v>0</v>
      </c>
      <c r="R109" s="657">
        <v>0</v>
      </c>
      <c r="S109" s="657">
        <v>0</v>
      </c>
      <c r="T109" s="604" t="e">
        <v>#DIV/0!</v>
      </c>
      <c r="U109" s="658">
        <v>0</v>
      </c>
      <c r="V109" s="658">
        <v>0</v>
      </c>
      <c r="W109" s="653"/>
      <c r="X109" s="653"/>
      <c r="Y109" s="653"/>
      <c r="Z109" s="653"/>
    </row>
    <row r="110" spans="1:26" x14ac:dyDescent="0.2">
      <c r="A110" s="602" t="s">
        <v>344</v>
      </c>
      <c r="B110" s="657">
        <v>0</v>
      </c>
      <c r="C110" s="657">
        <v>0</v>
      </c>
      <c r="D110" s="657">
        <v>0</v>
      </c>
      <c r="E110" s="653"/>
      <c r="F110" s="653"/>
      <c r="G110" s="657">
        <v>0</v>
      </c>
      <c r="H110" s="657">
        <v>0</v>
      </c>
      <c r="I110" s="657">
        <v>0</v>
      </c>
      <c r="J110" s="657">
        <v>0</v>
      </c>
      <c r="K110" s="657">
        <v>0</v>
      </c>
      <c r="L110" s="657">
        <v>0</v>
      </c>
      <c r="M110" s="657">
        <v>0</v>
      </c>
      <c r="N110" s="657">
        <v>0</v>
      </c>
      <c r="O110" s="657">
        <v>0</v>
      </c>
      <c r="P110" s="657">
        <v>0</v>
      </c>
      <c r="Q110" s="657">
        <v>0</v>
      </c>
      <c r="R110" s="657">
        <v>0</v>
      </c>
      <c r="S110" s="657">
        <v>0</v>
      </c>
      <c r="T110" s="604" t="e">
        <v>#DIV/0!</v>
      </c>
      <c r="U110" s="658">
        <v>0</v>
      </c>
      <c r="V110" s="658">
        <v>0</v>
      </c>
      <c r="W110" s="653"/>
      <c r="X110" s="653"/>
      <c r="Y110" s="653"/>
      <c r="Z110" s="653"/>
    </row>
    <row r="111" spans="1:26" x14ac:dyDescent="0.2">
      <c r="A111" s="602" t="s">
        <v>345</v>
      </c>
      <c r="B111" s="657">
        <v>0</v>
      </c>
      <c r="C111" s="657">
        <v>0</v>
      </c>
      <c r="D111" s="657">
        <v>0</v>
      </c>
      <c r="E111" s="653"/>
      <c r="F111" s="653"/>
      <c r="G111" s="657">
        <v>0</v>
      </c>
      <c r="H111" s="657">
        <v>0</v>
      </c>
      <c r="I111" s="657">
        <v>0</v>
      </c>
      <c r="J111" s="657">
        <v>0</v>
      </c>
      <c r="K111" s="657">
        <v>0</v>
      </c>
      <c r="L111" s="657">
        <v>0</v>
      </c>
      <c r="M111" s="657">
        <v>0</v>
      </c>
      <c r="N111" s="657">
        <v>0</v>
      </c>
      <c r="O111" s="657">
        <v>0</v>
      </c>
      <c r="P111" s="657">
        <v>0</v>
      </c>
      <c r="Q111" s="657">
        <v>0</v>
      </c>
      <c r="R111" s="657">
        <v>0</v>
      </c>
      <c r="S111" s="657">
        <v>0</v>
      </c>
      <c r="T111" s="604" t="e">
        <v>#DIV/0!</v>
      </c>
      <c r="U111" s="658">
        <v>0</v>
      </c>
      <c r="V111" s="658">
        <v>0</v>
      </c>
      <c r="W111" s="653"/>
      <c r="X111" s="653"/>
      <c r="Y111" s="653"/>
      <c r="Z111" s="653"/>
    </row>
    <row r="112" spans="1:26" x14ac:dyDescent="0.2">
      <c r="A112" s="602" t="s">
        <v>346</v>
      </c>
      <c r="B112" s="657">
        <v>0</v>
      </c>
      <c r="C112" s="657">
        <v>0</v>
      </c>
      <c r="D112" s="657">
        <v>0</v>
      </c>
      <c r="E112" s="653"/>
      <c r="F112" s="653"/>
      <c r="G112" s="657">
        <v>0</v>
      </c>
      <c r="H112" s="657">
        <v>0</v>
      </c>
      <c r="I112" s="657">
        <v>0</v>
      </c>
      <c r="J112" s="657">
        <v>0</v>
      </c>
      <c r="K112" s="657">
        <v>0</v>
      </c>
      <c r="L112" s="657">
        <v>0</v>
      </c>
      <c r="M112" s="657">
        <v>0</v>
      </c>
      <c r="N112" s="657">
        <v>0</v>
      </c>
      <c r="O112" s="657">
        <v>0</v>
      </c>
      <c r="P112" s="657">
        <v>0</v>
      </c>
      <c r="Q112" s="657">
        <v>0</v>
      </c>
      <c r="R112" s="657">
        <v>0</v>
      </c>
      <c r="S112" s="657">
        <v>0</v>
      </c>
      <c r="T112" s="604" t="e">
        <v>#DIV/0!</v>
      </c>
      <c r="U112" s="658">
        <v>0</v>
      </c>
      <c r="V112" s="658">
        <v>0</v>
      </c>
      <c r="W112" s="653"/>
      <c r="X112" s="653"/>
      <c r="Y112" s="653"/>
      <c r="Z112" s="653"/>
    </row>
    <row r="113" spans="1:26" x14ac:dyDescent="0.2">
      <c r="A113" s="602" t="s">
        <v>347</v>
      </c>
      <c r="B113" s="657">
        <v>0</v>
      </c>
      <c r="C113" s="657">
        <v>0</v>
      </c>
      <c r="D113" s="657">
        <v>0</v>
      </c>
      <c r="E113" s="653"/>
      <c r="F113" s="653"/>
      <c r="G113" s="657">
        <v>0</v>
      </c>
      <c r="H113" s="657">
        <v>0</v>
      </c>
      <c r="I113" s="657">
        <v>0</v>
      </c>
      <c r="J113" s="657">
        <v>0</v>
      </c>
      <c r="K113" s="657">
        <v>0</v>
      </c>
      <c r="L113" s="657">
        <v>0</v>
      </c>
      <c r="M113" s="657">
        <v>0</v>
      </c>
      <c r="N113" s="657">
        <v>0</v>
      </c>
      <c r="O113" s="657">
        <v>0</v>
      </c>
      <c r="P113" s="657">
        <v>0</v>
      </c>
      <c r="Q113" s="657">
        <v>0</v>
      </c>
      <c r="R113" s="657">
        <v>0</v>
      </c>
      <c r="S113" s="657">
        <v>0</v>
      </c>
      <c r="T113" s="604" t="e">
        <v>#DIV/0!</v>
      </c>
      <c r="U113" s="658">
        <v>0</v>
      </c>
      <c r="V113" s="658">
        <v>0</v>
      </c>
      <c r="W113" s="653"/>
      <c r="X113" s="653"/>
      <c r="Y113" s="653"/>
      <c r="Z113" s="653"/>
    </row>
    <row r="114" spans="1:26" x14ac:dyDescent="0.2">
      <c r="A114" s="602" t="s">
        <v>348</v>
      </c>
      <c r="B114" s="657">
        <v>0</v>
      </c>
      <c r="C114" s="657">
        <v>0</v>
      </c>
      <c r="D114" s="657">
        <v>0</v>
      </c>
      <c r="E114" s="653"/>
      <c r="F114" s="653"/>
      <c r="G114" s="657">
        <v>0</v>
      </c>
      <c r="H114" s="657">
        <v>0</v>
      </c>
      <c r="I114" s="657">
        <v>0</v>
      </c>
      <c r="J114" s="657">
        <v>0</v>
      </c>
      <c r="K114" s="657">
        <v>0</v>
      </c>
      <c r="L114" s="657">
        <v>0</v>
      </c>
      <c r="M114" s="657">
        <v>0</v>
      </c>
      <c r="N114" s="657">
        <v>0</v>
      </c>
      <c r="O114" s="657">
        <v>0</v>
      </c>
      <c r="P114" s="657">
        <v>0</v>
      </c>
      <c r="Q114" s="657">
        <v>0</v>
      </c>
      <c r="R114" s="657">
        <v>0</v>
      </c>
      <c r="S114" s="657">
        <v>0</v>
      </c>
      <c r="T114" s="604" t="e">
        <v>#DIV/0!</v>
      </c>
      <c r="U114" s="658">
        <v>0</v>
      </c>
      <c r="V114" s="658">
        <v>0</v>
      </c>
      <c r="W114" s="653"/>
      <c r="X114" s="653"/>
      <c r="Y114" s="653"/>
      <c r="Z114" s="653"/>
    </row>
    <row r="115" spans="1:26" x14ac:dyDescent="0.2">
      <c r="A115" s="602" t="s">
        <v>349</v>
      </c>
      <c r="B115" s="657">
        <v>0</v>
      </c>
      <c r="C115" s="657">
        <v>0</v>
      </c>
      <c r="D115" s="657">
        <v>0</v>
      </c>
      <c r="E115" s="653"/>
      <c r="F115" s="653"/>
      <c r="G115" s="657">
        <v>0</v>
      </c>
      <c r="H115" s="657">
        <v>0</v>
      </c>
      <c r="I115" s="657">
        <v>0</v>
      </c>
      <c r="J115" s="657">
        <v>0</v>
      </c>
      <c r="K115" s="657">
        <v>0</v>
      </c>
      <c r="L115" s="657">
        <v>0</v>
      </c>
      <c r="M115" s="657">
        <v>0</v>
      </c>
      <c r="N115" s="657">
        <v>0</v>
      </c>
      <c r="O115" s="657">
        <v>0</v>
      </c>
      <c r="P115" s="657">
        <v>0</v>
      </c>
      <c r="Q115" s="657">
        <v>0</v>
      </c>
      <c r="R115" s="657">
        <v>0</v>
      </c>
      <c r="S115" s="657">
        <v>0</v>
      </c>
      <c r="T115" s="604" t="e">
        <v>#DIV/0!</v>
      </c>
      <c r="U115" s="658">
        <v>0</v>
      </c>
      <c r="V115" s="658">
        <v>0</v>
      </c>
      <c r="W115" s="653"/>
      <c r="X115" s="653"/>
      <c r="Y115" s="653"/>
      <c r="Z115" s="653"/>
    </row>
    <row r="116" spans="1:26" x14ac:dyDescent="0.2">
      <c r="A116" s="602" t="s">
        <v>350</v>
      </c>
      <c r="B116" s="657">
        <v>0</v>
      </c>
      <c r="C116" s="657">
        <v>0</v>
      </c>
      <c r="D116" s="657">
        <v>0</v>
      </c>
      <c r="E116" s="653"/>
      <c r="F116" s="653"/>
      <c r="G116" s="657">
        <v>0</v>
      </c>
      <c r="H116" s="657">
        <v>0</v>
      </c>
      <c r="I116" s="657">
        <v>0</v>
      </c>
      <c r="J116" s="657">
        <v>0</v>
      </c>
      <c r="K116" s="657">
        <v>0</v>
      </c>
      <c r="L116" s="657">
        <v>0</v>
      </c>
      <c r="M116" s="657">
        <v>0</v>
      </c>
      <c r="N116" s="657">
        <v>0</v>
      </c>
      <c r="O116" s="657">
        <v>0</v>
      </c>
      <c r="P116" s="657">
        <v>0</v>
      </c>
      <c r="Q116" s="657">
        <v>0</v>
      </c>
      <c r="R116" s="657">
        <v>0</v>
      </c>
      <c r="S116" s="657">
        <v>0</v>
      </c>
      <c r="T116" s="604" t="e">
        <v>#DIV/0!</v>
      </c>
      <c r="U116" s="658">
        <v>0</v>
      </c>
      <c r="V116" s="658">
        <v>0</v>
      </c>
      <c r="W116" s="653"/>
      <c r="X116" s="653"/>
      <c r="Y116" s="653"/>
      <c r="Z116" s="653"/>
    </row>
    <row r="117" spans="1:26" x14ac:dyDescent="0.2">
      <c r="A117" s="602" t="s">
        <v>351</v>
      </c>
      <c r="B117" s="657">
        <v>0</v>
      </c>
      <c r="C117" s="657">
        <v>0</v>
      </c>
      <c r="D117" s="657">
        <v>0</v>
      </c>
      <c r="E117" s="653"/>
      <c r="F117" s="653"/>
      <c r="G117" s="657">
        <v>0</v>
      </c>
      <c r="H117" s="657">
        <v>0</v>
      </c>
      <c r="I117" s="657">
        <v>0</v>
      </c>
      <c r="J117" s="657">
        <v>0</v>
      </c>
      <c r="K117" s="657">
        <v>0</v>
      </c>
      <c r="L117" s="657">
        <v>0</v>
      </c>
      <c r="M117" s="657">
        <v>0</v>
      </c>
      <c r="N117" s="657">
        <v>0</v>
      </c>
      <c r="O117" s="657">
        <v>0</v>
      </c>
      <c r="P117" s="657">
        <v>0</v>
      </c>
      <c r="Q117" s="657">
        <v>0</v>
      </c>
      <c r="R117" s="657">
        <v>0</v>
      </c>
      <c r="S117" s="657">
        <v>0</v>
      </c>
      <c r="T117" s="604" t="e">
        <v>#DIV/0!</v>
      </c>
      <c r="U117" s="658">
        <v>0</v>
      </c>
      <c r="V117" s="658">
        <v>0</v>
      </c>
      <c r="W117" s="653"/>
      <c r="X117" s="653"/>
      <c r="Y117" s="653"/>
      <c r="Z117" s="653"/>
    </row>
    <row r="118" spans="1:26" x14ac:dyDescent="0.2">
      <c r="A118" s="597" t="s">
        <v>352</v>
      </c>
      <c r="B118" s="655">
        <v>0</v>
      </c>
      <c r="C118" s="655">
        <v>0</v>
      </c>
      <c r="D118" s="655">
        <v>0</v>
      </c>
      <c r="E118" s="650"/>
      <c r="F118" s="650"/>
      <c r="G118" s="655">
        <v>0</v>
      </c>
      <c r="H118" s="655">
        <v>0</v>
      </c>
      <c r="I118" s="655">
        <v>0</v>
      </c>
      <c r="J118" s="655">
        <v>0</v>
      </c>
      <c r="K118" s="655">
        <v>0</v>
      </c>
      <c r="L118" s="655">
        <v>0</v>
      </c>
      <c r="M118" s="655">
        <v>0</v>
      </c>
      <c r="N118" s="655">
        <v>0</v>
      </c>
      <c r="O118" s="655">
        <v>0</v>
      </c>
      <c r="P118" s="655">
        <v>0</v>
      </c>
      <c r="Q118" s="655">
        <v>0</v>
      </c>
      <c r="R118" s="655">
        <v>0</v>
      </c>
      <c r="S118" s="655">
        <v>0</v>
      </c>
      <c r="T118" s="600" t="e">
        <v>#DIV/0!</v>
      </c>
      <c r="U118" s="656">
        <v>0</v>
      </c>
      <c r="V118" s="656">
        <v>0</v>
      </c>
      <c r="W118" s="653"/>
      <c r="X118" s="653"/>
      <c r="Y118" s="653"/>
      <c r="Z118" s="653"/>
    </row>
    <row r="119" spans="1:26" x14ac:dyDescent="0.2">
      <c r="A119" s="602" t="s">
        <v>353</v>
      </c>
      <c r="B119" s="657">
        <v>0</v>
      </c>
      <c r="C119" s="657">
        <v>0</v>
      </c>
      <c r="D119" s="657">
        <v>0</v>
      </c>
      <c r="E119" s="653"/>
      <c r="F119" s="653"/>
      <c r="G119" s="657">
        <v>0</v>
      </c>
      <c r="H119" s="657">
        <v>0</v>
      </c>
      <c r="I119" s="657">
        <v>0</v>
      </c>
      <c r="J119" s="657">
        <v>0</v>
      </c>
      <c r="K119" s="657">
        <v>0</v>
      </c>
      <c r="L119" s="657">
        <v>0</v>
      </c>
      <c r="M119" s="657">
        <v>0</v>
      </c>
      <c r="N119" s="657">
        <v>0</v>
      </c>
      <c r="O119" s="657">
        <v>0</v>
      </c>
      <c r="P119" s="657">
        <v>0</v>
      </c>
      <c r="Q119" s="657">
        <v>0</v>
      </c>
      <c r="R119" s="657">
        <v>0</v>
      </c>
      <c r="S119" s="657">
        <v>0</v>
      </c>
      <c r="T119" s="604" t="e">
        <v>#DIV/0!</v>
      </c>
      <c r="U119" s="658">
        <v>0</v>
      </c>
      <c r="V119" s="658">
        <v>0</v>
      </c>
      <c r="W119" s="653"/>
      <c r="X119" s="653"/>
      <c r="Y119" s="653"/>
      <c r="Z119" s="653"/>
    </row>
    <row r="120" spans="1:26" x14ac:dyDescent="0.2">
      <c r="A120" s="602" t="s">
        <v>354</v>
      </c>
      <c r="B120" s="657">
        <v>0</v>
      </c>
      <c r="C120" s="657">
        <v>0</v>
      </c>
      <c r="D120" s="657">
        <v>0</v>
      </c>
      <c r="E120" s="653"/>
      <c r="F120" s="653"/>
      <c r="G120" s="657">
        <v>0</v>
      </c>
      <c r="H120" s="657">
        <v>0</v>
      </c>
      <c r="I120" s="657">
        <v>0</v>
      </c>
      <c r="J120" s="657">
        <v>0</v>
      </c>
      <c r="K120" s="657">
        <v>0</v>
      </c>
      <c r="L120" s="657">
        <v>0</v>
      </c>
      <c r="M120" s="657">
        <v>0</v>
      </c>
      <c r="N120" s="657">
        <v>0</v>
      </c>
      <c r="O120" s="657">
        <v>0</v>
      </c>
      <c r="P120" s="657">
        <v>0</v>
      </c>
      <c r="Q120" s="657">
        <v>0</v>
      </c>
      <c r="R120" s="657">
        <v>0</v>
      </c>
      <c r="S120" s="657">
        <v>0</v>
      </c>
      <c r="T120" s="604" t="e">
        <v>#DIV/0!</v>
      </c>
      <c r="U120" s="658">
        <v>0</v>
      </c>
      <c r="V120" s="658">
        <v>0</v>
      </c>
      <c r="W120" s="653"/>
      <c r="X120" s="653"/>
      <c r="Y120" s="653"/>
      <c r="Z120" s="653"/>
    </row>
    <row r="121" spans="1:26" x14ac:dyDescent="0.2">
      <c r="A121" s="602" t="s">
        <v>355</v>
      </c>
      <c r="B121" s="657">
        <v>0</v>
      </c>
      <c r="C121" s="657">
        <v>0</v>
      </c>
      <c r="D121" s="657">
        <v>0</v>
      </c>
      <c r="E121" s="653"/>
      <c r="F121" s="653"/>
      <c r="G121" s="657">
        <v>0</v>
      </c>
      <c r="H121" s="657">
        <v>0</v>
      </c>
      <c r="I121" s="657">
        <v>0</v>
      </c>
      <c r="J121" s="657">
        <v>0</v>
      </c>
      <c r="K121" s="657">
        <v>0</v>
      </c>
      <c r="L121" s="657">
        <v>0</v>
      </c>
      <c r="M121" s="657">
        <v>0</v>
      </c>
      <c r="N121" s="657">
        <v>0</v>
      </c>
      <c r="O121" s="657">
        <v>0</v>
      </c>
      <c r="P121" s="657">
        <v>0</v>
      </c>
      <c r="Q121" s="657">
        <v>0</v>
      </c>
      <c r="R121" s="657">
        <v>0</v>
      </c>
      <c r="S121" s="657">
        <v>0</v>
      </c>
      <c r="T121" s="604" t="e">
        <v>#DIV/0!</v>
      </c>
      <c r="U121" s="658">
        <v>0</v>
      </c>
      <c r="V121" s="658">
        <v>0</v>
      </c>
      <c r="W121" s="653"/>
      <c r="X121" s="653"/>
      <c r="Y121" s="653"/>
      <c r="Z121" s="653"/>
    </row>
    <row r="122" spans="1:26" x14ac:dyDescent="0.2">
      <c r="A122" s="602" t="s">
        <v>356</v>
      </c>
      <c r="B122" s="657">
        <v>0</v>
      </c>
      <c r="C122" s="657">
        <v>0</v>
      </c>
      <c r="D122" s="657">
        <v>0</v>
      </c>
      <c r="E122" s="653"/>
      <c r="F122" s="653"/>
      <c r="G122" s="657">
        <v>0</v>
      </c>
      <c r="H122" s="657">
        <v>0</v>
      </c>
      <c r="I122" s="657">
        <v>0</v>
      </c>
      <c r="J122" s="657">
        <v>0</v>
      </c>
      <c r="K122" s="657">
        <v>0</v>
      </c>
      <c r="L122" s="657">
        <v>0</v>
      </c>
      <c r="M122" s="657">
        <v>0</v>
      </c>
      <c r="N122" s="657">
        <v>0</v>
      </c>
      <c r="O122" s="657">
        <v>0</v>
      </c>
      <c r="P122" s="657">
        <v>0</v>
      </c>
      <c r="Q122" s="657">
        <v>0</v>
      </c>
      <c r="R122" s="657">
        <v>0</v>
      </c>
      <c r="S122" s="657">
        <v>0</v>
      </c>
      <c r="T122" s="604" t="e">
        <v>#DIV/0!</v>
      </c>
      <c r="U122" s="658">
        <v>0</v>
      </c>
      <c r="V122" s="658">
        <v>0</v>
      </c>
      <c r="W122" s="653"/>
      <c r="X122" s="653"/>
      <c r="Y122" s="653"/>
      <c r="Z122" s="653"/>
    </row>
    <row r="123" spans="1:26" x14ac:dyDescent="0.2">
      <c r="A123" s="602" t="s">
        <v>357</v>
      </c>
      <c r="B123" s="657">
        <v>0</v>
      </c>
      <c r="C123" s="657">
        <v>0</v>
      </c>
      <c r="D123" s="657">
        <v>0</v>
      </c>
      <c r="E123" s="653"/>
      <c r="F123" s="653"/>
      <c r="G123" s="657">
        <v>0</v>
      </c>
      <c r="H123" s="657">
        <v>0</v>
      </c>
      <c r="I123" s="657">
        <v>0</v>
      </c>
      <c r="J123" s="657">
        <v>0</v>
      </c>
      <c r="K123" s="657">
        <v>0</v>
      </c>
      <c r="L123" s="657">
        <v>0</v>
      </c>
      <c r="M123" s="657">
        <v>0</v>
      </c>
      <c r="N123" s="657">
        <v>0</v>
      </c>
      <c r="O123" s="657">
        <v>0</v>
      </c>
      <c r="P123" s="657">
        <v>0</v>
      </c>
      <c r="Q123" s="657">
        <v>0</v>
      </c>
      <c r="R123" s="657">
        <v>0</v>
      </c>
      <c r="S123" s="657">
        <v>0</v>
      </c>
      <c r="T123" s="604" t="e">
        <v>#DIV/0!</v>
      </c>
      <c r="U123" s="658">
        <v>0</v>
      </c>
      <c r="V123" s="658">
        <v>0</v>
      </c>
      <c r="W123" s="653"/>
      <c r="X123" s="653"/>
      <c r="Y123" s="653"/>
      <c r="Z123" s="653"/>
    </row>
    <row r="124" spans="1:26" x14ac:dyDescent="0.2">
      <c r="A124" s="602" t="s">
        <v>358</v>
      </c>
      <c r="B124" s="657">
        <v>0</v>
      </c>
      <c r="C124" s="657">
        <v>0</v>
      </c>
      <c r="D124" s="657">
        <v>0</v>
      </c>
      <c r="E124" s="653"/>
      <c r="F124" s="653"/>
      <c r="G124" s="657">
        <v>0</v>
      </c>
      <c r="H124" s="657">
        <v>0</v>
      </c>
      <c r="I124" s="657">
        <v>0</v>
      </c>
      <c r="J124" s="657">
        <v>0</v>
      </c>
      <c r="K124" s="657">
        <v>0</v>
      </c>
      <c r="L124" s="657">
        <v>0</v>
      </c>
      <c r="M124" s="657">
        <v>0</v>
      </c>
      <c r="N124" s="657">
        <v>0</v>
      </c>
      <c r="O124" s="657">
        <v>0</v>
      </c>
      <c r="P124" s="657">
        <v>0</v>
      </c>
      <c r="Q124" s="657">
        <v>0</v>
      </c>
      <c r="R124" s="657">
        <v>0</v>
      </c>
      <c r="S124" s="657">
        <v>0</v>
      </c>
      <c r="T124" s="604" t="e">
        <v>#DIV/0!</v>
      </c>
      <c r="U124" s="658">
        <v>0</v>
      </c>
      <c r="V124" s="658">
        <v>0</v>
      </c>
      <c r="W124" s="653"/>
      <c r="X124" s="653"/>
      <c r="Y124" s="653"/>
      <c r="Z124" s="653"/>
    </row>
    <row r="125" spans="1:26" x14ac:dyDescent="0.2">
      <c r="A125" s="602" t="s">
        <v>359</v>
      </c>
      <c r="B125" s="657">
        <v>0</v>
      </c>
      <c r="C125" s="657">
        <v>0</v>
      </c>
      <c r="D125" s="657">
        <v>0</v>
      </c>
      <c r="E125" s="653"/>
      <c r="F125" s="653"/>
      <c r="G125" s="657">
        <v>0</v>
      </c>
      <c r="H125" s="657">
        <v>0</v>
      </c>
      <c r="I125" s="657">
        <v>0</v>
      </c>
      <c r="J125" s="657">
        <v>0</v>
      </c>
      <c r="K125" s="657">
        <v>0</v>
      </c>
      <c r="L125" s="657">
        <v>0</v>
      </c>
      <c r="M125" s="657">
        <v>0</v>
      </c>
      <c r="N125" s="657">
        <v>0</v>
      </c>
      <c r="O125" s="657">
        <v>0</v>
      </c>
      <c r="P125" s="657">
        <v>0</v>
      </c>
      <c r="Q125" s="657">
        <v>0</v>
      </c>
      <c r="R125" s="657">
        <v>0</v>
      </c>
      <c r="S125" s="657">
        <v>0</v>
      </c>
      <c r="T125" s="604" t="e">
        <v>#DIV/0!</v>
      </c>
      <c r="U125" s="658">
        <v>0</v>
      </c>
      <c r="V125" s="658">
        <v>0</v>
      </c>
      <c r="W125" s="653"/>
      <c r="X125" s="653"/>
      <c r="Y125" s="653"/>
      <c r="Z125" s="653"/>
    </row>
    <row r="126" spans="1:26" x14ac:dyDescent="0.2">
      <c r="A126" s="602" t="s">
        <v>360</v>
      </c>
      <c r="B126" s="657">
        <v>0</v>
      </c>
      <c r="C126" s="657">
        <v>0</v>
      </c>
      <c r="D126" s="657">
        <v>0</v>
      </c>
      <c r="E126" s="653"/>
      <c r="F126" s="653"/>
      <c r="G126" s="657">
        <v>0</v>
      </c>
      <c r="H126" s="657">
        <v>0</v>
      </c>
      <c r="I126" s="657">
        <v>0</v>
      </c>
      <c r="J126" s="657">
        <v>0</v>
      </c>
      <c r="K126" s="657">
        <v>0</v>
      </c>
      <c r="L126" s="657">
        <v>0</v>
      </c>
      <c r="M126" s="657">
        <v>0</v>
      </c>
      <c r="N126" s="657">
        <v>0</v>
      </c>
      <c r="O126" s="657">
        <v>0</v>
      </c>
      <c r="P126" s="657">
        <v>0</v>
      </c>
      <c r="Q126" s="657">
        <v>0</v>
      </c>
      <c r="R126" s="657">
        <v>0</v>
      </c>
      <c r="S126" s="657">
        <v>0</v>
      </c>
      <c r="T126" s="604" t="e">
        <v>#DIV/0!</v>
      </c>
      <c r="U126" s="658">
        <v>0</v>
      </c>
      <c r="V126" s="658">
        <v>0</v>
      </c>
      <c r="W126" s="653"/>
      <c r="X126" s="653"/>
      <c r="Y126" s="653"/>
      <c r="Z126" s="653"/>
    </row>
    <row r="127" spans="1:26" x14ac:dyDescent="0.2">
      <c r="A127" s="602" t="s">
        <v>361</v>
      </c>
      <c r="B127" s="657">
        <v>0</v>
      </c>
      <c r="C127" s="657">
        <v>0</v>
      </c>
      <c r="D127" s="657">
        <v>0</v>
      </c>
      <c r="E127" s="653"/>
      <c r="F127" s="653"/>
      <c r="G127" s="657">
        <v>0</v>
      </c>
      <c r="H127" s="657">
        <v>0</v>
      </c>
      <c r="I127" s="657">
        <v>0</v>
      </c>
      <c r="J127" s="657">
        <v>0</v>
      </c>
      <c r="K127" s="657">
        <v>0</v>
      </c>
      <c r="L127" s="657">
        <v>0</v>
      </c>
      <c r="M127" s="657">
        <v>0</v>
      </c>
      <c r="N127" s="657">
        <v>0</v>
      </c>
      <c r="O127" s="657">
        <v>0</v>
      </c>
      <c r="P127" s="657">
        <v>0</v>
      </c>
      <c r="Q127" s="657">
        <v>0</v>
      </c>
      <c r="R127" s="657">
        <v>0</v>
      </c>
      <c r="S127" s="657">
        <v>0</v>
      </c>
      <c r="T127" s="604" t="e">
        <v>#DIV/0!</v>
      </c>
      <c r="U127" s="658">
        <v>0</v>
      </c>
      <c r="V127" s="658">
        <v>0</v>
      </c>
      <c r="W127" s="653"/>
      <c r="X127" s="653"/>
      <c r="Y127" s="653"/>
      <c r="Z127" s="653"/>
    </row>
    <row r="128" spans="1:26" x14ac:dyDescent="0.2">
      <c r="A128" s="602" t="s">
        <v>362</v>
      </c>
      <c r="B128" s="657">
        <v>0</v>
      </c>
      <c r="C128" s="657">
        <v>0</v>
      </c>
      <c r="D128" s="657">
        <v>0</v>
      </c>
      <c r="E128" s="653"/>
      <c r="F128" s="653"/>
      <c r="G128" s="657">
        <v>0</v>
      </c>
      <c r="H128" s="657">
        <v>0</v>
      </c>
      <c r="I128" s="657">
        <v>0</v>
      </c>
      <c r="J128" s="657">
        <v>0</v>
      </c>
      <c r="K128" s="657">
        <v>0</v>
      </c>
      <c r="L128" s="657">
        <v>0</v>
      </c>
      <c r="M128" s="657">
        <v>0</v>
      </c>
      <c r="N128" s="657">
        <v>0</v>
      </c>
      <c r="O128" s="657">
        <v>0</v>
      </c>
      <c r="P128" s="657">
        <v>0</v>
      </c>
      <c r="Q128" s="657">
        <v>0</v>
      </c>
      <c r="R128" s="657">
        <v>0</v>
      </c>
      <c r="S128" s="657">
        <v>0</v>
      </c>
      <c r="T128" s="604" t="e">
        <v>#DIV/0!</v>
      </c>
      <c r="U128" s="658">
        <v>0</v>
      </c>
      <c r="V128" s="658">
        <v>0</v>
      </c>
      <c r="W128" s="653"/>
      <c r="X128" s="653"/>
      <c r="Y128" s="653"/>
      <c r="Z128" s="653"/>
    </row>
    <row r="129" spans="1:26" x14ac:dyDescent="0.2">
      <c r="A129" s="602" t="s">
        <v>363</v>
      </c>
      <c r="B129" s="657">
        <v>0</v>
      </c>
      <c r="C129" s="657">
        <v>0</v>
      </c>
      <c r="D129" s="657">
        <v>0</v>
      </c>
      <c r="E129" s="653"/>
      <c r="F129" s="653"/>
      <c r="G129" s="657">
        <v>0</v>
      </c>
      <c r="H129" s="657">
        <v>0</v>
      </c>
      <c r="I129" s="657">
        <v>0</v>
      </c>
      <c r="J129" s="657">
        <v>0</v>
      </c>
      <c r="K129" s="657">
        <v>0</v>
      </c>
      <c r="L129" s="657">
        <v>0</v>
      </c>
      <c r="M129" s="657">
        <v>0</v>
      </c>
      <c r="N129" s="657">
        <v>0</v>
      </c>
      <c r="O129" s="657">
        <v>0</v>
      </c>
      <c r="P129" s="657">
        <v>0</v>
      </c>
      <c r="Q129" s="657">
        <v>0</v>
      </c>
      <c r="R129" s="657">
        <v>0</v>
      </c>
      <c r="S129" s="657">
        <v>0</v>
      </c>
      <c r="T129" s="604" t="e">
        <v>#DIV/0!</v>
      </c>
      <c r="U129" s="658">
        <v>0</v>
      </c>
      <c r="V129" s="658">
        <v>0</v>
      </c>
      <c r="W129" s="653"/>
      <c r="X129" s="653"/>
      <c r="Y129" s="653"/>
      <c r="Z129" s="653"/>
    </row>
    <row r="130" spans="1:26" x14ac:dyDescent="0.2">
      <c r="A130" s="602" t="s">
        <v>364</v>
      </c>
      <c r="B130" s="657">
        <v>0</v>
      </c>
      <c r="C130" s="657">
        <v>0</v>
      </c>
      <c r="D130" s="657">
        <v>0</v>
      </c>
      <c r="E130" s="653"/>
      <c r="F130" s="653"/>
      <c r="G130" s="657">
        <v>0</v>
      </c>
      <c r="H130" s="657">
        <v>0</v>
      </c>
      <c r="I130" s="657">
        <v>0</v>
      </c>
      <c r="J130" s="657">
        <v>0</v>
      </c>
      <c r="K130" s="657">
        <v>0</v>
      </c>
      <c r="L130" s="657">
        <v>0</v>
      </c>
      <c r="M130" s="657">
        <v>0</v>
      </c>
      <c r="N130" s="657">
        <v>0</v>
      </c>
      <c r="O130" s="657">
        <v>0</v>
      </c>
      <c r="P130" s="657">
        <v>0</v>
      </c>
      <c r="Q130" s="657">
        <v>0</v>
      </c>
      <c r="R130" s="657">
        <v>0</v>
      </c>
      <c r="S130" s="657">
        <v>0</v>
      </c>
      <c r="T130" s="604" t="e">
        <v>#DIV/0!</v>
      </c>
      <c r="U130" s="658">
        <v>0</v>
      </c>
      <c r="V130" s="658">
        <v>0</v>
      </c>
      <c r="W130" s="653"/>
      <c r="X130" s="653"/>
      <c r="Y130" s="653"/>
      <c r="Z130" s="653"/>
    </row>
    <row r="131" spans="1:26" x14ac:dyDescent="0.2">
      <c r="A131" s="602" t="s">
        <v>365</v>
      </c>
      <c r="B131" s="657">
        <v>0</v>
      </c>
      <c r="C131" s="657">
        <v>0</v>
      </c>
      <c r="D131" s="657">
        <v>0</v>
      </c>
      <c r="E131" s="653"/>
      <c r="F131" s="653"/>
      <c r="G131" s="657">
        <v>0</v>
      </c>
      <c r="H131" s="657">
        <v>0</v>
      </c>
      <c r="I131" s="657">
        <v>0</v>
      </c>
      <c r="J131" s="657">
        <v>0</v>
      </c>
      <c r="K131" s="657">
        <v>0</v>
      </c>
      <c r="L131" s="657">
        <v>0</v>
      </c>
      <c r="M131" s="657">
        <v>0</v>
      </c>
      <c r="N131" s="657">
        <v>0</v>
      </c>
      <c r="O131" s="657">
        <v>0</v>
      </c>
      <c r="P131" s="657">
        <v>0</v>
      </c>
      <c r="Q131" s="657">
        <v>0</v>
      </c>
      <c r="R131" s="657">
        <v>0</v>
      </c>
      <c r="S131" s="657">
        <v>0</v>
      </c>
      <c r="T131" s="604" t="e">
        <v>#DIV/0!</v>
      </c>
      <c r="U131" s="658">
        <v>0</v>
      </c>
      <c r="V131" s="658">
        <v>0</v>
      </c>
      <c r="W131" s="653"/>
      <c r="X131" s="653"/>
      <c r="Y131" s="653"/>
      <c r="Z131" s="653"/>
    </row>
    <row r="132" spans="1:26" x14ac:dyDescent="0.2">
      <c r="A132" s="602" t="s">
        <v>366</v>
      </c>
      <c r="B132" s="657">
        <v>0</v>
      </c>
      <c r="C132" s="657">
        <v>0</v>
      </c>
      <c r="D132" s="657">
        <v>0</v>
      </c>
      <c r="E132" s="653"/>
      <c r="F132" s="653"/>
      <c r="G132" s="657">
        <v>0</v>
      </c>
      <c r="H132" s="657">
        <v>0</v>
      </c>
      <c r="I132" s="657">
        <v>0</v>
      </c>
      <c r="J132" s="657">
        <v>0</v>
      </c>
      <c r="K132" s="657">
        <v>0</v>
      </c>
      <c r="L132" s="657">
        <v>0</v>
      </c>
      <c r="M132" s="657">
        <v>0</v>
      </c>
      <c r="N132" s="657">
        <v>0</v>
      </c>
      <c r="O132" s="657">
        <v>0</v>
      </c>
      <c r="P132" s="657">
        <v>0</v>
      </c>
      <c r="Q132" s="657">
        <v>0</v>
      </c>
      <c r="R132" s="657">
        <v>0</v>
      </c>
      <c r="S132" s="657">
        <v>0</v>
      </c>
      <c r="T132" s="604" t="e">
        <v>#DIV/0!</v>
      </c>
      <c r="U132" s="658">
        <v>0</v>
      </c>
      <c r="V132" s="658">
        <v>0</v>
      </c>
      <c r="W132" s="653"/>
      <c r="X132" s="653"/>
      <c r="Y132" s="653"/>
      <c r="Z132" s="653"/>
    </row>
    <row r="133" spans="1:26" x14ac:dyDescent="0.2">
      <c r="A133" s="602" t="s">
        <v>367</v>
      </c>
      <c r="B133" s="657">
        <v>0</v>
      </c>
      <c r="C133" s="657">
        <v>0</v>
      </c>
      <c r="D133" s="657">
        <v>0</v>
      </c>
      <c r="E133" s="653"/>
      <c r="F133" s="653"/>
      <c r="G133" s="657">
        <v>0</v>
      </c>
      <c r="H133" s="657">
        <v>0</v>
      </c>
      <c r="I133" s="657">
        <v>0</v>
      </c>
      <c r="J133" s="657">
        <v>0</v>
      </c>
      <c r="K133" s="657">
        <v>0</v>
      </c>
      <c r="L133" s="657">
        <v>0</v>
      </c>
      <c r="M133" s="657">
        <v>0</v>
      </c>
      <c r="N133" s="657">
        <v>0</v>
      </c>
      <c r="O133" s="657">
        <v>0</v>
      </c>
      <c r="P133" s="657">
        <v>0</v>
      </c>
      <c r="Q133" s="657">
        <v>0</v>
      </c>
      <c r="R133" s="657">
        <v>0</v>
      </c>
      <c r="S133" s="657">
        <v>0</v>
      </c>
      <c r="T133" s="604" t="e">
        <v>#DIV/0!</v>
      </c>
      <c r="U133" s="658">
        <v>0</v>
      </c>
      <c r="V133" s="658">
        <v>0</v>
      </c>
      <c r="W133" s="653"/>
      <c r="X133" s="653"/>
      <c r="Y133" s="653"/>
      <c r="Z133" s="653"/>
    </row>
    <row r="134" spans="1:26" x14ac:dyDescent="0.2">
      <c r="A134" s="602" t="s">
        <v>368</v>
      </c>
      <c r="B134" s="657">
        <v>0</v>
      </c>
      <c r="C134" s="657">
        <v>0</v>
      </c>
      <c r="D134" s="657">
        <v>0</v>
      </c>
      <c r="E134" s="653"/>
      <c r="F134" s="653"/>
      <c r="G134" s="657">
        <v>0</v>
      </c>
      <c r="H134" s="657">
        <v>0</v>
      </c>
      <c r="I134" s="657">
        <v>0</v>
      </c>
      <c r="J134" s="657">
        <v>0</v>
      </c>
      <c r="K134" s="657">
        <v>0</v>
      </c>
      <c r="L134" s="657">
        <v>0</v>
      </c>
      <c r="M134" s="657">
        <v>0</v>
      </c>
      <c r="N134" s="657">
        <v>0</v>
      </c>
      <c r="O134" s="657">
        <v>0</v>
      </c>
      <c r="P134" s="657">
        <v>0</v>
      </c>
      <c r="Q134" s="657">
        <v>0</v>
      </c>
      <c r="R134" s="657">
        <v>0</v>
      </c>
      <c r="S134" s="657">
        <v>0</v>
      </c>
      <c r="T134" s="604" t="e">
        <v>#DIV/0!</v>
      </c>
      <c r="U134" s="658">
        <v>0</v>
      </c>
      <c r="V134" s="658">
        <v>0</v>
      </c>
      <c r="W134" s="653"/>
      <c r="X134" s="653"/>
      <c r="Y134" s="653"/>
      <c r="Z134" s="653"/>
    </row>
    <row r="135" spans="1:26" x14ac:dyDescent="0.2">
      <c r="A135" s="602" t="s">
        <v>369</v>
      </c>
      <c r="B135" s="657">
        <v>0</v>
      </c>
      <c r="C135" s="657">
        <v>0</v>
      </c>
      <c r="D135" s="657">
        <v>0</v>
      </c>
      <c r="E135" s="653"/>
      <c r="F135" s="653"/>
      <c r="G135" s="657">
        <v>0</v>
      </c>
      <c r="H135" s="657">
        <v>0</v>
      </c>
      <c r="I135" s="657">
        <v>0</v>
      </c>
      <c r="J135" s="657">
        <v>0</v>
      </c>
      <c r="K135" s="657">
        <v>0</v>
      </c>
      <c r="L135" s="657">
        <v>0</v>
      </c>
      <c r="M135" s="657">
        <v>0</v>
      </c>
      <c r="N135" s="657">
        <v>0</v>
      </c>
      <c r="O135" s="657">
        <v>0</v>
      </c>
      <c r="P135" s="657">
        <v>0</v>
      </c>
      <c r="Q135" s="657">
        <v>0</v>
      </c>
      <c r="R135" s="657">
        <v>0</v>
      </c>
      <c r="S135" s="657">
        <v>0</v>
      </c>
      <c r="T135" s="604" t="e">
        <v>#DIV/0!</v>
      </c>
      <c r="U135" s="658">
        <v>0</v>
      </c>
      <c r="V135" s="658">
        <v>0</v>
      </c>
      <c r="W135" s="653"/>
      <c r="X135" s="653"/>
      <c r="Y135" s="653"/>
      <c r="Z135" s="653"/>
    </row>
    <row r="136" spans="1:26" x14ac:dyDescent="0.2">
      <c r="A136" s="662" t="s">
        <v>370</v>
      </c>
      <c r="B136" s="655">
        <v>0</v>
      </c>
      <c r="C136" s="655">
        <v>0</v>
      </c>
      <c r="D136" s="655">
        <v>0</v>
      </c>
      <c r="E136" s="650"/>
      <c r="F136" s="650"/>
      <c r="G136" s="655">
        <v>0</v>
      </c>
      <c r="H136" s="655">
        <v>0</v>
      </c>
      <c r="I136" s="655">
        <v>0</v>
      </c>
      <c r="J136" s="655">
        <v>0</v>
      </c>
      <c r="K136" s="655">
        <v>0</v>
      </c>
      <c r="L136" s="655">
        <v>0</v>
      </c>
      <c r="M136" s="655">
        <v>0</v>
      </c>
      <c r="N136" s="655">
        <v>0</v>
      </c>
      <c r="O136" s="655">
        <v>0</v>
      </c>
      <c r="P136" s="655">
        <v>0</v>
      </c>
      <c r="Q136" s="655">
        <v>0</v>
      </c>
      <c r="R136" s="655">
        <v>0</v>
      </c>
      <c r="S136" s="655">
        <v>0</v>
      </c>
      <c r="T136" s="600" t="e">
        <v>#DIV/0!</v>
      </c>
      <c r="U136" s="656">
        <v>0</v>
      </c>
      <c r="V136" s="656">
        <v>0</v>
      </c>
      <c r="W136" s="653"/>
      <c r="X136" s="653"/>
      <c r="Y136" s="653"/>
      <c r="Z136" s="653"/>
    </row>
    <row r="137" spans="1:26" x14ac:dyDescent="0.2">
      <c r="A137" s="602" t="s">
        <v>371</v>
      </c>
      <c r="B137" s="657">
        <v>0</v>
      </c>
      <c r="C137" s="657">
        <v>0</v>
      </c>
      <c r="D137" s="657">
        <v>0</v>
      </c>
      <c r="E137" s="653"/>
      <c r="F137" s="653"/>
      <c r="G137" s="657">
        <v>0</v>
      </c>
      <c r="H137" s="657">
        <v>0</v>
      </c>
      <c r="I137" s="657">
        <v>0</v>
      </c>
      <c r="J137" s="657">
        <v>0</v>
      </c>
      <c r="K137" s="657">
        <v>0</v>
      </c>
      <c r="L137" s="657">
        <v>0</v>
      </c>
      <c r="M137" s="657">
        <v>0</v>
      </c>
      <c r="N137" s="657">
        <v>0</v>
      </c>
      <c r="O137" s="657">
        <v>0</v>
      </c>
      <c r="P137" s="657">
        <v>0</v>
      </c>
      <c r="Q137" s="657">
        <v>0</v>
      </c>
      <c r="R137" s="657">
        <v>0</v>
      </c>
      <c r="S137" s="657">
        <v>0</v>
      </c>
      <c r="T137" s="604" t="e">
        <v>#DIV/0!</v>
      </c>
      <c r="U137" s="658">
        <v>0</v>
      </c>
      <c r="V137" s="658">
        <v>0</v>
      </c>
      <c r="W137" s="653"/>
      <c r="X137" s="653"/>
      <c r="Y137" s="653"/>
      <c r="Z137" s="653"/>
    </row>
    <row r="138" spans="1:26" x14ac:dyDescent="0.2">
      <c r="A138" s="602" t="s">
        <v>372</v>
      </c>
      <c r="B138" s="657">
        <v>0</v>
      </c>
      <c r="C138" s="657">
        <v>0</v>
      </c>
      <c r="D138" s="657">
        <v>0</v>
      </c>
      <c r="E138" s="653"/>
      <c r="F138" s="653"/>
      <c r="G138" s="657">
        <v>0</v>
      </c>
      <c r="H138" s="657">
        <v>0</v>
      </c>
      <c r="I138" s="657">
        <v>0</v>
      </c>
      <c r="J138" s="657">
        <v>0</v>
      </c>
      <c r="K138" s="657">
        <v>0</v>
      </c>
      <c r="L138" s="657">
        <v>0</v>
      </c>
      <c r="M138" s="657">
        <v>0</v>
      </c>
      <c r="N138" s="657">
        <v>0</v>
      </c>
      <c r="O138" s="657">
        <v>0</v>
      </c>
      <c r="P138" s="657">
        <v>0</v>
      </c>
      <c r="Q138" s="657">
        <v>0</v>
      </c>
      <c r="R138" s="657">
        <v>0</v>
      </c>
      <c r="S138" s="657">
        <v>0</v>
      </c>
      <c r="T138" s="604" t="e">
        <v>#DIV/0!</v>
      </c>
      <c r="U138" s="658">
        <v>0</v>
      </c>
      <c r="V138" s="658">
        <v>0</v>
      </c>
      <c r="W138" s="653"/>
      <c r="X138" s="653"/>
      <c r="Y138" s="653"/>
      <c r="Z138" s="653"/>
    </row>
    <row r="139" spans="1:26" x14ac:dyDescent="0.2">
      <c r="A139" s="602" t="s">
        <v>373</v>
      </c>
      <c r="B139" s="657">
        <v>0</v>
      </c>
      <c r="C139" s="657">
        <v>0</v>
      </c>
      <c r="D139" s="657">
        <v>0</v>
      </c>
      <c r="E139" s="653"/>
      <c r="F139" s="653"/>
      <c r="G139" s="657">
        <v>0</v>
      </c>
      <c r="H139" s="657">
        <v>0</v>
      </c>
      <c r="I139" s="657">
        <v>0</v>
      </c>
      <c r="J139" s="657">
        <v>0</v>
      </c>
      <c r="K139" s="657">
        <v>0</v>
      </c>
      <c r="L139" s="657">
        <v>0</v>
      </c>
      <c r="M139" s="657">
        <v>0</v>
      </c>
      <c r="N139" s="657">
        <v>0</v>
      </c>
      <c r="O139" s="657">
        <v>0</v>
      </c>
      <c r="P139" s="657">
        <v>0</v>
      </c>
      <c r="Q139" s="657">
        <v>0</v>
      </c>
      <c r="R139" s="657">
        <v>0</v>
      </c>
      <c r="S139" s="657">
        <v>0</v>
      </c>
      <c r="T139" s="604" t="e">
        <v>#DIV/0!</v>
      </c>
      <c r="U139" s="658">
        <v>0</v>
      </c>
      <c r="V139" s="658">
        <v>0</v>
      </c>
      <c r="W139" s="653"/>
      <c r="X139" s="653"/>
      <c r="Y139" s="653"/>
      <c r="Z139" s="653"/>
    </row>
    <row r="140" spans="1:26" x14ac:dyDescent="0.2">
      <c r="A140" s="602" t="s">
        <v>374</v>
      </c>
      <c r="B140" s="657">
        <v>0</v>
      </c>
      <c r="C140" s="657">
        <v>0</v>
      </c>
      <c r="D140" s="657">
        <v>0</v>
      </c>
      <c r="E140" s="653"/>
      <c r="F140" s="653"/>
      <c r="G140" s="657">
        <v>0</v>
      </c>
      <c r="H140" s="657">
        <v>0</v>
      </c>
      <c r="I140" s="657">
        <v>0</v>
      </c>
      <c r="J140" s="657">
        <v>0</v>
      </c>
      <c r="K140" s="657">
        <v>0</v>
      </c>
      <c r="L140" s="657">
        <v>0</v>
      </c>
      <c r="M140" s="657">
        <v>0</v>
      </c>
      <c r="N140" s="657">
        <v>0</v>
      </c>
      <c r="O140" s="657">
        <v>0</v>
      </c>
      <c r="P140" s="657">
        <v>0</v>
      </c>
      <c r="Q140" s="657">
        <v>0</v>
      </c>
      <c r="R140" s="657">
        <v>0</v>
      </c>
      <c r="S140" s="657">
        <v>0</v>
      </c>
      <c r="T140" s="604" t="e">
        <v>#DIV/0!</v>
      </c>
      <c r="U140" s="658">
        <v>0</v>
      </c>
      <c r="V140" s="658">
        <v>0</v>
      </c>
      <c r="W140" s="653"/>
      <c r="X140" s="653"/>
      <c r="Y140" s="653"/>
      <c r="Z140" s="653"/>
    </row>
    <row r="141" spans="1:26" x14ac:dyDescent="0.2">
      <c r="A141" s="602" t="s">
        <v>375</v>
      </c>
      <c r="B141" s="657">
        <v>0</v>
      </c>
      <c r="C141" s="657">
        <v>0</v>
      </c>
      <c r="D141" s="657">
        <v>0</v>
      </c>
      <c r="E141" s="653"/>
      <c r="F141" s="653"/>
      <c r="G141" s="657">
        <v>0</v>
      </c>
      <c r="H141" s="657">
        <v>0</v>
      </c>
      <c r="I141" s="657">
        <v>0</v>
      </c>
      <c r="J141" s="657">
        <v>0</v>
      </c>
      <c r="K141" s="657">
        <v>0</v>
      </c>
      <c r="L141" s="657">
        <v>0</v>
      </c>
      <c r="M141" s="657">
        <v>0</v>
      </c>
      <c r="N141" s="657">
        <v>0</v>
      </c>
      <c r="O141" s="657">
        <v>0</v>
      </c>
      <c r="P141" s="657">
        <v>0</v>
      </c>
      <c r="Q141" s="657">
        <v>0</v>
      </c>
      <c r="R141" s="657">
        <v>0</v>
      </c>
      <c r="S141" s="657">
        <v>0</v>
      </c>
      <c r="T141" s="604" t="e">
        <v>#DIV/0!</v>
      </c>
      <c r="U141" s="658">
        <v>0</v>
      </c>
      <c r="V141" s="658">
        <v>0</v>
      </c>
      <c r="W141" s="653"/>
      <c r="X141" s="653"/>
      <c r="Y141" s="653"/>
      <c r="Z141" s="653"/>
    </row>
    <row r="142" spans="1:26" x14ac:dyDescent="0.2">
      <c r="A142" s="602" t="s">
        <v>376</v>
      </c>
      <c r="B142" s="657">
        <v>0</v>
      </c>
      <c r="C142" s="657">
        <v>0</v>
      </c>
      <c r="D142" s="657">
        <v>0</v>
      </c>
      <c r="E142" s="653"/>
      <c r="F142" s="653"/>
      <c r="G142" s="657">
        <v>0</v>
      </c>
      <c r="H142" s="657">
        <v>0</v>
      </c>
      <c r="I142" s="657">
        <v>0</v>
      </c>
      <c r="J142" s="657">
        <v>0</v>
      </c>
      <c r="K142" s="657">
        <v>0</v>
      </c>
      <c r="L142" s="657">
        <v>0</v>
      </c>
      <c r="M142" s="657">
        <v>0</v>
      </c>
      <c r="N142" s="657">
        <v>0</v>
      </c>
      <c r="O142" s="657">
        <v>0</v>
      </c>
      <c r="P142" s="657">
        <v>0</v>
      </c>
      <c r="Q142" s="657">
        <v>0</v>
      </c>
      <c r="R142" s="657">
        <v>0</v>
      </c>
      <c r="S142" s="657">
        <v>0</v>
      </c>
      <c r="T142" s="604" t="e">
        <v>#DIV/0!</v>
      </c>
      <c r="U142" s="658">
        <v>0</v>
      </c>
      <c r="V142" s="658">
        <v>0</v>
      </c>
      <c r="W142" s="653"/>
      <c r="X142" s="653"/>
      <c r="Y142" s="653"/>
      <c r="Z142" s="653"/>
    </row>
    <row r="143" spans="1:26" x14ac:dyDescent="0.2">
      <c r="A143" s="602" t="s">
        <v>377</v>
      </c>
      <c r="B143" s="657">
        <v>0</v>
      </c>
      <c r="C143" s="657">
        <v>0</v>
      </c>
      <c r="D143" s="657">
        <v>0</v>
      </c>
      <c r="E143" s="653"/>
      <c r="F143" s="653"/>
      <c r="G143" s="657">
        <v>0</v>
      </c>
      <c r="H143" s="657">
        <v>0</v>
      </c>
      <c r="I143" s="657">
        <v>0</v>
      </c>
      <c r="J143" s="657">
        <v>0</v>
      </c>
      <c r="K143" s="657">
        <v>0</v>
      </c>
      <c r="L143" s="657">
        <v>0</v>
      </c>
      <c r="M143" s="657">
        <v>0</v>
      </c>
      <c r="N143" s="657">
        <v>0</v>
      </c>
      <c r="O143" s="657">
        <v>0</v>
      </c>
      <c r="P143" s="657">
        <v>0</v>
      </c>
      <c r="Q143" s="657">
        <v>0</v>
      </c>
      <c r="R143" s="657">
        <v>0</v>
      </c>
      <c r="S143" s="657">
        <v>0</v>
      </c>
      <c r="T143" s="604" t="e">
        <v>#DIV/0!</v>
      </c>
      <c r="U143" s="658">
        <v>0</v>
      </c>
      <c r="V143" s="658">
        <v>0</v>
      </c>
      <c r="W143" s="653"/>
      <c r="X143" s="653"/>
      <c r="Y143" s="653"/>
      <c r="Z143" s="653"/>
    </row>
    <row r="144" spans="1:26" x14ac:dyDescent="0.2">
      <c r="A144" s="602" t="s">
        <v>378</v>
      </c>
      <c r="B144" s="657">
        <v>0</v>
      </c>
      <c r="C144" s="657">
        <v>0</v>
      </c>
      <c r="D144" s="657">
        <v>0</v>
      </c>
      <c r="E144" s="653"/>
      <c r="F144" s="653"/>
      <c r="G144" s="657">
        <v>0</v>
      </c>
      <c r="H144" s="657">
        <v>0</v>
      </c>
      <c r="I144" s="657">
        <v>0</v>
      </c>
      <c r="J144" s="657">
        <v>0</v>
      </c>
      <c r="K144" s="657">
        <v>0</v>
      </c>
      <c r="L144" s="657">
        <v>0</v>
      </c>
      <c r="M144" s="657">
        <v>0</v>
      </c>
      <c r="N144" s="657">
        <v>0</v>
      </c>
      <c r="O144" s="657">
        <v>0</v>
      </c>
      <c r="P144" s="657">
        <v>0</v>
      </c>
      <c r="Q144" s="657">
        <v>0</v>
      </c>
      <c r="R144" s="657">
        <v>0</v>
      </c>
      <c r="S144" s="657">
        <v>0</v>
      </c>
      <c r="T144" s="604" t="e">
        <v>#DIV/0!</v>
      </c>
      <c r="U144" s="658">
        <v>0</v>
      </c>
      <c r="V144" s="658">
        <v>0</v>
      </c>
      <c r="W144" s="653"/>
      <c r="X144" s="653"/>
      <c r="Y144" s="653"/>
      <c r="Z144" s="653"/>
    </row>
    <row r="145" spans="1:26" x14ac:dyDescent="0.2">
      <c r="A145" s="602" t="s">
        <v>379</v>
      </c>
      <c r="B145" s="657">
        <v>0</v>
      </c>
      <c r="C145" s="657">
        <v>0</v>
      </c>
      <c r="D145" s="657">
        <v>0</v>
      </c>
      <c r="E145" s="653"/>
      <c r="F145" s="653"/>
      <c r="G145" s="657">
        <v>0</v>
      </c>
      <c r="H145" s="657">
        <v>0</v>
      </c>
      <c r="I145" s="657">
        <v>0</v>
      </c>
      <c r="J145" s="657">
        <v>0</v>
      </c>
      <c r="K145" s="657">
        <v>0</v>
      </c>
      <c r="L145" s="657">
        <v>0</v>
      </c>
      <c r="M145" s="657">
        <v>0</v>
      </c>
      <c r="N145" s="657">
        <v>0</v>
      </c>
      <c r="O145" s="657">
        <v>0</v>
      </c>
      <c r="P145" s="657">
        <v>0</v>
      </c>
      <c r="Q145" s="657">
        <v>0</v>
      </c>
      <c r="R145" s="657">
        <v>0</v>
      </c>
      <c r="S145" s="657">
        <v>0</v>
      </c>
      <c r="T145" s="604" t="e">
        <v>#DIV/0!</v>
      </c>
      <c r="U145" s="658">
        <v>0</v>
      </c>
      <c r="V145" s="658">
        <v>0</v>
      </c>
      <c r="W145" s="653"/>
      <c r="X145" s="653"/>
      <c r="Y145" s="653"/>
      <c r="Z145" s="653"/>
    </row>
    <row r="146" spans="1:26" x14ac:dyDescent="0.2">
      <c r="A146" s="602" t="s">
        <v>380</v>
      </c>
      <c r="B146" s="657">
        <v>0</v>
      </c>
      <c r="C146" s="657">
        <v>0</v>
      </c>
      <c r="D146" s="657">
        <v>0</v>
      </c>
      <c r="E146" s="653"/>
      <c r="F146" s="653"/>
      <c r="G146" s="657">
        <v>0</v>
      </c>
      <c r="H146" s="657">
        <v>0</v>
      </c>
      <c r="I146" s="657">
        <v>0</v>
      </c>
      <c r="J146" s="657">
        <v>0</v>
      </c>
      <c r="K146" s="657">
        <v>0</v>
      </c>
      <c r="L146" s="657">
        <v>0</v>
      </c>
      <c r="M146" s="657">
        <v>0</v>
      </c>
      <c r="N146" s="657">
        <v>0</v>
      </c>
      <c r="O146" s="657">
        <v>0</v>
      </c>
      <c r="P146" s="657">
        <v>0</v>
      </c>
      <c r="Q146" s="657">
        <v>0</v>
      </c>
      <c r="R146" s="657">
        <v>0</v>
      </c>
      <c r="S146" s="657">
        <v>0</v>
      </c>
      <c r="T146" s="604" t="e">
        <v>#DIV/0!</v>
      </c>
      <c r="U146" s="658">
        <v>0</v>
      </c>
      <c r="V146" s="658">
        <v>0</v>
      </c>
      <c r="W146" s="653"/>
      <c r="X146" s="653"/>
      <c r="Y146" s="653"/>
      <c r="Z146" s="653"/>
    </row>
    <row r="147" spans="1:26" x14ac:dyDescent="0.2">
      <c r="A147" s="662" t="s">
        <v>381</v>
      </c>
      <c r="B147" s="659">
        <v>0</v>
      </c>
      <c r="C147" s="659">
        <v>0</v>
      </c>
      <c r="D147" s="659">
        <v>0</v>
      </c>
      <c r="E147" s="660"/>
      <c r="F147" s="660"/>
      <c r="G147" s="659">
        <v>0</v>
      </c>
      <c r="H147" s="659">
        <v>0</v>
      </c>
      <c r="I147" s="659">
        <v>0</v>
      </c>
      <c r="J147" s="659">
        <v>0</v>
      </c>
      <c r="K147" s="659">
        <v>0</v>
      </c>
      <c r="L147" s="659">
        <v>0</v>
      </c>
      <c r="M147" s="659">
        <v>0</v>
      </c>
      <c r="N147" s="659">
        <v>0</v>
      </c>
      <c r="O147" s="659">
        <v>0</v>
      </c>
      <c r="P147" s="659">
        <v>0</v>
      </c>
      <c r="Q147" s="659">
        <v>0</v>
      </c>
      <c r="R147" s="659">
        <v>0</v>
      </c>
      <c r="S147" s="659">
        <v>0</v>
      </c>
      <c r="T147" s="600" t="e">
        <v>#DIV/0!</v>
      </c>
      <c r="U147" s="656">
        <v>0</v>
      </c>
      <c r="V147" s="656">
        <v>0</v>
      </c>
      <c r="W147" s="660"/>
      <c r="X147" s="660"/>
      <c r="Y147" s="653"/>
      <c r="Z147" s="653"/>
    </row>
    <row r="148" spans="1:26" x14ac:dyDescent="0.2">
      <c r="A148" s="648" t="s">
        <v>382</v>
      </c>
      <c r="B148" s="649">
        <v>0</v>
      </c>
      <c r="C148" s="649">
        <v>0</v>
      </c>
      <c r="D148" s="649">
        <v>0</v>
      </c>
      <c r="E148" s="650"/>
      <c r="F148" s="650"/>
      <c r="G148" s="649">
        <v>0</v>
      </c>
      <c r="H148" s="649">
        <v>0</v>
      </c>
      <c r="I148" s="649">
        <v>0</v>
      </c>
      <c r="J148" s="649">
        <v>0</v>
      </c>
      <c r="K148" s="649">
        <v>0</v>
      </c>
      <c r="L148" s="649">
        <v>0</v>
      </c>
      <c r="M148" s="649">
        <v>0</v>
      </c>
      <c r="N148" s="649">
        <v>0</v>
      </c>
      <c r="O148" s="649">
        <v>0</v>
      </c>
      <c r="P148" s="649">
        <v>0</v>
      </c>
      <c r="Q148" s="649">
        <v>0</v>
      </c>
      <c r="R148" s="649">
        <v>0</v>
      </c>
      <c r="S148" s="649">
        <v>0</v>
      </c>
      <c r="T148" s="651" t="e">
        <v>#DIV/0!</v>
      </c>
      <c r="U148" s="652">
        <v>0</v>
      </c>
      <c r="V148" s="652">
        <v>0</v>
      </c>
      <c r="W148" s="653"/>
      <c r="X148" s="653"/>
      <c r="Y148" s="653"/>
      <c r="Z148" s="653"/>
    </row>
    <row r="149" spans="1:26" x14ac:dyDescent="0.2">
      <c r="A149" s="662" t="s">
        <v>383</v>
      </c>
      <c r="B149" s="655">
        <v>0</v>
      </c>
      <c r="C149" s="655">
        <v>0</v>
      </c>
      <c r="D149" s="655">
        <v>0</v>
      </c>
      <c r="E149" s="650"/>
      <c r="F149" s="650"/>
      <c r="G149" s="655">
        <v>0</v>
      </c>
      <c r="H149" s="655">
        <v>0</v>
      </c>
      <c r="I149" s="655">
        <v>0</v>
      </c>
      <c r="J149" s="655">
        <v>0</v>
      </c>
      <c r="K149" s="655">
        <v>0</v>
      </c>
      <c r="L149" s="655">
        <v>0</v>
      </c>
      <c r="M149" s="655">
        <v>0</v>
      </c>
      <c r="N149" s="655">
        <v>0</v>
      </c>
      <c r="O149" s="655">
        <v>0</v>
      </c>
      <c r="P149" s="655">
        <v>0</v>
      </c>
      <c r="Q149" s="655">
        <v>0</v>
      </c>
      <c r="R149" s="655">
        <v>0</v>
      </c>
      <c r="S149" s="655">
        <v>0</v>
      </c>
      <c r="T149" s="600" t="e">
        <v>#DIV/0!</v>
      </c>
      <c r="U149" s="656">
        <v>0</v>
      </c>
      <c r="V149" s="656">
        <v>0</v>
      </c>
      <c r="W149" s="653"/>
      <c r="X149" s="653"/>
      <c r="Y149" s="653"/>
      <c r="Z149" s="653"/>
    </row>
    <row r="150" spans="1:26" x14ac:dyDescent="0.2">
      <c r="A150" s="602" t="s">
        <v>384</v>
      </c>
      <c r="B150" s="657">
        <v>0</v>
      </c>
      <c r="C150" s="657">
        <v>0</v>
      </c>
      <c r="D150" s="657">
        <v>0</v>
      </c>
      <c r="E150" s="653"/>
      <c r="F150" s="653"/>
      <c r="G150" s="657">
        <v>0</v>
      </c>
      <c r="H150" s="657">
        <v>0</v>
      </c>
      <c r="I150" s="657">
        <v>0</v>
      </c>
      <c r="J150" s="657">
        <v>0</v>
      </c>
      <c r="K150" s="657">
        <v>0</v>
      </c>
      <c r="L150" s="657">
        <v>0</v>
      </c>
      <c r="M150" s="657">
        <v>0</v>
      </c>
      <c r="N150" s="657">
        <v>0</v>
      </c>
      <c r="O150" s="657">
        <v>0</v>
      </c>
      <c r="P150" s="657">
        <v>0</v>
      </c>
      <c r="Q150" s="657">
        <v>0</v>
      </c>
      <c r="R150" s="657">
        <v>0</v>
      </c>
      <c r="S150" s="657">
        <v>0</v>
      </c>
      <c r="T150" s="604" t="e">
        <v>#DIV/0!</v>
      </c>
      <c r="U150" s="658">
        <v>0</v>
      </c>
      <c r="V150" s="658">
        <v>0</v>
      </c>
      <c r="W150" s="653"/>
      <c r="X150" s="653"/>
      <c r="Y150" s="653"/>
      <c r="Z150" s="653"/>
    </row>
    <row r="151" spans="1:26" x14ac:dyDescent="0.2">
      <c r="A151" s="602" t="s">
        <v>385</v>
      </c>
      <c r="B151" s="657">
        <v>0</v>
      </c>
      <c r="C151" s="657">
        <v>0</v>
      </c>
      <c r="D151" s="657">
        <v>0</v>
      </c>
      <c r="E151" s="653"/>
      <c r="F151" s="653"/>
      <c r="G151" s="657">
        <v>0</v>
      </c>
      <c r="H151" s="657">
        <v>0</v>
      </c>
      <c r="I151" s="657">
        <v>0</v>
      </c>
      <c r="J151" s="657">
        <v>0</v>
      </c>
      <c r="K151" s="657">
        <v>0</v>
      </c>
      <c r="L151" s="657">
        <v>0</v>
      </c>
      <c r="M151" s="657">
        <v>0</v>
      </c>
      <c r="N151" s="657">
        <v>0</v>
      </c>
      <c r="O151" s="657">
        <v>0</v>
      </c>
      <c r="P151" s="657">
        <v>0</v>
      </c>
      <c r="Q151" s="657">
        <v>0</v>
      </c>
      <c r="R151" s="657">
        <v>0</v>
      </c>
      <c r="S151" s="657">
        <v>0</v>
      </c>
      <c r="T151" s="604" t="e">
        <v>#DIV/0!</v>
      </c>
      <c r="U151" s="658">
        <v>0</v>
      </c>
      <c r="V151" s="658">
        <v>0</v>
      </c>
      <c r="W151" s="653"/>
      <c r="X151" s="653"/>
      <c r="Y151" s="653"/>
      <c r="Z151" s="653"/>
    </row>
    <row r="152" spans="1:26" x14ac:dyDescent="0.2">
      <c r="A152" s="602" t="s">
        <v>386</v>
      </c>
      <c r="B152" s="657">
        <v>0</v>
      </c>
      <c r="C152" s="657">
        <v>0</v>
      </c>
      <c r="D152" s="657">
        <v>0</v>
      </c>
      <c r="E152" s="653"/>
      <c r="F152" s="653"/>
      <c r="G152" s="657">
        <v>0</v>
      </c>
      <c r="H152" s="657">
        <v>0</v>
      </c>
      <c r="I152" s="657">
        <v>0</v>
      </c>
      <c r="J152" s="657">
        <v>0</v>
      </c>
      <c r="K152" s="657">
        <v>0</v>
      </c>
      <c r="L152" s="657">
        <v>0</v>
      </c>
      <c r="M152" s="657">
        <v>0</v>
      </c>
      <c r="N152" s="657">
        <v>0</v>
      </c>
      <c r="O152" s="657">
        <v>0</v>
      </c>
      <c r="P152" s="657">
        <v>0</v>
      </c>
      <c r="Q152" s="657">
        <v>0</v>
      </c>
      <c r="R152" s="657">
        <v>0</v>
      </c>
      <c r="S152" s="657">
        <v>0</v>
      </c>
      <c r="T152" s="604" t="e">
        <v>#DIV/0!</v>
      </c>
      <c r="U152" s="658">
        <v>0</v>
      </c>
      <c r="V152" s="658">
        <v>0</v>
      </c>
      <c r="W152" s="653"/>
      <c r="X152" s="653"/>
      <c r="Y152" s="653"/>
      <c r="Z152" s="653"/>
    </row>
    <row r="153" spans="1:26" x14ac:dyDescent="0.2">
      <c r="A153" s="602" t="s">
        <v>387</v>
      </c>
      <c r="B153" s="657">
        <v>0</v>
      </c>
      <c r="C153" s="657">
        <v>0</v>
      </c>
      <c r="D153" s="657">
        <v>0</v>
      </c>
      <c r="E153" s="653"/>
      <c r="F153" s="653"/>
      <c r="G153" s="657">
        <v>0</v>
      </c>
      <c r="H153" s="657">
        <v>0</v>
      </c>
      <c r="I153" s="657">
        <v>0</v>
      </c>
      <c r="J153" s="657">
        <v>0</v>
      </c>
      <c r="K153" s="657">
        <v>0</v>
      </c>
      <c r="L153" s="657">
        <v>0</v>
      </c>
      <c r="M153" s="657">
        <v>0</v>
      </c>
      <c r="N153" s="657">
        <v>0</v>
      </c>
      <c r="O153" s="657">
        <v>0</v>
      </c>
      <c r="P153" s="657">
        <v>0</v>
      </c>
      <c r="Q153" s="657">
        <v>0</v>
      </c>
      <c r="R153" s="657">
        <v>0</v>
      </c>
      <c r="S153" s="657">
        <v>0</v>
      </c>
      <c r="T153" s="604" t="e">
        <v>#DIV/0!</v>
      </c>
      <c r="U153" s="658">
        <v>0</v>
      </c>
      <c r="V153" s="658">
        <v>0</v>
      </c>
      <c r="W153" s="653"/>
      <c r="X153" s="653"/>
      <c r="Y153" s="653"/>
      <c r="Z153" s="653"/>
    </row>
    <row r="154" spans="1:26" x14ac:dyDescent="0.2">
      <c r="A154" s="602" t="s">
        <v>388</v>
      </c>
      <c r="B154" s="657">
        <v>0</v>
      </c>
      <c r="C154" s="657">
        <v>0</v>
      </c>
      <c r="D154" s="657">
        <v>0</v>
      </c>
      <c r="E154" s="653"/>
      <c r="F154" s="653"/>
      <c r="G154" s="657">
        <v>0</v>
      </c>
      <c r="H154" s="657">
        <v>0</v>
      </c>
      <c r="I154" s="657">
        <v>0</v>
      </c>
      <c r="J154" s="657">
        <v>0</v>
      </c>
      <c r="K154" s="657">
        <v>0</v>
      </c>
      <c r="L154" s="657">
        <v>0</v>
      </c>
      <c r="M154" s="657">
        <v>0</v>
      </c>
      <c r="N154" s="657">
        <v>0</v>
      </c>
      <c r="O154" s="657">
        <v>0</v>
      </c>
      <c r="P154" s="657">
        <v>0</v>
      </c>
      <c r="Q154" s="657">
        <v>0</v>
      </c>
      <c r="R154" s="657">
        <v>0</v>
      </c>
      <c r="S154" s="657">
        <v>0</v>
      </c>
      <c r="T154" s="604" t="e">
        <v>#DIV/0!</v>
      </c>
      <c r="U154" s="658">
        <v>0</v>
      </c>
      <c r="V154" s="658">
        <v>0</v>
      </c>
      <c r="W154" s="653"/>
      <c r="X154" s="653"/>
      <c r="Y154" s="653"/>
      <c r="Z154" s="653"/>
    </row>
    <row r="155" spans="1:26" x14ac:dyDescent="0.2">
      <c r="A155" s="602" t="s">
        <v>389</v>
      </c>
      <c r="B155" s="657">
        <v>0</v>
      </c>
      <c r="C155" s="657">
        <v>0</v>
      </c>
      <c r="D155" s="657">
        <v>0</v>
      </c>
      <c r="E155" s="653"/>
      <c r="F155" s="653"/>
      <c r="G155" s="657">
        <v>0</v>
      </c>
      <c r="H155" s="657">
        <v>0</v>
      </c>
      <c r="I155" s="657">
        <v>0</v>
      </c>
      <c r="J155" s="657">
        <v>0</v>
      </c>
      <c r="K155" s="657">
        <v>0</v>
      </c>
      <c r="L155" s="657">
        <v>0</v>
      </c>
      <c r="M155" s="657">
        <v>0</v>
      </c>
      <c r="N155" s="657">
        <v>0</v>
      </c>
      <c r="O155" s="657">
        <v>0</v>
      </c>
      <c r="P155" s="657">
        <v>0</v>
      </c>
      <c r="Q155" s="657">
        <v>0</v>
      </c>
      <c r="R155" s="657">
        <v>0</v>
      </c>
      <c r="S155" s="657">
        <v>0</v>
      </c>
      <c r="T155" s="604" t="e">
        <v>#DIV/0!</v>
      </c>
      <c r="U155" s="658">
        <v>0</v>
      </c>
      <c r="V155" s="658">
        <v>0</v>
      </c>
      <c r="W155" s="653"/>
      <c r="X155" s="653"/>
      <c r="Y155" s="653"/>
      <c r="Z155" s="653"/>
    </row>
    <row r="156" spans="1:26" x14ac:dyDescent="0.2">
      <c r="A156" s="597" t="s">
        <v>390</v>
      </c>
      <c r="B156" s="655">
        <v>0</v>
      </c>
      <c r="C156" s="655">
        <v>0</v>
      </c>
      <c r="D156" s="655">
        <v>0</v>
      </c>
      <c r="E156" s="650"/>
      <c r="F156" s="650"/>
      <c r="G156" s="655">
        <v>0</v>
      </c>
      <c r="H156" s="655">
        <v>0</v>
      </c>
      <c r="I156" s="655">
        <v>0</v>
      </c>
      <c r="J156" s="655">
        <v>0</v>
      </c>
      <c r="K156" s="655">
        <v>0</v>
      </c>
      <c r="L156" s="655">
        <v>0</v>
      </c>
      <c r="M156" s="655">
        <v>0</v>
      </c>
      <c r="N156" s="655">
        <v>0</v>
      </c>
      <c r="O156" s="655">
        <v>0</v>
      </c>
      <c r="P156" s="655">
        <v>0</v>
      </c>
      <c r="Q156" s="655">
        <v>0</v>
      </c>
      <c r="R156" s="655">
        <v>0</v>
      </c>
      <c r="S156" s="655">
        <v>0</v>
      </c>
      <c r="T156" s="600" t="e">
        <v>#DIV/0!</v>
      </c>
      <c r="U156" s="656">
        <v>0</v>
      </c>
      <c r="V156" s="656">
        <v>0</v>
      </c>
      <c r="W156" s="653"/>
      <c r="X156" s="653"/>
      <c r="Y156" s="653"/>
      <c r="Z156" s="653"/>
    </row>
    <row r="157" spans="1:26" x14ac:dyDescent="0.2">
      <c r="A157" s="605" t="s">
        <v>391</v>
      </c>
      <c r="B157" s="657">
        <v>0</v>
      </c>
      <c r="C157" s="657">
        <v>0</v>
      </c>
      <c r="D157" s="657">
        <v>0</v>
      </c>
      <c r="E157" s="653"/>
      <c r="F157" s="653"/>
      <c r="G157" s="657">
        <v>0</v>
      </c>
      <c r="H157" s="657">
        <v>0</v>
      </c>
      <c r="I157" s="657">
        <v>0</v>
      </c>
      <c r="J157" s="657">
        <v>0</v>
      </c>
      <c r="K157" s="657">
        <v>0</v>
      </c>
      <c r="L157" s="657">
        <v>0</v>
      </c>
      <c r="M157" s="657">
        <v>0</v>
      </c>
      <c r="N157" s="657">
        <v>0</v>
      </c>
      <c r="O157" s="657">
        <v>0</v>
      </c>
      <c r="P157" s="657">
        <v>0</v>
      </c>
      <c r="Q157" s="657">
        <v>0</v>
      </c>
      <c r="R157" s="657">
        <v>0</v>
      </c>
      <c r="S157" s="657">
        <v>0</v>
      </c>
      <c r="T157" s="604" t="e">
        <v>#DIV/0!</v>
      </c>
      <c r="U157" s="658">
        <v>0</v>
      </c>
      <c r="V157" s="658">
        <v>0</v>
      </c>
      <c r="W157" s="653"/>
      <c r="X157" s="653"/>
      <c r="Y157" s="653"/>
      <c r="Z157" s="653"/>
    </row>
    <row r="158" spans="1:26" x14ac:dyDescent="0.2">
      <c r="A158" s="605" t="s">
        <v>392</v>
      </c>
      <c r="B158" s="657">
        <v>0</v>
      </c>
      <c r="C158" s="657">
        <v>0</v>
      </c>
      <c r="D158" s="657">
        <v>0</v>
      </c>
      <c r="E158" s="653"/>
      <c r="F158" s="653"/>
      <c r="G158" s="657">
        <v>0</v>
      </c>
      <c r="H158" s="657">
        <v>0</v>
      </c>
      <c r="I158" s="657">
        <v>0</v>
      </c>
      <c r="J158" s="657">
        <v>0</v>
      </c>
      <c r="K158" s="657">
        <v>0</v>
      </c>
      <c r="L158" s="657">
        <v>0</v>
      </c>
      <c r="M158" s="657">
        <v>0</v>
      </c>
      <c r="N158" s="657">
        <v>0</v>
      </c>
      <c r="O158" s="657">
        <v>0</v>
      </c>
      <c r="P158" s="657">
        <v>0</v>
      </c>
      <c r="Q158" s="657">
        <v>0</v>
      </c>
      <c r="R158" s="657">
        <v>0</v>
      </c>
      <c r="S158" s="657">
        <v>0</v>
      </c>
      <c r="T158" s="604" t="e">
        <v>#DIV/0!</v>
      </c>
      <c r="U158" s="658">
        <v>0</v>
      </c>
      <c r="V158" s="658">
        <v>0</v>
      </c>
      <c r="W158" s="653"/>
      <c r="X158" s="653"/>
      <c r="Y158" s="653"/>
      <c r="Z158" s="653"/>
    </row>
    <row r="159" spans="1:26" x14ac:dyDescent="0.2">
      <c r="A159" s="605" t="s">
        <v>393</v>
      </c>
      <c r="B159" s="657">
        <v>0</v>
      </c>
      <c r="C159" s="657">
        <v>0</v>
      </c>
      <c r="D159" s="657">
        <v>0</v>
      </c>
      <c r="E159" s="653"/>
      <c r="F159" s="653"/>
      <c r="G159" s="657">
        <v>0</v>
      </c>
      <c r="H159" s="657">
        <v>0</v>
      </c>
      <c r="I159" s="657">
        <v>0</v>
      </c>
      <c r="J159" s="657">
        <v>0</v>
      </c>
      <c r="K159" s="657">
        <v>0</v>
      </c>
      <c r="L159" s="657">
        <v>0</v>
      </c>
      <c r="M159" s="657">
        <v>0</v>
      </c>
      <c r="N159" s="657">
        <v>0</v>
      </c>
      <c r="O159" s="657">
        <v>0</v>
      </c>
      <c r="P159" s="657">
        <v>0</v>
      </c>
      <c r="Q159" s="657">
        <v>0</v>
      </c>
      <c r="R159" s="657">
        <v>0</v>
      </c>
      <c r="S159" s="657">
        <v>0</v>
      </c>
      <c r="T159" s="604" t="e">
        <v>#DIV/0!</v>
      </c>
      <c r="U159" s="658">
        <v>0</v>
      </c>
      <c r="V159" s="658">
        <v>0</v>
      </c>
      <c r="W159" s="653"/>
      <c r="X159" s="653"/>
      <c r="Y159" s="653"/>
      <c r="Z159" s="653"/>
    </row>
    <row r="160" spans="1:26" x14ac:dyDescent="0.2">
      <c r="A160" s="648" t="s">
        <v>394</v>
      </c>
      <c r="B160" s="666">
        <v>0</v>
      </c>
      <c r="C160" s="666">
        <v>0</v>
      </c>
      <c r="D160" s="666">
        <v>0</v>
      </c>
      <c r="E160" s="660"/>
      <c r="F160" s="660"/>
      <c r="G160" s="666">
        <v>0</v>
      </c>
      <c r="H160" s="666">
        <v>0</v>
      </c>
      <c r="I160" s="666">
        <v>0</v>
      </c>
      <c r="J160" s="666">
        <v>0</v>
      </c>
      <c r="K160" s="666">
        <v>0</v>
      </c>
      <c r="L160" s="666">
        <v>0</v>
      </c>
      <c r="M160" s="666">
        <v>0</v>
      </c>
      <c r="N160" s="666">
        <v>0</v>
      </c>
      <c r="O160" s="666">
        <v>0</v>
      </c>
      <c r="P160" s="666">
        <v>0</v>
      </c>
      <c r="Q160" s="666">
        <v>0</v>
      </c>
      <c r="R160" s="666">
        <v>0</v>
      </c>
      <c r="S160" s="666">
        <v>0</v>
      </c>
      <c r="T160" s="651" t="e">
        <v>#DIV/0!</v>
      </c>
      <c r="U160" s="652">
        <v>0</v>
      </c>
      <c r="V160" s="652">
        <v>0</v>
      </c>
      <c r="W160" s="653"/>
      <c r="X160" s="653"/>
      <c r="Y160" s="653"/>
      <c r="Z160" s="653"/>
    </row>
    <row r="161" spans="1:27" x14ac:dyDescent="0.2">
      <c r="A161" s="667" t="s">
        <v>395</v>
      </c>
      <c r="B161" s="666">
        <v>0</v>
      </c>
      <c r="C161" s="666">
        <v>36798388.980000004</v>
      </c>
      <c r="D161" s="666">
        <v>36798388.960000001</v>
      </c>
      <c r="E161" s="660"/>
      <c r="F161" s="660"/>
      <c r="G161" s="666">
        <v>36798388.960000001</v>
      </c>
      <c r="H161" s="666">
        <v>0</v>
      </c>
      <c r="I161" s="666">
        <v>0</v>
      </c>
      <c r="J161" s="666">
        <v>0</v>
      </c>
      <c r="K161" s="666">
        <v>0</v>
      </c>
      <c r="L161" s="666">
        <v>0</v>
      </c>
      <c r="M161" s="666">
        <v>0</v>
      </c>
      <c r="N161" s="666">
        <v>0</v>
      </c>
      <c r="O161" s="666">
        <v>0</v>
      </c>
      <c r="P161" s="666">
        <v>0</v>
      </c>
      <c r="Q161" s="666">
        <v>0</v>
      </c>
      <c r="R161" s="666">
        <v>0</v>
      </c>
      <c r="S161" s="666">
        <v>36798388.960000001</v>
      </c>
      <c r="T161" s="651">
        <v>0.99999999945649787</v>
      </c>
      <c r="U161" s="652">
        <v>2.0000003278255463E-2</v>
      </c>
      <c r="V161" s="652">
        <v>0</v>
      </c>
      <c r="W161" s="653"/>
      <c r="X161" s="653"/>
      <c r="Y161" s="653"/>
      <c r="Z161" s="653"/>
    </row>
    <row r="162" spans="1:27" x14ac:dyDescent="0.2">
      <c r="A162" s="668" t="s">
        <v>396</v>
      </c>
      <c r="B162" s="669">
        <v>0</v>
      </c>
      <c r="C162" s="669">
        <v>0</v>
      </c>
      <c r="D162" s="669">
        <v>0</v>
      </c>
      <c r="E162" s="650"/>
      <c r="F162" s="650"/>
      <c r="G162" s="669">
        <v>0</v>
      </c>
      <c r="H162" s="669">
        <v>0</v>
      </c>
      <c r="I162" s="669">
        <v>0</v>
      </c>
      <c r="J162" s="669">
        <v>0</v>
      </c>
      <c r="K162" s="669">
        <v>0</v>
      </c>
      <c r="L162" s="669">
        <v>0</v>
      </c>
      <c r="M162" s="669">
        <v>0</v>
      </c>
      <c r="N162" s="669">
        <v>0</v>
      </c>
      <c r="O162" s="669">
        <v>0</v>
      </c>
      <c r="P162" s="669">
        <v>0</v>
      </c>
      <c r="Q162" s="669">
        <v>0</v>
      </c>
      <c r="R162" s="669">
        <v>0</v>
      </c>
      <c r="S162" s="669">
        <v>0</v>
      </c>
      <c r="T162" s="612" t="e">
        <v>#DIV/0!</v>
      </c>
      <c r="U162" s="670">
        <v>0</v>
      </c>
      <c r="V162" s="670">
        <v>0</v>
      </c>
      <c r="W162" s="653"/>
      <c r="X162" s="653"/>
      <c r="Y162" s="653"/>
      <c r="Z162" s="653"/>
    </row>
    <row r="163" spans="1:27" x14ac:dyDescent="0.2">
      <c r="A163" s="662" t="s">
        <v>397</v>
      </c>
      <c r="B163" s="659">
        <v>0</v>
      </c>
      <c r="C163" s="659">
        <v>0</v>
      </c>
      <c r="D163" s="659">
        <v>0</v>
      </c>
      <c r="E163" s="660"/>
      <c r="F163" s="660"/>
      <c r="G163" s="659">
        <v>0</v>
      </c>
      <c r="H163" s="659">
        <v>0</v>
      </c>
      <c r="I163" s="659">
        <v>0</v>
      </c>
      <c r="J163" s="659">
        <v>0</v>
      </c>
      <c r="K163" s="659">
        <v>0</v>
      </c>
      <c r="L163" s="659">
        <v>0</v>
      </c>
      <c r="M163" s="659">
        <v>0</v>
      </c>
      <c r="N163" s="659">
        <v>0</v>
      </c>
      <c r="O163" s="659">
        <v>0</v>
      </c>
      <c r="P163" s="659">
        <v>0</v>
      </c>
      <c r="Q163" s="659">
        <v>0</v>
      </c>
      <c r="R163" s="659">
        <v>0</v>
      </c>
      <c r="S163" s="659">
        <v>0</v>
      </c>
      <c r="T163" s="600" t="e">
        <v>#DIV/0!</v>
      </c>
      <c r="U163" s="656">
        <v>0</v>
      </c>
      <c r="V163" s="656">
        <v>0</v>
      </c>
      <c r="W163" s="660"/>
      <c r="X163" s="660"/>
      <c r="Y163" s="653"/>
      <c r="Z163" s="653"/>
    </row>
    <row r="164" spans="1:27" x14ac:dyDescent="0.2">
      <c r="A164" s="662" t="s">
        <v>398</v>
      </c>
      <c r="B164" s="659">
        <v>0</v>
      </c>
      <c r="C164" s="659">
        <v>0</v>
      </c>
      <c r="D164" s="659">
        <v>0</v>
      </c>
      <c r="E164" s="660"/>
      <c r="F164" s="660"/>
      <c r="G164" s="659">
        <v>0</v>
      </c>
      <c r="H164" s="659">
        <v>0</v>
      </c>
      <c r="I164" s="659">
        <v>0</v>
      </c>
      <c r="J164" s="659">
        <v>0</v>
      </c>
      <c r="K164" s="659">
        <v>0</v>
      </c>
      <c r="L164" s="659">
        <v>0</v>
      </c>
      <c r="M164" s="659">
        <v>0</v>
      </c>
      <c r="N164" s="659">
        <v>0</v>
      </c>
      <c r="O164" s="659">
        <v>0</v>
      </c>
      <c r="P164" s="659">
        <v>0</v>
      </c>
      <c r="Q164" s="659">
        <v>0</v>
      </c>
      <c r="R164" s="659">
        <v>0</v>
      </c>
      <c r="S164" s="659">
        <v>0</v>
      </c>
      <c r="T164" s="600" t="e">
        <v>#DIV/0!</v>
      </c>
      <c r="U164" s="656">
        <v>0</v>
      </c>
      <c r="V164" s="656">
        <v>0</v>
      </c>
      <c r="W164" s="660"/>
      <c r="X164" s="660"/>
      <c r="Y164" s="653"/>
      <c r="Z164" s="653"/>
    </row>
    <row r="165" spans="1:27" x14ac:dyDescent="0.2">
      <c r="A165" s="662" t="s">
        <v>399</v>
      </c>
      <c r="B165" s="655">
        <v>0</v>
      </c>
      <c r="C165" s="655">
        <v>0</v>
      </c>
      <c r="D165" s="655">
        <v>0</v>
      </c>
      <c r="E165" s="650"/>
      <c r="F165" s="650"/>
      <c r="G165" s="655">
        <v>0</v>
      </c>
      <c r="H165" s="655">
        <v>0</v>
      </c>
      <c r="I165" s="655">
        <v>0</v>
      </c>
      <c r="J165" s="655">
        <v>0</v>
      </c>
      <c r="K165" s="655">
        <v>0</v>
      </c>
      <c r="L165" s="655">
        <v>0</v>
      </c>
      <c r="M165" s="655">
        <v>0</v>
      </c>
      <c r="N165" s="655">
        <v>0</v>
      </c>
      <c r="O165" s="655">
        <v>0</v>
      </c>
      <c r="P165" s="655">
        <v>0</v>
      </c>
      <c r="Q165" s="655">
        <v>0</v>
      </c>
      <c r="R165" s="655">
        <v>0</v>
      </c>
      <c r="S165" s="655">
        <v>0</v>
      </c>
      <c r="T165" s="600" t="e">
        <v>#DIV/0!</v>
      </c>
      <c r="U165" s="656">
        <v>0</v>
      </c>
      <c r="V165" s="656">
        <v>0</v>
      </c>
      <c r="W165" s="660"/>
      <c r="X165" s="660"/>
      <c r="Y165" s="653"/>
      <c r="Z165" s="653"/>
    </row>
    <row r="166" spans="1:27" x14ac:dyDescent="0.2">
      <c r="A166" s="602" t="s">
        <v>400</v>
      </c>
      <c r="B166" s="657">
        <v>0</v>
      </c>
      <c r="C166" s="657">
        <v>0</v>
      </c>
      <c r="D166" s="657">
        <v>0</v>
      </c>
      <c r="E166" s="653"/>
      <c r="F166" s="653"/>
      <c r="G166" s="657">
        <v>0</v>
      </c>
      <c r="H166" s="657">
        <v>0</v>
      </c>
      <c r="I166" s="657">
        <v>0</v>
      </c>
      <c r="J166" s="657">
        <v>0</v>
      </c>
      <c r="K166" s="657">
        <v>0</v>
      </c>
      <c r="L166" s="657">
        <v>0</v>
      </c>
      <c r="M166" s="657">
        <v>0</v>
      </c>
      <c r="N166" s="657">
        <v>0</v>
      </c>
      <c r="O166" s="657">
        <v>0</v>
      </c>
      <c r="P166" s="657">
        <v>0</v>
      </c>
      <c r="Q166" s="657">
        <v>0</v>
      </c>
      <c r="R166" s="657">
        <v>0</v>
      </c>
      <c r="S166" s="657">
        <v>0</v>
      </c>
      <c r="T166" s="604" t="e">
        <v>#DIV/0!</v>
      </c>
      <c r="U166" s="658">
        <v>0</v>
      </c>
      <c r="V166" s="658">
        <v>0</v>
      </c>
      <c r="W166" s="653"/>
      <c r="X166" s="653"/>
      <c r="Y166" s="653"/>
      <c r="Z166" s="653"/>
    </row>
    <row r="167" spans="1:27" x14ac:dyDescent="0.2">
      <c r="A167" s="602" t="s">
        <v>401</v>
      </c>
      <c r="B167" s="657">
        <v>0</v>
      </c>
      <c r="C167" s="657">
        <v>0</v>
      </c>
      <c r="D167" s="657">
        <v>0</v>
      </c>
      <c r="E167" s="653"/>
      <c r="F167" s="653"/>
      <c r="G167" s="657">
        <v>0</v>
      </c>
      <c r="H167" s="657">
        <v>0</v>
      </c>
      <c r="I167" s="657">
        <v>0</v>
      </c>
      <c r="J167" s="657">
        <v>0</v>
      </c>
      <c r="K167" s="657">
        <v>0</v>
      </c>
      <c r="L167" s="657">
        <v>0</v>
      </c>
      <c r="M167" s="657">
        <v>0</v>
      </c>
      <c r="N167" s="657">
        <v>0</v>
      </c>
      <c r="O167" s="657">
        <v>0</v>
      </c>
      <c r="P167" s="657">
        <v>0</v>
      </c>
      <c r="Q167" s="657">
        <v>0</v>
      </c>
      <c r="R167" s="657">
        <v>0</v>
      </c>
      <c r="S167" s="657">
        <v>0</v>
      </c>
      <c r="T167" s="604" t="e">
        <v>#DIV/0!</v>
      </c>
      <c r="U167" s="658">
        <v>0</v>
      </c>
      <c r="V167" s="658">
        <v>0</v>
      </c>
      <c r="W167" s="653"/>
      <c r="X167" s="653"/>
      <c r="Y167" s="653"/>
      <c r="Z167" s="653"/>
    </row>
    <row r="168" spans="1:27" x14ac:dyDescent="0.2">
      <c r="A168" s="602" t="s">
        <v>402</v>
      </c>
      <c r="B168" s="657">
        <v>0</v>
      </c>
      <c r="C168" s="657">
        <v>0</v>
      </c>
      <c r="D168" s="657">
        <v>0</v>
      </c>
      <c r="E168" s="653"/>
      <c r="F168" s="653"/>
      <c r="G168" s="657">
        <v>0</v>
      </c>
      <c r="H168" s="657">
        <v>0</v>
      </c>
      <c r="I168" s="657">
        <v>0</v>
      </c>
      <c r="J168" s="657">
        <v>0</v>
      </c>
      <c r="K168" s="657">
        <v>0</v>
      </c>
      <c r="L168" s="657">
        <v>0</v>
      </c>
      <c r="M168" s="657">
        <v>0</v>
      </c>
      <c r="N168" s="657">
        <v>0</v>
      </c>
      <c r="O168" s="657">
        <v>0</v>
      </c>
      <c r="P168" s="657">
        <v>0</v>
      </c>
      <c r="Q168" s="657">
        <v>0</v>
      </c>
      <c r="R168" s="657">
        <v>0</v>
      </c>
      <c r="S168" s="657">
        <v>0</v>
      </c>
      <c r="T168" s="604" t="e">
        <v>#DIV/0!</v>
      </c>
      <c r="U168" s="658">
        <v>0</v>
      </c>
      <c r="V168" s="658">
        <v>0</v>
      </c>
      <c r="W168" s="653"/>
      <c r="X168" s="653"/>
      <c r="Y168" s="653"/>
      <c r="Z168" s="653"/>
    </row>
    <row r="169" spans="1:27" x14ac:dyDescent="0.2">
      <c r="A169" s="662" t="s">
        <v>403</v>
      </c>
      <c r="B169" s="659">
        <v>0</v>
      </c>
      <c r="C169" s="659">
        <v>0</v>
      </c>
      <c r="D169" s="659">
        <v>0</v>
      </c>
      <c r="E169" s="653"/>
      <c r="F169" s="653"/>
      <c r="G169" s="659">
        <v>0</v>
      </c>
      <c r="H169" s="659">
        <v>0</v>
      </c>
      <c r="I169" s="659">
        <v>0</v>
      </c>
      <c r="J169" s="659">
        <v>0</v>
      </c>
      <c r="K169" s="659">
        <v>0</v>
      </c>
      <c r="L169" s="659">
        <v>0</v>
      </c>
      <c r="M169" s="659">
        <v>0</v>
      </c>
      <c r="N169" s="659">
        <v>0</v>
      </c>
      <c r="O169" s="659">
        <v>0</v>
      </c>
      <c r="P169" s="659">
        <v>0</v>
      </c>
      <c r="Q169" s="659">
        <v>0</v>
      </c>
      <c r="R169" s="659">
        <v>0</v>
      </c>
      <c r="S169" s="659">
        <v>0</v>
      </c>
      <c r="T169" s="600" t="e">
        <v>#DIV/0!</v>
      </c>
      <c r="U169" s="656">
        <v>0</v>
      </c>
      <c r="V169" s="656">
        <v>0</v>
      </c>
      <c r="W169" s="660"/>
      <c r="X169" s="660"/>
      <c r="Y169" s="660"/>
      <c r="Z169" s="653"/>
    </row>
    <row r="170" spans="1:27" x14ac:dyDescent="0.2">
      <c r="A170" s="671" t="s">
        <v>53</v>
      </c>
      <c r="B170" s="672">
        <v>170733012</v>
      </c>
      <c r="C170" s="672">
        <v>198104223.65000004</v>
      </c>
      <c r="D170" s="672">
        <v>123597128.79699999</v>
      </c>
      <c r="E170" s="653"/>
      <c r="F170" s="653"/>
      <c r="G170" s="672">
        <v>46803413.762000002</v>
      </c>
      <c r="H170" s="672">
        <v>2354547.919999999</v>
      </c>
      <c r="I170" s="672">
        <v>55736478.486000009</v>
      </c>
      <c r="J170" s="672">
        <v>2336513.1189999995</v>
      </c>
      <c r="K170" s="672">
        <v>5465203.2310000006</v>
      </c>
      <c r="L170" s="672">
        <v>5242340.5829999996</v>
      </c>
      <c r="M170" s="672">
        <v>16562224.988</v>
      </c>
      <c r="N170" s="672">
        <v>5769094.716</v>
      </c>
      <c r="O170" s="672">
        <v>6405545.5899999999</v>
      </c>
      <c r="P170" s="672">
        <v>0</v>
      </c>
      <c r="Q170" s="672">
        <v>0</v>
      </c>
      <c r="R170" s="672">
        <v>0</v>
      </c>
      <c r="S170" s="672">
        <v>146675362.39500001</v>
      </c>
      <c r="T170" s="673">
        <v>0.74039492794529316</v>
      </c>
      <c r="U170" s="674">
        <v>51428861.255000025</v>
      </c>
      <c r="V170" s="674">
        <v>-23078233.59800002</v>
      </c>
      <c r="W170" s="660"/>
      <c r="X170" s="660"/>
      <c r="Y170" s="660"/>
      <c r="Z170" s="660"/>
      <c r="AA170" s="661"/>
    </row>
    <row r="171" spans="1:27" x14ac:dyDescent="0.2">
      <c r="A171" s="675" t="s">
        <v>54</v>
      </c>
      <c r="B171" s="676">
        <v>170399205</v>
      </c>
      <c r="C171" s="676">
        <v>197905769.44000003</v>
      </c>
      <c r="D171" s="676">
        <v>123485034.70299999</v>
      </c>
      <c r="E171" s="653"/>
      <c r="F171" s="653"/>
      <c r="G171" s="676">
        <v>46803413.762000002</v>
      </c>
      <c r="H171" s="676">
        <v>2354547.919999999</v>
      </c>
      <c r="I171" s="676">
        <v>55707694.522000007</v>
      </c>
      <c r="J171" s="676">
        <v>2336513.1189999995</v>
      </c>
      <c r="K171" s="676">
        <v>5465203.2310000006</v>
      </c>
      <c r="L171" s="676">
        <v>5242340.5829999996</v>
      </c>
      <c r="M171" s="676">
        <v>16478914.857999999</v>
      </c>
      <c r="N171" s="676">
        <v>5769094.716</v>
      </c>
      <c r="O171" s="676">
        <v>6405545.5899999999</v>
      </c>
      <c r="P171" s="676">
        <v>0</v>
      </c>
      <c r="Q171" s="676">
        <v>0</v>
      </c>
      <c r="R171" s="676">
        <v>0</v>
      </c>
      <c r="S171" s="676">
        <v>146563268.301</v>
      </c>
      <c r="T171" s="677">
        <v>0.74057097332594057</v>
      </c>
      <c r="U171" s="678">
        <v>51342501.139000028</v>
      </c>
      <c r="V171" s="678">
        <v>-23078233.598000005</v>
      </c>
      <c r="W171" s="660"/>
      <c r="X171" s="660"/>
      <c r="Y171" s="660"/>
      <c r="Z171" s="660"/>
      <c r="AA171" s="661"/>
    </row>
    <row r="172" spans="1:27" x14ac:dyDescent="0.2">
      <c r="A172" s="675" t="s">
        <v>55</v>
      </c>
      <c r="B172" s="676">
        <v>170733012</v>
      </c>
      <c r="C172" s="676">
        <v>161305834.67000002</v>
      </c>
      <c r="D172" s="676">
        <v>86798739.836999983</v>
      </c>
      <c r="E172" s="653"/>
      <c r="F172" s="653"/>
      <c r="G172" s="676">
        <v>10005024.802000001</v>
      </c>
      <c r="H172" s="676">
        <v>2354547.919999999</v>
      </c>
      <c r="I172" s="676">
        <v>55736478.486000009</v>
      </c>
      <c r="J172" s="676">
        <v>2336513.1189999995</v>
      </c>
      <c r="K172" s="676">
        <v>5465203.2310000006</v>
      </c>
      <c r="L172" s="676">
        <v>5242340.5829999996</v>
      </c>
      <c r="M172" s="676">
        <v>16562224.988</v>
      </c>
      <c r="N172" s="676">
        <v>5769094.716</v>
      </c>
      <c r="O172" s="676">
        <v>6405545.5899999999</v>
      </c>
      <c r="P172" s="676">
        <v>0</v>
      </c>
      <c r="Q172" s="676">
        <v>0</v>
      </c>
      <c r="R172" s="676">
        <v>0</v>
      </c>
      <c r="S172" s="676">
        <v>109876973.435</v>
      </c>
      <c r="T172" s="677">
        <v>0.68117172363781298</v>
      </c>
      <c r="U172" s="678">
        <v>51428861.235000014</v>
      </c>
      <c r="V172" s="678">
        <v>-23078233.59800002</v>
      </c>
      <c r="W172" s="660"/>
      <c r="X172" s="660"/>
      <c r="Y172" s="660"/>
      <c r="Z172" s="660"/>
      <c r="AA172" s="661"/>
    </row>
    <row r="173" spans="1:27" x14ac:dyDescent="0.2">
      <c r="A173" s="675" t="s">
        <v>56</v>
      </c>
      <c r="B173" s="676">
        <v>170399205</v>
      </c>
      <c r="C173" s="676">
        <v>161107380.46000001</v>
      </c>
      <c r="D173" s="676">
        <v>86686645.742999986</v>
      </c>
      <c r="E173" s="653"/>
      <c r="F173" s="653"/>
      <c r="G173" s="676">
        <v>10005024.802000001</v>
      </c>
      <c r="H173" s="676">
        <v>2354547.919999999</v>
      </c>
      <c r="I173" s="676">
        <v>55707694.522000007</v>
      </c>
      <c r="J173" s="676">
        <v>2336513.1189999995</v>
      </c>
      <c r="K173" s="676">
        <v>5465203.2310000006</v>
      </c>
      <c r="L173" s="676">
        <v>5242340.5829999996</v>
      </c>
      <c r="M173" s="676">
        <v>16478914.857999999</v>
      </c>
      <c r="N173" s="676">
        <v>5769094.716</v>
      </c>
      <c r="O173" s="676">
        <v>6405545.5899999999</v>
      </c>
      <c r="P173" s="676">
        <v>0</v>
      </c>
      <c r="Q173" s="676">
        <v>0</v>
      </c>
      <c r="R173" s="676">
        <v>0</v>
      </c>
      <c r="S173" s="676">
        <v>109764879.34100001</v>
      </c>
      <c r="T173" s="677">
        <v>0.68131502745308803</v>
      </c>
      <c r="U173" s="678">
        <v>51342501.119000003</v>
      </c>
      <c r="V173" s="678">
        <v>-23078233.59800002</v>
      </c>
      <c r="W173" s="660"/>
      <c r="X173" s="660"/>
      <c r="Y173" s="660"/>
      <c r="Z173" s="660"/>
      <c r="AA173" s="661"/>
    </row>
    <row r="174" spans="1:27" s="588" customFormat="1" x14ac:dyDescent="0.2">
      <c r="A174" s="551" t="s">
        <v>34</v>
      </c>
      <c r="B174" s="551"/>
      <c r="C174" s="551"/>
      <c r="D174" s="551"/>
      <c r="E174" s="551"/>
      <c r="F174" s="551"/>
      <c r="G174" s="551"/>
      <c r="H174" s="551"/>
      <c r="I174" s="551"/>
      <c r="J174" s="551"/>
      <c r="K174" s="551"/>
      <c r="L174" s="551"/>
      <c r="M174" s="551"/>
      <c r="N174" s="551"/>
      <c r="O174" s="551"/>
      <c r="P174" s="551"/>
      <c r="Q174" s="551"/>
      <c r="R174" s="551"/>
      <c r="S174" s="551"/>
      <c r="T174" s="551"/>
      <c r="U174" s="551"/>
      <c r="V174" s="551"/>
      <c r="W174" s="551"/>
      <c r="X174" s="551"/>
      <c r="Y174" s="551"/>
      <c r="Z174" s="551"/>
    </row>
    <row r="175" spans="1:27" s="588" customFormat="1" x14ac:dyDescent="0.2">
      <c r="A175" s="537" t="s">
        <v>249</v>
      </c>
      <c r="B175" s="553" t="s">
        <v>2</v>
      </c>
      <c r="C175" s="553" t="s">
        <v>3</v>
      </c>
      <c r="D175" s="679" t="s">
        <v>57</v>
      </c>
      <c r="E175" s="679" t="s">
        <v>30</v>
      </c>
      <c r="F175" s="679" t="s">
        <v>58</v>
      </c>
      <c r="G175" s="680" t="s">
        <v>5</v>
      </c>
      <c r="H175" s="680" t="s">
        <v>6</v>
      </c>
      <c r="I175" s="680" t="s">
        <v>7</v>
      </c>
      <c r="J175" s="680" t="s">
        <v>8</v>
      </c>
      <c r="K175" s="680" t="s">
        <v>9</v>
      </c>
      <c r="L175" s="680" t="s">
        <v>10</v>
      </c>
      <c r="M175" s="680" t="s">
        <v>11</v>
      </c>
      <c r="N175" s="680" t="s">
        <v>12</v>
      </c>
      <c r="O175" s="680" t="s">
        <v>13</v>
      </c>
      <c r="P175" s="680" t="s">
        <v>14</v>
      </c>
      <c r="Q175" s="680" t="s">
        <v>15</v>
      </c>
      <c r="R175" s="680" t="s">
        <v>16</v>
      </c>
      <c r="S175" s="679" t="s">
        <v>17</v>
      </c>
      <c r="T175" s="679" t="s">
        <v>18</v>
      </c>
      <c r="U175" s="680" t="s">
        <v>59</v>
      </c>
      <c r="V175" s="680" t="s">
        <v>60</v>
      </c>
      <c r="W175" s="680" t="s">
        <v>32</v>
      </c>
      <c r="X175" s="680" t="s">
        <v>31</v>
      </c>
      <c r="Y175" s="680" t="s">
        <v>61</v>
      </c>
      <c r="Z175" s="680" t="s">
        <v>62</v>
      </c>
    </row>
    <row r="176" spans="1:27" s="588" customFormat="1" ht="24" x14ac:dyDescent="0.2">
      <c r="A176" s="537"/>
      <c r="B176" s="553"/>
      <c r="C176" s="553"/>
      <c r="D176" s="681" t="s">
        <v>1426</v>
      </c>
      <c r="E176" s="681" t="s">
        <v>1426</v>
      </c>
      <c r="F176" s="681" t="s">
        <v>1426</v>
      </c>
      <c r="G176" s="680"/>
      <c r="H176" s="680"/>
      <c r="I176" s="680"/>
      <c r="J176" s="680"/>
      <c r="K176" s="680"/>
      <c r="L176" s="680"/>
      <c r="M176" s="680"/>
      <c r="N176" s="680"/>
      <c r="O176" s="680"/>
      <c r="P176" s="680"/>
      <c r="Q176" s="680"/>
      <c r="R176" s="680"/>
      <c r="S176" s="681" t="s">
        <v>1426</v>
      </c>
      <c r="T176" s="681" t="s">
        <v>1426</v>
      </c>
      <c r="U176" s="680"/>
      <c r="V176" s="680"/>
      <c r="W176" s="680"/>
      <c r="X176" s="680"/>
      <c r="Y176" s="680"/>
      <c r="Z176" s="680"/>
    </row>
    <row r="177" spans="1:26" s="588" customFormat="1" x14ac:dyDescent="0.2">
      <c r="A177" s="537"/>
      <c r="B177" s="682" t="s">
        <v>20</v>
      </c>
      <c r="C177" s="682" t="s">
        <v>21</v>
      </c>
      <c r="D177" s="682" t="s">
        <v>22</v>
      </c>
      <c r="E177" s="682" t="s">
        <v>23</v>
      </c>
      <c r="F177" s="682" t="s">
        <v>24</v>
      </c>
      <c r="G177" s="682" t="s">
        <v>63</v>
      </c>
      <c r="H177" s="682" t="s">
        <v>63</v>
      </c>
      <c r="I177" s="682" t="s">
        <v>63</v>
      </c>
      <c r="J177" s="682" t="s">
        <v>63</v>
      </c>
      <c r="K177" s="682" t="s">
        <v>63</v>
      </c>
      <c r="L177" s="682" t="s">
        <v>63</v>
      </c>
      <c r="M177" s="682" t="s">
        <v>63</v>
      </c>
      <c r="N177" s="682" t="s">
        <v>63</v>
      </c>
      <c r="O177" s="682" t="s">
        <v>63</v>
      </c>
      <c r="P177" s="682" t="s">
        <v>63</v>
      </c>
      <c r="Q177" s="682" t="s">
        <v>63</v>
      </c>
      <c r="R177" s="682" t="s">
        <v>63</v>
      </c>
      <c r="S177" s="682" t="s">
        <v>64</v>
      </c>
      <c r="T177" s="682" t="s">
        <v>65</v>
      </c>
      <c r="U177" s="682" t="s">
        <v>66</v>
      </c>
      <c r="V177" s="682" t="s">
        <v>67</v>
      </c>
      <c r="W177" s="682" t="s">
        <v>68</v>
      </c>
      <c r="X177" s="682" t="s">
        <v>69</v>
      </c>
      <c r="Y177" s="682" t="s">
        <v>70</v>
      </c>
      <c r="Z177" s="682" t="s">
        <v>71</v>
      </c>
    </row>
    <row r="178" spans="1:26" x14ac:dyDescent="0.2">
      <c r="A178" s="592" t="s">
        <v>404</v>
      </c>
      <c r="B178" s="683">
        <v>2017198</v>
      </c>
      <c r="C178" s="683">
        <v>2017198</v>
      </c>
      <c r="D178" s="683">
        <v>2017198</v>
      </c>
      <c r="E178" s="683">
        <v>1800553.38</v>
      </c>
      <c r="F178" s="683">
        <v>1354471.6400000001</v>
      </c>
      <c r="G178" s="683">
        <v>153398.09</v>
      </c>
      <c r="H178" s="683">
        <v>152096.41999999998</v>
      </c>
      <c r="I178" s="683">
        <v>150131.49</v>
      </c>
      <c r="J178" s="683">
        <v>151506.44</v>
      </c>
      <c r="K178" s="683">
        <v>150090.79999999999</v>
      </c>
      <c r="L178" s="683">
        <v>150292.12000000002</v>
      </c>
      <c r="M178" s="683">
        <v>150809.12</v>
      </c>
      <c r="N178" s="683">
        <v>148739.1</v>
      </c>
      <c r="O178" s="683">
        <v>147408.06</v>
      </c>
      <c r="P178" s="683">
        <v>0</v>
      </c>
      <c r="Q178" s="683">
        <v>0</v>
      </c>
      <c r="R178" s="683">
        <v>0</v>
      </c>
      <c r="S178" s="683">
        <v>1354471.6400000001</v>
      </c>
      <c r="T178" s="595">
        <v>0.67146191895887275</v>
      </c>
      <c r="U178" s="594">
        <v>662726.35999999987</v>
      </c>
      <c r="V178" s="594">
        <v>0</v>
      </c>
      <c r="W178" s="594">
        <v>216644.62000000011</v>
      </c>
      <c r="X178" s="594">
        <v>216644.62000000011</v>
      </c>
      <c r="Y178" s="594">
        <v>446081.73999999976</v>
      </c>
      <c r="Z178" s="594">
        <v>0</v>
      </c>
    </row>
    <row r="179" spans="1:26" x14ac:dyDescent="0.2">
      <c r="A179" s="597" t="s">
        <v>405</v>
      </c>
      <c r="B179" s="655">
        <v>1855168</v>
      </c>
      <c r="C179" s="655">
        <v>1864298</v>
      </c>
      <c r="D179" s="655">
        <v>1864298</v>
      </c>
      <c r="E179" s="655">
        <v>1687657.92</v>
      </c>
      <c r="F179" s="655">
        <v>1241576.18</v>
      </c>
      <c r="G179" s="655">
        <v>134715.66999999998</v>
      </c>
      <c r="H179" s="655">
        <v>140119.57999999999</v>
      </c>
      <c r="I179" s="655">
        <v>138026.32999999999</v>
      </c>
      <c r="J179" s="655">
        <v>139297.60000000001</v>
      </c>
      <c r="K179" s="655">
        <v>138588.43</v>
      </c>
      <c r="L179" s="655">
        <v>138767.07</v>
      </c>
      <c r="M179" s="655">
        <v>138782.62</v>
      </c>
      <c r="N179" s="655">
        <v>137412.12</v>
      </c>
      <c r="O179" s="655">
        <v>135866.76</v>
      </c>
      <c r="P179" s="655">
        <v>0</v>
      </c>
      <c r="Q179" s="655">
        <v>0</v>
      </c>
      <c r="R179" s="655">
        <v>0</v>
      </c>
      <c r="S179" s="655">
        <v>1241576.18</v>
      </c>
      <c r="T179" s="600">
        <v>0.66597517135136119</v>
      </c>
      <c r="U179" s="599">
        <v>622721.82000000007</v>
      </c>
      <c r="V179" s="599">
        <v>0</v>
      </c>
      <c r="W179" s="599">
        <v>176640.08000000007</v>
      </c>
      <c r="X179" s="599">
        <v>176640.08000000007</v>
      </c>
      <c r="Y179" s="599">
        <v>446081.74</v>
      </c>
      <c r="Z179" s="599">
        <v>0</v>
      </c>
    </row>
    <row r="180" spans="1:26" x14ac:dyDescent="0.2">
      <c r="A180" s="602" t="s">
        <v>406</v>
      </c>
      <c r="B180" s="665">
        <v>0</v>
      </c>
      <c r="C180" s="665">
        <v>0</v>
      </c>
      <c r="D180" s="665">
        <v>0</v>
      </c>
      <c r="E180" s="665">
        <v>0</v>
      </c>
      <c r="F180" s="665">
        <v>0</v>
      </c>
      <c r="G180" s="665">
        <v>0</v>
      </c>
      <c r="H180" s="665">
        <v>0</v>
      </c>
      <c r="I180" s="665">
        <v>0</v>
      </c>
      <c r="J180" s="665">
        <v>0</v>
      </c>
      <c r="K180" s="665">
        <v>0</v>
      </c>
      <c r="L180" s="665">
        <v>0</v>
      </c>
      <c r="M180" s="665">
        <v>0</v>
      </c>
      <c r="N180" s="665">
        <v>0</v>
      </c>
      <c r="O180" s="665">
        <v>0</v>
      </c>
      <c r="P180" s="665">
        <v>0</v>
      </c>
      <c r="Q180" s="665">
        <v>0</v>
      </c>
      <c r="R180" s="665">
        <v>0</v>
      </c>
      <c r="S180" s="665">
        <v>0</v>
      </c>
      <c r="T180" s="604" t="e">
        <v>#DIV/0!</v>
      </c>
      <c r="U180" s="603">
        <v>0</v>
      </c>
      <c r="V180" s="603">
        <v>0</v>
      </c>
      <c r="W180" s="603">
        <v>0</v>
      </c>
      <c r="X180" s="603">
        <v>0</v>
      </c>
      <c r="Y180" s="603">
        <v>0</v>
      </c>
      <c r="Z180" s="603">
        <v>0</v>
      </c>
    </row>
    <row r="181" spans="1:26" x14ac:dyDescent="0.2">
      <c r="A181" s="602" t="s">
        <v>407</v>
      </c>
      <c r="B181" s="665">
        <v>87600</v>
      </c>
      <c r="C181" s="665">
        <v>87454.45</v>
      </c>
      <c r="D181" s="665">
        <v>87454.45</v>
      </c>
      <c r="E181" s="665">
        <v>86873.51</v>
      </c>
      <c r="F181" s="665">
        <v>62946.96</v>
      </c>
      <c r="G181" s="665">
        <v>6299.7000000000007</v>
      </c>
      <c r="H181" s="665">
        <v>7510.9000000000005</v>
      </c>
      <c r="I181" s="665">
        <v>7300</v>
      </c>
      <c r="J181" s="665">
        <v>7300</v>
      </c>
      <c r="K181" s="665">
        <v>7300</v>
      </c>
      <c r="L181" s="665">
        <v>7300</v>
      </c>
      <c r="M181" s="665">
        <v>7300</v>
      </c>
      <c r="N181" s="665">
        <v>7300</v>
      </c>
      <c r="O181" s="665">
        <v>5336.36</v>
      </c>
      <c r="P181" s="665">
        <v>0</v>
      </c>
      <c r="Q181" s="665">
        <v>0</v>
      </c>
      <c r="R181" s="665">
        <v>0</v>
      </c>
      <c r="S181" s="665">
        <v>62946.960000000006</v>
      </c>
      <c r="T181" s="604">
        <v>0.71976851949786447</v>
      </c>
      <c r="U181" s="603">
        <v>24507.489999999991</v>
      </c>
      <c r="V181" s="603">
        <v>0</v>
      </c>
      <c r="W181" s="603">
        <v>580.94000000000233</v>
      </c>
      <c r="X181" s="603">
        <v>580.94000000000233</v>
      </c>
      <c r="Y181" s="603">
        <v>23926.549999999996</v>
      </c>
      <c r="Z181" s="603">
        <v>0</v>
      </c>
    </row>
    <row r="182" spans="1:26" x14ac:dyDescent="0.2">
      <c r="A182" s="602" t="s">
        <v>408</v>
      </c>
      <c r="B182" s="665">
        <v>411804</v>
      </c>
      <c r="C182" s="665">
        <v>445049.55</v>
      </c>
      <c r="D182" s="665">
        <v>445049.55</v>
      </c>
      <c r="E182" s="665">
        <v>444730.38999999996</v>
      </c>
      <c r="F182" s="665">
        <v>316153.37</v>
      </c>
      <c r="G182" s="665">
        <v>33213.42</v>
      </c>
      <c r="H182" s="665">
        <v>35594.949999999997</v>
      </c>
      <c r="I182" s="665">
        <v>35474.81</v>
      </c>
      <c r="J182" s="665">
        <v>35363.599999999999</v>
      </c>
      <c r="K182" s="665">
        <v>35094.43</v>
      </c>
      <c r="L182" s="665">
        <v>35273.07</v>
      </c>
      <c r="M182" s="665">
        <v>36087.97</v>
      </c>
      <c r="N182" s="665">
        <v>35017.520000000004</v>
      </c>
      <c r="O182" s="665">
        <v>35033.600000000006</v>
      </c>
      <c r="P182" s="665">
        <v>0</v>
      </c>
      <c r="Q182" s="665">
        <v>0</v>
      </c>
      <c r="R182" s="665">
        <v>0</v>
      </c>
      <c r="S182" s="665">
        <v>316153.37</v>
      </c>
      <c r="T182" s="604">
        <v>0.71037791185273635</v>
      </c>
      <c r="U182" s="603">
        <v>128896.18</v>
      </c>
      <c r="V182" s="603">
        <v>0</v>
      </c>
      <c r="W182" s="603">
        <v>319.1600000000326</v>
      </c>
      <c r="X182" s="603">
        <v>319.1600000000326</v>
      </c>
      <c r="Y182" s="603">
        <v>128577.01999999996</v>
      </c>
      <c r="Z182" s="603">
        <v>0</v>
      </c>
    </row>
    <row r="183" spans="1:26" x14ac:dyDescent="0.2">
      <c r="A183" s="602" t="s">
        <v>409</v>
      </c>
      <c r="B183" s="665">
        <v>81060</v>
      </c>
      <c r="C183" s="665">
        <v>68576</v>
      </c>
      <c r="D183" s="665">
        <v>68576</v>
      </c>
      <c r="E183" s="665">
        <v>67552.22</v>
      </c>
      <c r="F183" s="665">
        <v>52646.180000000037</v>
      </c>
      <c r="G183" s="665">
        <v>5624.2799999999988</v>
      </c>
      <c r="H183" s="665">
        <v>8789.06</v>
      </c>
      <c r="I183" s="665">
        <v>5566.5199999999986</v>
      </c>
      <c r="J183" s="665">
        <v>5427</v>
      </c>
      <c r="K183" s="665">
        <v>5427</v>
      </c>
      <c r="L183" s="665">
        <v>5427</v>
      </c>
      <c r="M183" s="665">
        <v>5514.36</v>
      </c>
      <c r="N183" s="665">
        <v>5443.12</v>
      </c>
      <c r="O183" s="665">
        <v>5427.84</v>
      </c>
      <c r="P183" s="665">
        <v>0</v>
      </c>
      <c r="Q183" s="665">
        <v>0</v>
      </c>
      <c r="R183" s="665">
        <v>0</v>
      </c>
      <c r="S183" s="665">
        <v>52646.180000000008</v>
      </c>
      <c r="T183" s="604">
        <v>0.76770561129258064</v>
      </c>
      <c r="U183" s="603">
        <v>15929.819999999992</v>
      </c>
      <c r="V183" s="603">
        <v>0</v>
      </c>
      <c r="W183" s="603">
        <v>1023.7799999999988</v>
      </c>
      <c r="X183" s="603">
        <v>1023.7799999999988</v>
      </c>
      <c r="Y183" s="603">
        <v>14906.039999999964</v>
      </c>
      <c r="Z183" s="603">
        <v>0</v>
      </c>
    </row>
    <row r="184" spans="1:26" x14ac:dyDescent="0.2">
      <c r="A184" s="602" t="s">
        <v>410</v>
      </c>
      <c r="B184" s="665">
        <v>954768</v>
      </c>
      <c r="C184" s="665">
        <v>1021282</v>
      </c>
      <c r="D184" s="665">
        <v>1021282</v>
      </c>
      <c r="E184" s="665">
        <v>964101.3600000001</v>
      </c>
      <c r="F184" s="665">
        <v>714309.22999999986</v>
      </c>
      <c r="G184" s="665">
        <v>70057.83</v>
      </c>
      <c r="H184" s="665">
        <v>78724.67</v>
      </c>
      <c r="I184" s="665">
        <v>80185</v>
      </c>
      <c r="J184" s="665">
        <v>81707</v>
      </c>
      <c r="K184" s="665">
        <v>81267</v>
      </c>
      <c r="L184" s="665">
        <v>81267</v>
      </c>
      <c r="M184" s="665">
        <v>80380.289999999994</v>
      </c>
      <c r="N184" s="665">
        <v>80151.48</v>
      </c>
      <c r="O184" s="665">
        <v>80568.960000000006</v>
      </c>
      <c r="P184" s="665">
        <v>0</v>
      </c>
      <c r="Q184" s="665">
        <v>0</v>
      </c>
      <c r="R184" s="665">
        <v>0</v>
      </c>
      <c r="S184" s="665">
        <v>714309.23</v>
      </c>
      <c r="T184" s="604">
        <v>0.6994240865892084</v>
      </c>
      <c r="U184" s="603">
        <v>306972.77</v>
      </c>
      <c r="V184" s="603">
        <v>0</v>
      </c>
      <c r="W184" s="603">
        <v>57180.639999999898</v>
      </c>
      <c r="X184" s="603">
        <v>57180.639999999898</v>
      </c>
      <c r="Y184" s="603">
        <v>249792.13000000024</v>
      </c>
      <c r="Z184" s="603">
        <v>0</v>
      </c>
    </row>
    <row r="185" spans="1:26" x14ac:dyDescent="0.2">
      <c r="A185" s="602" t="s">
        <v>411</v>
      </c>
      <c r="B185" s="665">
        <v>192000</v>
      </c>
      <c r="C185" s="665">
        <v>114000</v>
      </c>
      <c r="D185" s="665">
        <v>114000</v>
      </c>
      <c r="E185" s="665">
        <v>114000</v>
      </c>
      <c r="F185" s="665">
        <v>85120</v>
      </c>
      <c r="G185" s="665">
        <v>9120</v>
      </c>
      <c r="H185" s="665">
        <v>9500</v>
      </c>
      <c r="I185" s="665">
        <v>9500</v>
      </c>
      <c r="J185" s="665">
        <v>9500</v>
      </c>
      <c r="K185" s="665">
        <v>9500</v>
      </c>
      <c r="L185" s="665">
        <v>9500</v>
      </c>
      <c r="M185" s="665">
        <v>9500</v>
      </c>
      <c r="N185" s="665">
        <v>9500</v>
      </c>
      <c r="O185" s="665">
        <v>9500</v>
      </c>
      <c r="P185" s="665">
        <v>0</v>
      </c>
      <c r="Q185" s="665">
        <v>0</v>
      </c>
      <c r="R185" s="665">
        <v>0</v>
      </c>
      <c r="S185" s="665">
        <v>85120</v>
      </c>
      <c r="T185" s="604">
        <v>0.7466666666666667</v>
      </c>
      <c r="U185" s="603">
        <v>28880</v>
      </c>
      <c r="V185" s="603">
        <v>0</v>
      </c>
      <c r="W185" s="603">
        <v>0</v>
      </c>
      <c r="X185" s="603">
        <v>0</v>
      </c>
      <c r="Y185" s="603">
        <v>28880</v>
      </c>
      <c r="Z185" s="603">
        <v>0</v>
      </c>
    </row>
    <row r="186" spans="1:26" ht="24" x14ac:dyDescent="0.2">
      <c r="A186" s="602" t="s">
        <v>412</v>
      </c>
      <c r="B186" s="665">
        <v>0</v>
      </c>
      <c r="C186" s="665">
        <v>0</v>
      </c>
      <c r="D186" s="665">
        <v>0</v>
      </c>
      <c r="E186" s="665">
        <v>0</v>
      </c>
      <c r="F186" s="665">
        <v>0</v>
      </c>
      <c r="G186" s="665">
        <v>0</v>
      </c>
      <c r="H186" s="665">
        <v>0</v>
      </c>
      <c r="I186" s="665">
        <v>0</v>
      </c>
      <c r="J186" s="665">
        <v>0</v>
      </c>
      <c r="K186" s="665">
        <v>0</v>
      </c>
      <c r="L186" s="665">
        <v>0</v>
      </c>
      <c r="M186" s="665">
        <v>0</v>
      </c>
      <c r="N186" s="665">
        <v>0</v>
      </c>
      <c r="O186" s="665">
        <v>0</v>
      </c>
      <c r="P186" s="665">
        <v>0</v>
      </c>
      <c r="Q186" s="665">
        <v>0</v>
      </c>
      <c r="R186" s="665">
        <v>0</v>
      </c>
      <c r="S186" s="665">
        <v>0</v>
      </c>
      <c r="T186" s="604" t="e">
        <v>#DIV/0!</v>
      </c>
      <c r="U186" s="603">
        <v>0</v>
      </c>
      <c r="V186" s="603">
        <v>0</v>
      </c>
      <c r="W186" s="603">
        <v>0</v>
      </c>
      <c r="X186" s="603">
        <v>0</v>
      </c>
      <c r="Y186" s="603">
        <v>0</v>
      </c>
      <c r="Z186" s="603">
        <v>0</v>
      </c>
    </row>
    <row r="187" spans="1:26" ht="24" x14ac:dyDescent="0.2">
      <c r="A187" s="602" t="s">
        <v>413</v>
      </c>
      <c r="B187" s="665">
        <v>0</v>
      </c>
      <c r="C187" s="665">
        <v>0</v>
      </c>
      <c r="D187" s="665">
        <v>0</v>
      </c>
      <c r="E187" s="665">
        <v>0</v>
      </c>
      <c r="F187" s="665">
        <v>0</v>
      </c>
      <c r="G187" s="665">
        <v>0</v>
      </c>
      <c r="H187" s="665">
        <v>0</v>
      </c>
      <c r="I187" s="665">
        <v>0</v>
      </c>
      <c r="J187" s="665">
        <v>0</v>
      </c>
      <c r="K187" s="665">
        <v>0</v>
      </c>
      <c r="L187" s="665">
        <v>0</v>
      </c>
      <c r="M187" s="665">
        <v>0</v>
      </c>
      <c r="N187" s="665">
        <v>0</v>
      </c>
      <c r="O187" s="665">
        <v>0</v>
      </c>
      <c r="P187" s="665">
        <v>0</v>
      </c>
      <c r="Q187" s="665">
        <v>0</v>
      </c>
      <c r="R187" s="665">
        <v>0</v>
      </c>
      <c r="S187" s="665">
        <v>0</v>
      </c>
      <c r="T187" s="604" t="e">
        <v>#DIV/0!</v>
      </c>
      <c r="U187" s="603">
        <v>0</v>
      </c>
      <c r="V187" s="603">
        <v>0</v>
      </c>
      <c r="W187" s="603">
        <v>0</v>
      </c>
      <c r="X187" s="603">
        <v>0</v>
      </c>
      <c r="Y187" s="603">
        <v>0</v>
      </c>
      <c r="Z187" s="603">
        <v>0</v>
      </c>
    </row>
    <row r="188" spans="1:26" x14ac:dyDescent="0.2">
      <c r="A188" s="602" t="s">
        <v>414</v>
      </c>
      <c r="B188" s="665">
        <v>0</v>
      </c>
      <c r="C188" s="665">
        <v>0</v>
      </c>
      <c r="D188" s="665">
        <v>0</v>
      </c>
      <c r="E188" s="665">
        <v>0</v>
      </c>
      <c r="F188" s="665">
        <v>0</v>
      </c>
      <c r="G188" s="665">
        <v>0</v>
      </c>
      <c r="H188" s="665">
        <v>0</v>
      </c>
      <c r="I188" s="665">
        <v>0</v>
      </c>
      <c r="J188" s="665">
        <v>0</v>
      </c>
      <c r="K188" s="665">
        <v>0</v>
      </c>
      <c r="L188" s="665">
        <v>0</v>
      </c>
      <c r="M188" s="665">
        <v>0</v>
      </c>
      <c r="N188" s="665">
        <v>0</v>
      </c>
      <c r="O188" s="665">
        <v>0</v>
      </c>
      <c r="P188" s="665">
        <v>0</v>
      </c>
      <c r="Q188" s="665">
        <v>0</v>
      </c>
      <c r="R188" s="665">
        <v>0</v>
      </c>
      <c r="S188" s="665">
        <v>0</v>
      </c>
      <c r="T188" s="604" t="e">
        <v>#DIV/0!</v>
      </c>
      <c r="U188" s="603">
        <v>0</v>
      </c>
      <c r="V188" s="603">
        <v>0</v>
      </c>
      <c r="W188" s="603">
        <v>0</v>
      </c>
      <c r="X188" s="603">
        <v>0</v>
      </c>
      <c r="Y188" s="603">
        <v>0</v>
      </c>
      <c r="Z188" s="603">
        <v>0</v>
      </c>
    </row>
    <row r="189" spans="1:26" x14ac:dyDescent="0.2">
      <c r="A189" s="602" t="s">
        <v>415</v>
      </c>
      <c r="B189" s="665">
        <v>0</v>
      </c>
      <c r="C189" s="665">
        <v>0</v>
      </c>
      <c r="D189" s="665">
        <v>0</v>
      </c>
      <c r="E189" s="665">
        <v>0</v>
      </c>
      <c r="F189" s="665">
        <v>0</v>
      </c>
      <c r="G189" s="665">
        <v>0</v>
      </c>
      <c r="H189" s="665">
        <v>0</v>
      </c>
      <c r="I189" s="665">
        <v>0</v>
      </c>
      <c r="J189" s="665">
        <v>0</v>
      </c>
      <c r="K189" s="665">
        <v>0</v>
      </c>
      <c r="L189" s="665">
        <v>0</v>
      </c>
      <c r="M189" s="665">
        <v>0</v>
      </c>
      <c r="N189" s="665">
        <v>0</v>
      </c>
      <c r="O189" s="665">
        <v>0</v>
      </c>
      <c r="P189" s="665">
        <v>0</v>
      </c>
      <c r="Q189" s="665">
        <v>0</v>
      </c>
      <c r="R189" s="665">
        <v>0</v>
      </c>
      <c r="S189" s="665">
        <v>0</v>
      </c>
      <c r="T189" s="604" t="e">
        <v>#DIV/0!</v>
      </c>
      <c r="U189" s="603">
        <v>0</v>
      </c>
      <c r="V189" s="603">
        <v>0</v>
      </c>
      <c r="W189" s="603">
        <v>0</v>
      </c>
      <c r="X189" s="603">
        <v>0</v>
      </c>
      <c r="Y189" s="603">
        <v>0</v>
      </c>
      <c r="Z189" s="603">
        <v>0</v>
      </c>
    </row>
    <row r="190" spans="1:26" x14ac:dyDescent="0.2">
      <c r="A190" s="602" t="s">
        <v>416</v>
      </c>
      <c r="B190" s="665">
        <v>127936</v>
      </c>
      <c r="C190" s="665">
        <v>127936</v>
      </c>
      <c r="D190" s="665">
        <v>127936</v>
      </c>
      <c r="E190" s="665">
        <v>10400.44</v>
      </c>
      <c r="F190" s="665">
        <v>10400.44</v>
      </c>
      <c r="G190" s="665">
        <v>10400.44</v>
      </c>
      <c r="H190" s="665">
        <v>0</v>
      </c>
      <c r="I190" s="665">
        <v>0</v>
      </c>
      <c r="J190" s="665">
        <v>0</v>
      </c>
      <c r="K190" s="665">
        <v>0</v>
      </c>
      <c r="L190" s="665">
        <v>0</v>
      </c>
      <c r="M190" s="665">
        <v>0</v>
      </c>
      <c r="N190" s="665">
        <v>0</v>
      </c>
      <c r="O190" s="665">
        <v>0</v>
      </c>
      <c r="P190" s="665">
        <v>0</v>
      </c>
      <c r="Q190" s="665">
        <v>0</v>
      </c>
      <c r="R190" s="665">
        <v>0</v>
      </c>
      <c r="S190" s="665">
        <v>10400.44</v>
      </c>
      <c r="T190" s="604">
        <v>8.1294084542271133E-2</v>
      </c>
      <c r="U190" s="603">
        <v>117535.56</v>
      </c>
      <c r="V190" s="603">
        <v>0</v>
      </c>
      <c r="W190" s="603">
        <v>117535.56</v>
      </c>
      <c r="X190" s="603">
        <v>117535.56</v>
      </c>
      <c r="Y190" s="603">
        <v>0</v>
      </c>
      <c r="Z190" s="603">
        <v>0</v>
      </c>
    </row>
    <row r="191" spans="1:26" x14ac:dyDescent="0.2">
      <c r="A191" s="602" t="s">
        <v>417</v>
      </c>
      <c r="B191" s="665">
        <v>0</v>
      </c>
      <c r="C191" s="665">
        <v>0</v>
      </c>
      <c r="D191" s="665">
        <v>0</v>
      </c>
      <c r="E191" s="665">
        <v>0</v>
      </c>
      <c r="F191" s="665">
        <v>0</v>
      </c>
      <c r="G191" s="665">
        <v>0</v>
      </c>
      <c r="H191" s="665">
        <v>0</v>
      </c>
      <c r="I191" s="665">
        <v>0</v>
      </c>
      <c r="J191" s="665">
        <v>0</v>
      </c>
      <c r="K191" s="665">
        <v>0</v>
      </c>
      <c r="L191" s="665">
        <v>0</v>
      </c>
      <c r="M191" s="665">
        <v>0</v>
      </c>
      <c r="N191" s="665">
        <v>0</v>
      </c>
      <c r="O191" s="665">
        <v>0</v>
      </c>
      <c r="P191" s="665">
        <v>0</v>
      </c>
      <c r="Q191" s="665">
        <v>0</v>
      </c>
      <c r="R191" s="665">
        <v>0</v>
      </c>
      <c r="S191" s="665">
        <v>0</v>
      </c>
      <c r="T191" s="604" t="e">
        <v>#DIV/0!</v>
      </c>
      <c r="U191" s="603">
        <v>0</v>
      </c>
      <c r="V191" s="603">
        <v>0</v>
      </c>
      <c r="W191" s="603">
        <v>0</v>
      </c>
      <c r="X191" s="603">
        <v>0</v>
      </c>
      <c r="Y191" s="603">
        <v>0</v>
      </c>
      <c r="Z191" s="603">
        <v>0</v>
      </c>
    </row>
    <row r="192" spans="1:26" x14ac:dyDescent="0.2">
      <c r="A192" s="597" t="s">
        <v>418</v>
      </c>
      <c r="B192" s="655">
        <v>55400</v>
      </c>
      <c r="C192" s="655">
        <v>52500</v>
      </c>
      <c r="D192" s="655">
        <v>52500</v>
      </c>
      <c r="E192" s="655">
        <v>31238.58</v>
      </c>
      <c r="F192" s="655">
        <v>31238.58</v>
      </c>
      <c r="G192" s="693">
        <v>3081.76</v>
      </c>
      <c r="H192" s="693">
        <v>4150</v>
      </c>
      <c r="I192" s="693">
        <v>3700</v>
      </c>
      <c r="J192" s="693">
        <v>3925</v>
      </c>
      <c r="K192" s="693">
        <v>3171.4300000000003</v>
      </c>
      <c r="L192" s="693">
        <v>3210.39</v>
      </c>
      <c r="M192" s="655">
        <v>3700</v>
      </c>
      <c r="N192" s="655">
        <v>3000</v>
      </c>
      <c r="O192" s="655">
        <v>3300</v>
      </c>
      <c r="P192" s="655">
        <v>0</v>
      </c>
      <c r="Q192" s="655">
        <v>0</v>
      </c>
      <c r="R192" s="655">
        <v>0</v>
      </c>
      <c r="S192" s="655">
        <v>31238.58</v>
      </c>
      <c r="T192" s="600">
        <v>0.59502057142857145</v>
      </c>
      <c r="U192" s="599">
        <v>21261.42</v>
      </c>
      <c r="V192" s="599">
        <v>0</v>
      </c>
      <c r="W192" s="599">
        <v>21261.42</v>
      </c>
      <c r="X192" s="599">
        <v>21261.42</v>
      </c>
      <c r="Y192" s="599">
        <v>0</v>
      </c>
      <c r="Z192" s="599">
        <v>0</v>
      </c>
    </row>
    <row r="193" spans="1:26" x14ac:dyDescent="0.2">
      <c r="A193" s="602" t="s">
        <v>419</v>
      </c>
      <c r="B193" s="665">
        <v>0</v>
      </c>
      <c r="C193" s="665">
        <v>0</v>
      </c>
      <c r="D193" s="665">
        <v>0</v>
      </c>
      <c r="E193" s="665">
        <v>0</v>
      </c>
      <c r="F193" s="665">
        <v>0</v>
      </c>
      <c r="G193" s="665">
        <v>0</v>
      </c>
      <c r="H193" s="665">
        <v>0</v>
      </c>
      <c r="I193" s="665">
        <v>0</v>
      </c>
      <c r="J193" s="665">
        <v>0</v>
      </c>
      <c r="K193" s="665">
        <v>0</v>
      </c>
      <c r="L193" s="665">
        <v>0</v>
      </c>
      <c r="M193" s="665">
        <v>0</v>
      </c>
      <c r="N193" s="665">
        <v>0</v>
      </c>
      <c r="O193" s="665">
        <v>0</v>
      </c>
      <c r="P193" s="665">
        <v>0</v>
      </c>
      <c r="Q193" s="665">
        <v>0</v>
      </c>
      <c r="R193" s="665">
        <v>0</v>
      </c>
      <c r="S193" s="665">
        <v>0</v>
      </c>
      <c r="T193" s="604" t="e">
        <v>#DIV/0!</v>
      </c>
      <c r="U193" s="603">
        <v>0</v>
      </c>
      <c r="V193" s="603">
        <v>0</v>
      </c>
      <c r="W193" s="603">
        <v>0</v>
      </c>
      <c r="X193" s="603">
        <v>0</v>
      </c>
      <c r="Y193" s="603">
        <v>0</v>
      </c>
      <c r="Z193" s="603">
        <v>0</v>
      </c>
    </row>
    <row r="194" spans="1:26" x14ac:dyDescent="0.2">
      <c r="A194" s="602" t="s">
        <v>420</v>
      </c>
      <c r="B194" s="665">
        <v>42300</v>
      </c>
      <c r="C194" s="665">
        <v>39400</v>
      </c>
      <c r="D194" s="665">
        <v>39400</v>
      </c>
      <c r="E194" s="665">
        <v>28138.58</v>
      </c>
      <c r="F194" s="665">
        <v>28138.58</v>
      </c>
      <c r="G194" s="665">
        <v>3081.76</v>
      </c>
      <c r="H194" s="665">
        <v>3150</v>
      </c>
      <c r="I194" s="665">
        <v>3300</v>
      </c>
      <c r="J194" s="665">
        <v>3225</v>
      </c>
      <c r="K194" s="665">
        <v>3171.4300000000003</v>
      </c>
      <c r="L194" s="665">
        <v>3210.39</v>
      </c>
      <c r="M194" s="665">
        <v>3000</v>
      </c>
      <c r="N194" s="665">
        <v>3000</v>
      </c>
      <c r="O194" s="665">
        <v>3000</v>
      </c>
      <c r="P194" s="665">
        <v>0</v>
      </c>
      <c r="Q194" s="665">
        <v>0</v>
      </c>
      <c r="R194" s="665">
        <v>0</v>
      </c>
      <c r="S194" s="665">
        <v>28138.58</v>
      </c>
      <c r="T194" s="604">
        <v>0.7141771573604061</v>
      </c>
      <c r="U194" s="603">
        <v>11261.419999999998</v>
      </c>
      <c r="V194" s="603">
        <v>0</v>
      </c>
      <c r="W194" s="603">
        <v>11261.419999999998</v>
      </c>
      <c r="X194" s="603">
        <v>11261.419999999998</v>
      </c>
      <c r="Y194" s="603">
        <v>0</v>
      </c>
      <c r="Z194" s="603">
        <v>0</v>
      </c>
    </row>
    <row r="195" spans="1:26" x14ac:dyDescent="0.2">
      <c r="A195" s="602" t="s">
        <v>421</v>
      </c>
      <c r="B195" s="665">
        <v>0</v>
      </c>
      <c r="C195" s="665">
        <v>0</v>
      </c>
      <c r="D195" s="665">
        <v>0</v>
      </c>
      <c r="E195" s="665">
        <v>0</v>
      </c>
      <c r="F195" s="665">
        <v>0</v>
      </c>
      <c r="G195" s="665">
        <v>0</v>
      </c>
      <c r="H195" s="665">
        <v>0</v>
      </c>
      <c r="I195" s="665">
        <v>0</v>
      </c>
      <c r="J195" s="665">
        <v>0</v>
      </c>
      <c r="K195" s="665">
        <v>0</v>
      </c>
      <c r="L195" s="665">
        <v>0</v>
      </c>
      <c r="M195" s="665">
        <v>0</v>
      </c>
      <c r="N195" s="665">
        <v>0</v>
      </c>
      <c r="O195" s="665">
        <v>0</v>
      </c>
      <c r="P195" s="665">
        <v>0</v>
      </c>
      <c r="Q195" s="665">
        <v>0</v>
      </c>
      <c r="R195" s="665">
        <v>0</v>
      </c>
      <c r="S195" s="665">
        <v>0</v>
      </c>
      <c r="T195" s="604" t="e">
        <v>#DIV/0!</v>
      </c>
      <c r="U195" s="603">
        <v>0</v>
      </c>
      <c r="V195" s="603">
        <v>0</v>
      </c>
      <c r="W195" s="603">
        <v>0</v>
      </c>
      <c r="X195" s="603">
        <v>0</v>
      </c>
      <c r="Y195" s="603">
        <v>0</v>
      </c>
      <c r="Z195" s="603">
        <v>0</v>
      </c>
    </row>
    <row r="196" spans="1:26" x14ac:dyDescent="0.2">
      <c r="A196" s="602" t="s">
        <v>422</v>
      </c>
      <c r="B196" s="665">
        <v>0</v>
      </c>
      <c r="C196" s="665">
        <v>0</v>
      </c>
      <c r="D196" s="665">
        <v>0</v>
      </c>
      <c r="E196" s="665">
        <v>0</v>
      </c>
      <c r="F196" s="665">
        <v>0</v>
      </c>
      <c r="G196" s="665">
        <v>0</v>
      </c>
      <c r="H196" s="665">
        <v>0</v>
      </c>
      <c r="I196" s="665">
        <v>0</v>
      </c>
      <c r="J196" s="665">
        <v>0</v>
      </c>
      <c r="K196" s="665">
        <v>0</v>
      </c>
      <c r="L196" s="665">
        <v>0</v>
      </c>
      <c r="M196" s="665">
        <v>0</v>
      </c>
      <c r="N196" s="665">
        <v>0</v>
      </c>
      <c r="O196" s="665">
        <v>0</v>
      </c>
      <c r="P196" s="665">
        <v>0</v>
      </c>
      <c r="Q196" s="665">
        <v>0</v>
      </c>
      <c r="R196" s="665">
        <v>0</v>
      </c>
      <c r="S196" s="665">
        <v>0</v>
      </c>
      <c r="T196" s="604" t="e">
        <v>#DIV/0!</v>
      </c>
      <c r="U196" s="603">
        <v>0</v>
      </c>
      <c r="V196" s="603">
        <v>0</v>
      </c>
      <c r="W196" s="603">
        <v>0</v>
      </c>
      <c r="X196" s="603">
        <v>0</v>
      </c>
      <c r="Y196" s="603">
        <v>0</v>
      </c>
      <c r="Z196" s="603">
        <v>0</v>
      </c>
    </row>
    <row r="197" spans="1:26" ht="24" x14ac:dyDescent="0.2">
      <c r="A197" s="602" t="s">
        <v>423</v>
      </c>
      <c r="B197" s="665">
        <v>0</v>
      </c>
      <c r="C197" s="665">
        <v>0</v>
      </c>
      <c r="D197" s="665">
        <v>0</v>
      </c>
      <c r="E197" s="665">
        <v>0</v>
      </c>
      <c r="F197" s="665">
        <v>0</v>
      </c>
      <c r="G197" s="665">
        <v>0</v>
      </c>
      <c r="H197" s="665">
        <v>0</v>
      </c>
      <c r="I197" s="665">
        <v>0</v>
      </c>
      <c r="J197" s="665">
        <v>0</v>
      </c>
      <c r="K197" s="665">
        <v>0</v>
      </c>
      <c r="L197" s="665">
        <v>0</v>
      </c>
      <c r="M197" s="665">
        <v>0</v>
      </c>
      <c r="N197" s="665">
        <v>0</v>
      </c>
      <c r="O197" s="665">
        <v>0</v>
      </c>
      <c r="P197" s="665">
        <v>0</v>
      </c>
      <c r="Q197" s="665">
        <v>0</v>
      </c>
      <c r="R197" s="665">
        <v>0</v>
      </c>
      <c r="S197" s="665">
        <v>0</v>
      </c>
      <c r="T197" s="604" t="e">
        <v>#DIV/0!</v>
      </c>
      <c r="U197" s="603">
        <v>0</v>
      </c>
      <c r="V197" s="603">
        <v>0</v>
      </c>
      <c r="W197" s="603">
        <v>0</v>
      </c>
      <c r="X197" s="603">
        <v>0</v>
      </c>
      <c r="Y197" s="603">
        <v>0</v>
      </c>
      <c r="Z197" s="603">
        <v>0</v>
      </c>
    </row>
    <row r="198" spans="1:26" x14ac:dyDescent="0.2">
      <c r="A198" s="602" t="s">
        <v>424</v>
      </c>
      <c r="B198" s="665">
        <v>0</v>
      </c>
      <c r="C198" s="665">
        <v>0</v>
      </c>
      <c r="D198" s="665">
        <v>0</v>
      </c>
      <c r="E198" s="665">
        <v>0</v>
      </c>
      <c r="F198" s="665">
        <v>0</v>
      </c>
      <c r="G198" s="665">
        <v>0</v>
      </c>
      <c r="H198" s="665">
        <v>0</v>
      </c>
      <c r="I198" s="665">
        <v>0</v>
      </c>
      <c r="J198" s="665">
        <v>0</v>
      </c>
      <c r="K198" s="665">
        <v>0</v>
      </c>
      <c r="L198" s="665">
        <v>0</v>
      </c>
      <c r="M198" s="665">
        <v>0</v>
      </c>
      <c r="N198" s="665">
        <v>0</v>
      </c>
      <c r="O198" s="665">
        <v>0</v>
      </c>
      <c r="P198" s="665">
        <v>0</v>
      </c>
      <c r="Q198" s="665">
        <v>0</v>
      </c>
      <c r="R198" s="665">
        <v>0</v>
      </c>
      <c r="S198" s="665">
        <v>0</v>
      </c>
      <c r="T198" s="604" t="e">
        <v>#DIV/0!</v>
      </c>
      <c r="U198" s="603">
        <v>0</v>
      </c>
      <c r="V198" s="603">
        <v>0</v>
      </c>
      <c r="W198" s="603">
        <v>0</v>
      </c>
      <c r="X198" s="603">
        <v>0</v>
      </c>
      <c r="Y198" s="603">
        <v>0</v>
      </c>
      <c r="Z198" s="603">
        <v>0</v>
      </c>
    </row>
    <row r="199" spans="1:26" x14ac:dyDescent="0.2">
      <c r="A199" s="602" t="s">
        <v>425</v>
      </c>
      <c r="B199" s="665">
        <v>0</v>
      </c>
      <c r="C199" s="665">
        <v>0</v>
      </c>
      <c r="D199" s="665">
        <v>0</v>
      </c>
      <c r="E199" s="665">
        <v>0</v>
      </c>
      <c r="F199" s="665">
        <v>0</v>
      </c>
      <c r="G199" s="665">
        <v>0</v>
      </c>
      <c r="H199" s="665">
        <v>0</v>
      </c>
      <c r="I199" s="665">
        <v>0</v>
      </c>
      <c r="J199" s="665">
        <v>0</v>
      </c>
      <c r="K199" s="665">
        <v>0</v>
      </c>
      <c r="L199" s="665">
        <v>0</v>
      </c>
      <c r="M199" s="665">
        <v>0</v>
      </c>
      <c r="N199" s="665">
        <v>0</v>
      </c>
      <c r="O199" s="665">
        <v>0</v>
      </c>
      <c r="P199" s="665">
        <v>0</v>
      </c>
      <c r="Q199" s="665">
        <v>0</v>
      </c>
      <c r="R199" s="665">
        <v>0</v>
      </c>
      <c r="S199" s="665">
        <v>0</v>
      </c>
      <c r="T199" s="604" t="e">
        <v>#DIV/0!</v>
      </c>
      <c r="U199" s="603">
        <v>0</v>
      </c>
      <c r="V199" s="603">
        <v>0</v>
      </c>
      <c r="W199" s="603">
        <v>0</v>
      </c>
      <c r="X199" s="603">
        <v>0</v>
      </c>
      <c r="Y199" s="603">
        <v>0</v>
      </c>
      <c r="Z199" s="603">
        <v>0</v>
      </c>
    </row>
    <row r="200" spans="1:26" x14ac:dyDescent="0.2">
      <c r="A200" s="602" t="s">
        <v>426</v>
      </c>
      <c r="B200" s="665">
        <v>0</v>
      </c>
      <c r="C200" s="665">
        <v>0</v>
      </c>
      <c r="D200" s="665">
        <v>0</v>
      </c>
      <c r="E200" s="665">
        <v>0</v>
      </c>
      <c r="F200" s="665">
        <v>0</v>
      </c>
      <c r="G200" s="665">
        <v>0</v>
      </c>
      <c r="H200" s="665">
        <v>0</v>
      </c>
      <c r="I200" s="665">
        <v>0</v>
      </c>
      <c r="J200" s="665">
        <v>0</v>
      </c>
      <c r="K200" s="665">
        <v>0</v>
      </c>
      <c r="L200" s="665">
        <v>0</v>
      </c>
      <c r="M200" s="665">
        <v>0</v>
      </c>
      <c r="N200" s="665">
        <v>0</v>
      </c>
      <c r="O200" s="665">
        <v>0</v>
      </c>
      <c r="P200" s="665">
        <v>0</v>
      </c>
      <c r="Q200" s="665">
        <v>0</v>
      </c>
      <c r="R200" s="665">
        <v>0</v>
      </c>
      <c r="S200" s="665">
        <v>0</v>
      </c>
      <c r="T200" s="604" t="e">
        <v>#DIV/0!</v>
      </c>
      <c r="U200" s="603">
        <v>0</v>
      </c>
      <c r="V200" s="603">
        <v>0</v>
      </c>
      <c r="W200" s="603">
        <v>0</v>
      </c>
      <c r="X200" s="603">
        <v>0</v>
      </c>
      <c r="Y200" s="603">
        <v>0</v>
      </c>
      <c r="Z200" s="603">
        <v>0</v>
      </c>
    </row>
    <row r="201" spans="1:26" x14ac:dyDescent="0.2">
      <c r="A201" s="602" t="s">
        <v>427</v>
      </c>
      <c r="B201" s="665">
        <v>13100</v>
      </c>
      <c r="C201" s="665">
        <v>13100</v>
      </c>
      <c r="D201" s="665">
        <v>13100</v>
      </c>
      <c r="E201" s="665">
        <v>3100</v>
      </c>
      <c r="F201" s="665">
        <v>3100</v>
      </c>
      <c r="G201" s="665">
        <v>0</v>
      </c>
      <c r="H201" s="665">
        <v>1000</v>
      </c>
      <c r="I201" s="665">
        <v>400</v>
      </c>
      <c r="J201" s="665">
        <v>700</v>
      </c>
      <c r="K201" s="665">
        <v>0</v>
      </c>
      <c r="L201" s="665">
        <v>0</v>
      </c>
      <c r="M201" s="665">
        <v>700</v>
      </c>
      <c r="N201" s="665">
        <v>0</v>
      </c>
      <c r="O201" s="665">
        <v>300</v>
      </c>
      <c r="P201" s="665">
        <v>0</v>
      </c>
      <c r="Q201" s="665">
        <v>0</v>
      </c>
      <c r="R201" s="665">
        <v>0</v>
      </c>
      <c r="S201" s="665">
        <v>3100</v>
      </c>
      <c r="T201" s="604">
        <v>0.23664122137404581</v>
      </c>
      <c r="U201" s="603">
        <v>10000</v>
      </c>
      <c r="V201" s="603">
        <v>0</v>
      </c>
      <c r="W201" s="603">
        <v>10000</v>
      </c>
      <c r="X201" s="603">
        <v>10000</v>
      </c>
      <c r="Y201" s="603">
        <v>0</v>
      </c>
      <c r="Z201" s="603">
        <v>0</v>
      </c>
    </row>
    <row r="202" spans="1:26" ht="24" x14ac:dyDescent="0.2">
      <c r="A202" s="597" t="s">
        <v>428</v>
      </c>
      <c r="B202" s="685">
        <v>106630</v>
      </c>
      <c r="C202" s="685">
        <v>100400</v>
      </c>
      <c r="D202" s="685">
        <v>100400</v>
      </c>
      <c r="E202" s="685">
        <v>81656.88</v>
      </c>
      <c r="F202" s="685">
        <v>81656.88</v>
      </c>
      <c r="G202" s="685">
        <v>15600.66</v>
      </c>
      <c r="H202" s="685">
        <v>7826.8399999999992</v>
      </c>
      <c r="I202" s="685">
        <v>8405.16</v>
      </c>
      <c r="J202" s="685">
        <v>8283.84</v>
      </c>
      <c r="K202" s="685">
        <v>8330.94</v>
      </c>
      <c r="L202" s="685">
        <v>8314.66</v>
      </c>
      <c r="M202" s="685">
        <v>8326.5</v>
      </c>
      <c r="N202" s="685">
        <v>8326.98</v>
      </c>
      <c r="O202" s="685">
        <v>8241.2999999999993</v>
      </c>
      <c r="P202" s="685">
        <v>0</v>
      </c>
      <c r="Q202" s="685">
        <v>0</v>
      </c>
      <c r="R202" s="685">
        <v>0</v>
      </c>
      <c r="S202" s="685">
        <v>81656.88</v>
      </c>
      <c r="T202" s="600">
        <v>0.81331553784860566</v>
      </c>
      <c r="U202" s="599">
        <v>18743.119999999995</v>
      </c>
      <c r="V202" s="599">
        <v>0</v>
      </c>
      <c r="W202" s="599">
        <v>18743.119999999995</v>
      </c>
      <c r="X202" s="599">
        <v>18743.119999999995</v>
      </c>
      <c r="Y202" s="599">
        <v>0</v>
      </c>
      <c r="Z202" s="599">
        <v>0</v>
      </c>
    </row>
    <row r="203" spans="1:26" x14ac:dyDescent="0.2">
      <c r="A203" s="597" t="s">
        <v>429</v>
      </c>
      <c r="B203" s="685">
        <v>0</v>
      </c>
      <c r="C203" s="685">
        <v>0</v>
      </c>
      <c r="D203" s="685">
        <v>0</v>
      </c>
      <c r="E203" s="685">
        <v>0</v>
      </c>
      <c r="F203" s="685">
        <v>0</v>
      </c>
      <c r="G203" s="685">
        <v>0</v>
      </c>
      <c r="H203" s="685">
        <v>0</v>
      </c>
      <c r="I203" s="685">
        <v>0</v>
      </c>
      <c r="J203" s="685">
        <v>0</v>
      </c>
      <c r="K203" s="685">
        <v>0</v>
      </c>
      <c r="L203" s="685">
        <v>0</v>
      </c>
      <c r="M203" s="685">
        <v>0</v>
      </c>
      <c r="N203" s="685">
        <v>0</v>
      </c>
      <c r="O203" s="685">
        <v>0</v>
      </c>
      <c r="P203" s="685">
        <v>0</v>
      </c>
      <c r="Q203" s="685">
        <v>0</v>
      </c>
      <c r="R203" s="685">
        <v>0</v>
      </c>
      <c r="S203" s="685">
        <v>0</v>
      </c>
      <c r="T203" s="600" t="e">
        <v>#DIV/0!</v>
      </c>
      <c r="U203" s="599">
        <v>0</v>
      </c>
      <c r="V203" s="599">
        <v>0</v>
      </c>
      <c r="W203" s="599">
        <v>0</v>
      </c>
      <c r="X203" s="599">
        <v>0</v>
      </c>
      <c r="Y203" s="599">
        <v>0</v>
      </c>
      <c r="Z203" s="599">
        <v>0</v>
      </c>
    </row>
    <row r="204" spans="1:26" x14ac:dyDescent="0.2">
      <c r="A204" s="592" t="s">
        <v>430</v>
      </c>
      <c r="B204" s="683">
        <v>1482802</v>
      </c>
      <c r="C204" s="683">
        <v>1482002</v>
      </c>
      <c r="D204" s="683">
        <v>1389581.4</v>
      </c>
      <c r="E204" s="683">
        <v>721968.59</v>
      </c>
      <c r="F204" s="683">
        <v>578014.07999999996</v>
      </c>
      <c r="G204" s="683">
        <v>3256.3199999999997</v>
      </c>
      <c r="H204" s="683">
        <v>52021.100000000006</v>
      </c>
      <c r="I204" s="683">
        <v>16698.41</v>
      </c>
      <c r="J204" s="683">
        <v>120072.17000000001</v>
      </c>
      <c r="K204" s="683">
        <v>73350.64999999998</v>
      </c>
      <c r="L204" s="683">
        <v>92308.25</v>
      </c>
      <c r="M204" s="683">
        <v>45516.37</v>
      </c>
      <c r="N204" s="683">
        <v>58785.17</v>
      </c>
      <c r="O204" s="683">
        <v>115805.61</v>
      </c>
      <c r="P204" s="683">
        <v>0</v>
      </c>
      <c r="Q204" s="683">
        <v>0</v>
      </c>
      <c r="R204" s="683">
        <v>0</v>
      </c>
      <c r="S204" s="683">
        <v>577814.04999999993</v>
      </c>
      <c r="T204" s="595">
        <v>0.38988749677800699</v>
      </c>
      <c r="U204" s="594">
        <v>904187.95000000007</v>
      </c>
      <c r="V204" s="594">
        <v>92420.600000000093</v>
      </c>
      <c r="W204" s="594">
        <v>760033.41</v>
      </c>
      <c r="X204" s="594">
        <v>667612.80999999994</v>
      </c>
      <c r="Y204" s="594">
        <v>143954.51</v>
      </c>
      <c r="Z204" s="594">
        <v>200.03000000002794</v>
      </c>
    </row>
    <row r="205" spans="1:26" x14ac:dyDescent="0.2">
      <c r="A205" s="597" t="s">
        <v>431</v>
      </c>
      <c r="B205" s="685">
        <v>0</v>
      </c>
      <c r="C205" s="685">
        <v>0</v>
      </c>
      <c r="D205" s="685">
        <v>0</v>
      </c>
      <c r="E205" s="685">
        <v>0</v>
      </c>
      <c r="F205" s="685">
        <v>0</v>
      </c>
      <c r="G205" s="685">
        <v>0</v>
      </c>
      <c r="H205" s="685">
        <v>0</v>
      </c>
      <c r="I205" s="685">
        <v>0</v>
      </c>
      <c r="J205" s="685">
        <v>0</v>
      </c>
      <c r="K205" s="685">
        <v>0</v>
      </c>
      <c r="L205" s="685">
        <v>0</v>
      </c>
      <c r="M205" s="685">
        <v>0</v>
      </c>
      <c r="N205" s="685">
        <v>0</v>
      </c>
      <c r="O205" s="685">
        <v>0</v>
      </c>
      <c r="P205" s="685">
        <v>0</v>
      </c>
      <c r="Q205" s="685">
        <v>0</v>
      </c>
      <c r="R205" s="685">
        <v>0</v>
      </c>
      <c r="S205" s="685">
        <v>0</v>
      </c>
      <c r="T205" s="600" t="e">
        <v>#DIV/0!</v>
      </c>
      <c r="U205" s="599">
        <v>0</v>
      </c>
      <c r="V205" s="599">
        <v>0</v>
      </c>
      <c r="W205" s="599">
        <v>0</v>
      </c>
      <c r="X205" s="599">
        <v>0</v>
      </c>
      <c r="Y205" s="599">
        <v>0</v>
      </c>
      <c r="Z205" s="599">
        <v>0</v>
      </c>
    </row>
    <row r="206" spans="1:26" x14ac:dyDescent="0.2">
      <c r="A206" s="597" t="s">
        <v>432</v>
      </c>
      <c r="B206" s="685">
        <v>0</v>
      </c>
      <c r="C206" s="685">
        <v>0</v>
      </c>
      <c r="D206" s="685">
        <v>0</v>
      </c>
      <c r="E206" s="685">
        <v>0</v>
      </c>
      <c r="F206" s="685">
        <v>0</v>
      </c>
      <c r="G206" s="685">
        <v>0</v>
      </c>
      <c r="H206" s="685">
        <v>0</v>
      </c>
      <c r="I206" s="685">
        <v>0</v>
      </c>
      <c r="J206" s="685">
        <v>0</v>
      </c>
      <c r="K206" s="685">
        <v>0</v>
      </c>
      <c r="L206" s="685">
        <v>0</v>
      </c>
      <c r="M206" s="685">
        <v>0</v>
      </c>
      <c r="N206" s="685">
        <v>0</v>
      </c>
      <c r="O206" s="685">
        <v>0</v>
      </c>
      <c r="P206" s="685">
        <v>0</v>
      </c>
      <c r="Q206" s="685">
        <v>0</v>
      </c>
      <c r="R206" s="685">
        <v>0</v>
      </c>
      <c r="S206" s="685">
        <v>0</v>
      </c>
      <c r="T206" s="600" t="e">
        <v>#DIV/0!</v>
      </c>
      <c r="U206" s="599">
        <v>0</v>
      </c>
      <c r="V206" s="599">
        <v>0</v>
      </c>
      <c r="W206" s="599">
        <v>0</v>
      </c>
      <c r="X206" s="599">
        <v>0</v>
      </c>
      <c r="Y206" s="599">
        <v>0</v>
      </c>
      <c r="Z206" s="599">
        <v>0</v>
      </c>
    </row>
    <row r="207" spans="1:26" x14ac:dyDescent="0.2">
      <c r="A207" s="597" t="s">
        <v>433</v>
      </c>
      <c r="B207" s="655">
        <v>0</v>
      </c>
      <c r="C207" s="655">
        <v>8675</v>
      </c>
      <c r="D207" s="655">
        <v>0</v>
      </c>
      <c r="E207" s="655">
        <v>0</v>
      </c>
      <c r="F207" s="655">
        <v>0</v>
      </c>
      <c r="G207" s="655">
        <v>0</v>
      </c>
      <c r="H207" s="655">
        <v>0</v>
      </c>
      <c r="I207" s="655">
        <v>0</v>
      </c>
      <c r="J207" s="655">
        <v>0</v>
      </c>
      <c r="K207" s="655">
        <v>0</v>
      </c>
      <c r="L207" s="655">
        <v>0</v>
      </c>
      <c r="M207" s="655">
        <v>0</v>
      </c>
      <c r="N207" s="655">
        <v>0</v>
      </c>
      <c r="O207" s="655">
        <v>0</v>
      </c>
      <c r="P207" s="655">
        <v>0</v>
      </c>
      <c r="Q207" s="655">
        <v>0</v>
      </c>
      <c r="R207" s="655">
        <v>0</v>
      </c>
      <c r="S207" s="655">
        <v>0</v>
      </c>
      <c r="T207" s="600">
        <v>0</v>
      </c>
      <c r="U207" s="599">
        <v>8675</v>
      </c>
      <c r="V207" s="599">
        <v>8675</v>
      </c>
      <c r="W207" s="599">
        <v>8675</v>
      </c>
      <c r="X207" s="599">
        <v>0</v>
      </c>
      <c r="Y207" s="599">
        <v>0</v>
      </c>
      <c r="Z207" s="599">
        <v>0</v>
      </c>
    </row>
    <row r="208" spans="1:26" x14ac:dyDescent="0.2">
      <c r="A208" s="602" t="s">
        <v>434</v>
      </c>
      <c r="B208" s="665">
        <v>0</v>
      </c>
      <c r="C208" s="665">
        <v>8675</v>
      </c>
      <c r="D208" s="665">
        <v>0</v>
      </c>
      <c r="E208" s="665">
        <v>0</v>
      </c>
      <c r="F208" s="665">
        <v>0</v>
      </c>
      <c r="G208" s="665">
        <v>0</v>
      </c>
      <c r="H208" s="665">
        <v>0</v>
      </c>
      <c r="I208" s="665">
        <v>0</v>
      </c>
      <c r="J208" s="665">
        <v>0</v>
      </c>
      <c r="K208" s="665">
        <v>0</v>
      </c>
      <c r="L208" s="665">
        <v>0</v>
      </c>
      <c r="M208" s="665">
        <v>0</v>
      </c>
      <c r="N208" s="665">
        <v>0</v>
      </c>
      <c r="O208" s="665">
        <v>0</v>
      </c>
      <c r="P208" s="665">
        <v>0</v>
      </c>
      <c r="Q208" s="665">
        <v>0</v>
      </c>
      <c r="R208" s="665">
        <v>0</v>
      </c>
      <c r="S208" s="665">
        <v>0</v>
      </c>
      <c r="T208" s="604">
        <v>0</v>
      </c>
      <c r="U208" s="603">
        <v>8675</v>
      </c>
      <c r="V208" s="603">
        <v>8675</v>
      </c>
      <c r="W208" s="603">
        <v>8675</v>
      </c>
      <c r="X208" s="603">
        <v>0</v>
      </c>
      <c r="Y208" s="603">
        <v>0</v>
      </c>
      <c r="Z208" s="603">
        <v>0</v>
      </c>
    </row>
    <row r="209" spans="1:26" x14ac:dyDescent="0.2">
      <c r="A209" s="602" t="s">
        <v>435</v>
      </c>
      <c r="B209" s="665">
        <v>0</v>
      </c>
      <c r="C209" s="665">
        <v>0</v>
      </c>
      <c r="D209" s="665">
        <v>0</v>
      </c>
      <c r="E209" s="665">
        <v>0</v>
      </c>
      <c r="F209" s="665">
        <v>0</v>
      </c>
      <c r="G209" s="665">
        <v>0</v>
      </c>
      <c r="H209" s="665">
        <v>0</v>
      </c>
      <c r="I209" s="665">
        <v>0</v>
      </c>
      <c r="J209" s="665">
        <v>0</v>
      </c>
      <c r="K209" s="665">
        <v>0</v>
      </c>
      <c r="L209" s="665">
        <v>0</v>
      </c>
      <c r="M209" s="665">
        <v>0</v>
      </c>
      <c r="N209" s="665">
        <v>0</v>
      </c>
      <c r="O209" s="665">
        <v>0</v>
      </c>
      <c r="P209" s="665">
        <v>0</v>
      </c>
      <c r="Q209" s="665">
        <v>0</v>
      </c>
      <c r="R209" s="665">
        <v>0</v>
      </c>
      <c r="S209" s="665">
        <v>0</v>
      </c>
      <c r="T209" s="604" t="e">
        <v>#DIV/0!</v>
      </c>
      <c r="U209" s="603">
        <v>0</v>
      </c>
      <c r="V209" s="603">
        <v>0</v>
      </c>
      <c r="W209" s="603">
        <v>0</v>
      </c>
      <c r="X209" s="603">
        <v>0</v>
      </c>
      <c r="Y209" s="603">
        <v>0</v>
      </c>
      <c r="Z209" s="603">
        <v>0</v>
      </c>
    </row>
    <row r="210" spans="1:26" x14ac:dyDescent="0.2">
      <c r="A210" s="597" t="s">
        <v>436</v>
      </c>
      <c r="B210" s="655">
        <v>0</v>
      </c>
      <c r="C210" s="655">
        <v>0</v>
      </c>
      <c r="D210" s="655">
        <v>0</v>
      </c>
      <c r="E210" s="655">
        <v>0</v>
      </c>
      <c r="F210" s="655">
        <v>0</v>
      </c>
      <c r="G210" s="655">
        <v>0</v>
      </c>
      <c r="H210" s="655">
        <v>0</v>
      </c>
      <c r="I210" s="655">
        <v>0</v>
      </c>
      <c r="J210" s="655">
        <v>0</v>
      </c>
      <c r="K210" s="655">
        <v>0</v>
      </c>
      <c r="L210" s="655">
        <v>0</v>
      </c>
      <c r="M210" s="655">
        <v>0</v>
      </c>
      <c r="N210" s="655">
        <v>0</v>
      </c>
      <c r="O210" s="655">
        <v>0</v>
      </c>
      <c r="P210" s="655">
        <v>0</v>
      </c>
      <c r="Q210" s="655">
        <v>0</v>
      </c>
      <c r="R210" s="655">
        <v>0</v>
      </c>
      <c r="S210" s="655">
        <v>0</v>
      </c>
      <c r="T210" s="600" t="e">
        <v>#DIV/0!</v>
      </c>
      <c r="U210" s="599">
        <v>0</v>
      </c>
      <c r="V210" s="599">
        <v>0</v>
      </c>
      <c r="W210" s="599">
        <v>0</v>
      </c>
      <c r="X210" s="599">
        <v>0</v>
      </c>
      <c r="Y210" s="599">
        <v>0</v>
      </c>
      <c r="Z210" s="599">
        <v>0</v>
      </c>
    </row>
    <row r="211" spans="1:26" x14ac:dyDescent="0.2">
      <c r="A211" s="602" t="s">
        <v>437</v>
      </c>
      <c r="B211" s="665">
        <v>0</v>
      </c>
      <c r="C211" s="665">
        <v>0</v>
      </c>
      <c r="D211" s="665">
        <v>0</v>
      </c>
      <c r="E211" s="665">
        <v>0</v>
      </c>
      <c r="F211" s="665">
        <v>0</v>
      </c>
      <c r="G211" s="665">
        <v>0</v>
      </c>
      <c r="H211" s="665">
        <v>0</v>
      </c>
      <c r="I211" s="665">
        <v>0</v>
      </c>
      <c r="J211" s="665">
        <v>0</v>
      </c>
      <c r="K211" s="665">
        <v>0</v>
      </c>
      <c r="L211" s="665">
        <v>0</v>
      </c>
      <c r="M211" s="665">
        <v>0</v>
      </c>
      <c r="N211" s="665">
        <v>0</v>
      </c>
      <c r="O211" s="665">
        <v>0</v>
      </c>
      <c r="P211" s="665">
        <v>0</v>
      </c>
      <c r="Q211" s="665">
        <v>0</v>
      </c>
      <c r="R211" s="665">
        <v>0</v>
      </c>
      <c r="S211" s="665">
        <v>0</v>
      </c>
      <c r="T211" s="604" t="e">
        <v>#DIV/0!</v>
      </c>
      <c r="U211" s="603">
        <v>0</v>
      </c>
      <c r="V211" s="603">
        <v>0</v>
      </c>
      <c r="W211" s="603">
        <v>0</v>
      </c>
      <c r="X211" s="603">
        <v>0</v>
      </c>
      <c r="Y211" s="603">
        <v>0</v>
      </c>
      <c r="Z211" s="603">
        <v>0</v>
      </c>
    </row>
    <row r="212" spans="1:26" x14ac:dyDescent="0.2">
      <c r="A212" s="602" t="s">
        <v>438</v>
      </c>
      <c r="B212" s="665">
        <v>0</v>
      </c>
      <c r="C212" s="665">
        <v>0</v>
      </c>
      <c r="D212" s="665">
        <v>0</v>
      </c>
      <c r="E212" s="665">
        <v>0</v>
      </c>
      <c r="F212" s="665">
        <v>0</v>
      </c>
      <c r="G212" s="665">
        <v>0</v>
      </c>
      <c r="H212" s="665">
        <v>0</v>
      </c>
      <c r="I212" s="665">
        <v>0</v>
      </c>
      <c r="J212" s="665">
        <v>0</v>
      </c>
      <c r="K212" s="665">
        <v>0</v>
      </c>
      <c r="L212" s="665">
        <v>0</v>
      </c>
      <c r="M212" s="665">
        <v>0</v>
      </c>
      <c r="N212" s="665">
        <v>0</v>
      </c>
      <c r="O212" s="665">
        <v>0</v>
      </c>
      <c r="P212" s="665">
        <v>0</v>
      </c>
      <c r="Q212" s="665">
        <v>0</v>
      </c>
      <c r="R212" s="665">
        <v>0</v>
      </c>
      <c r="S212" s="665">
        <v>0</v>
      </c>
      <c r="T212" s="604" t="e">
        <v>#DIV/0!</v>
      </c>
      <c r="U212" s="603">
        <v>0</v>
      </c>
      <c r="V212" s="603">
        <v>0</v>
      </c>
      <c r="W212" s="603">
        <v>0</v>
      </c>
      <c r="X212" s="603">
        <v>0</v>
      </c>
      <c r="Y212" s="603">
        <v>0</v>
      </c>
      <c r="Z212" s="603">
        <v>0</v>
      </c>
    </row>
    <row r="213" spans="1:26" x14ac:dyDescent="0.2">
      <c r="A213" s="602" t="s">
        <v>439</v>
      </c>
      <c r="B213" s="665">
        <v>0</v>
      </c>
      <c r="C213" s="665">
        <v>0</v>
      </c>
      <c r="D213" s="665">
        <v>0</v>
      </c>
      <c r="E213" s="665">
        <v>0</v>
      </c>
      <c r="F213" s="665">
        <v>0</v>
      </c>
      <c r="G213" s="665">
        <v>0</v>
      </c>
      <c r="H213" s="665">
        <v>0</v>
      </c>
      <c r="I213" s="665">
        <v>0</v>
      </c>
      <c r="J213" s="665">
        <v>0</v>
      </c>
      <c r="K213" s="665">
        <v>0</v>
      </c>
      <c r="L213" s="665">
        <v>0</v>
      </c>
      <c r="M213" s="665">
        <v>0</v>
      </c>
      <c r="N213" s="665">
        <v>0</v>
      </c>
      <c r="O213" s="665">
        <v>0</v>
      </c>
      <c r="P213" s="665">
        <v>0</v>
      </c>
      <c r="Q213" s="665">
        <v>0</v>
      </c>
      <c r="R213" s="665">
        <v>0</v>
      </c>
      <c r="S213" s="665">
        <v>0</v>
      </c>
      <c r="T213" s="604" t="e">
        <v>#DIV/0!</v>
      </c>
      <c r="U213" s="603">
        <v>0</v>
      </c>
      <c r="V213" s="603">
        <v>0</v>
      </c>
      <c r="W213" s="603">
        <v>0</v>
      </c>
      <c r="X213" s="603">
        <v>0</v>
      </c>
      <c r="Y213" s="603">
        <v>0</v>
      </c>
      <c r="Z213" s="603">
        <v>0</v>
      </c>
    </row>
    <row r="214" spans="1:26" x14ac:dyDescent="0.2">
      <c r="A214" s="602" t="s">
        <v>440</v>
      </c>
      <c r="B214" s="665">
        <v>0</v>
      </c>
      <c r="C214" s="665">
        <v>0</v>
      </c>
      <c r="D214" s="665">
        <v>0</v>
      </c>
      <c r="E214" s="665">
        <v>0</v>
      </c>
      <c r="F214" s="665">
        <v>0</v>
      </c>
      <c r="G214" s="665">
        <v>0</v>
      </c>
      <c r="H214" s="665">
        <v>0</v>
      </c>
      <c r="I214" s="665">
        <v>0</v>
      </c>
      <c r="J214" s="665">
        <v>0</v>
      </c>
      <c r="K214" s="665">
        <v>0</v>
      </c>
      <c r="L214" s="665">
        <v>0</v>
      </c>
      <c r="M214" s="665">
        <v>0</v>
      </c>
      <c r="N214" s="665">
        <v>0</v>
      </c>
      <c r="O214" s="665">
        <v>0</v>
      </c>
      <c r="P214" s="665">
        <v>0</v>
      </c>
      <c r="Q214" s="665">
        <v>0</v>
      </c>
      <c r="R214" s="665">
        <v>0</v>
      </c>
      <c r="S214" s="665">
        <v>0</v>
      </c>
      <c r="T214" s="604" t="e">
        <v>#DIV/0!</v>
      </c>
      <c r="U214" s="603">
        <v>0</v>
      </c>
      <c r="V214" s="603">
        <v>0</v>
      </c>
      <c r="W214" s="603">
        <v>0</v>
      </c>
      <c r="X214" s="603">
        <v>0</v>
      </c>
      <c r="Y214" s="603">
        <v>0</v>
      </c>
      <c r="Z214" s="603">
        <v>0</v>
      </c>
    </row>
    <row r="215" spans="1:26" x14ac:dyDescent="0.2">
      <c r="A215" s="597" t="s">
        <v>441</v>
      </c>
      <c r="B215" s="655">
        <v>13087</v>
      </c>
      <c r="C215" s="655">
        <v>11781</v>
      </c>
      <c r="D215" s="655">
        <v>11781</v>
      </c>
      <c r="E215" s="655">
        <v>11606.2</v>
      </c>
      <c r="F215" s="655">
        <v>8360.7999999999993</v>
      </c>
      <c r="G215" s="655">
        <v>0</v>
      </c>
      <c r="H215" s="655">
        <v>0</v>
      </c>
      <c r="I215" s="655">
        <v>0</v>
      </c>
      <c r="J215" s="655">
        <v>61</v>
      </c>
      <c r="K215" s="655">
        <v>0</v>
      </c>
      <c r="L215" s="655">
        <v>472</v>
      </c>
      <c r="M215" s="655">
        <v>111</v>
      </c>
      <c r="N215" s="655">
        <v>7304.8</v>
      </c>
      <c r="O215" s="655">
        <v>412</v>
      </c>
      <c r="P215" s="655">
        <v>0</v>
      </c>
      <c r="Q215" s="655">
        <v>0</v>
      </c>
      <c r="R215" s="655">
        <v>0</v>
      </c>
      <c r="S215" s="655">
        <v>8360.7999999999993</v>
      </c>
      <c r="T215" s="600">
        <v>0.70968508615567438</v>
      </c>
      <c r="U215" s="599">
        <v>3420.2000000000007</v>
      </c>
      <c r="V215" s="599">
        <v>0</v>
      </c>
      <c r="W215" s="599">
        <v>174.79999999999927</v>
      </c>
      <c r="X215" s="599">
        <v>174.79999999999927</v>
      </c>
      <c r="Y215" s="599">
        <v>3245.4000000000015</v>
      </c>
      <c r="Z215" s="599">
        <v>0</v>
      </c>
    </row>
    <row r="216" spans="1:26" x14ac:dyDescent="0.2">
      <c r="A216" s="602" t="s">
        <v>442</v>
      </c>
      <c r="B216" s="665">
        <v>8480</v>
      </c>
      <c r="C216" s="665">
        <v>7000</v>
      </c>
      <c r="D216" s="665">
        <v>7000</v>
      </c>
      <c r="E216" s="665">
        <v>7000</v>
      </c>
      <c r="F216" s="665">
        <v>6057.05</v>
      </c>
      <c r="G216" s="665">
        <v>0</v>
      </c>
      <c r="H216" s="665">
        <v>0</v>
      </c>
      <c r="I216" s="665">
        <v>0</v>
      </c>
      <c r="J216" s="665">
        <v>0</v>
      </c>
      <c r="K216" s="665">
        <v>0</v>
      </c>
      <c r="L216" s="665">
        <v>0</v>
      </c>
      <c r="M216" s="665">
        <v>0</v>
      </c>
      <c r="N216" s="665">
        <v>6057.05</v>
      </c>
      <c r="O216" s="665">
        <v>0</v>
      </c>
      <c r="P216" s="665">
        <v>0</v>
      </c>
      <c r="Q216" s="665">
        <v>0</v>
      </c>
      <c r="R216" s="665">
        <v>0</v>
      </c>
      <c r="S216" s="665">
        <v>6057.05</v>
      </c>
      <c r="T216" s="604">
        <v>0.8652928571428572</v>
      </c>
      <c r="U216" s="603">
        <v>942.94999999999982</v>
      </c>
      <c r="V216" s="603">
        <v>0</v>
      </c>
      <c r="W216" s="603">
        <v>0</v>
      </c>
      <c r="X216" s="603">
        <v>0</v>
      </c>
      <c r="Y216" s="603">
        <v>942.94999999999982</v>
      </c>
      <c r="Z216" s="603">
        <v>0</v>
      </c>
    </row>
    <row r="217" spans="1:26" x14ac:dyDescent="0.2">
      <c r="A217" s="602" t="s">
        <v>443</v>
      </c>
      <c r="B217" s="665">
        <v>1080</v>
      </c>
      <c r="C217" s="665">
        <v>1080</v>
      </c>
      <c r="D217" s="665">
        <v>1080</v>
      </c>
      <c r="E217" s="665">
        <v>1080</v>
      </c>
      <c r="F217" s="665">
        <v>840</v>
      </c>
      <c r="G217" s="665">
        <v>0</v>
      </c>
      <c r="H217" s="665">
        <v>0</v>
      </c>
      <c r="I217" s="665">
        <v>0</v>
      </c>
      <c r="J217" s="665">
        <v>0</v>
      </c>
      <c r="K217" s="665">
        <v>0</v>
      </c>
      <c r="L217" s="665">
        <v>450</v>
      </c>
      <c r="M217" s="665">
        <v>0</v>
      </c>
      <c r="N217" s="665">
        <v>0</v>
      </c>
      <c r="O217" s="665">
        <v>390</v>
      </c>
      <c r="P217" s="665">
        <v>0</v>
      </c>
      <c r="Q217" s="665">
        <v>0</v>
      </c>
      <c r="R217" s="665">
        <v>0</v>
      </c>
      <c r="S217" s="665">
        <v>840</v>
      </c>
      <c r="T217" s="604">
        <v>0.77777777777777779</v>
      </c>
      <c r="U217" s="603">
        <v>240</v>
      </c>
      <c r="V217" s="603">
        <v>0</v>
      </c>
      <c r="W217" s="603">
        <v>0</v>
      </c>
      <c r="X217" s="603">
        <v>0</v>
      </c>
      <c r="Y217" s="603">
        <v>240</v>
      </c>
      <c r="Z217" s="603">
        <v>0</v>
      </c>
    </row>
    <row r="218" spans="1:26" x14ac:dyDescent="0.2">
      <c r="A218" s="602" t="s">
        <v>444</v>
      </c>
      <c r="B218" s="665">
        <v>3527</v>
      </c>
      <c r="C218" s="665">
        <v>3701</v>
      </c>
      <c r="D218" s="665">
        <v>3701</v>
      </c>
      <c r="E218" s="665">
        <v>3526.2</v>
      </c>
      <c r="F218" s="665">
        <v>1463.75</v>
      </c>
      <c r="G218" s="665">
        <v>0</v>
      </c>
      <c r="H218" s="665">
        <v>0</v>
      </c>
      <c r="I218" s="665">
        <v>0</v>
      </c>
      <c r="J218" s="665">
        <v>61</v>
      </c>
      <c r="K218" s="665">
        <v>0</v>
      </c>
      <c r="L218" s="665">
        <v>22</v>
      </c>
      <c r="M218" s="665">
        <v>111</v>
      </c>
      <c r="N218" s="665">
        <v>1247.75</v>
      </c>
      <c r="O218" s="665">
        <v>22</v>
      </c>
      <c r="P218" s="665">
        <v>0</v>
      </c>
      <c r="Q218" s="665">
        <v>0</v>
      </c>
      <c r="R218" s="665">
        <v>0</v>
      </c>
      <c r="S218" s="665">
        <v>1463.75</v>
      </c>
      <c r="T218" s="604">
        <v>0.39550121588759796</v>
      </c>
      <c r="U218" s="603">
        <v>2237.25</v>
      </c>
      <c r="V218" s="603">
        <v>0</v>
      </c>
      <c r="W218" s="603">
        <v>174.80000000000018</v>
      </c>
      <c r="X218" s="603">
        <v>174.80000000000018</v>
      </c>
      <c r="Y218" s="603">
        <v>2062.4499999999998</v>
      </c>
      <c r="Z218" s="603">
        <v>0</v>
      </c>
    </row>
    <row r="219" spans="1:26" x14ac:dyDescent="0.2">
      <c r="A219" s="602" t="s">
        <v>445</v>
      </c>
      <c r="B219" s="665">
        <v>0</v>
      </c>
      <c r="C219" s="665">
        <v>0</v>
      </c>
      <c r="D219" s="665">
        <v>0</v>
      </c>
      <c r="E219" s="665">
        <v>0</v>
      </c>
      <c r="F219" s="665">
        <v>0</v>
      </c>
      <c r="G219" s="665">
        <v>0</v>
      </c>
      <c r="H219" s="665">
        <v>0</v>
      </c>
      <c r="I219" s="665">
        <v>0</v>
      </c>
      <c r="J219" s="665">
        <v>0</v>
      </c>
      <c r="K219" s="665">
        <v>0</v>
      </c>
      <c r="L219" s="665">
        <v>0</v>
      </c>
      <c r="M219" s="665">
        <v>0</v>
      </c>
      <c r="N219" s="665">
        <v>0</v>
      </c>
      <c r="O219" s="665">
        <v>0</v>
      </c>
      <c r="P219" s="665">
        <v>0</v>
      </c>
      <c r="Q219" s="665">
        <v>0</v>
      </c>
      <c r="R219" s="665">
        <v>0</v>
      </c>
      <c r="S219" s="665">
        <v>0</v>
      </c>
      <c r="T219" s="604" t="e">
        <v>#DIV/0!</v>
      </c>
      <c r="U219" s="603">
        <v>0</v>
      </c>
      <c r="V219" s="603">
        <v>0</v>
      </c>
      <c r="W219" s="603">
        <v>0</v>
      </c>
      <c r="X219" s="603">
        <v>0</v>
      </c>
      <c r="Y219" s="603">
        <v>0</v>
      </c>
      <c r="Z219" s="603">
        <v>0</v>
      </c>
    </row>
    <row r="220" spans="1:26" x14ac:dyDescent="0.2">
      <c r="A220" s="597" t="s">
        <v>446</v>
      </c>
      <c r="B220" s="685">
        <v>0</v>
      </c>
      <c r="C220" s="685">
        <v>0</v>
      </c>
      <c r="D220" s="685">
        <v>0</v>
      </c>
      <c r="E220" s="685">
        <v>0</v>
      </c>
      <c r="F220" s="685">
        <v>0</v>
      </c>
      <c r="G220" s="685">
        <v>0</v>
      </c>
      <c r="H220" s="685">
        <v>0</v>
      </c>
      <c r="I220" s="685">
        <v>0</v>
      </c>
      <c r="J220" s="685">
        <v>0</v>
      </c>
      <c r="K220" s="685">
        <v>0</v>
      </c>
      <c r="L220" s="685">
        <v>0</v>
      </c>
      <c r="M220" s="685">
        <v>0</v>
      </c>
      <c r="N220" s="685">
        <v>0</v>
      </c>
      <c r="O220" s="685">
        <v>0</v>
      </c>
      <c r="P220" s="685">
        <v>0</v>
      </c>
      <c r="Q220" s="685">
        <v>0</v>
      </c>
      <c r="R220" s="685">
        <v>0</v>
      </c>
      <c r="S220" s="685">
        <v>0</v>
      </c>
      <c r="T220" s="600" t="e">
        <v>#DIV/0!</v>
      </c>
      <c r="U220" s="599">
        <v>0</v>
      </c>
      <c r="V220" s="599">
        <v>0</v>
      </c>
      <c r="W220" s="599">
        <v>0</v>
      </c>
      <c r="X220" s="599">
        <v>0</v>
      </c>
      <c r="Y220" s="599">
        <v>0</v>
      </c>
      <c r="Z220" s="599">
        <v>0</v>
      </c>
    </row>
    <row r="221" spans="1:26" x14ac:dyDescent="0.2">
      <c r="A221" s="597" t="s">
        <v>447</v>
      </c>
      <c r="B221" s="685">
        <v>0</v>
      </c>
      <c r="C221" s="685">
        <v>0</v>
      </c>
      <c r="D221" s="685">
        <v>0</v>
      </c>
      <c r="E221" s="685">
        <v>0</v>
      </c>
      <c r="F221" s="685">
        <v>0</v>
      </c>
      <c r="G221" s="685">
        <v>0</v>
      </c>
      <c r="H221" s="685">
        <v>0</v>
      </c>
      <c r="I221" s="685">
        <v>0</v>
      </c>
      <c r="J221" s="685">
        <v>0</v>
      </c>
      <c r="K221" s="685">
        <v>0</v>
      </c>
      <c r="L221" s="685">
        <v>0</v>
      </c>
      <c r="M221" s="685">
        <v>0</v>
      </c>
      <c r="N221" s="685">
        <v>0</v>
      </c>
      <c r="O221" s="685">
        <v>0</v>
      </c>
      <c r="P221" s="685">
        <v>0</v>
      </c>
      <c r="Q221" s="685">
        <v>0</v>
      </c>
      <c r="R221" s="685">
        <v>0</v>
      </c>
      <c r="S221" s="685">
        <v>0</v>
      </c>
      <c r="T221" s="600" t="e">
        <v>#DIV/0!</v>
      </c>
      <c r="U221" s="599">
        <v>0</v>
      </c>
      <c r="V221" s="599">
        <v>0</v>
      </c>
      <c r="W221" s="599">
        <v>0</v>
      </c>
      <c r="X221" s="599">
        <v>0</v>
      </c>
      <c r="Y221" s="599">
        <v>0</v>
      </c>
      <c r="Z221" s="599">
        <v>0</v>
      </c>
    </row>
    <row r="222" spans="1:26" x14ac:dyDescent="0.2">
      <c r="A222" s="597" t="s">
        <v>448</v>
      </c>
      <c r="B222" s="685">
        <v>0</v>
      </c>
      <c r="C222" s="685">
        <v>0</v>
      </c>
      <c r="D222" s="685">
        <v>0</v>
      </c>
      <c r="E222" s="685">
        <v>0</v>
      </c>
      <c r="F222" s="685">
        <v>0</v>
      </c>
      <c r="G222" s="685">
        <v>0</v>
      </c>
      <c r="H222" s="685">
        <v>0</v>
      </c>
      <c r="I222" s="685">
        <v>0</v>
      </c>
      <c r="J222" s="685">
        <v>0</v>
      </c>
      <c r="K222" s="685">
        <v>0</v>
      </c>
      <c r="L222" s="685">
        <v>0</v>
      </c>
      <c r="M222" s="685">
        <v>0</v>
      </c>
      <c r="N222" s="685">
        <v>0</v>
      </c>
      <c r="O222" s="685">
        <v>0</v>
      </c>
      <c r="P222" s="685">
        <v>0</v>
      </c>
      <c r="Q222" s="685">
        <v>0</v>
      </c>
      <c r="R222" s="685">
        <v>0</v>
      </c>
      <c r="S222" s="685">
        <v>0</v>
      </c>
      <c r="T222" s="600" t="e">
        <v>#DIV/0!</v>
      </c>
      <c r="U222" s="599">
        <v>0</v>
      </c>
      <c r="V222" s="599">
        <v>0</v>
      </c>
      <c r="W222" s="599">
        <v>0</v>
      </c>
      <c r="X222" s="599">
        <v>0</v>
      </c>
      <c r="Y222" s="599">
        <v>0</v>
      </c>
      <c r="Z222" s="599">
        <v>0</v>
      </c>
    </row>
    <row r="223" spans="1:26" x14ac:dyDescent="0.2">
      <c r="A223" s="597" t="s">
        <v>449</v>
      </c>
      <c r="B223" s="685">
        <v>48919</v>
      </c>
      <c r="C223" s="685">
        <v>49430</v>
      </c>
      <c r="D223" s="685">
        <v>40000</v>
      </c>
      <c r="E223" s="685">
        <v>38380</v>
      </c>
      <c r="F223" s="685">
        <v>38380</v>
      </c>
      <c r="G223" s="685">
        <v>0</v>
      </c>
      <c r="H223" s="685">
        <v>0</v>
      </c>
      <c r="I223" s="685">
        <v>0</v>
      </c>
      <c r="J223" s="685">
        <v>0</v>
      </c>
      <c r="K223" s="685">
        <v>19990</v>
      </c>
      <c r="L223" s="685">
        <v>0</v>
      </c>
      <c r="M223" s="685">
        <v>0</v>
      </c>
      <c r="N223" s="685">
        <v>0</v>
      </c>
      <c r="O223" s="685">
        <v>18390</v>
      </c>
      <c r="P223" s="685">
        <v>0</v>
      </c>
      <c r="Q223" s="685">
        <v>0</v>
      </c>
      <c r="R223" s="685">
        <v>0</v>
      </c>
      <c r="S223" s="685">
        <v>38380</v>
      </c>
      <c r="T223" s="600">
        <v>0.77645154764313173</v>
      </c>
      <c r="U223" s="599">
        <v>11050</v>
      </c>
      <c r="V223" s="599">
        <v>9430</v>
      </c>
      <c r="W223" s="599">
        <v>11050</v>
      </c>
      <c r="X223" s="599">
        <v>1620</v>
      </c>
      <c r="Y223" s="599">
        <v>0</v>
      </c>
      <c r="Z223" s="599">
        <v>0</v>
      </c>
    </row>
    <row r="224" spans="1:26" x14ac:dyDescent="0.2">
      <c r="A224" s="597" t="s">
        <v>450</v>
      </c>
      <c r="B224" s="655">
        <v>42700</v>
      </c>
      <c r="C224" s="655">
        <v>40000</v>
      </c>
      <c r="D224" s="655">
        <v>40000</v>
      </c>
      <c r="E224" s="655">
        <v>37460.19</v>
      </c>
      <c r="F224" s="655">
        <v>37460.19</v>
      </c>
      <c r="G224" s="655">
        <v>0</v>
      </c>
      <c r="H224" s="655">
        <v>0</v>
      </c>
      <c r="I224" s="655">
        <v>0</v>
      </c>
      <c r="J224" s="655">
        <v>36441.32</v>
      </c>
      <c r="K224" s="655">
        <v>1018.87</v>
      </c>
      <c r="L224" s="655">
        <v>0</v>
      </c>
      <c r="M224" s="655">
        <v>0</v>
      </c>
      <c r="N224" s="655">
        <v>0</v>
      </c>
      <c r="O224" s="655">
        <v>0</v>
      </c>
      <c r="P224" s="655">
        <v>0</v>
      </c>
      <c r="Q224" s="655">
        <v>0</v>
      </c>
      <c r="R224" s="655">
        <v>0</v>
      </c>
      <c r="S224" s="655">
        <v>37460.19</v>
      </c>
      <c r="T224" s="600">
        <v>0.93650475000000011</v>
      </c>
      <c r="U224" s="599">
        <v>2539.8099999999977</v>
      </c>
      <c r="V224" s="599">
        <v>0</v>
      </c>
      <c r="W224" s="599">
        <v>2539.8099999999977</v>
      </c>
      <c r="X224" s="599">
        <v>2539.8099999999977</v>
      </c>
      <c r="Y224" s="599">
        <v>0</v>
      </c>
      <c r="Z224" s="599">
        <v>0</v>
      </c>
    </row>
    <row r="225" spans="1:26" x14ac:dyDescent="0.2">
      <c r="A225" s="602" t="s">
        <v>451</v>
      </c>
      <c r="B225" s="665">
        <v>2250</v>
      </c>
      <c r="C225" s="665">
        <v>2250</v>
      </c>
      <c r="D225" s="665">
        <v>2250</v>
      </c>
      <c r="E225" s="665">
        <v>2100</v>
      </c>
      <c r="F225" s="665">
        <v>2100</v>
      </c>
      <c r="G225" s="665">
        <v>0</v>
      </c>
      <c r="H225" s="665">
        <v>0</v>
      </c>
      <c r="I225" s="665">
        <v>0</v>
      </c>
      <c r="J225" s="665">
        <v>2100</v>
      </c>
      <c r="K225" s="665">
        <v>0</v>
      </c>
      <c r="L225" s="665">
        <v>0</v>
      </c>
      <c r="M225" s="665">
        <v>0</v>
      </c>
      <c r="N225" s="665">
        <v>0</v>
      </c>
      <c r="O225" s="665">
        <v>0</v>
      </c>
      <c r="P225" s="665">
        <v>0</v>
      </c>
      <c r="Q225" s="665">
        <v>0</v>
      </c>
      <c r="R225" s="665">
        <v>0</v>
      </c>
      <c r="S225" s="665">
        <v>2100</v>
      </c>
      <c r="T225" s="604">
        <v>0.93333333333333335</v>
      </c>
      <c r="U225" s="603">
        <v>150</v>
      </c>
      <c r="V225" s="603">
        <v>0</v>
      </c>
      <c r="W225" s="603">
        <v>150</v>
      </c>
      <c r="X225" s="603">
        <v>150</v>
      </c>
      <c r="Y225" s="603">
        <v>0</v>
      </c>
      <c r="Z225" s="603">
        <v>0</v>
      </c>
    </row>
    <row r="226" spans="1:26" x14ac:dyDescent="0.2">
      <c r="A226" s="602" t="s">
        <v>452</v>
      </c>
      <c r="B226" s="665">
        <v>40150</v>
      </c>
      <c r="C226" s="665">
        <v>37450</v>
      </c>
      <c r="D226" s="665">
        <v>37450</v>
      </c>
      <c r="E226" s="665">
        <v>35360.19</v>
      </c>
      <c r="F226" s="665">
        <v>35360.19</v>
      </c>
      <c r="G226" s="665">
        <v>0</v>
      </c>
      <c r="H226" s="665">
        <v>0</v>
      </c>
      <c r="I226" s="665">
        <v>0</v>
      </c>
      <c r="J226" s="665">
        <v>34341.32</v>
      </c>
      <c r="K226" s="665">
        <v>1018.87</v>
      </c>
      <c r="L226" s="665">
        <v>0</v>
      </c>
      <c r="M226" s="665">
        <v>0</v>
      </c>
      <c r="N226" s="665">
        <v>0</v>
      </c>
      <c r="O226" s="665">
        <v>0</v>
      </c>
      <c r="P226" s="665">
        <v>0</v>
      </c>
      <c r="Q226" s="665">
        <v>0</v>
      </c>
      <c r="R226" s="665">
        <v>0</v>
      </c>
      <c r="S226" s="665">
        <v>35360.19</v>
      </c>
      <c r="T226" s="604">
        <v>0.94419732977303072</v>
      </c>
      <c r="U226" s="603">
        <v>2089.8099999999977</v>
      </c>
      <c r="V226" s="603">
        <v>0</v>
      </c>
      <c r="W226" s="603">
        <v>2089.8099999999977</v>
      </c>
      <c r="X226" s="603">
        <v>2089.8099999999977</v>
      </c>
      <c r="Y226" s="603">
        <v>0</v>
      </c>
      <c r="Z226" s="603">
        <v>0</v>
      </c>
    </row>
    <row r="227" spans="1:26" x14ac:dyDescent="0.2">
      <c r="A227" s="602" t="s">
        <v>453</v>
      </c>
      <c r="B227" s="665">
        <v>0</v>
      </c>
      <c r="C227" s="665">
        <v>0</v>
      </c>
      <c r="D227" s="665">
        <v>0</v>
      </c>
      <c r="E227" s="665">
        <v>0</v>
      </c>
      <c r="F227" s="665">
        <v>0</v>
      </c>
      <c r="G227" s="665">
        <v>0</v>
      </c>
      <c r="H227" s="665">
        <v>0</v>
      </c>
      <c r="I227" s="665">
        <v>0</v>
      </c>
      <c r="J227" s="665">
        <v>0</v>
      </c>
      <c r="K227" s="665">
        <v>0</v>
      </c>
      <c r="L227" s="665">
        <v>0</v>
      </c>
      <c r="M227" s="665">
        <v>0</v>
      </c>
      <c r="N227" s="665">
        <v>0</v>
      </c>
      <c r="O227" s="665">
        <v>0</v>
      </c>
      <c r="P227" s="665">
        <v>0</v>
      </c>
      <c r="Q227" s="665">
        <v>0</v>
      </c>
      <c r="R227" s="665">
        <v>0</v>
      </c>
      <c r="S227" s="665">
        <v>0</v>
      </c>
      <c r="T227" s="604" t="e">
        <v>#DIV/0!</v>
      </c>
      <c r="U227" s="603">
        <v>0</v>
      </c>
      <c r="V227" s="603">
        <v>0</v>
      </c>
      <c r="W227" s="603">
        <v>0</v>
      </c>
      <c r="X227" s="603">
        <v>0</v>
      </c>
      <c r="Y227" s="603">
        <v>0</v>
      </c>
      <c r="Z227" s="603">
        <v>0</v>
      </c>
    </row>
    <row r="228" spans="1:26" x14ac:dyDescent="0.2">
      <c r="A228" s="602" t="s">
        <v>454</v>
      </c>
      <c r="B228" s="665">
        <v>0</v>
      </c>
      <c r="C228" s="665">
        <v>0</v>
      </c>
      <c r="D228" s="665">
        <v>0</v>
      </c>
      <c r="E228" s="665">
        <v>0</v>
      </c>
      <c r="F228" s="665">
        <v>0</v>
      </c>
      <c r="G228" s="665">
        <v>0</v>
      </c>
      <c r="H228" s="665">
        <v>0</v>
      </c>
      <c r="I228" s="665">
        <v>0</v>
      </c>
      <c r="J228" s="665">
        <v>0</v>
      </c>
      <c r="K228" s="665">
        <v>0</v>
      </c>
      <c r="L228" s="665">
        <v>0</v>
      </c>
      <c r="M228" s="665">
        <v>0</v>
      </c>
      <c r="N228" s="665">
        <v>0</v>
      </c>
      <c r="O228" s="665">
        <v>0</v>
      </c>
      <c r="P228" s="665">
        <v>0</v>
      </c>
      <c r="Q228" s="665">
        <v>0</v>
      </c>
      <c r="R228" s="665">
        <v>0</v>
      </c>
      <c r="S228" s="665">
        <v>0</v>
      </c>
      <c r="T228" s="604" t="e">
        <v>#DIV/0!</v>
      </c>
      <c r="U228" s="603">
        <v>0</v>
      </c>
      <c r="V228" s="603">
        <v>0</v>
      </c>
      <c r="W228" s="603">
        <v>0</v>
      </c>
      <c r="X228" s="603">
        <v>0</v>
      </c>
      <c r="Y228" s="603">
        <v>0</v>
      </c>
      <c r="Z228" s="603">
        <v>0</v>
      </c>
    </row>
    <row r="229" spans="1:26" x14ac:dyDescent="0.2">
      <c r="A229" s="602" t="s">
        <v>455</v>
      </c>
      <c r="B229" s="665">
        <v>300</v>
      </c>
      <c r="C229" s="665">
        <v>300</v>
      </c>
      <c r="D229" s="665">
        <v>300</v>
      </c>
      <c r="E229" s="665">
        <v>0</v>
      </c>
      <c r="F229" s="665">
        <v>0</v>
      </c>
      <c r="G229" s="665">
        <v>0</v>
      </c>
      <c r="H229" s="665">
        <v>0</v>
      </c>
      <c r="I229" s="665">
        <v>0</v>
      </c>
      <c r="J229" s="665">
        <v>0</v>
      </c>
      <c r="K229" s="665">
        <v>0</v>
      </c>
      <c r="L229" s="665">
        <v>0</v>
      </c>
      <c r="M229" s="665">
        <v>0</v>
      </c>
      <c r="N229" s="665">
        <v>0</v>
      </c>
      <c r="O229" s="665">
        <v>0</v>
      </c>
      <c r="P229" s="665">
        <v>0</v>
      </c>
      <c r="Q229" s="665">
        <v>0</v>
      </c>
      <c r="R229" s="665">
        <v>0</v>
      </c>
      <c r="S229" s="665">
        <v>0</v>
      </c>
      <c r="T229" s="604">
        <v>0</v>
      </c>
      <c r="U229" s="603">
        <v>300</v>
      </c>
      <c r="V229" s="603">
        <v>0</v>
      </c>
      <c r="W229" s="603">
        <v>300</v>
      </c>
      <c r="X229" s="603">
        <v>300</v>
      </c>
      <c r="Y229" s="603">
        <v>0</v>
      </c>
      <c r="Z229" s="603">
        <v>0</v>
      </c>
    </row>
    <row r="230" spans="1:26" x14ac:dyDescent="0.2">
      <c r="A230" s="597" t="s">
        <v>456</v>
      </c>
      <c r="B230" s="655">
        <v>4484</v>
      </c>
      <c r="C230" s="655">
        <v>3965</v>
      </c>
      <c r="D230" s="655">
        <v>3000</v>
      </c>
      <c r="E230" s="655">
        <v>3000</v>
      </c>
      <c r="F230" s="655">
        <v>495</v>
      </c>
      <c r="G230" s="655">
        <v>0</v>
      </c>
      <c r="H230" s="655">
        <v>0</v>
      </c>
      <c r="I230" s="655">
        <v>0</v>
      </c>
      <c r="J230" s="655">
        <v>0</v>
      </c>
      <c r="K230" s="655">
        <v>0</v>
      </c>
      <c r="L230" s="655">
        <v>0</v>
      </c>
      <c r="M230" s="655">
        <v>0</v>
      </c>
      <c r="N230" s="655">
        <v>495</v>
      </c>
      <c r="O230" s="655">
        <v>0</v>
      </c>
      <c r="P230" s="655">
        <v>0</v>
      </c>
      <c r="Q230" s="655">
        <v>0</v>
      </c>
      <c r="R230" s="655">
        <v>0</v>
      </c>
      <c r="S230" s="655">
        <v>495</v>
      </c>
      <c r="T230" s="704">
        <v>0.12484237074401008</v>
      </c>
      <c r="U230" s="599">
        <v>3470</v>
      </c>
      <c r="V230" s="599">
        <v>965</v>
      </c>
      <c r="W230" s="599">
        <v>965</v>
      </c>
      <c r="X230" s="599">
        <v>0</v>
      </c>
      <c r="Y230" s="599">
        <v>2505</v>
      </c>
      <c r="Z230" s="599">
        <v>0</v>
      </c>
    </row>
    <row r="231" spans="1:26" x14ac:dyDescent="0.2">
      <c r="A231" s="602" t="s">
        <v>457</v>
      </c>
      <c r="B231" s="665">
        <v>0</v>
      </c>
      <c r="C231" s="665">
        <v>0</v>
      </c>
      <c r="D231" s="665">
        <v>0</v>
      </c>
      <c r="E231" s="665">
        <v>0</v>
      </c>
      <c r="F231" s="665">
        <v>0</v>
      </c>
      <c r="G231" s="665">
        <v>0</v>
      </c>
      <c r="H231" s="665">
        <v>0</v>
      </c>
      <c r="I231" s="665">
        <v>0</v>
      </c>
      <c r="J231" s="665">
        <v>0</v>
      </c>
      <c r="K231" s="665">
        <v>0</v>
      </c>
      <c r="L231" s="665">
        <v>0</v>
      </c>
      <c r="M231" s="665">
        <v>0</v>
      </c>
      <c r="N231" s="665">
        <v>0</v>
      </c>
      <c r="O231" s="665">
        <v>0</v>
      </c>
      <c r="P231" s="665">
        <v>0</v>
      </c>
      <c r="Q231" s="665">
        <v>0</v>
      </c>
      <c r="R231" s="665">
        <v>0</v>
      </c>
      <c r="S231" s="665">
        <v>0</v>
      </c>
      <c r="T231" s="604" t="e">
        <v>#DIV/0!</v>
      </c>
      <c r="U231" s="603">
        <v>0</v>
      </c>
      <c r="V231" s="603">
        <v>0</v>
      </c>
      <c r="W231" s="603">
        <v>0</v>
      </c>
      <c r="X231" s="603">
        <v>0</v>
      </c>
      <c r="Y231" s="603">
        <v>0</v>
      </c>
      <c r="Z231" s="603">
        <v>0</v>
      </c>
    </row>
    <row r="232" spans="1:26" x14ac:dyDescent="0.2">
      <c r="A232" s="602" t="s">
        <v>458</v>
      </c>
      <c r="B232" s="665">
        <v>4484</v>
      </c>
      <c r="C232" s="665">
        <v>3965</v>
      </c>
      <c r="D232" s="665">
        <v>3000</v>
      </c>
      <c r="E232" s="665">
        <v>3000</v>
      </c>
      <c r="F232" s="665">
        <v>495</v>
      </c>
      <c r="G232" s="665">
        <v>0</v>
      </c>
      <c r="H232" s="665">
        <v>0</v>
      </c>
      <c r="I232" s="665">
        <v>0</v>
      </c>
      <c r="J232" s="665">
        <v>0</v>
      </c>
      <c r="K232" s="665">
        <v>0</v>
      </c>
      <c r="L232" s="665">
        <v>0</v>
      </c>
      <c r="M232" s="665">
        <v>0</v>
      </c>
      <c r="N232" s="665">
        <v>495</v>
      </c>
      <c r="O232" s="665">
        <v>0</v>
      </c>
      <c r="P232" s="665">
        <v>0</v>
      </c>
      <c r="Q232" s="665">
        <v>0</v>
      </c>
      <c r="R232" s="665">
        <v>0</v>
      </c>
      <c r="S232" s="665">
        <v>495</v>
      </c>
      <c r="T232" s="604">
        <v>0.12484237074401008</v>
      </c>
      <c r="U232" s="603">
        <v>3470</v>
      </c>
      <c r="V232" s="603">
        <v>965</v>
      </c>
      <c r="W232" s="603">
        <v>965</v>
      </c>
      <c r="X232" s="603">
        <v>0</v>
      </c>
      <c r="Y232" s="603">
        <v>2505</v>
      </c>
      <c r="Z232" s="603">
        <v>0</v>
      </c>
    </row>
    <row r="233" spans="1:26" x14ac:dyDescent="0.2">
      <c r="A233" s="602" t="s">
        <v>459</v>
      </c>
      <c r="B233" s="665">
        <v>0</v>
      </c>
      <c r="C233" s="665">
        <v>0</v>
      </c>
      <c r="D233" s="665">
        <v>0</v>
      </c>
      <c r="E233" s="665">
        <v>0</v>
      </c>
      <c r="F233" s="665">
        <v>0</v>
      </c>
      <c r="G233" s="665">
        <v>0</v>
      </c>
      <c r="H233" s="665">
        <v>0</v>
      </c>
      <c r="I233" s="665">
        <v>0</v>
      </c>
      <c r="J233" s="665">
        <v>0</v>
      </c>
      <c r="K233" s="665">
        <v>0</v>
      </c>
      <c r="L233" s="665">
        <v>0</v>
      </c>
      <c r="M233" s="665">
        <v>0</v>
      </c>
      <c r="N233" s="665">
        <v>0</v>
      </c>
      <c r="O233" s="665">
        <v>0</v>
      </c>
      <c r="P233" s="665">
        <v>0</v>
      </c>
      <c r="Q233" s="665">
        <v>0</v>
      </c>
      <c r="R233" s="665">
        <v>0</v>
      </c>
      <c r="S233" s="665">
        <v>0</v>
      </c>
      <c r="T233" s="604" t="e">
        <v>#DIV/0!</v>
      </c>
      <c r="U233" s="603">
        <v>0</v>
      </c>
      <c r="V233" s="603">
        <v>0</v>
      </c>
      <c r="W233" s="603">
        <v>0</v>
      </c>
      <c r="X233" s="603">
        <v>0</v>
      </c>
      <c r="Y233" s="603">
        <v>0</v>
      </c>
      <c r="Z233" s="603">
        <v>0</v>
      </c>
    </row>
    <row r="234" spans="1:26" x14ac:dyDescent="0.2">
      <c r="A234" s="602" t="s">
        <v>460</v>
      </c>
      <c r="B234" s="665">
        <v>0</v>
      </c>
      <c r="C234" s="665">
        <v>0</v>
      </c>
      <c r="D234" s="665">
        <v>0</v>
      </c>
      <c r="E234" s="665">
        <v>0</v>
      </c>
      <c r="F234" s="665">
        <v>0</v>
      </c>
      <c r="G234" s="665">
        <v>0</v>
      </c>
      <c r="H234" s="665">
        <v>0</v>
      </c>
      <c r="I234" s="665">
        <v>0</v>
      </c>
      <c r="J234" s="665">
        <v>0</v>
      </c>
      <c r="K234" s="665">
        <v>0</v>
      </c>
      <c r="L234" s="665">
        <v>0</v>
      </c>
      <c r="M234" s="665">
        <v>0</v>
      </c>
      <c r="N234" s="665">
        <v>0</v>
      </c>
      <c r="O234" s="665">
        <v>0</v>
      </c>
      <c r="P234" s="665">
        <v>0</v>
      </c>
      <c r="Q234" s="665">
        <v>0</v>
      </c>
      <c r="R234" s="665">
        <v>0</v>
      </c>
      <c r="S234" s="665">
        <v>0</v>
      </c>
      <c r="T234" s="604" t="e">
        <v>#DIV/0!</v>
      </c>
      <c r="U234" s="603">
        <v>0</v>
      </c>
      <c r="V234" s="603">
        <v>0</v>
      </c>
      <c r="W234" s="603">
        <v>0</v>
      </c>
      <c r="X234" s="603">
        <v>0</v>
      </c>
      <c r="Y234" s="603">
        <v>0</v>
      </c>
      <c r="Z234" s="603">
        <v>0</v>
      </c>
    </row>
    <row r="235" spans="1:26" x14ac:dyDescent="0.2">
      <c r="A235" s="602" t="s">
        <v>461</v>
      </c>
      <c r="B235" s="665">
        <v>0</v>
      </c>
      <c r="C235" s="665">
        <v>0</v>
      </c>
      <c r="D235" s="665">
        <v>0</v>
      </c>
      <c r="E235" s="665">
        <v>0</v>
      </c>
      <c r="F235" s="665">
        <v>0</v>
      </c>
      <c r="G235" s="665">
        <v>0</v>
      </c>
      <c r="H235" s="665">
        <v>0</v>
      </c>
      <c r="I235" s="665">
        <v>0</v>
      </c>
      <c r="J235" s="665">
        <v>0</v>
      </c>
      <c r="K235" s="665">
        <v>0</v>
      </c>
      <c r="L235" s="665">
        <v>0</v>
      </c>
      <c r="M235" s="665">
        <v>0</v>
      </c>
      <c r="N235" s="665">
        <v>0</v>
      </c>
      <c r="O235" s="665">
        <v>0</v>
      </c>
      <c r="P235" s="665">
        <v>0</v>
      </c>
      <c r="Q235" s="665">
        <v>0</v>
      </c>
      <c r="R235" s="665">
        <v>0</v>
      </c>
      <c r="S235" s="665">
        <v>0</v>
      </c>
      <c r="T235" s="604" t="e">
        <v>#DIV/0!</v>
      </c>
      <c r="U235" s="603">
        <v>0</v>
      </c>
      <c r="V235" s="603">
        <v>0</v>
      </c>
      <c r="W235" s="603">
        <v>0</v>
      </c>
      <c r="X235" s="603">
        <v>0</v>
      </c>
      <c r="Y235" s="603">
        <v>0</v>
      </c>
      <c r="Z235" s="603">
        <v>0</v>
      </c>
    </row>
    <row r="236" spans="1:26" x14ac:dyDescent="0.2">
      <c r="A236" s="602" t="s">
        <v>462</v>
      </c>
      <c r="B236" s="665">
        <v>0</v>
      </c>
      <c r="C236" s="665">
        <v>0</v>
      </c>
      <c r="D236" s="665">
        <v>0</v>
      </c>
      <c r="E236" s="665">
        <v>0</v>
      </c>
      <c r="F236" s="665">
        <v>0</v>
      </c>
      <c r="G236" s="665">
        <v>0</v>
      </c>
      <c r="H236" s="665">
        <v>0</v>
      </c>
      <c r="I236" s="665">
        <v>0</v>
      </c>
      <c r="J236" s="665">
        <v>0</v>
      </c>
      <c r="K236" s="665">
        <v>0</v>
      </c>
      <c r="L236" s="665">
        <v>0</v>
      </c>
      <c r="M236" s="665">
        <v>0</v>
      </c>
      <c r="N236" s="665">
        <v>0</v>
      </c>
      <c r="O236" s="665">
        <v>0</v>
      </c>
      <c r="P236" s="665">
        <v>0</v>
      </c>
      <c r="Q236" s="665">
        <v>0</v>
      </c>
      <c r="R236" s="665">
        <v>0</v>
      </c>
      <c r="S236" s="665">
        <v>0</v>
      </c>
      <c r="T236" s="604" t="e">
        <v>#DIV/0!</v>
      </c>
      <c r="U236" s="603">
        <v>0</v>
      </c>
      <c r="V236" s="603">
        <v>0</v>
      </c>
      <c r="W236" s="603">
        <v>0</v>
      </c>
      <c r="X236" s="603">
        <v>0</v>
      </c>
      <c r="Y236" s="603">
        <v>0</v>
      </c>
      <c r="Z236" s="603">
        <v>0</v>
      </c>
    </row>
    <row r="237" spans="1:26" x14ac:dyDescent="0.2">
      <c r="A237" s="597" t="s">
        <v>463</v>
      </c>
      <c r="B237" s="655">
        <v>0</v>
      </c>
      <c r="C237" s="655">
        <v>0</v>
      </c>
      <c r="D237" s="655">
        <v>0</v>
      </c>
      <c r="E237" s="655">
        <v>0</v>
      </c>
      <c r="F237" s="655">
        <v>0</v>
      </c>
      <c r="G237" s="655">
        <v>0</v>
      </c>
      <c r="H237" s="655">
        <v>0</v>
      </c>
      <c r="I237" s="655">
        <v>0</v>
      </c>
      <c r="J237" s="655">
        <v>0</v>
      </c>
      <c r="K237" s="655">
        <v>0</v>
      </c>
      <c r="L237" s="655">
        <v>0</v>
      </c>
      <c r="M237" s="655">
        <v>0</v>
      </c>
      <c r="N237" s="655">
        <v>0</v>
      </c>
      <c r="O237" s="655">
        <v>0</v>
      </c>
      <c r="P237" s="655">
        <v>0</v>
      </c>
      <c r="Q237" s="655">
        <v>0</v>
      </c>
      <c r="R237" s="655">
        <v>0</v>
      </c>
      <c r="S237" s="655">
        <v>0</v>
      </c>
      <c r="T237" s="600" t="e">
        <v>#DIV/0!</v>
      </c>
      <c r="U237" s="599">
        <v>0</v>
      </c>
      <c r="V237" s="599">
        <v>0</v>
      </c>
      <c r="W237" s="599">
        <v>0</v>
      </c>
      <c r="X237" s="599">
        <v>0</v>
      </c>
      <c r="Y237" s="599">
        <v>0</v>
      </c>
      <c r="Z237" s="599">
        <v>0</v>
      </c>
    </row>
    <row r="238" spans="1:26" x14ac:dyDescent="0.2">
      <c r="A238" s="602" t="s">
        <v>464</v>
      </c>
      <c r="B238" s="665">
        <v>0</v>
      </c>
      <c r="C238" s="665">
        <v>0</v>
      </c>
      <c r="D238" s="665">
        <v>0</v>
      </c>
      <c r="E238" s="665">
        <v>0</v>
      </c>
      <c r="F238" s="665">
        <v>0</v>
      </c>
      <c r="G238" s="665">
        <v>0</v>
      </c>
      <c r="H238" s="665">
        <v>0</v>
      </c>
      <c r="I238" s="665">
        <v>0</v>
      </c>
      <c r="J238" s="665">
        <v>0</v>
      </c>
      <c r="K238" s="665">
        <v>0</v>
      </c>
      <c r="L238" s="665">
        <v>0</v>
      </c>
      <c r="M238" s="665">
        <v>0</v>
      </c>
      <c r="N238" s="665">
        <v>0</v>
      </c>
      <c r="O238" s="665">
        <v>0</v>
      </c>
      <c r="P238" s="665">
        <v>0</v>
      </c>
      <c r="Q238" s="665">
        <v>0</v>
      </c>
      <c r="R238" s="665">
        <v>0</v>
      </c>
      <c r="S238" s="665">
        <v>0</v>
      </c>
      <c r="T238" s="604" t="e">
        <v>#DIV/0!</v>
      </c>
      <c r="U238" s="603">
        <v>0</v>
      </c>
      <c r="V238" s="603">
        <v>0</v>
      </c>
      <c r="W238" s="603">
        <v>0</v>
      </c>
      <c r="X238" s="603">
        <v>0</v>
      </c>
      <c r="Y238" s="603">
        <v>0</v>
      </c>
      <c r="Z238" s="603">
        <v>0</v>
      </c>
    </row>
    <row r="239" spans="1:26" x14ac:dyDescent="0.2">
      <c r="A239" s="602" t="s">
        <v>465</v>
      </c>
      <c r="B239" s="665">
        <v>0</v>
      </c>
      <c r="C239" s="665">
        <v>0</v>
      </c>
      <c r="D239" s="665">
        <v>0</v>
      </c>
      <c r="E239" s="665">
        <v>0</v>
      </c>
      <c r="F239" s="665">
        <v>0</v>
      </c>
      <c r="G239" s="665">
        <v>0</v>
      </c>
      <c r="H239" s="665">
        <v>0</v>
      </c>
      <c r="I239" s="665">
        <v>0</v>
      </c>
      <c r="J239" s="665">
        <v>0</v>
      </c>
      <c r="K239" s="665">
        <v>0</v>
      </c>
      <c r="L239" s="665">
        <v>0</v>
      </c>
      <c r="M239" s="665">
        <v>0</v>
      </c>
      <c r="N239" s="665">
        <v>0</v>
      </c>
      <c r="O239" s="665">
        <v>0</v>
      </c>
      <c r="P239" s="665">
        <v>0</v>
      </c>
      <c r="Q239" s="665">
        <v>0</v>
      </c>
      <c r="R239" s="665">
        <v>0</v>
      </c>
      <c r="S239" s="665">
        <v>0</v>
      </c>
      <c r="T239" s="604" t="e">
        <v>#DIV/0!</v>
      </c>
      <c r="U239" s="603">
        <v>0</v>
      </c>
      <c r="V239" s="603">
        <v>0</v>
      </c>
      <c r="W239" s="603">
        <v>0</v>
      </c>
      <c r="X239" s="603">
        <v>0</v>
      </c>
      <c r="Y239" s="603">
        <v>0</v>
      </c>
      <c r="Z239" s="603">
        <v>0</v>
      </c>
    </row>
    <row r="240" spans="1:26" x14ac:dyDescent="0.2">
      <c r="A240" s="597" t="s">
        <v>466</v>
      </c>
      <c r="B240" s="685">
        <v>0</v>
      </c>
      <c r="C240" s="685">
        <v>9000</v>
      </c>
      <c r="D240" s="685">
        <v>0</v>
      </c>
      <c r="E240" s="685">
        <v>0</v>
      </c>
      <c r="F240" s="685">
        <v>0</v>
      </c>
      <c r="G240" s="685">
        <v>0</v>
      </c>
      <c r="H240" s="685">
        <v>0</v>
      </c>
      <c r="I240" s="685">
        <v>0</v>
      </c>
      <c r="J240" s="685">
        <v>0</v>
      </c>
      <c r="K240" s="685">
        <v>0</v>
      </c>
      <c r="L240" s="685">
        <v>0</v>
      </c>
      <c r="M240" s="685">
        <v>0</v>
      </c>
      <c r="N240" s="685">
        <v>0</v>
      </c>
      <c r="O240" s="685">
        <v>0</v>
      </c>
      <c r="P240" s="685">
        <v>0</v>
      </c>
      <c r="Q240" s="685">
        <v>0</v>
      </c>
      <c r="R240" s="685">
        <v>0</v>
      </c>
      <c r="S240" s="685">
        <v>0</v>
      </c>
      <c r="T240" s="600">
        <v>0</v>
      </c>
      <c r="U240" s="599">
        <v>9000</v>
      </c>
      <c r="V240" s="599">
        <v>9000</v>
      </c>
      <c r="W240" s="599">
        <v>9000</v>
      </c>
      <c r="X240" s="599">
        <v>0</v>
      </c>
      <c r="Y240" s="599">
        <v>0</v>
      </c>
      <c r="Z240" s="599">
        <v>0</v>
      </c>
    </row>
    <row r="241" spans="1:26" x14ac:dyDescent="0.2">
      <c r="A241" s="597" t="s">
        <v>467</v>
      </c>
      <c r="B241" s="685">
        <v>0</v>
      </c>
      <c r="C241" s="685">
        <v>0</v>
      </c>
      <c r="D241" s="685">
        <v>0</v>
      </c>
      <c r="E241" s="685">
        <v>0</v>
      </c>
      <c r="F241" s="685">
        <v>0</v>
      </c>
      <c r="G241" s="685">
        <v>0</v>
      </c>
      <c r="H241" s="685">
        <v>0</v>
      </c>
      <c r="I241" s="685">
        <v>0</v>
      </c>
      <c r="J241" s="685">
        <v>0</v>
      </c>
      <c r="K241" s="685">
        <v>0</v>
      </c>
      <c r="L241" s="685">
        <v>0</v>
      </c>
      <c r="M241" s="685">
        <v>0</v>
      </c>
      <c r="N241" s="685">
        <v>0</v>
      </c>
      <c r="O241" s="685">
        <v>0</v>
      </c>
      <c r="P241" s="685">
        <v>0</v>
      </c>
      <c r="Q241" s="685">
        <v>0</v>
      </c>
      <c r="R241" s="685">
        <v>0</v>
      </c>
      <c r="S241" s="685">
        <v>0</v>
      </c>
      <c r="T241" s="600" t="e">
        <v>#DIV/0!</v>
      </c>
      <c r="U241" s="599">
        <v>0</v>
      </c>
      <c r="V241" s="599">
        <v>0</v>
      </c>
      <c r="W241" s="599">
        <v>0</v>
      </c>
      <c r="X241" s="599">
        <v>0</v>
      </c>
      <c r="Y241" s="599">
        <v>0</v>
      </c>
      <c r="Z241" s="599">
        <v>0</v>
      </c>
    </row>
    <row r="242" spans="1:26" x14ac:dyDescent="0.2">
      <c r="A242" s="597" t="s">
        <v>468</v>
      </c>
      <c r="B242" s="685">
        <v>30000</v>
      </c>
      <c r="C242" s="685">
        <v>30251</v>
      </c>
      <c r="D242" s="685">
        <v>30251</v>
      </c>
      <c r="E242" s="685">
        <v>14431.25</v>
      </c>
      <c r="F242" s="685">
        <v>3194.8</v>
      </c>
      <c r="G242" s="685">
        <v>0</v>
      </c>
      <c r="H242" s="685">
        <v>251</v>
      </c>
      <c r="I242" s="685">
        <v>0</v>
      </c>
      <c r="J242" s="685">
        <v>733.5</v>
      </c>
      <c r="K242" s="685">
        <v>186.05</v>
      </c>
      <c r="L242" s="685">
        <v>110</v>
      </c>
      <c r="M242" s="685">
        <v>120.25</v>
      </c>
      <c r="N242" s="685">
        <v>0</v>
      </c>
      <c r="O242" s="685">
        <v>1794</v>
      </c>
      <c r="P242" s="685">
        <v>0</v>
      </c>
      <c r="Q242" s="685">
        <v>0</v>
      </c>
      <c r="R242" s="685">
        <v>0</v>
      </c>
      <c r="S242" s="685">
        <v>3194.8</v>
      </c>
      <c r="T242" s="704">
        <v>0.10560973190968895</v>
      </c>
      <c r="U242" s="599">
        <v>27056.2</v>
      </c>
      <c r="V242" s="599">
        <v>0</v>
      </c>
      <c r="W242" s="599">
        <v>15819.75</v>
      </c>
      <c r="X242" s="599">
        <v>15819.75</v>
      </c>
      <c r="Y242" s="599">
        <v>11236.45</v>
      </c>
      <c r="Z242" s="599">
        <v>0</v>
      </c>
    </row>
    <row r="243" spans="1:26" x14ac:dyDescent="0.2">
      <c r="A243" s="597" t="s">
        <v>469</v>
      </c>
      <c r="B243" s="655">
        <v>27000</v>
      </c>
      <c r="C243" s="655">
        <v>27000</v>
      </c>
      <c r="D243" s="655">
        <v>27000</v>
      </c>
      <c r="E243" s="655">
        <v>25106</v>
      </c>
      <c r="F243" s="655">
        <v>18803</v>
      </c>
      <c r="G243" s="655">
        <v>0</v>
      </c>
      <c r="H243" s="655">
        <v>1995</v>
      </c>
      <c r="I243" s="655">
        <v>4202</v>
      </c>
      <c r="J243" s="655">
        <v>2101</v>
      </c>
      <c r="K243" s="655">
        <v>2101</v>
      </c>
      <c r="L243" s="655">
        <v>2101</v>
      </c>
      <c r="M243" s="655">
        <v>2101</v>
      </c>
      <c r="N243" s="655">
        <v>2101</v>
      </c>
      <c r="O243" s="655">
        <v>2101</v>
      </c>
      <c r="P243" s="655">
        <v>0</v>
      </c>
      <c r="Q243" s="655">
        <v>0</v>
      </c>
      <c r="R243" s="655">
        <v>0</v>
      </c>
      <c r="S243" s="655">
        <v>18803</v>
      </c>
      <c r="T243" s="600">
        <v>0.69640740740740736</v>
      </c>
      <c r="U243" s="599">
        <v>8197</v>
      </c>
      <c r="V243" s="599">
        <v>0</v>
      </c>
      <c r="W243" s="599">
        <v>1894</v>
      </c>
      <c r="X243" s="599">
        <v>1894</v>
      </c>
      <c r="Y243" s="599">
        <v>6303</v>
      </c>
      <c r="Z243" s="599">
        <v>0</v>
      </c>
    </row>
    <row r="244" spans="1:26" x14ac:dyDescent="0.2">
      <c r="A244" s="602" t="s">
        <v>470</v>
      </c>
      <c r="B244" s="665">
        <v>27000</v>
      </c>
      <c r="C244" s="665">
        <v>27000</v>
      </c>
      <c r="D244" s="665">
        <v>27000</v>
      </c>
      <c r="E244" s="665">
        <v>25106</v>
      </c>
      <c r="F244" s="665">
        <v>18803</v>
      </c>
      <c r="G244" s="665">
        <v>0</v>
      </c>
      <c r="H244" s="665">
        <v>1995</v>
      </c>
      <c r="I244" s="665">
        <v>4202</v>
      </c>
      <c r="J244" s="665">
        <v>2101</v>
      </c>
      <c r="K244" s="665">
        <v>2101</v>
      </c>
      <c r="L244" s="665">
        <v>2101</v>
      </c>
      <c r="M244" s="665">
        <v>2101</v>
      </c>
      <c r="N244" s="665">
        <v>2101</v>
      </c>
      <c r="O244" s="665">
        <v>2101</v>
      </c>
      <c r="P244" s="665">
        <v>0</v>
      </c>
      <c r="Q244" s="665">
        <v>0</v>
      </c>
      <c r="R244" s="665">
        <v>0</v>
      </c>
      <c r="S244" s="665">
        <v>18803</v>
      </c>
      <c r="T244" s="604">
        <v>0.69640740740740736</v>
      </c>
      <c r="U244" s="603">
        <v>8197</v>
      </c>
      <c r="V244" s="603">
        <v>0</v>
      </c>
      <c r="W244" s="603">
        <v>1894</v>
      </c>
      <c r="X244" s="603">
        <v>1894</v>
      </c>
      <c r="Y244" s="603">
        <v>6303</v>
      </c>
      <c r="Z244" s="603">
        <v>0</v>
      </c>
    </row>
    <row r="245" spans="1:26" x14ac:dyDescent="0.2">
      <c r="A245" s="602" t="s">
        <v>471</v>
      </c>
      <c r="B245" s="665">
        <v>0</v>
      </c>
      <c r="C245" s="665">
        <v>0</v>
      </c>
      <c r="D245" s="665">
        <v>0</v>
      </c>
      <c r="E245" s="665">
        <v>0</v>
      </c>
      <c r="F245" s="665">
        <v>0</v>
      </c>
      <c r="G245" s="665">
        <v>0</v>
      </c>
      <c r="H245" s="665">
        <v>0</v>
      </c>
      <c r="I245" s="665">
        <v>0</v>
      </c>
      <c r="J245" s="665">
        <v>0</v>
      </c>
      <c r="K245" s="665">
        <v>0</v>
      </c>
      <c r="L245" s="665">
        <v>0</v>
      </c>
      <c r="M245" s="665">
        <v>0</v>
      </c>
      <c r="N245" s="665">
        <v>0</v>
      </c>
      <c r="O245" s="665">
        <v>0</v>
      </c>
      <c r="P245" s="665">
        <v>0</v>
      </c>
      <c r="Q245" s="665">
        <v>0</v>
      </c>
      <c r="R245" s="665">
        <v>0</v>
      </c>
      <c r="S245" s="665">
        <v>0</v>
      </c>
      <c r="T245" s="604" t="e">
        <v>#DIV/0!</v>
      </c>
      <c r="U245" s="603">
        <v>0</v>
      </c>
      <c r="V245" s="603">
        <v>0</v>
      </c>
      <c r="W245" s="603">
        <v>0</v>
      </c>
      <c r="X245" s="603">
        <v>0</v>
      </c>
      <c r="Y245" s="603">
        <v>0</v>
      </c>
      <c r="Z245" s="603">
        <v>0</v>
      </c>
    </row>
    <row r="246" spans="1:26" x14ac:dyDescent="0.2">
      <c r="A246" s="597" t="s">
        <v>472</v>
      </c>
      <c r="B246" s="655">
        <v>41500</v>
      </c>
      <c r="C246" s="655">
        <v>45000</v>
      </c>
      <c r="D246" s="655">
        <v>45000</v>
      </c>
      <c r="E246" s="655">
        <v>40200</v>
      </c>
      <c r="F246" s="655">
        <v>6905.6</v>
      </c>
      <c r="G246" s="655">
        <v>0</v>
      </c>
      <c r="H246" s="655">
        <v>0</v>
      </c>
      <c r="I246" s="655">
        <v>0</v>
      </c>
      <c r="J246" s="655">
        <v>0</v>
      </c>
      <c r="K246" s="655">
        <v>3760.84</v>
      </c>
      <c r="L246" s="655">
        <v>0</v>
      </c>
      <c r="M246" s="655">
        <v>1000</v>
      </c>
      <c r="N246" s="655">
        <v>1259.73</v>
      </c>
      <c r="O246" s="655">
        <v>885</v>
      </c>
      <c r="P246" s="655">
        <v>0</v>
      </c>
      <c r="Q246" s="655">
        <v>0</v>
      </c>
      <c r="R246" s="655">
        <v>0</v>
      </c>
      <c r="S246" s="655">
        <v>6905.57</v>
      </c>
      <c r="T246" s="704">
        <v>0.1534571111111111</v>
      </c>
      <c r="U246" s="599">
        <v>38094.43</v>
      </c>
      <c r="V246" s="599">
        <v>0</v>
      </c>
      <c r="W246" s="599">
        <v>4800</v>
      </c>
      <c r="X246" s="599">
        <v>4800</v>
      </c>
      <c r="Y246" s="599">
        <v>33294.400000000001</v>
      </c>
      <c r="Z246" s="599">
        <v>3.0000000000654836E-2</v>
      </c>
    </row>
    <row r="247" spans="1:26" x14ac:dyDescent="0.2">
      <c r="A247" s="605" t="s">
        <v>473</v>
      </c>
      <c r="B247" s="665">
        <v>21900</v>
      </c>
      <c r="C247" s="665">
        <v>21900</v>
      </c>
      <c r="D247" s="665">
        <v>21900</v>
      </c>
      <c r="E247" s="665">
        <v>21900</v>
      </c>
      <c r="F247" s="665">
        <v>4804.6000000000004</v>
      </c>
      <c r="G247" s="665">
        <v>0</v>
      </c>
      <c r="H247" s="665">
        <v>0</v>
      </c>
      <c r="I247" s="665">
        <v>0</v>
      </c>
      <c r="J247" s="665">
        <v>0</v>
      </c>
      <c r="K247" s="665">
        <v>3760.84</v>
      </c>
      <c r="L247" s="665">
        <v>0</v>
      </c>
      <c r="M247" s="665">
        <v>0</v>
      </c>
      <c r="N247" s="665">
        <v>1043.73</v>
      </c>
      <c r="O247" s="665">
        <v>0</v>
      </c>
      <c r="P247" s="665">
        <v>0</v>
      </c>
      <c r="Q247" s="665">
        <v>0</v>
      </c>
      <c r="R247" s="665">
        <v>0</v>
      </c>
      <c r="S247" s="665">
        <v>4804.57</v>
      </c>
      <c r="T247" s="604">
        <v>0.21938675799086757</v>
      </c>
      <c r="U247" s="603">
        <v>17095.43</v>
      </c>
      <c r="V247" s="603">
        <v>0</v>
      </c>
      <c r="W247" s="603">
        <v>0</v>
      </c>
      <c r="X247" s="603">
        <v>0</v>
      </c>
      <c r="Y247" s="603">
        <v>17095.400000000001</v>
      </c>
      <c r="Z247" s="603">
        <v>3.0000000000654836E-2</v>
      </c>
    </row>
    <row r="248" spans="1:26" x14ac:dyDescent="0.2">
      <c r="A248" s="605" t="s">
        <v>474</v>
      </c>
      <c r="B248" s="665">
        <v>0</v>
      </c>
      <c r="C248" s="665">
        <v>0</v>
      </c>
      <c r="D248" s="665">
        <v>0</v>
      </c>
      <c r="E248" s="665">
        <v>0</v>
      </c>
      <c r="F248" s="665">
        <v>0</v>
      </c>
      <c r="G248" s="665">
        <v>0</v>
      </c>
      <c r="H248" s="665">
        <v>0</v>
      </c>
      <c r="I248" s="665">
        <v>0</v>
      </c>
      <c r="J248" s="665">
        <v>0</v>
      </c>
      <c r="K248" s="665">
        <v>0</v>
      </c>
      <c r="L248" s="665">
        <v>0</v>
      </c>
      <c r="M248" s="665">
        <v>0</v>
      </c>
      <c r="N248" s="665">
        <v>0</v>
      </c>
      <c r="O248" s="665">
        <v>0</v>
      </c>
      <c r="P248" s="665">
        <v>0</v>
      </c>
      <c r="Q248" s="665">
        <v>0</v>
      </c>
      <c r="R248" s="665">
        <v>0</v>
      </c>
      <c r="S248" s="665">
        <v>0</v>
      </c>
      <c r="T248" s="604" t="e">
        <v>#DIV/0!</v>
      </c>
      <c r="U248" s="603">
        <v>0</v>
      </c>
      <c r="V248" s="603">
        <v>0</v>
      </c>
      <c r="W248" s="603">
        <v>0</v>
      </c>
      <c r="X248" s="603">
        <v>0</v>
      </c>
      <c r="Y248" s="603">
        <v>0</v>
      </c>
      <c r="Z248" s="603">
        <v>0</v>
      </c>
    </row>
    <row r="249" spans="1:26" x14ac:dyDescent="0.2">
      <c r="A249" s="605" t="s">
        <v>475</v>
      </c>
      <c r="B249" s="665">
        <v>0</v>
      </c>
      <c r="C249" s="665">
        <v>0</v>
      </c>
      <c r="D249" s="665">
        <v>0</v>
      </c>
      <c r="E249" s="665">
        <v>0</v>
      </c>
      <c r="F249" s="665">
        <v>0</v>
      </c>
      <c r="G249" s="665">
        <v>0</v>
      </c>
      <c r="H249" s="665">
        <v>0</v>
      </c>
      <c r="I249" s="665">
        <v>0</v>
      </c>
      <c r="J249" s="665">
        <v>0</v>
      </c>
      <c r="K249" s="665">
        <v>0</v>
      </c>
      <c r="L249" s="665">
        <v>0</v>
      </c>
      <c r="M249" s="665">
        <v>0</v>
      </c>
      <c r="N249" s="665">
        <v>0</v>
      </c>
      <c r="O249" s="665">
        <v>0</v>
      </c>
      <c r="P249" s="665">
        <v>0</v>
      </c>
      <c r="Q249" s="665">
        <v>0</v>
      </c>
      <c r="R249" s="665">
        <v>0</v>
      </c>
      <c r="S249" s="665">
        <v>0</v>
      </c>
      <c r="T249" s="604" t="e">
        <v>#DIV/0!</v>
      </c>
      <c r="U249" s="603">
        <v>0</v>
      </c>
      <c r="V249" s="603">
        <v>0</v>
      </c>
      <c r="W249" s="603">
        <v>0</v>
      </c>
      <c r="X249" s="603">
        <v>0</v>
      </c>
      <c r="Y249" s="603">
        <v>0</v>
      </c>
      <c r="Z249" s="603">
        <v>0</v>
      </c>
    </row>
    <row r="250" spans="1:26" x14ac:dyDescent="0.2">
      <c r="A250" s="605" t="s">
        <v>476</v>
      </c>
      <c r="B250" s="665">
        <v>2000</v>
      </c>
      <c r="C250" s="665">
        <v>2000</v>
      </c>
      <c r="D250" s="665">
        <v>2000</v>
      </c>
      <c r="E250" s="665">
        <v>2000</v>
      </c>
      <c r="F250" s="665">
        <v>216</v>
      </c>
      <c r="G250" s="665">
        <v>0</v>
      </c>
      <c r="H250" s="665">
        <v>0</v>
      </c>
      <c r="I250" s="665">
        <v>0</v>
      </c>
      <c r="J250" s="665">
        <v>0</v>
      </c>
      <c r="K250" s="665">
        <v>0</v>
      </c>
      <c r="L250" s="665">
        <v>0</v>
      </c>
      <c r="M250" s="665">
        <v>0</v>
      </c>
      <c r="N250" s="665">
        <v>216</v>
      </c>
      <c r="O250" s="665">
        <v>0</v>
      </c>
      <c r="P250" s="665">
        <v>0</v>
      </c>
      <c r="Q250" s="665">
        <v>0</v>
      </c>
      <c r="R250" s="665">
        <v>0</v>
      </c>
      <c r="S250" s="665">
        <v>216</v>
      </c>
      <c r="T250" s="604">
        <v>0.108</v>
      </c>
      <c r="U250" s="603">
        <v>1784</v>
      </c>
      <c r="V250" s="603">
        <v>0</v>
      </c>
      <c r="W250" s="603">
        <v>0</v>
      </c>
      <c r="X250" s="603">
        <v>0</v>
      </c>
      <c r="Y250" s="603">
        <v>1784</v>
      </c>
      <c r="Z250" s="603">
        <v>0</v>
      </c>
    </row>
    <row r="251" spans="1:26" x14ac:dyDescent="0.2">
      <c r="A251" s="605" t="s">
        <v>477</v>
      </c>
      <c r="B251" s="665">
        <v>0</v>
      </c>
      <c r="C251" s="665">
        <v>0</v>
      </c>
      <c r="D251" s="665">
        <v>0</v>
      </c>
      <c r="E251" s="665">
        <v>0</v>
      </c>
      <c r="F251" s="665">
        <v>0</v>
      </c>
      <c r="G251" s="665">
        <v>0</v>
      </c>
      <c r="H251" s="665">
        <v>0</v>
      </c>
      <c r="I251" s="665">
        <v>0</v>
      </c>
      <c r="J251" s="665">
        <v>0</v>
      </c>
      <c r="K251" s="665">
        <v>0</v>
      </c>
      <c r="L251" s="665">
        <v>0</v>
      </c>
      <c r="M251" s="665">
        <v>0</v>
      </c>
      <c r="N251" s="665">
        <v>0</v>
      </c>
      <c r="O251" s="665">
        <v>0</v>
      </c>
      <c r="P251" s="665">
        <v>0</v>
      </c>
      <c r="Q251" s="665">
        <v>0</v>
      </c>
      <c r="R251" s="665">
        <v>0</v>
      </c>
      <c r="S251" s="665">
        <v>0</v>
      </c>
      <c r="T251" s="604" t="e">
        <v>#DIV/0!</v>
      </c>
      <c r="U251" s="603">
        <v>0</v>
      </c>
      <c r="V251" s="603">
        <v>0</v>
      </c>
      <c r="W251" s="603">
        <v>0</v>
      </c>
      <c r="X251" s="603">
        <v>0</v>
      </c>
      <c r="Y251" s="603">
        <v>0</v>
      </c>
      <c r="Z251" s="603">
        <v>0</v>
      </c>
    </row>
    <row r="252" spans="1:26" x14ac:dyDescent="0.2">
      <c r="A252" s="605" t="s">
        <v>478</v>
      </c>
      <c r="B252" s="665">
        <v>7200</v>
      </c>
      <c r="C252" s="665">
        <v>7200</v>
      </c>
      <c r="D252" s="665">
        <v>7200</v>
      </c>
      <c r="E252" s="665">
        <v>7200</v>
      </c>
      <c r="F252" s="665">
        <v>1000</v>
      </c>
      <c r="G252" s="665">
        <v>0</v>
      </c>
      <c r="H252" s="665">
        <v>0</v>
      </c>
      <c r="I252" s="665">
        <v>0</v>
      </c>
      <c r="J252" s="665">
        <v>0</v>
      </c>
      <c r="K252" s="665">
        <v>0</v>
      </c>
      <c r="L252" s="665">
        <v>0</v>
      </c>
      <c r="M252" s="665">
        <v>1000</v>
      </c>
      <c r="N252" s="665">
        <v>0</v>
      </c>
      <c r="O252" s="665">
        <v>0</v>
      </c>
      <c r="P252" s="665">
        <v>0</v>
      </c>
      <c r="Q252" s="665">
        <v>0</v>
      </c>
      <c r="R252" s="665">
        <v>0</v>
      </c>
      <c r="S252" s="665">
        <v>1000</v>
      </c>
      <c r="T252" s="604">
        <v>0.1388888888888889</v>
      </c>
      <c r="U252" s="603">
        <v>6200</v>
      </c>
      <c r="V252" s="603">
        <v>0</v>
      </c>
      <c r="W252" s="603">
        <v>0</v>
      </c>
      <c r="X252" s="603">
        <v>0</v>
      </c>
      <c r="Y252" s="603">
        <v>6200</v>
      </c>
      <c r="Z252" s="603">
        <v>0</v>
      </c>
    </row>
    <row r="253" spans="1:26" x14ac:dyDescent="0.2">
      <c r="A253" s="605" t="s">
        <v>479</v>
      </c>
      <c r="B253" s="665">
        <v>400</v>
      </c>
      <c r="C253" s="665">
        <v>400</v>
      </c>
      <c r="D253" s="665">
        <v>400</v>
      </c>
      <c r="E253" s="665">
        <v>0</v>
      </c>
      <c r="F253" s="665">
        <v>0</v>
      </c>
      <c r="G253" s="665">
        <v>0</v>
      </c>
      <c r="H253" s="665">
        <v>0</v>
      </c>
      <c r="I253" s="665">
        <v>0</v>
      </c>
      <c r="J253" s="665">
        <v>0</v>
      </c>
      <c r="K253" s="665">
        <v>0</v>
      </c>
      <c r="L253" s="665">
        <v>0</v>
      </c>
      <c r="M253" s="665">
        <v>0</v>
      </c>
      <c r="N253" s="665">
        <v>0</v>
      </c>
      <c r="O253" s="665">
        <v>0</v>
      </c>
      <c r="P253" s="665">
        <v>0</v>
      </c>
      <c r="Q253" s="665">
        <v>0</v>
      </c>
      <c r="R253" s="665">
        <v>0</v>
      </c>
      <c r="S253" s="665">
        <v>0</v>
      </c>
      <c r="T253" s="604">
        <v>0</v>
      </c>
      <c r="U253" s="603">
        <v>400</v>
      </c>
      <c r="V253" s="603">
        <v>0</v>
      </c>
      <c r="W253" s="603">
        <v>400</v>
      </c>
      <c r="X253" s="603">
        <v>400</v>
      </c>
      <c r="Y253" s="603">
        <v>0</v>
      </c>
      <c r="Z253" s="603">
        <v>0</v>
      </c>
    </row>
    <row r="254" spans="1:26" x14ac:dyDescent="0.2">
      <c r="A254" s="605" t="s">
        <v>480</v>
      </c>
      <c r="B254" s="665">
        <v>10000</v>
      </c>
      <c r="C254" s="665">
        <v>10000</v>
      </c>
      <c r="D254" s="665">
        <v>10000</v>
      </c>
      <c r="E254" s="665">
        <v>9100</v>
      </c>
      <c r="F254" s="665">
        <v>885</v>
      </c>
      <c r="G254" s="665">
        <v>0</v>
      </c>
      <c r="H254" s="665">
        <v>0</v>
      </c>
      <c r="I254" s="665">
        <v>0</v>
      </c>
      <c r="J254" s="665">
        <v>0</v>
      </c>
      <c r="K254" s="665">
        <v>0</v>
      </c>
      <c r="L254" s="665">
        <v>0</v>
      </c>
      <c r="M254" s="665">
        <v>0</v>
      </c>
      <c r="N254" s="665">
        <v>0</v>
      </c>
      <c r="O254" s="665">
        <v>885</v>
      </c>
      <c r="P254" s="665">
        <v>0</v>
      </c>
      <c r="Q254" s="665">
        <v>0</v>
      </c>
      <c r="R254" s="665">
        <v>0</v>
      </c>
      <c r="S254" s="665">
        <v>885</v>
      </c>
      <c r="T254" s="604">
        <v>8.8499999999999995E-2</v>
      </c>
      <c r="U254" s="603">
        <v>9115</v>
      </c>
      <c r="V254" s="603">
        <v>0</v>
      </c>
      <c r="W254" s="603">
        <v>900</v>
      </c>
      <c r="X254" s="603">
        <v>900</v>
      </c>
      <c r="Y254" s="603">
        <v>8215</v>
      </c>
      <c r="Z254" s="603">
        <v>0</v>
      </c>
    </row>
    <row r="255" spans="1:26" x14ac:dyDescent="0.2">
      <c r="A255" s="605" t="s">
        <v>481</v>
      </c>
      <c r="B255" s="665">
        <v>0</v>
      </c>
      <c r="C255" s="665">
        <v>0</v>
      </c>
      <c r="D255" s="665">
        <v>0</v>
      </c>
      <c r="E255" s="665">
        <v>0</v>
      </c>
      <c r="F255" s="665">
        <v>0</v>
      </c>
      <c r="G255" s="665">
        <v>0</v>
      </c>
      <c r="H255" s="665">
        <v>0</v>
      </c>
      <c r="I255" s="665">
        <v>0</v>
      </c>
      <c r="J255" s="665">
        <v>0</v>
      </c>
      <c r="K255" s="665">
        <v>0</v>
      </c>
      <c r="L255" s="665">
        <v>0</v>
      </c>
      <c r="M255" s="665">
        <v>0</v>
      </c>
      <c r="N255" s="665">
        <v>0</v>
      </c>
      <c r="O255" s="665">
        <v>0</v>
      </c>
      <c r="P255" s="665">
        <v>0</v>
      </c>
      <c r="Q255" s="665">
        <v>0</v>
      </c>
      <c r="R255" s="665">
        <v>0</v>
      </c>
      <c r="S255" s="665">
        <v>0</v>
      </c>
      <c r="T255" s="604" t="e">
        <v>#DIV/0!</v>
      </c>
      <c r="U255" s="603">
        <v>0</v>
      </c>
      <c r="V255" s="603">
        <v>0</v>
      </c>
      <c r="W255" s="603">
        <v>0</v>
      </c>
      <c r="X255" s="603">
        <v>0</v>
      </c>
      <c r="Y255" s="603">
        <v>0</v>
      </c>
      <c r="Z255" s="603">
        <v>0</v>
      </c>
    </row>
    <row r="256" spans="1:26" x14ac:dyDescent="0.2">
      <c r="A256" s="605" t="s">
        <v>482</v>
      </c>
      <c r="B256" s="665">
        <v>0</v>
      </c>
      <c r="C256" s="665">
        <v>0</v>
      </c>
      <c r="D256" s="665">
        <v>0</v>
      </c>
      <c r="E256" s="665">
        <v>0</v>
      </c>
      <c r="F256" s="665">
        <v>0</v>
      </c>
      <c r="G256" s="665">
        <v>0</v>
      </c>
      <c r="H256" s="665">
        <v>0</v>
      </c>
      <c r="I256" s="665">
        <v>0</v>
      </c>
      <c r="J256" s="665">
        <v>0</v>
      </c>
      <c r="K256" s="665">
        <v>0</v>
      </c>
      <c r="L256" s="665">
        <v>0</v>
      </c>
      <c r="M256" s="665">
        <v>0</v>
      </c>
      <c r="N256" s="665">
        <v>0</v>
      </c>
      <c r="O256" s="665">
        <v>0</v>
      </c>
      <c r="P256" s="665">
        <v>0</v>
      </c>
      <c r="Q256" s="665">
        <v>0</v>
      </c>
      <c r="R256" s="665">
        <v>0</v>
      </c>
      <c r="S256" s="665">
        <v>0</v>
      </c>
      <c r="T256" s="604" t="e">
        <v>#DIV/0!</v>
      </c>
      <c r="U256" s="603">
        <v>0</v>
      </c>
      <c r="V256" s="603">
        <v>0</v>
      </c>
      <c r="W256" s="603">
        <v>0</v>
      </c>
      <c r="X256" s="603">
        <v>0</v>
      </c>
      <c r="Y256" s="603">
        <v>0</v>
      </c>
      <c r="Z256" s="603">
        <v>0</v>
      </c>
    </row>
    <row r="257" spans="1:26" x14ac:dyDescent="0.2">
      <c r="A257" s="605" t="s">
        <v>483</v>
      </c>
      <c r="B257" s="665">
        <v>0</v>
      </c>
      <c r="C257" s="665">
        <v>0</v>
      </c>
      <c r="D257" s="665">
        <v>0</v>
      </c>
      <c r="E257" s="665">
        <v>0</v>
      </c>
      <c r="F257" s="665">
        <v>0</v>
      </c>
      <c r="G257" s="665">
        <v>0</v>
      </c>
      <c r="H257" s="665">
        <v>0</v>
      </c>
      <c r="I257" s="665">
        <v>0</v>
      </c>
      <c r="J257" s="665">
        <v>0</v>
      </c>
      <c r="K257" s="665">
        <v>0</v>
      </c>
      <c r="L257" s="665">
        <v>0</v>
      </c>
      <c r="M257" s="665">
        <v>0</v>
      </c>
      <c r="N257" s="665">
        <v>0</v>
      </c>
      <c r="O257" s="665">
        <v>0</v>
      </c>
      <c r="P257" s="665">
        <v>0</v>
      </c>
      <c r="Q257" s="665">
        <v>0</v>
      </c>
      <c r="R257" s="665">
        <v>0</v>
      </c>
      <c r="S257" s="665">
        <v>0</v>
      </c>
      <c r="T257" s="604" t="e">
        <v>#DIV/0!</v>
      </c>
      <c r="U257" s="603">
        <v>0</v>
      </c>
      <c r="V257" s="603">
        <v>0</v>
      </c>
      <c r="W257" s="603">
        <v>0</v>
      </c>
      <c r="X257" s="603">
        <v>0</v>
      </c>
      <c r="Y257" s="603">
        <v>0</v>
      </c>
      <c r="Z257" s="603">
        <v>0</v>
      </c>
    </row>
    <row r="258" spans="1:26" x14ac:dyDescent="0.2">
      <c r="A258" s="605" t="s">
        <v>484</v>
      </c>
      <c r="B258" s="665">
        <v>0</v>
      </c>
      <c r="C258" s="665">
        <v>0</v>
      </c>
      <c r="D258" s="665">
        <v>0</v>
      </c>
      <c r="E258" s="665">
        <v>0</v>
      </c>
      <c r="F258" s="665">
        <v>0</v>
      </c>
      <c r="G258" s="665">
        <v>0</v>
      </c>
      <c r="H258" s="665">
        <v>0</v>
      </c>
      <c r="I258" s="665">
        <v>0</v>
      </c>
      <c r="J258" s="665">
        <v>0</v>
      </c>
      <c r="K258" s="665">
        <v>0</v>
      </c>
      <c r="L258" s="665">
        <v>0</v>
      </c>
      <c r="M258" s="665">
        <v>0</v>
      </c>
      <c r="N258" s="665">
        <v>0</v>
      </c>
      <c r="O258" s="665">
        <v>0</v>
      </c>
      <c r="P258" s="665">
        <v>0</v>
      </c>
      <c r="Q258" s="665">
        <v>0</v>
      </c>
      <c r="R258" s="665">
        <v>0</v>
      </c>
      <c r="S258" s="665">
        <v>0</v>
      </c>
      <c r="T258" s="604" t="e">
        <v>#DIV/0!</v>
      </c>
      <c r="U258" s="603">
        <v>0</v>
      </c>
      <c r="V258" s="603">
        <v>0</v>
      </c>
      <c r="W258" s="603">
        <v>0</v>
      </c>
      <c r="X258" s="603">
        <v>0</v>
      </c>
      <c r="Y258" s="603">
        <v>0</v>
      </c>
      <c r="Z258" s="603">
        <v>0</v>
      </c>
    </row>
    <row r="259" spans="1:26" x14ac:dyDescent="0.2">
      <c r="A259" s="605" t="s">
        <v>485</v>
      </c>
      <c r="B259" s="665">
        <v>0</v>
      </c>
      <c r="C259" s="665">
        <v>0</v>
      </c>
      <c r="D259" s="665">
        <v>0</v>
      </c>
      <c r="E259" s="665">
        <v>0</v>
      </c>
      <c r="F259" s="665">
        <v>0</v>
      </c>
      <c r="G259" s="665">
        <v>0</v>
      </c>
      <c r="H259" s="665">
        <v>0</v>
      </c>
      <c r="I259" s="665">
        <v>0</v>
      </c>
      <c r="J259" s="665">
        <v>0</v>
      </c>
      <c r="K259" s="665">
        <v>0</v>
      </c>
      <c r="L259" s="665">
        <v>0</v>
      </c>
      <c r="M259" s="665">
        <v>0</v>
      </c>
      <c r="N259" s="665">
        <v>0</v>
      </c>
      <c r="O259" s="665">
        <v>0</v>
      </c>
      <c r="P259" s="665">
        <v>0</v>
      </c>
      <c r="Q259" s="665">
        <v>0</v>
      </c>
      <c r="R259" s="665">
        <v>0</v>
      </c>
      <c r="S259" s="665">
        <v>0</v>
      </c>
      <c r="T259" s="604" t="e">
        <v>#DIV/0!</v>
      </c>
      <c r="U259" s="603">
        <v>0</v>
      </c>
      <c r="V259" s="603">
        <v>0</v>
      </c>
      <c r="W259" s="603">
        <v>0</v>
      </c>
      <c r="X259" s="603">
        <v>0</v>
      </c>
      <c r="Y259" s="603">
        <v>0</v>
      </c>
      <c r="Z259" s="603">
        <v>0</v>
      </c>
    </row>
    <row r="260" spans="1:26" x14ac:dyDescent="0.2">
      <c r="A260" s="605" t="s">
        <v>486</v>
      </c>
      <c r="B260" s="665">
        <v>0</v>
      </c>
      <c r="C260" s="665">
        <v>0</v>
      </c>
      <c r="D260" s="665">
        <v>0</v>
      </c>
      <c r="E260" s="665">
        <v>0</v>
      </c>
      <c r="F260" s="665">
        <v>0</v>
      </c>
      <c r="G260" s="665">
        <v>0</v>
      </c>
      <c r="H260" s="665">
        <v>0</v>
      </c>
      <c r="I260" s="665">
        <v>0</v>
      </c>
      <c r="J260" s="665">
        <v>0</v>
      </c>
      <c r="K260" s="665">
        <v>0</v>
      </c>
      <c r="L260" s="665">
        <v>0</v>
      </c>
      <c r="M260" s="665">
        <v>0</v>
      </c>
      <c r="N260" s="665">
        <v>0</v>
      </c>
      <c r="O260" s="665">
        <v>0</v>
      </c>
      <c r="P260" s="665">
        <v>0</v>
      </c>
      <c r="Q260" s="665">
        <v>0</v>
      </c>
      <c r="R260" s="665">
        <v>0</v>
      </c>
      <c r="S260" s="665">
        <v>0</v>
      </c>
      <c r="T260" s="604" t="e">
        <v>#DIV/0!</v>
      </c>
      <c r="U260" s="603">
        <v>0</v>
      </c>
      <c r="V260" s="603">
        <v>0</v>
      </c>
      <c r="W260" s="603">
        <v>0</v>
      </c>
      <c r="X260" s="603">
        <v>0</v>
      </c>
      <c r="Y260" s="603">
        <v>0</v>
      </c>
      <c r="Z260" s="603">
        <v>0</v>
      </c>
    </row>
    <row r="261" spans="1:26" x14ac:dyDescent="0.2">
      <c r="A261" s="605" t="s">
        <v>487</v>
      </c>
      <c r="B261" s="665">
        <v>0</v>
      </c>
      <c r="C261" s="665">
        <v>0</v>
      </c>
      <c r="D261" s="665">
        <v>0</v>
      </c>
      <c r="E261" s="665">
        <v>0</v>
      </c>
      <c r="F261" s="665">
        <v>0</v>
      </c>
      <c r="G261" s="665">
        <v>0</v>
      </c>
      <c r="H261" s="665">
        <v>0</v>
      </c>
      <c r="I261" s="665">
        <v>0</v>
      </c>
      <c r="J261" s="665">
        <v>0</v>
      </c>
      <c r="K261" s="665">
        <v>0</v>
      </c>
      <c r="L261" s="665">
        <v>0</v>
      </c>
      <c r="M261" s="665">
        <v>0</v>
      </c>
      <c r="N261" s="665">
        <v>0</v>
      </c>
      <c r="O261" s="665">
        <v>0</v>
      </c>
      <c r="P261" s="665">
        <v>0</v>
      </c>
      <c r="Q261" s="665">
        <v>0</v>
      </c>
      <c r="R261" s="665">
        <v>0</v>
      </c>
      <c r="S261" s="665">
        <v>0</v>
      </c>
      <c r="T261" s="604" t="e">
        <v>#DIV/0!</v>
      </c>
      <c r="U261" s="603">
        <v>0</v>
      </c>
      <c r="V261" s="603">
        <v>0</v>
      </c>
      <c r="W261" s="603">
        <v>0</v>
      </c>
      <c r="X261" s="603">
        <v>0</v>
      </c>
      <c r="Y261" s="603">
        <v>0</v>
      </c>
      <c r="Z261" s="603">
        <v>0</v>
      </c>
    </row>
    <row r="262" spans="1:26" x14ac:dyDescent="0.2">
      <c r="A262" s="605" t="s">
        <v>488</v>
      </c>
      <c r="B262" s="665">
        <v>0</v>
      </c>
      <c r="C262" s="665">
        <v>0</v>
      </c>
      <c r="D262" s="665">
        <v>0</v>
      </c>
      <c r="E262" s="665">
        <v>0</v>
      </c>
      <c r="F262" s="665">
        <v>0</v>
      </c>
      <c r="G262" s="665">
        <v>0</v>
      </c>
      <c r="H262" s="665">
        <v>0</v>
      </c>
      <c r="I262" s="665">
        <v>0</v>
      </c>
      <c r="J262" s="665">
        <v>0</v>
      </c>
      <c r="K262" s="665">
        <v>0</v>
      </c>
      <c r="L262" s="665">
        <v>0</v>
      </c>
      <c r="M262" s="665">
        <v>0</v>
      </c>
      <c r="N262" s="665">
        <v>0</v>
      </c>
      <c r="O262" s="665">
        <v>0</v>
      </c>
      <c r="P262" s="665">
        <v>0</v>
      </c>
      <c r="Q262" s="665">
        <v>0</v>
      </c>
      <c r="R262" s="665">
        <v>0</v>
      </c>
      <c r="S262" s="665">
        <v>0</v>
      </c>
      <c r="T262" s="604" t="e">
        <v>#DIV/0!</v>
      </c>
      <c r="U262" s="603">
        <v>0</v>
      </c>
      <c r="V262" s="603">
        <v>0</v>
      </c>
      <c r="W262" s="603">
        <v>0</v>
      </c>
      <c r="X262" s="603">
        <v>0</v>
      </c>
      <c r="Y262" s="603">
        <v>0</v>
      </c>
      <c r="Z262" s="603">
        <v>0</v>
      </c>
    </row>
    <row r="263" spans="1:26" x14ac:dyDescent="0.2">
      <c r="A263" s="605" t="s">
        <v>489</v>
      </c>
      <c r="B263" s="665">
        <v>0</v>
      </c>
      <c r="C263" s="665">
        <v>0</v>
      </c>
      <c r="D263" s="665">
        <v>0</v>
      </c>
      <c r="E263" s="665">
        <v>0</v>
      </c>
      <c r="F263" s="665">
        <v>0</v>
      </c>
      <c r="G263" s="665">
        <v>0</v>
      </c>
      <c r="H263" s="665">
        <v>0</v>
      </c>
      <c r="I263" s="665">
        <v>0</v>
      </c>
      <c r="J263" s="665">
        <v>0</v>
      </c>
      <c r="K263" s="665">
        <v>0</v>
      </c>
      <c r="L263" s="665">
        <v>0</v>
      </c>
      <c r="M263" s="665">
        <v>0</v>
      </c>
      <c r="N263" s="665">
        <v>0</v>
      </c>
      <c r="O263" s="665">
        <v>0</v>
      </c>
      <c r="P263" s="665">
        <v>0</v>
      </c>
      <c r="Q263" s="665">
        <v>0</v>
      </c>
      <c r="R263" s="665">
        <v>0</v>
      </c>
      <c r="S263" s="665">
        <v>0</v>
      </c>
      <c r="T263" s="604" t="e">
        <v>#DIV/0!</v>
      </c>
      <c r="U263" s="603">
        <v>0</v>
      </c>
      <c r="V263" s="603">
        <v>0</v>
      </c>
      <c r="W263" s="603">
        <v>0</v>
      </c>
      <c r="X263" s="603">
        <v>0</v>
      </c>
      <c r="Y263" s="603">
        <v>0</v>
      </c>
      <c r="Z263" s="603">
        <v>0</v>
      </c>
    </row>
    <row r="264" spans="1:26" x14ac:dyDescent="0.2">
      <c r="A264" s="605" t="s">
        <v>490</v>
      </c>
      <c r="B264" s="665">
        <v>0</v>
      </c>
      <c r="C264" s="665">
        <v>0</v>
      </c>
      <c r="D264" s="665">
        <v>0</v>
      </c>
      <c r="E264" s="665">
        <v>0</v>
      </c>
      <c r="F264" s="665">
        <v>0</v>
      </c>
      <c r="G264" s="665">
        <v>0</v>
      </c>
      <c r="H264" s="665">
        <v>0</v>
      </c>
      <c r="I264" s="665">
        <v>0</v>
      </c>
      <c r="J264" s="665">
        <v>0</v>
      </c>
      <c r="K264" s="665">
        <v>0</v>
      </c>
      <c r="L264" s="665">
        <v>0</v>
      </c>
      <c r="M264" s="665">
        <v>0</v>
      </c>
      <c r="N264" s="665">
        <v>0</v>
      </c>
      <c r="O264" s="665">
        <v>0</v>
      </c>
      <c r="P264" s="665">
        <v>0</v>
      </c>
      <c r="Q264" s="665">
        <v>0</v>
      </c>
      <c r="R264" s="665">
        <v>0</v>
      </c>
      <c r="S264" s="665">
        <v>0</v>
      </c>
      <c r="T264" s="604" t="e">
        <v>#DIV/0!</v>
      </c>
      <c r="U264" s="603">
        <v>0</v>
      </c>
      <c r="V264" s="603">
        <v>0</v>
      </c>
      <c r="W264" s="603">
        <v>0</v>
      </c>
      <c r="X264" s="603">
        <v>0</v>
      </c>
      <c r="Y264" s="603">
        <v>0</v>
      </c>
      <c r="Z264" s="603">
        <v>0</v>
      </c>
    </row>
    <row r="265" spans="1:26" ht="24" x14ac:dyDescent="0.2">
      <c r="A265" s="605" t="s">
        <v>491</v>
      </c>
      <c r="B265" s="665">
        <v>0</v>
      </c>
      <c r="C265" s="665">
        <v>0</v>
      </c>
      <c r="D265" s="665">
        <v>0</v>
      </c>
      <c r="E265" s="665">
        <v>0</v>
      </c>
      <c r="F265" s="665">
        <v>0</v>
      </c>
      <c r="G265" s="665">
        <v>0</v>
      </c>
      <c r="H265" s="665">
        <v>0</v>
      </c>
      <c r="I265" s="665">
        <v>0</v>
      </c>
      <c r="J265" s="665">
        <v>0</v>
      </c>
      <c r="K265" s="665">
        <v>0</v>
      </c>
      <c r="L265" s="665">
        <v>0</v>
      </c>
      <c r="M265" s="665">
        <v>0</v>
      </c>
      <c r="N265" s="665">
        <v>0</v>
      </c>
      <c r="O265" s="665">
        <v>0</v>
      </c>
      <c r="P265" s="665">
        <v>0</v>
      </c>
      <c r="Q265" s="665">
        <v>0</v>
      </c>
      <c r="R265" s="665">
        <v>0</v>
      </c>
      <c r="S265" s="665">
        <v>0</v>
      </c>
      <c r="T265" s="604" t="e">
        <v>#DIV/0!</v>
      </c>
      <c r="U265" s="603">
        <v>0</v>
      </c>
      <c r="V265" s="603">
        <v>0</v>
      </c>
      <c r="W265" s="603">
        <v>0</v>
      </c>
      <c r="X265" s="603">
        <v>0</v>
      </c>
      <c r="Y265" s="603">
        <v>0</v>
      </c>
      <c r="Z265" s="603">
        <v>0</v>
      </c>
    </row>
    <row r="266" spans="1:26" x14ac:dyDescent="0.2">
      <c r="A266" s="605" t="s">
        <v>492</v>
      </c>
      <c r="B266" s="665">
        <v>0</v>
      </c>
      <c r="C266" s="665">
        <v>0</v>
      </c>
      <c r="D266" s="665">
        <v>0</v>
      </c>
      <c r="E266" s="665">
        <v>0</v>
      </c>
      <c r="F266" s="665">
        <v>0</v>
      </c>
      <c r="G266" s="665">
        <v>0</v>
      </c>
      <c r="H266" s="665">
        <v>0</v>
      </c>
      <c r="I266" s="665">
        <v>0</v>
      </c>
      <c r="J266" s="665">
        <v>0</v>
      </c>
      <c r="K266" s="665">
        <v>0</v>
      </c>
      <c r="L266" s="665">
        <v>0</v>
      </c>
      <c r="M266" s="665">
        <v>0</v>
      </c>
      <c r="N266" s="665">
        <v>0</v>
      </c>
      <c r="O266" s="665">
        <v>0</v>
      </c>
      <c r="P266" s="665">
        <v>0</v>
      </c>
      <c r="Q266" s="665">
        <v>0</v>
      </c>
      <c r="R266" s="665">
        <v>0</v>
      </c>
      <c r="S266" s="665">
        <v>0</v>
      </c>
      <c r="T266" s="604" t="e">
        <v>#DIV/0!</v>
      </c>
      <c r="U266" s="603">
        <v>0</v>
      </c>
      <c r="V266" s="603">
        <v>0</v>
      </c>
      <c r="W266" s="603">
        <v>0</v>
      </c>
      <c r="X266" s="603">
        <v>0</v>
      </c>
      <c r="Y266" s="603">
        <v>0</v>
      </c>
      <c r="Z266" s="603">
        <v>0</v>
      </c>
    </row>
    <row r="267" spans="1:26" x14ac:dyDescent="0.2">
      <c r="A267" s="605" t="s">
        <v>493</v>
      </c>
      <c r="B267" s="665">
        <v>0</v>
      </c>
      <c r="C267" s="665">
        <v>0</v>
      </c>
      <c r="D267" s="665">
        <v>0</v>
      </c>
      <c r="E267" s="665">
        <v>0</v>
      </c>
      <c r="F267" s="665">
        <v>0</v>
      </c>
      <c r="G267" s="665">
        <v>0</v>
      </c>
      <c r="H267" s="665">
        <v>0</v>
      </c>
      <c r="I267" s="665">
        <v>0</v>
      </c>
      <c r="J267" s="665">
        <v>0</v>
      </c>
      <c r="K267" s="665">
        <v>0</v>
      </c>
      <c r="L267" s="665">
        <v>0</v>
      </c>
      <c r="M267" s="665">
        <v>0</v>
      </c>
      <c r="N267" s="665">
        <v>0</v>
      </c>
      <c r="O267" s="665">
        <v>0</v>
      </c>
      <c r="P267" s="665">
        <v>0</v>
      </c>
      <c r="Q267" s="665">
        <v>0</v>
      </c>
      <c r="R267" s="665">
        <v>0</v>
      </c>
      <c r="S267" s="665">
        <v>0</v>
      </c>
      <c r="T267" s="604" t="e">
        <v>#DIV/0!</v>
      </c>
      <c r="U267" s="603">
        <v>0</v>
      </c>
      <c r="V267" s="603">
        <v>0</v>
      </c>
      <c r="W267" s="603">
        <v>0</v>
      </c>
      <c r="X267" s="603">
        <v>0</v>
      </c>
      <c r="Y267" s="603">
        <v>0</v>
      </c>
      <c r="Z267" s="603">
        <v>0</v>
      </c>
    </row>
    <row r="268" spans="1:26" ht="24" x14ac:dyDescent="0.2">
      <c r="A268" s="605" t="s">
        <v>494</v>
      </c>
      <c r="B268" s="665">
        <v>0</v>
      </c>
      <c r="C268" s="665">
        <v>0</v>
      </c>
      <c r="D268" s="665">
        <v>0</v>
      </c>
      <c r="E268" s="665">
        <v>0</v>
      </c>
      <c r="F268" s="665">
        <v>0</v>
      </c>
      <c r="G268" s="665">
        <v>0</v>
      </c>
      <c r="H268" s="665">
        <v>0</v>
      </c>
      <c r="I268" s="665">
        <v>0</v>
      </c>
      <c r="J268" s="665">
        <v>0</v>
      </c>
      <c r="K268" s="665">
        <v>0</v>
      </c>
      <c r="L268" s="665">
        <v>0</v>
      </c>
      <c r="M268" s="665">
        <v>0</v>
      </c>
      <c r="N268" s="665">
        <v>0</v>
      </c>
      <c r="O268" s="665">
        <v>0</v>
      </c>
      <c r="P268" s="665">
        <v>0</v>
      </c>
      <c r="Q268" s="665">
        <v>0</v>
      </c>
      <c r="R268" s="665">
        <v>0</v>
      </c>
      <c r="S268" s="665">
        <v>0</v>
      </c>
      <c r="T268" s="604" t="e">
        <v>#DIV/0!</v>
      </c>
      <c r="U268" s="603">
        <v>0</v>
      </c>
      <c r="V268" s="603">
        <v>0</v>
      </c>
      <c r="W268" s="603">
        <v>0</v>
      </c>
      <c r="X268" s="603">
        <v>0</v>
      </c>
      <c r="Y268" s="603">
        <v>0</v>
      </c>
      <c r="Z268" s="603">
        <v>0</v>
      </c>
    </row>
    <row r="269" spans="1:26" ht="24" x14ac:dyDescent="0.2">
      <c r="A269" s="605" t="s">
        <v>495</v>
      </c>
      <c r="B269" s="665">
        <v>0</v>
      </c>
      <c r="C269" s="665">
        <v>0</v>
      </c>
      <c r="D269" s="665">
        <v>0</v>
      </c>
      <c r="E269" s="665">
        <v>0</v>
      </c>
      <c r="F269" s="665">
        <v>0</v>
      </c>
      <c r="G269" s="665">
        <v>0</v>
      </c>
      <c r="H269" s="665">
        <v>0</v>
      </c>
      <c r="I269" s="665">
        <v>0</v>
      </c>
      <c r="J269" s="665">
        <v>0</v>
      </c>
      <c r="K269" s="665">
        <v>0</v>
      </c>
      <c r="L269" s="665">
        <v>0</v>
      </c>
      <c r="M269" s="665">
        <v>0</v>
      </c>
      <c r="N269" s="665">
        <v>0</v>
      </c>
      <c r="O269" s="665">
        <v>0</v>
      </c>
      <c r="P269" s="665">
        <v>0</v>
      </c>
      <c r="Q269" s="665">
        <v>0</v>
      </c>
      <c r="R269" s="665">
        <v>0</v>
      </c>
      <c r="S269" s="665">
        <v>0</v>
      </c>
      <c r="T269" s="604" t="e">
        <v>#DIV/0!</v>
      </c>
      <c r="U269" s="603">
        <v>0</v>
      </c>
      <c r="V269" s="603">
        <v>0</v>
      </c>
      <c r="W269" s="603">
        <v>0</v>
      </c>
      <c r="X269" s="603">
        <v>0</v>
      </c>
      <c r="Y269" s="603">
        <v>0</v>
      </c>
      <c r="Z269" s="603">
        <v>0</v>
      </c>
    </row>
    <row r="270" spans="1:26" x14ac:dyDescent="0.2">
      <c r="A270" s="605" t="s">
        <v>496</v>
      </c>
      <c r="B270" s="665">
        <v>0</v>
      </c>
      <c r="C270" s="665">
        <v>0</v>
      </c>
      <c r="D270" s="665">
        <v>0</v>
      </c>
      <c r="E270" s="665">
        <v>0</v>
      </c>
      <c r="F270" s="665">
        <v>0</v>
      </c>
      <c r="G270" s="665">
        <v>0</v>
      </c>
      <c r="H270" s="665">
        <v>0</v>
      </c>
      <c r="I270" s="665">
        <v>0</v>
      </c>
      <c r="J270" s="665">
        <v>0</v>
      </c>
      <c r="K270" s="665">
        <v>0</v>
      </c>
      <c r="L270" s="665">
        <v>0</v>
      </c>
      <c r="M270" s="665">
        <v>0</v>
      </c>
      <c r="N270" s="665">
        <v>0</v>
      </c>
      <c r="O270" s="665">
        <v>0</v>
      </c>
      <c r="P270" s="665">
        <v>0</v>
      </c>
      <c r="Q270" s="665">
        <v>0</v>
      </c>
      <c r="R270" s="665">
        <v>0</v>
      </c>
      <c r="S270" s="665">
        <v>0</v>
      </c>
      <c r="T270" s="604" t="e">
        <v>#DIV/0!</v>
      </c>
      <c r="U270" s="603">
        <v>0</v>
      </c>
      <c r="V270" s="603">
        <v>0</v>
      </c>
      <c r="W270" s="603">
        <v>0</v>
      </c>
      <c r="X270" s="603">
        <v>0</v>
      </c>
      <c r="Y270" s="603">
        <v>0</v>
      </c>
      <c r="Z270" s="603">
        <v>0</v>
      </c>
    </row>
    <row r="271" spans="1:26" x14ac:dyDescent="0.2">
      <c r="A271" s="605" t="s">
        <v>497</v>
      </c>
      <c r="B271" s="665">
        <v>0</v>
      </c>
      <c r="C271" s="665">
        <v>0</v>
      </c>
      <c r="D271" s="665">
        <v>0</v>
      </c>
      <c r="E271" s="665">
        <v>0</v>
      </c>
      <c r="F271" s="665">
        <v>0</v>
      </c>
      <c r="G271" s="665">
        <v>0</v>
      </c>
      <c r="H271" s="665">
        <v>0</v>
      </c>
      <c r="I271" s="665">
        <v>0</v>
      </c>
      <c r="J271" s="665">
        <v>0</v>
      </c>
      <c r="K271" s="665">
        <v>0</v>
      </c>
      <c r="L271" s="665">
        <v>0</v>
      </c>
      <c r="M271" s="665">
        <v>0</v>
      </c>
      <c r="N271" s="665">
        <v>0</v>
      </c>
      <c r="O271" s="665">
        <v>0</v>
      </c>
      <c r="P271" s="665">
        <v>0</v>
      </c>
      <c r="Q271" s="665">
        <v>0</v>
      </c>
      <c r="R271" s="665">
        <v>0</v>
      </c>
      <c r="S271" s="665">
        <v>0</v>
      </c>
      <c r="T271" s="604" t="e">
        <v>#DIV/0!</v>
      </c>
      <c r="U271" s="603">
        <v>0</v>
      </c>
      <c r="V271" s="603">
        <v>0</v>
      </c>
      <c r="W271" s="603">
        <v>0</v>
      </c>
      <c r="X271" s="603">
        <v>0</v>
      </c>
      <c r="Y271" s="603">
        <v>0</v>
      </c>
      <c r="Z271" s="603">
        <v>0</v>
      </c>
    </row>
    <row r="272" spans="1:26" x14ac:dyDescent="0.2">
      <c r="A272" s="605" t="s">
        <v>498</v>
      </c>
      <c r="B272" s="665">
        <v>0</v>
      </c>
      <c r="C272" s="665">
        <v>3500</v>
      </c>
      <c r="D272" s="665">
        <v>3500</v>
      </c>
      <c r="E272" s="665">
        <v>0</v>
      </c>
      <c r="F272" s="665">
        <v>0</v>
      </c>
      <c r="G272" s="665">
        <v>0</v>
      </c>
      <c r="H272" s="665">
        <v>0</v>
      </c>
      <c r="I272" s="665">
        <v>0</v>
      </c>
      <c r="J272" s="665">
        <v>0</v>
      </c>
      <c r="K272" s="665">
        <v>0</v>
      </c>
      <c r="L272" s="665">
        <v>0</v>
      </c>
      <c r="M272" s="665">
        <v>0</v>
      </c>
      <c r="N272" s="665">
        <v>0</v>
      </c>
      <c r="O272" s="665">
        <v>0</v>
      </c>
      <c r="P272" s="665">
        <v>0</v>
      </c>
      <c r="Q272" s="665">
        <v>0</v>
      </c>
      <c r="R272" s="665">
        <v>0</v>
      </c>
      <c r="S272" s="665">
        <v>0</v>
      </c>
      <c r="T272" s="604">
        <v>0</v>
      </c>
      <c r="U272" s="603">
        <v>3500</v>
      </c>
      <c r="V272" s="603">
        <v>0</v>
      </c>
      <c r="W272" s="603">
        <v>3500</v>
      </c>
      <c r="X272" s="603">
        <v>3500</v>
      </c>
      <c r="Y272" s="603">
        <v>0</v>
      </c>
      <c r="Z272" s="603">
        <v>0</v>
      </c>
    </row>
    <row r="273" spans="1:26" x14ac:dyDescent="0.2">
      <c r="A273" s="597" t="s">
        <v>499</v>
      </c>
      <c r="B273" s="655">
        <v>73200</v>
      </c>
      <c r="C273" s="655">
        <v>63022</v>
      </c>
      <c r="D273" s="655">
        <v>63022</v>
      </c>
      <c r="E273" s="655">
        <v>28712.880000000001</v>
      </c>
      <c r="F273" s="655">
        <v>28712.880000000001</v>
      </c>
      <c r="G273" s="655">
        <v>2857.68</v>
      </c>
      <c r="H273" s="655">
        <v>3410.8800000000006</v>
      </c>
      <c r="I273" s="655">
        <v>2862.7200000000003</v>
      </c>
      <c r="J273" s="655">
        <v>4737.5999999999995</v>
      </c>
      <c r="K273" s="655">
        <v>263.76</v>
      </c>
      <c r="L273" s="655">
        <v>10373.039999999999</v>
      </c>
      <c r="M273" s="655">
        <v>3958.56</v>
      </c>
      <c r="N273" s="655">
        <v>248.64000000000001</v>
      </c>
      <c r="O273" s="655">
        <v>0</v>
      </c>
      <c r="P273" s="655">
        <v>0</v>
      </c>
      <c r="Q273" s="655">
        <v>0</v>
      </c>
      <c r="R273" s="655">
        <v>0</v>
      </c>
      <c r="S273" s="655">
        <v>28712.880000000001</v>
      </c>
      <c r="T273" s="704">
        <v>0.45560090127257152</v>
      </c>
      <c r="U273" s="599">
        <v>34309.119999999995</v>
      </c>
      <c r="V273" s="599">
        <v>0</v>
      </c>
      <c r="W273" s="599">
        <v>34309.119999999995</v>
      </c>
      <c r="X273" s="599">
        <v>34309.119999999995</v>
      </c>
      <c r="Y273" s="599">
        <v>0</v>
      </c>
      <c r="Z273" s="599">
        <v>0</v>
      </c>
    </row>
    <row r="274" spans="1:26" x14ac:dyDescent="0.2">
      <c r="A274" s="605" t="s">
        <v>500</v>
      </c>
      <c r="B274" s="665">
        <v>7800</v>
      </c>
      <c r="C274" s="665">
        <v>4300</v>
      </c>
      <c r="D274" s="665">
        <v>4300</v>
      </c>
      <c r="E274" s="665">
        <v>174</v>
      </c>
      <c r="F274" s="665">
        <v>174</v>
      </c>
      <c r="G274" s="665">
        <v>0</v>
      </c>
      <c r="H274" s="665">
        <v>0</v>
      </c>
      <c r="I274" s="665">
        <v>0</v>
      </c>
      <c r="J274" s="665">
        <v>0</v>
      </c>
      <c r="K274" s="665">
        <v>0</v>
      </c>
      <c r="L274" s="665">
        <v>174</v>
      </c>
      <c r="M274" s="665">
        <v>0</v>
      </c>
      <c r="N274" s="665">
        <v>0</v>
      </c>
      <c r="O274" s="665">
        <v>0</v>
      </c>
      <c r="P274" s="665">
        <v>0</v>
      </c>
      <c r="Q274" s="665">
        <v>0</v>
      </c>
      <c r="R274" s="665">
        <v>0</v>
      </c>
      <c r="S274" s="665">
        <v>174</v>
      </c>
      <c r="T274" s="604">
        <v>4.046511627906977E-2</v>
      </c>
      <c r="U274" s="603">
        <v>4126</v>
      </c>
      <c r="V274" s="603">
        <v>0</v>
      </c>
      <c r="W274" s="603">
        <v>4126</v>
      </c>
      <c r="X274" s="603">
        <v>4126</v>
      </c>
      <c r="Y274" s="603">
        <v>0</v>
      </c>
      <c r="Z274" s="603">
        <v>0</v>
      </c>
    </row>
    <row r="275" spans="1:26" x14ac:dyDescent="0.2">
      <c r="A275" s="605" t="s">
        <v>501</v>
      </c>
      <c r="B275" s="665">
        <v>65400</v>
      </c>
      <c r="C275" s="665">
        <v>58722</v>
      </c>
      <c r="D275" s="665">
        <v>58722</v>
      </c>
      <c r="E275" s="665">
        <v>28538.880000000001</v>
      </c>
      <c r="F275" s="665">
        <v>28538.880000000001</v>
      </c>
      <c r="G275" s="665">
        <v>2857.68</v>
      </c>
      <c r="H275" s="665">
        <v>3410.8800000000006</v>
      </c>
      <c r="I275" s="665">
        <v>2862.7200000000003</v>
      </c>
      <c r="J275" s="665">
        <v>4737.5999999999995</v>
      </c>
      <c r="K275" s="665">
        <v>263.76</v>
      </c>
      <c r="L275" s="665">
        <v>10199.039999999999</v>
      </c>
      <c r="M275" s="665">
        <v>3958.56</v>
      </c>
      <c r="N275" s="665">
        <v>248.64000000000001</v>
      </c>
      <c r="O275" s="665">
        <v>0</v>
      </c>
      <c r="P275" s="665">
        <v>0</v>
      </c>
      <c r="Q275" s="665">
        <v>0</v>
      </c>
      <c r="R275" s="665">
        <v>0</v>
      </c>
      <c r="S275" s="665">
        <v>28538.880000000001</v>
      </c>
      <c r="T275" s="604">
        <v>0.48599979564728724</v>
      </c>
      <c r="U275" s="603">
        <v>30183.119999999999</v>
      </c>
      <c r="V275" s="603">
        <v>0</v>
      </c>
      <c r="W275" s="603">
        <v>30183.119999999999</v>
      </c>
      <c r="X275" s="603">
        <v>30183.119999999999</v>
      </c>
      <c r="Y275" s="603">
        <v>0</v>
      </c>
      <c r="Z275" s="603">
        <v>0</v>
      </c>
    </row>
    <row r="276" spans="1:26" x14ac:dyDescent="0.2">
      <c r="A276" s="605" t="s">
        <v>502</v>
      </c>
      <c r="B276" s="665">
        <v>0</v>
      </c>
      <c r="C276" s="665">
        <v>0</v>
      </c>
      <c r="D276" s="665">
        <v>0</v>
      </c>
      <c r="E276" s="665">
        <v>0</v>
      </c>
      <c r="F276" s="665">
        <v>0</v>
      </c>
      <c r="G276" s="665">
        <v>0</v>
      </c>
      <c r="H276" s="665">
        <v>0</v>
      </c>
      <c r="I276" s="665">
        <v>0</v>
      </c>
      <c r="J276" s="665">
        <v>0</v>
      </c>
      <c r="K276" s="665">
        <v>0</v>
      </c>
      <c r="L276" s="665">
        <v>0</v>
      </c>
      <c r="M276" s="665">
        <v>0</v>
      </c>
      <c r="N276" s="665">
        <v>0</v>
      </c>
      <c r="O276" s="665">
        <v>0</v>
      </c>
      <c r="P276" s="665">
        <v>0</v>
      </c>
      <c r="Q276" s="665">
        <v>0</v>
      </c>
      <c r="R276" s="665">
        <v>0</v>
      </c>
      <c r="S276" s="665">
        <v>0</v>
      </c>
      <c r="T276" s="604" t="e">
        <v>#DIV/0!</v>
      </c>
      <c r="U276" s="603">
        <v>0</v>
      </c>
      <c r="V276" s="603">
        <v>0</v>
      </c>
      <c r="W276" s="603">
        <v>0</v>
      </c>
      <c r="X276" s="603">
        <v>0</v>
      </c>
      <c r="Y276" s="603">
        <v>0</v>
      </c>
      <c r="Z276" s="603">
        <v>0</v>
      </c>
    </row>
    <row r="277" spans="1:26" x14ac:dyDescent="0.2">
      <c r="A277" s="605" t="s">
        <v>503</v>
      </c>
      <c r="B277" s="665">
        <v>0</v>
      </c>
      <c r="C277" s="665">
        <v>0</v>
      </c>
      <c r="D277" s="665">
        <v>0</v>
      </c>
      <c r="E277" s="665">
        <v>0</v>
      </c>
      <c r="F277" s="665">
        <v>0</v>
      </c>
      <c r="G277" s="665">
        <v>0</v>
      </c>
      <c r="H277" s="665">
        <v>0</v>
      </c>
      <c r="I277" s="665">
        <v>0</v>
      </c>
      <c r="J277" s="665">
        <v>0</v>
      </c>
      <c r="K277" s="665">
        <v>0</v>
      </c>
      <c r="L277" s="665">
        <v>0</v>
      </c>
      <c r="M277" s="665">
        <v>0</v>
      </c>
      <c r="N277" s="665">
        <v>0</v>
      </c>
      <c r="O277" s="665">
        <v>0</v>
      </c>
      <c r="P277" s="665">
        <v>0</v>
      </c>
      <c r="Q277" s="665">
        <v>0</v>
      </c>
      <c r="R277" s="665">
        <v>0</v>
      </c>
      <c r="S277" s="665">
        <v>0</v>
      </c>
      <c r="T277" s="604" t="e">
        <v>#DIV/0!</v>
      </c>
      <c r="U277" s="603">
        <v>0</v>
      </c>
      <c r="V277" s="603">
        <v>0</v>
      </c>
      <c r="W277" s="603">
        <v>0</v>
      </c>
      <c r="X277" s="603">
        <v>0</v>
      </c>
      <c r="Y277" s="603">
        <v>0</v>
      </c>
      <c r="Z277" s="603">
        <v>0</v>
      </c>
    </row>
    <row r="278" spans="1:26" x14ac:dyDescent="0.2">
      <c r="A278" s="597" t="s">
        <v>504</v>
      </c>
      <c r="B278" s="655">
        <v>161740</v>
      </c>
      <c r="C278" s="655">
        <v>165100</v>
      </c>
      <c r="D278" s="655">
        <v>165100</v>
      </c>
      <c r="E278" s="655">
        <v>127300</v>
      </c>
      <c r="F278" s="655">
        <v>74905</v>
      </c>
      <c r="G278" s="655">
        <v>0</v>
      </c>
      <c r="H278" s="655">
        <v>0</v>
      </c>
      <c r="I278" s="655">
        <v>0</v>
      </c>
      <c r="J278" s="655">
        <v>32400</v>
      </c>
      <c r="K278" s="655">
        <v>15890</v>
      </c>
      <c r="L278" s="655">
        <v>0</v>
      </c>
      <c r="M278" s="655">
        <v>11917.5</v>
      </c>
      <c r="N278" s="655">
        <v>3972.5</v>
      </c>
      <c r="O278" s="655">
        <v>10725</v>
      </c>
      <c r="P278" s="655">
        <v>0</v>
      </c>
      <c r="Q278" s="655">
        <v>0</v>
      </c>
      <c r="R278" s="655">
        <v>0</v>
      </c>
      <c r="S278" s="655">
        <v>74905</v>
      </c>
      <c r="T278" s="704">
        <v>0.45369473046638403</v>
      </c>
      <c r="U278" s="599">
        <v>90195</v>
      </c>
      <c r="V278" s="599">
        <v>0</v>
      </c>
      <c r="W278" s="599">
        <v>37800</v>
      </c>
      <c r="X278" s="599">
        <v>37800</v>
      </c>
      <c r="Y278" s="599">
        <v>52395</v>
      </c>
      <c r="Z278" s="599">
        <v>0</v>
      </c>
    </row>
    <row r="279" spans="1:26" x14ac:dyDescent="0.2">
      <c r="A279" s="605" t="s">
        <v>505</v>
      </c>
      <c r="B279" s="665">
        <v>0</v>
      </c>
      <c r="C279" s="665">
        <v>0</v>
      </c>
      <c r="D279" s="665">
        <v>0</v>
      </c>
      <c r="E279" s="665">
        <v>0</v>
      </c>
      <c r="F279" s="665">
        <v>0</v>
      </c>
      <c r="G279" s="665">
        <v>0</v>
      </c>
      <c r="H279" s="665">
        <v>0</v>
      </c>
      <c r="I279" s="665">
        <v>0</v>
      </c>
      <c r="J279" s="665">
        <v>0</v>
      </c>
      <c r="K279" s="665">
        <v>0</v>
      </c>
      <c r="L279" s="665">
        <v>0</v>
      </c>
      <c r="M279" s="665">
        <v>0</v>
      </c>
      <c r="N279" s="665">
        <v>0</v>
      </c>
      <c r="O279" s="665">
        <v>0</v>
      </c>
      <c r="P279" s="665">
        <v>0</v>
      </c>
      <c r="Q279" s="665">
        <v>0</v>
      </c>
      <c r="R279" s="665">
        <v>0</v>
      </c>
      <c r="S279" s="665">
        <v>0</v>
      </c>
      <c r="T279" s="604" t="e">
        <v>#DIV/0!</v>
      </c>
      <c r="U279" s="603">
        <v>0</v>
      </c>
      <c r="V279" s="603">
        <v>0</v>
      </c>
      <c r="W279" s="603">
        <v>0</v>
      </c>
      <c r="X279" s="603">
        <v>0</v>
      </c>
      <c r="Y279" s="603">
        <v>0</v>
      </c>
      <c r="Z279" s="603">
        <v>0</v>
      </c>
    </row>
    <row r="280" spans="1:26" x14ac:dyDescent="0.2">
      <c r="A280" s="605" t="s">
        <v>506</v>
      </c>
      <c r="B280" s="665">
        <v>32400</v>
      </c>
      <c r="C280" s="665">
        <v>32400</v>
      </c>
      <c r="D280" s="665">
        <v>32400</v>
      </c>
      <c r="E280" s="665">
        <v>32400</v>
      </c>
      <c r="F280" s="665">
        <v>32400</v>
      </c>
      <c r="G280" s="665">
        <v>0</v>
      </c>
      <c r="H280" s="665">
        <v>0</v>
      </c>
      <c r="I280" s="665">
        <v>0</v>
      </c>
      <c r="J280" s="665">
        <v>32400</v>
      </c>
      <c r="K280" s="665">
        <v>0</v>
      </c>
      <c r="L280" s="665">
        <v>0</v>
      </c>
      <c r="M280" s="665">
        <v>0</v>
      </c>
      <c r="N280" s="665">
        <v>0</v>
      </c>
      <c r="O280" s="665">
        <v>0</v>
      </c>
      <c r="P280" s="665">
        <v>0</v>
      </c>
      <c r="Q280" s="665">
        <v>0</v>
      </c>
      <c r="R280" s="665">
        <v>0</v>
      </c>
      <c r="S280" s="665">
        <v>32400</v>
      </c>
      <c r="T280" s="604">
        <v>1</v>
      </c>
      <c r="U280" s="603">
        <v>0</v>
      </c>
      <c r="V280" s="603">
        <v>0</v>
      </c>
      <c r="W280" s="603">
        <v>0</v>
      </c>
      <c r="X280" s="603">
        <v>0</v>
      </c>
      <c r="Y280" s="603">
        <v>0</v>
      </c>
      <c r="Z280" s="603">
        <v>0</v>
      </c>
    </row>
    <row r="281" spans="1:26" x14ac:dyDescent="0.2">
      <c r="A281" s="605" t="s">
        <v>507</v>
      </c>
      <c r="B281" s="665">
        <v>129340</v>
      </c>
      <c r="C281" s="665">
        <v>132700</v>
      </c>
      <c r="D281" s="665">
        <v>132700</v>
      </c>
      <c r="E281" s="665">
        <v>94900</v>
      </c>
      <c r="F281" s="665">
        <v>42505</v>
      </c>
      <c r="G281" s="665">
        <v>0</v>
      </c>
      <c r="H281" s="665">
        <v>0</v>
      </c>
      <c r="I281" s="665">
        <v>0</v>
      </c>
      <c r="J281" s="665">
        <v>0</v>
      </c>
      <c r="K281" s="665">
        <v>15890</v>
      </c>
      <c r="L281" s="665">
        <v>0</v>
      </c>
      <c r="M281" s="665">
        <v>11917.5</v>
      </c>
      <c r="N281" s="665">
        <v>3972.5</v>
      </c>
      <c r="O281" s="665">
        <v>10725</v>
      </c>
      <c r="P281" s="665">
        <v>0</v>
      </c>
      <c r="Q281" s="665">
        <v>0</v>
      </c>
      <c r="R281" s="665">
        <v>0</v>
      </c>
      <c r="S281" s="665">
        <v>42505</v>
      </c>
      <c r="T281" s="705">
        <v>0.32030896759608141</v>
      </c>
      <c r="U281" s="603">
        <v>90195</v>
      </c>
      <c r="V281" s="603">
        <v>0</v>
      </c>
      <c r="W281" s="603">
        <v>37800</v>
      </c>
      <c r="X281" s="603">
        <v>37800</v>
      </c>
      <c r="Y281" s="603">
        <v>52395</v>
      </c>
      <c r="Z281" s="603">
        <v>0</v>
      </c>
    </row>
    <row r="282" spans="1:26" x14ac:dyDescent="0.2">
      <c r="A282" s="605" t="s">
        <v>508</v>
      </c>
      <c r="B282" s="665">
        <v>0</v>
      </c>
      <c r="C282" s="665">
        <v>0</v>
      </c>
      <c r="D282" s="665">
        <v>0</v>
      </c>
      <c r="E282" s="665">
        <v>0</v>
      </c>
      <c r="F282" s="665">
        <v>0</v>
      </c>
      <c r="G282" s="665">
        <v>0</v>
      </c>
      <c r="H282" s="665">
        <v>0</v>
      </c>
      <c r="I282" s="665">
        <v>0</v>
      </c>
      <c r="J282" s="665">
        <v>0</v>
      </c>
      <c r="K282" s="665">
        <v>0</v>
      </c>
      <c r="L282" s="665">
        <v>0</v>
      </c>
      <c r="M282" s="665">
        <v>0</v>
      </c>
      <c r="N282" s="665">
        <v>0</v>
      </c>
      <c r="O282" s="665">
        <v>0</v>
      </c>
      <c r="P282" s="665">
        <v>0</v>
      </c>
      <c r="Q282" s="665">
        <v>0</v>
      </c>
      <c r="R282" s="665">
        <v>0</v>
      </c>
      <c r="S282" s="665">
        <v>0</v>
      </c>
      <c r="T282" s="604" t="e">
        <v>#DIV/0!</v>
      </c>
      <c r="U282" s="603">
        <v>0</v>
      </c>
      <c r="V282" s="603">
        <v>0</v>
      </c>
      <c r="W282" s="603">
        <v>0</v>
      </c>
      <c r="X282" s="603">
        <v>0</v>
      </c>
      <c r="Y282" s="603">
        <v>0</v>
      </c>
      <c r="Z282" s="603">
        <v>0</v>
      </c>
    </row>
    <row r="283" spans="1:26" x14ac:dyDescent="0.2">
      <c r="A283" s="605" t="s">
        <v>509</v>
      </c>
      <c r="B283" s="665">
        <v>0</v>
      </c>
      <c r="C283" s="665">
        <v>0</v>
      </c>
      <c r="D283" s="665">
        <v>0</v>
      </c>
      <c r="E283" s="665">
        <v>0</v>
      </c>
      <c r="F283" s="665">
        <v>0</v>
      </c>
      <c r="G283" s="665">
        <v>0</v>
      </c>
      <c r="H283" s="665">
        <v>0</v>
      </c>
      <c r="I283" s="665">
        <v>0</v>
      </c>
      <c r="J283" s="665">
        <v>0</v>
      </c>
      <c r="K283" s="665">
        <v>0</v>
      </c>
      <c r="L283" s="665">
        <v>0</v>
      </c>
      <c r="M283" s="665">
        <v>0</v>
      </c>
      <c r="N283" s="665">
        <v>0</v>
      </c>
      <c r="O283" s="665">
        <v>0</v>
      </c>
      <c r="P283" s="665">
        <v>0</v>
      </c>
      <c r="Q283" s="665">
        <v>0</v>
      </c>
      <c r="R283" s="665">
        <v>0</v>
      </c>
      <c r="S283" s="665">
        <v>0</v>
      </c>
      <c r="T283" s="604" t="e">
        <v>#DIV/0!</v>
      </c>
      <c r="U283" s="603">
        <v>0</v>
      </c>
      <c r="V283" s="603">
        <v>0</v>
      </c>
      <c r="W283" s="603">
        <v>0</v>
      </c>
      <c r="X283" s="603">
        <v>0</v>
      </c>
      <c r="Y283" s="603">
        <v>0</v>
      </c>
      <c r="Z283" s="603">
        <v>0</v>
      </c>
    </row>
    <row r="284" spans="1:26" x14ac:dyDescent="0.2">
      <c r="A284" s="605" t="s">
        <v>510</v>
      </c>
      <c r="B284" s="665">
        <v>0</v>
      </c>
      <c r="C284" s="665">
        <v>0</v>
      </c>
      <c r="D284" s="665">
        <v>0</v>
      </c>
      <c r="E284" s="665">
        <v>0</v>
      </c>
      <c r="F284" s="665">
        <v>0</v>
      </c>
      <c r="G284" s="665">
        <v>0</v>
      </c>
      <c r="H284" s="665">
        <v>0</v>
      </c>
      <c r="I284" s="665">
        <v>0</v>
      </c>
      <c r="J284" s="665">
        <v>0</v>
      </c>
      <c r="K284" s="665">
        <v>0</v>
      </c>
      <c r="L284" s="665">
        <v>0</v>
      </c>
      <c r="M284" s="665">
        <v>0</v>
      </c>
      <c r="N284" s="665">
        <v>0</v>
      </c>
      <c r="O284" s="665">
        <v>0</v>
      </c>
      <c r="P284" s="665">
        <v>0</v>
      </c>
      <c r="Q284" s="665">
        <v>0</v>
      </c>
      <c r="R284" s="665">
        <v>0</v>
      </c>
      <c r="S284" s="665">
        <v>0</v>
      </c>
      <c r="T284" s="604" t="e">
        <v>#DIV/0!</v>
      </c>
      <c r="U284" s="603">
        <v>0</v>
      </c>
      <c r="V284" s="603">
        <v>0</v>
      </c>
      <c r="W284" s="603">
        <v>0</v>
      </c>
      <c r="X284" s="603">
        <v>0</v>
      </c>
      <c r="Y284" s="603">
        <v>0</v>
      </c>
      <c r="Z284" s="603">
        <v>0</v>
      </c>
    </row>
    <row r="285" spans="1:26" x14ac:dyDescent="0.2">
      <c r="A285" s="597" t="s">
        <v>511</v>
      </c>
      <c r="B285" s="655">
        <v>164444</v>
      </c>
      <c r="C285" s="655">
        <v>164444</v>
      </c>
      <c r="D285" s="655">
        <v>164444</v>
      </c>
      <c r="E285" s="655">
        <v>61433.979999999996</v>
      </c>
      <c r="F285" s="655">
        <v>61433.979999999996</v>
      </c>
      <c r="G285" s="655">
        <v>0</v>
      </c>
      <c r="H285" s="655">
        <v>4321.9799999999996</v>
      </c>
      <c r="I285" s="655">
        <v>542</v>
      </c>
      <c r="J285" s="655">
        <v>82</v>
      </c>
      <c r="K285" s="655">
        <v>277</v>
      </c>
      <c r="L285" s="655">
        <v>21962</v>
      </c>
      <c r="M285" s="655">
        <v>154</v>
      </c>
      <c r="N285" s="655">
        <v>152</v>
      </c>
      <c r="O285" s="655">
        <v>33943</v>
      </c>
      <c r="P285" s="655">
        <v>0</v>
      </c>
      <c r="Q285" s="655">
        <v>0</v>
      </c>
      <c r="R285" s="655">
        <v>0</v>
      </c>
      <c r="S285" s="655">
        <v>61433.979999999996</v>
      </c>
      <c r="T285" s="706">
        <v>0.37358602320546808</v>
      </c>
      <c r="U285" s="599">
        <v>103010.02</v>
      </c>
      <c r="V285" s="599">
        <v>0</v>
      </c>
      <c r="W285" s="599">
        <v>103010.02</v>
      </c>
      <c r="X285" s="599">
        <v>103010.02</v>
      </c>
      <c r="Y285" s="599">
        <v>0</v>
      </c>
      <c r="Z285" s="599">
        <v>0</v>
      </c>
    </row>
    <row r="286" spans="1:26" x14ac:dyDescent="0.2">
      <c r="A286" s="605" t="s">
        <v>512</v>
      </c>
      <c r="B286" s="665">
        <v>9944</v>
      </c>
      <c r="C286" s="665">
        <v>9944</v>
      </c>
      <c r="D286" s="665">
        <v>9944</v>
      </c>
      <c r="E286" s="665">
        <v>1069</v>
      </c>
      <c r="F286" s="665">
        <v>1069</v>
      </c>
      <c r="G286" s="665">
        <v>0</v>
      </c>
      <c r="H286" s="665">
        <v>0</v>
      </c>
      <c r="I286" s="665">
        <v>84</v>
      </c>
      <c r="J286" s="665">
        <v>82</v>
      </c>
      <c r="K286" s="665">
        <v>277</v>
      </c>
      <c r="L286" s="665">
        <v>153</v>
      </c>
      <c r="M286" s="665">
        <v>154</v>
      </c>
      <c r="N286" s="665">
        <v>152</v>
      </c>
      <c r="O286" s="665">
        <v>167</v>
      </c>
      <c r="P286" s="665">
        <v>0</v>
      </c>
      <c r="Q286" s="665">
        <v>0</v>
      </c>
      <c r="R286" s="665">
        <v>0</v>
      </c>
      <c r="S286" s="665">
        <v>1069</v>
      </c>
      <c r="T286" s="604">
        <v>0.10750201126307321</v>
      </c>
      <c r="U286" s="603">
        <v>8875</v>
      </c>
      <c r="V286" s="603">
        <v>0</v>
      </c>
      <c r="W286" s="603">
        <v>8875</v>
      </c>
      <c r="X286" s="603">
        <v>8875</v>
      </c>
      <c r="Y286" s="603">
        <v>0</v>
      </c>
      <c r="Z286" s="603">
        <v>0</v>
      </c>
    </row>
    <row r="287" spans="1:26" x14ac:dyDescent="0.2">
      <c r="A287" s="605" t="s">
        <v>513</v>
      </c>
      <c r="B287" s="665">
        <v>154500</v>
      </c>
      <c r="C287" s="665">
        <v>154500</v>
      </c>
      <c r="D287" s="665">
        <v>154500</v>
      </c>
      <c r="E287" s="665">
        <v>60364.979999999996</v>
      </c>
      <c r="F287" s="665">
        <v>60364.979999999996</v>
      </c>
      <c r="G287" s="665">
        <v>0</v>
      </c>
      <c r="H287" s="665">
        <v>4321.9799999999996</v>
      </c>
      <c r="I287" s="665">
        <v>458</v>
      </c>
      <c r="J287" s="665">
        <v>0</v>
      </c>
      <c r="K287" s="665">
        <v>0</v>
      </c>
      <c r="L287" s="665">
        <v>21809</v>
      </c>
      <c r="M287" s="665">
        <v>0</v>
      </c>
      <c r="N287" s="665">
        <v>0</v>
      </c>
      <c r="O287" s="665">
        <v>33776</v>
      </c>
      <c r="P287" s="665">
        <v>0</v>
      </c>
      <c r="Q287" s="665">
        <v>0</v>
      </c>
      <c r="R287" s="665">
        <v>0</v>
      </c>
      <c r="S287" s="665">
        <v>60364.979999999996</v>
      </c>
      <c r="T287" s="604">
        <v>0.39071184466019415</v>
      </c>
      <c r="U287" s="603">
        <v>94135.02</v>
      </c>
      <c r="V287" s="603">
        <v>0</v>
      </c>
      <c r="W287" s="603">
        <v>94135.02</v>
      </c>
      <c r="X287" s="603">
        <v>94135.02</v>
      </c>
      <c r="Y287" s="603">
        <v>0</v>
      </c>
      <c r="Z287" s="603">
        <v>0</v>
      </c>
    </row>
    <row r="288" spans="1:26" x14ac:dyDescent="0.2">
      <c r="A288" s="597" t="s">
        <v>514</v>
      </c>
      <c r="B288" s="685">
        <v>18880</v>
      </c>
      <c r="C288" s="685">
        <v>37390</v>
      </c>
      <c r="D288" s="685">
        <v>37390</v>
      </c>
      <c r="E288" s="685">
        <v>32257.5</v>
      </c>
      <c r="F288" s="685">
        <v>31757.5</v>
      </c>
      <c r="G288" s="685">
        <v>0</v>
      </c>
      <c r="H288" s="685">
        <v>18510</v>
      </c>
      <c r="I288" s="685">
        <v>0</v>
      </c>
      <c r="J288" s="685">
        <v>9300</v>
      </c>
      <c r="K288" s="685">
        <v>760</v>
      </c>
      <c r="L288" s="685">
        <v>1075.5</v>
      </c>
      <c r="M288" s="685">
        <v>545</v>
      </c>
      <c r="N288" s="685">
        <v>0</v>
      </c>
      <c r="O288" s="685">
        <v>1567</v>
      </c>
      <c r="P288" s="685">
        <v>0</v>
      </c>
      <c r="Q288" s="685">
        <v>0</v>
      </c>
      <c r="R288" s="685">
        <v>0</v>
      </c>
      <c r="S288" s="685">
        <v>31757.5</v>
      </c>
      <c r="T288" s="600">
        <v>0.84935811714362131</v>
      </c>
      <c r="U288" s="599">
        <v>5632.5</v>
      </c>
      <c r="V288" s="599">
        <v>0</v>
      </c>
      <c r="W288" s="599">
        <v>5132.5</v>
      </c>
      <c r="X288" s="599">
        <v>5132.5</v>
      </c>
      <c r="Y288" s="599">
        <v>500</v>
      </c>
      <c r="Z288" s="599">
        <v>0</v>
      </c>
    </row>
    <row r="289" spans="1:26" x14ac:dyDescent="0.2">
      <c r="A289" s="597" t="s">
        <v>515</v>
      </c>
      <c r="B289" s="655">
        <v>4735</v>
      </c>
      <c r="C289" s="655">
        <v>3985</v>
      </c>
      <c r="D289" s="655">
        <v>3985</v>
      </c>
      <c r="E289" s="655">
        <v>660</v>
      </c>
      <c r="F289" s="655">
        <v>140</v>
      </c>
      <c r="G289" s="655">
        <v>0</v>
      </c>
      <c r="H289" s="655">
        <v>0</v>
      </c>
      <c r="I289" s="655">
        <v>0</v>
      </c>
      <c r="J289" s="655">
        <v>0</v>
      </c>
      <c r="K289" s="655">
        <v>0</v>
      </c>
      <c r="L289" s="655">
        <v>0</v>
      </c>
      <c r="M289" s="655">
        <v>120</v>
      </c>
      <c r="N289" s="655">
        <v>0</v>
      </c>
      <c r="O289" s="655">
        <v>20</v>
      </c>
      <c r="P289" s="655">
        <v>0</v>
      </c>
      <c r="Q289" s="655">
        <v>0</v>
      </c>
      <c r="R289" s="655">
        <v>0</v>
      </c>
      <c r="S289" s="655">
        <v>140</v>
      </c>
      <c r="T289" s="704">
        <v>3.5131744040150563E-2</v>
      </c>
      <c r="U289" s="599">
        <v>3845</v>
      </c>
      <c r="V289" s="599">
        <v>0</v>
      </c>
      <c r="W289" s="599">
        <v>3325</v>
      </c>
      <c r="X289" s="599">
        <v>3325</v>
      </c>
      <c r="Y289" s="599">
        <v>520</v>
      </c>
      <c r="Z289" s="599">
        <v>0</v>
      </c>
    </row>
    <row r="290" spans="1:26" x14ac:dyDescent="0.2">
      <c r="A290" s="605" t="s">
        <v>516</v>
      </c>
      <c r="B290" s="665">
        <v>0</v>
      </c>
      <c r="C290" s="665">
        <v>0</v>
      </c>
      <c r="D290" s="665">
        <v>0</v>
      </c>
      <c r="E290" s="665">
        <v>0</v>
      </c>
      <c r="F290" s="665">
        <v>0</v>
      </c>
      <c r="G290" s="665">
        <v>0</v>
      </c>
      <c r="H290" s="665">
        <v>0</v>
      </c>
      <c r="I290" s="665">
        <v>0</v>
      </c>
      <c r="J290" s="665">
        <v>0</v>
      </c>
      <c r="K290" s="665">
        <v>0</v>
      </c>
      <c r="L290" s="665">
        <v>0</v>
      </c>
      <c r="M290" s="665">
        <v>0</v>
      </c>
      <c r="N290" s="665">
        <v>0</v>
      </c>
      <c r="O290" s="665">
        <v>0</v>
      </c>
      <c r="P290" s="665">
        <v>0</v>
      </c>
      <c r="Q290" s="665">
        <v>0</v>
      </c>
      <c r="R290" s="665">
        <v>0</v>
      </c>
      <c r="S290" s="665">
        <v>0</v>
      </c>
      <c r="T290" s="604" t="e">
        <v>#DIV/0!</v>
      </c>
      <c r="U290" s="603">
        <v>0</v>
      </c>
      <c r="V290" s="603">
        <v>0</v>
      </c>
      <c r="W290" s="603">
        <v>0</v>
      </c>
      <c r="X290" s="603">
        <v>0</v>
      </c>
      <c r="Y290" s="603">
        <v>0</v>
      </c>
      <c r="Z290" s="603">
        <v>0</v>
      </c>
    </row>
    <row r="291" spans="1:26" x14ac:dyDescent="0.2">
      <c r="A291" s="605" t="s">
        <v>517</v>
      </c>
      <c r="B291" s="665">
        <v>4735</v>
      </c>
      <c r="C291" s="665">
        <v>3985</v>
      </c>
      <c r="D291" s="665">
        <v>3985</v>
      </c>
      <c r="E291" s="665">
        <v>660</v>
      </c>
      <c r="F291" s="665">
        <v>140</v>
      </c>
      <c r="G291" s="665">
        <v>0</v>
      </c>
      <c r="H291" s="665">
        <v>0</v>
      </c>
      <c r="I291" s="665">
        <v>0</v>
      </c>
      <c r="J291" s="665">
        <v>0</v>
      </c>
      <c r="K291" s="665">
        <v>0</v>
      </c>
      <c r="L291" s="665">
        <v>0</v>
      </c>
      <c r="M291" s="665">
        <v>120</v>
      </c>
      <c r="N291" s="665">
        <v>0</v>
      </c>
      <c r="O291" s="665">
        <v>20</v>
      </c>
      <c r="P291" s="665">
        <v>0</v>
      </c>
      <c r="Q291" s="665">
        <v>0</v>
      </c>
      <c r="R291" s="665">
        <v>0</v>
      </c>
      <c r="S291" s="665">
        <v>140</v>
      </c>
      <c r="T291" s="604">
        <v>3.5131744040150563E-2</v>
      </c>
      <c r="U291" s="603">
        <v>3845</v>
      </c>
      <c r="V291" s="603">
        <v>0</v>
      </c>
      <c r="W291" s="603">
        <v>3325</v>
      </c>
      <c r="X291" s="603">
        <v>3325</v>
      </c>
      <c r="Y291" s="603">
        <v>520</v>
      </c>
      <c r="Z291" s="603">
        <v>0</v>
      </c>
    </row>
    <row r="292" spans="1:26" x14ac:dyDescent="0.2">
      <c r="A292" s="597" t="s">
        <v>518</v>
      </c>
      <c r="B292" s="655">
        <v>152897</v>
      </c>
      <c r="C292" s="655">
        <v>122832</v>
      </c>
      <c r="D292" s="655">
        <v>115481.4</v>
      </c>
      <c r="E292" s="655">
        <v>20994.260000000002</v>
      </c>
      <c r="F292" s="655">
        <v>20994.260000000002</v>
      </c>
      <c r="G292" s="655">
        <v>0</v>
      </c>
      <c r="H292" s="655">
        <v>3610</v>
      </c>
      <c r="I292" s="655">
        <v>0</v>
      </c>
      <c r="J292" s="655">
        <v>3055.35</v>
      </c>
      <c r="K292" s="655">
        <v>0</v>
      </c>
      <c r="L292" s="655">
        <v>4421.33</v>
      </c>
      <c r="M292" s="655">
        <v>0</v>
      </c>
      <c r="N292" s="655">
        <v>0</v>
      </c>
      <c r="O292" s="655">
        <v>9907.58</v>
      </c>
      <c r="P292" s="655">
        <v>0</v>
      </c>
      <c r="Q292" s="655">
        <v>0</v>
      </c>
      <c r="R292" s="655">
        <v>0</v>
      </c>
      <c r="S292" s="655">
        <v>20994.260000000002</v>
      </c>
      <c r="T292" s="706">
        <v>0.17091849029568842</v>
      </c>
      <c r="U292" s="599">
        <v>101837.73999999999</v>
      </c>
      <c r="V292" s="599">
        <v>7350.6000000000058</v>
      </c>
      <c r="W292" s="599">
        <v>101837.73999999999</v>
      </c>
      <c r="X292" s="599">
        <v>94487.139999999985</v>
      </c>
      <c r="Y292" s="599">
        <v>0</v>
      </c>
      <c r="Z292" s="599">
        <v>0</v>
      </c>
    </row>
    <row r="293" spans="1:26" x14ac:dyDescent="0.2">
      <c r="A293" s="605" t="s">
        <v>519</v>
      </c>
      <c r="B293" s="665">
        <v>0</v>
      </c>
      <c r="C293" s="665">
        <v>0</v>
      </c>
      <c r="D293" s="665">
        <v>0</v>
      </c>
      <c r="E293" s="665">
        <v>0</v>
      </c>
      <c r="F293" s="665">
        <v>0</v>
      </c>
      <c r="G293" s="665">
        <v>0</v>
      </c>
      <c r="H293" s="665">
        <v>0</v>
      </c>
      <c r="I293" s="665">
        <v>0</v>
      </c>
      <c r="J293" s="665">
        <v>0</v>
      </c>
      <c r="K293" s="665">
        <v>0</v>
      </c>
      <c r="L293" s="665">
        <v>0</v>
      </c>
      <c r="M293" s="665">
        <v>0</v>
      </c>
      <c r="N293" s="665">
        <v>0</v>
      </c>
      <c r="O293" s="665">
        <v>0</v>
      </c>
      <c r="P293" s="665">
        <v>0</v>
      </c>
      <c r="Q293" s="665">
        <v>0</v>
      </c>
      <c r="R293" s="665">
        <v>0</v>
      </c>
      <c r="S293" s="665">
        <v>0</v>
      </c>
      <c r="T293" s="604" t="e">
        <v>#DIV/0!</v>
      </c>
      <c r="U293" s="603">
        <v>0</v>
      </c>
      <c r="V293" s="603">
        <v>0</v>
      </c>
      <c r="W293" s="603">
        <v>0</v>
      </c>
      <c r="X293" s="603">
        <v>0</v>
      </c>
      <c r="Y293" s="603">
        <v>0</v>
      </c>
      <c r="Z293" s="603">
        <v>0</v>
      </c>
    </row>
    <row r="294" spans="1:26" x14ac:dyDescent="0.2">
      <c r="A294" s="605" t="s">
        <v>520</v>
      </c>
      <c r="B294" s="665">
        <v>152897</v>
      </c>
      <c r="C294" s="665">
        <v>122832</v>
      </c>
      <c r="D294" s="665">
        <v>115481.4</v>
      </c>
      <c r="E294" s="665">
        <v>20994.260000000002</v>
      </c>
      <c r="F294" s="665">
        <v>20994.260000000002</v>
      </c>
      <c r="G294" s="665">
        <v>0</v>
      </c>
      <c r="H294" s="665">
        <v>3610</v>
      </c>
      <c r="I294" s="665">
        <v>0</v>
      </c>
      <c r="J294" s="665">
        <v>3055.35</v>
      </c>
      <c r="K294" s="665">
        <v>0</v>
      </c>
      <c r="L294" s="665">
        <v>4421.33</v>
      </c>
      <c r="M294" s="665">
        <v>0</v>
      </c>
      <c r="N294" s="665">
        <v>0</v>
      </c>
      <c r="O294" s="665">
        <v>9907.58</v>
      </c>
      <c r="P294" s="665">
        <v>0</v>
      </c>
      <c r="Q294" s="665">
        <v>0</v>
      </c>
      <c r="R294" s="665">
        <v>0</v>
      </c>
      <c r="S294" s="665">
        <v>20994.260000000002</v>
      </c>
      <c r="T294" s="604">
        <v>0.17091849029568842</v>
      </c>
      <c r="U294" s="603">
        <v>101837.73999999999</v>
      </c>
      <c r="V294" s="603">
        <v>7350.6000000000058</v>
      </c>
      <c r="W294" s="603">
        <v>101837.73999999999</v>
      </c>
      <c r="X294" s="603">
        <v>94487.139999999985</v>
      </c>
      <c r="Y294" s="603">
        <v>0</v>
      </c>
      <c r="Z294" s="603">
        <v>0</v>
      </c>
    </row>
    <row r="295" spans="1:26" x14ac:dyDescent="0.2">
      <c r="A295" s="597" t="s">
        <v>521</v>
      </c>
      <c r="B295" s="655">
        <v>248934</v>
      </c>
      <c r="C295" s="655">
        <v>236034</v>
      </c>
      <c r="D295" s="655">
        <v>229034</v>
      </c>
      <c r="E295" s="655">
        <v>121333.4</v>
      </c>
      <c r="F295" s="655">
        <v>121077.40000000001</v>
      </c>
      <c r="G295" s="655">
        <v>320</v>
      </c>
      <c r="H295" s="655">
        <v>2788</v>
      </c>
      <c r="I295" s="655">
        <v>8556</v>
      </c>
      <c r="J295" s="655">
        <v>20844</v>
      </c>
      <c r="K295" s="655">
        <v>13424</v>
      </c>
      <c r="L295" s="655">
        <v>19542.8</v>
      </c>
      <c r="M295" s="655">
        <v>19652</v>
      </c>
      <c r="N295" s="655">
        <v>5108</v>
      </c>
      <c r="O295" s="655">
        <v>30642.6</v>
      </c>
      <c r="P295" s="655">
        <v>0</v>
      </c>
      <c r="Q295" s="655">
        <v>0</v>
      </c>
      <c r="R295" s="655">
        <v>0</v>
      </c>
      <c r="S295" s="655">
        <v>120877.4</v>
      </c>
      <c r="T295" s="706">
        <v>0.51211859308404717</v>
      </c>
      <c r="U295" s="599">
        <v>115156.6</v>
      </c>
      <c r="V295" s="599">
        <v>7000</v>
      </c>
      <c r="W295" s="599">
        <v>114700.6</v>
      </c>
      <c r="X295" s="599">
        <v>107700.6</v>
      </c>
      <c r="Y295" s="599">
        <v>255.99999999998545</v>
      </c>
      <c r="Z295" s="599">
        <v>200.00000000001455</v>
      </c>
    </row>
    <row r="296" spans="1:26" x14ac:dyDescent="0.2">
      <c r="A296" s="602" t="s">
        <v>522</v>
      </c>
      <c r="B296" s="665">
        <v>120000</v>
      </c>
      <c r="C296" s="665">
        <v>120000</v>
      </c>
      <c r="D296" s="665">
        <v>120000</v>
      </c>
      <c r="E296" s="665">
        <v>94792</v>
      </c>
      <c r="F296" s="665">
        <v>94536</v>
      </c>
      <c r="G296" s="665">
        <v>320</v>
      </c>
      <c r="H296" s="665">
        <v>2788</v>
      </c>
      <c r="I296" s="665">
        <v>8556</v>
      </c>
      <c r="J296" s="665">
        <v>16428</v>
      </c>
      <c r="K296" s="665">
        <v>13424</v>
      </c>
      <c r="L296" s="665">
        <v>14960</v>
      </c>
      <c r="M296" s="665">
        <v>19652</v>
      </c>
      <c r="N296" s="665">
        <v>5108</v>
      </c>
      <c r="O296" s="665">
        <v>13100</v>
      </c>
      <c r="P296" s="665">
        <v>0</v>
      </c>
      <c r="Q296" s="665">
        <v>0</v>
      </c>
      <c r="R296" s="665">
        <v>0</v>
      </c>
      <c r="S296" s="665">
        <v>94336</v>
      </c>
      <c r="T296" s="604">
        <v>0.78613333333333335</v>
      </c>
      <c r="U296" s="603">
        <v>25664</v>
      </c>
      <c r="V296" s="603">
        <v>0</v>
      </c>
      <c r="W296" s="603">
        <v>25208</v>
      </c>
      <c r="X296" s="603">
        <v>25208</v>
      </c>
      <c r="Y296" s="603">
        <v>256</v>
      </c>
      <c r="Z296" s="603">
        <v>200</v>
      </c>
    </row>
    <row r="297" spans="1:26" ht="24" x14ac:dyDescent="0.2">
      <c r="A297" s="602" t="s">
        <v>523</v>
      </c>
      <c r="B297" s="665">
        <v>128934</v>
      </c>
      <c r="C297" s="665">
        <v>116034</v>
      </c>
      <c r="D297" s="665">
        <v>109034</v>
      </c>
      <c r="E297" s="665">
        <v>26541.399999999994</v>
      </c>
      <c r="F297" s="665">
        <v>26541.4</v>
      </c>
      <c r="G297" s="665">
        <v>0</v>
      </c>
      <c r="H297" s="665">
        <v>0</v>
      </c>
      <c r="I297" s="665">
        <v>0</v>
      </c>
      <c r="J297" s="665">
        <v>4416</v>
      </c>
      <c r="K297" s="665">
        <v>0</v>
      </c>
      <c r="L297" s="665">
        <v>4582.7999999999993</v>
      </c>
      <c r="M297" s="665">
        <v>0</v>
      </c>
      <c r="N297" s="665">
        <v>0</v>
      </c>
      <c r="O297" s="665">
        <v>17542.599999999999</v>
      </c>
      <c r="P297" s="665">
        <v>0</v>
      </c>
      <c r="Q297" s="665">
        <v>0</v>
      </c>
      <c r="R297" s="665">
        <v>0</v>
      </c>
      <c r="S297" s="665">
        <v>26541.399999999998</v>
      </c>
      <c r="T297" s="604">
        <v>0.22873812847958355</v>
      </c>
      <c r="U297" s="603">
        <v>89492.6</v>
      </c>
      <c r="V297" s="603">
        <v>7000</v>
      </c>
      <c r="W297" s="603">
        <v>89492.6</v>
      </c>
      <c r="X297" s="603">
        <v>82492.600000000006</v>
      </c>
      <c r="Y297" s="603">
        <v>0</v>
      </c>
      <c r="Z297" s="603">
        <v>0</v>
      </c>
    </row>
    <row r="298" spans="1:26" ht="24" x14ac:dyDescent="0.2">
      <c r="A298" s="602" t="s">
        <v>524</v>
      </c>
      <c r="B298" s="665">
        <v>0</v>
      </c>
      <c r="C298" s="665">
        <v>0</v>
      </c>
      <c r="D298" s="665">
        <v>0</v>
      </c>
      <c r="E298" s="665">
        <v>0</v>
      </c>
      <c r="F298" s="665">
        <v>0</v>
      </c>
      <c r="G298" s="665">
        <v>0</v>
      </c>
      <c r="H298" s="665">
        <v>0</v>
      </c>
      <c r="I298" s="665">
        <v>0</v>
      </c>
      <c r="J298" s="665">
        <v>0</v>
      </c>
      <c r="K298" s="665">
        <v>0</v>
      </c>
      <c r="L298" s="665">
        <v>0</v>
      </c>
      <c r="M298" s="665">
        <v>0</v>
      </c>
      <c r="N298" s="665">
        <v>0</v>
      </c>
      <c r="O298" s="665">
        <v>0</v>
      </c>
      <c r="P298" s="665">
        <v>0</v>
      </c>
      <c r="Q298" s="665">
        <v>0</v>
      </c>
      <c r="R298" s="665">
        <v>0</v>
      </c>
      <c r="S298" s="665">
        <v>0</v>
      </c>
      <c r="T298" s="604" t="e">
        <v>#DIV/0!</v>
      </c>
      <c r="U298" s="603">
        <v>0</v>
      </c>
      <c r="V298" s="603">
        <v>0</v>
      </c>
      <c r="W298" s="603">
        <v>0</v>
      </c>
      <c r="X298" s="603">
        <v>0</v>
      </c>
      <c r="Y298" s="603">
        <v>0</v>
      </c>
      <c r="Z298" s="603">
        <v>0</v>
      </c>
    </row>
    <row r="299" spans="1:26" x14ac:dyDescent="0.2">
      <c r="A299" s="597" t="s">
        <v>525</v>
      </c>
      <c r="B299" s="655">
        <v>100020</v>
      </c>
      <c r="C299" s="655">
        <v>140843.29999999999</v>
      </c>
      <c r="D299" s="655">
        <v>140843.29999999999</v>
      </c>
      <c r="E299" s="655">
        <v>27806.199999999997</v>
      </c>
      <c r="F299" s="655">
        <v>26136.199999999997</v>
      </c>
      <c r="G299" s="655">
        <v>0</v>
      </c>
      <c r="H299" s="655">
        <v>3981.35</v>
      </c>
      <c r="I299" s="655">
        <v>0</v>
      </c>
      <c r="J299" s="655">
        <v>700</v>
      </c>
      <c r="K299" s="655">
        <v>0</v>
      </c>
      <c r="L299" s="655">
        <v>21304.85</v>
      </c>
      <c r="M299" s="655">
        <v>0</v>
      </c>
      <c r="N299" s="655">
        <v>150</v>
      </c>
      <c r="O299" s="655">
        <v>0</v>
      </c>
      <c r="P299" s="655">
        <v>0</v>
      </c>
      <c r="Q299" s="655">
        <v>0</v>
      </c>
      <c r="R299" s="655">
        <v>0</v>
      </c>
      <c r="S299" s="655">
        <v>26136.199999999997</v>
      </c>
      <c r="T299" s="600">
        <v>0.18556935260676227</v>
      </c>
      <c r="U299" s="599">
        <v>114707.09999999999</v>
      </c>
      <c r="V299" s="599">
        <v>0</v>
      </c>
      <c r="W299" s="599">
        <v>113037.09999999999</v>
      </c>
      <c r="X299" s="599">
        <v>113037.09999999999</v>
      </c>
      <c r="Y299" s="599">
        <v>1670</v>
      </c>
      <c r="Z299" s="599">
        <v>0</v>
      </c>
    </row>
    <row r="300" spans="1:26" x14ac:dyDescent="0.2">
      <c r="A300" s="605" t="s">
        <v>526</v>
      </c>
      <c r="B300" s="665">
        <v>0</v>
      </c>
      <c r="C300" s="665">
        <v>0</v>
      </c>
      <c r="D300" s="665">
        <v>0</v>
      </c>
      <c r="E300" s="665">
        <v>0</v>
      </c>
      <c r="F300" s="665">
        <v>0</v>
      </c>
      <c r="G300" s="665">
        <v>0</v>
      </c>
      <c r="H300" s="665">
        <v>0</v>
      </c>
      <c r="I300" s="665">
        <v>0</v>
      </c>
      <c r="J300" s="665">
        <v>0</v>
      </c>
      <c r="K300" s="665">
        <v>0</v>
      </c>
      <c r="L300" s="665">
        <v>0</v>
      </c>
      <c r="M300" s="665">
        <v>0</v>
      </c>
      <c r="N300" s="665">
        <v>0</v>
      </c>
      <c r="O300" s="665">
        <v>0</v>
      </c>
      <c r="P300" s="665">
        <v>0</v>
      </c>
      <c r="Q300" s="665">
        <v>0</v>
      </c>
      <c r="R300" s="665">
        <v>0</v>
      </c>
      <c r="S300" s="665">
        <v>0</v>
      </c>
      <c r="T300" s="604" t="e">
        <v>#DIV/0!</v>
      </c>
      <c r="U300" s="603">
        <v>0</v>
      </c>
      <c r="V300" s="603">
        <v>0</v>
      </c>
      <c r="W300" s="603">
        <v>0</v>
      </c>
      <c r="X300" s="603">
        <v>0</v>
      </c>
      <c r="Y300" s="603">
        <v>0</v>
      </c>
      <c r="Z300" s="603">
        <v>0</v>
      </c>
    </row>
    <row r="301" spans="1:26" x14ac:dyDescent="0.2">
      <c r="A301" s="605" t="s">
        <v>527</v>
      </c>
      <c r="B301" s="665">
        <v>26000</v>
      </c>
      <c r="C301" s="665">
        <v>26000</v>
      </c>
      <c r="D301" s="665">
        <v>26000</v>
      </c>
      <c r="E301" s="665">
        <v>900</v>
      </c>
      <c r="F301" s="665">
        <v>900</v>
      </c>
      <c r="G301" s="665">
        <v>0</v>
      </c>
      <c r="H301" s="665">
        <v>0</v>
      </c>
      <c r="I301" s="665">
        <v>0</v>
      </c>
      <c r="J301" s="665">
        <v>0</v>
      </c>
      <c r="K301" s="665">
        <v>0</v>
      </c>
      <c r="L301" s="665">
        <v>900</v>
      </c>
      <c r="M301" s="665">
        <v>0</v>
      </c>
      <c r="N301" s="665">
        <v>0</v>
      </c>
      <c r="O301" s="665">
        <v>0</v>
      </c>
      <c r="P301" s="665">
        <v>0</v>
      </c>
      <c r="Q301" s="665">
        <v>0</v>
      </c>
      <c r="R301" s="665">
        <v>0</v>
      </c>
      <c r="S301" s="665">
        <v>900</v>
      </c>
      <c r="T301" s="707">
        <v>3.4615384615384617E-2</v>
      </c>
      <c r="U301" s="603">
        <v>25100</v>
      </c>
      <c r="V301" s="603">
        <v>0</v>
      </c>
      <c r="W301" s="603">
        <v>25100</v>
      </c>
      <c r="X301" s="603">
        <v>25100</v>
      </c>
      <c r="Y301" s="603">
        <v>0</v>
      </c>
      <c r="Z301" s="603">
        <v>0</v>
      </c>
    </row>
    <row r="302" spans="1:26" x14ac:dyDescent="0.2">
      <c r="A302" s="605" t="s">
        <v>528</v>
      </c>
      <c r="B302" s="665">
        <v>0</v>
      </c>
      <c r="C302" s="665">
        <v>2350</v>
      </c>
      <c r="D302" s="665">
        <v>2350</v>
      </c>
      <c r="E302" s="665">
        <v>2315</v>
      </c>
      <c r="F302" s="665">
        <v>2315</v>
      </c>
      <c r="G302" s="665">
        <v>0</v>
      </c>
      <c r="H302" s="665">
        <v>2315</v>
      </c>
      <c r="I302" s="665">
        <v>0</v>
      </c>
      <c r="J302" s="665">
        <v>0</v>
      </c>
      <c r="K302" s="665">
        <v>0</v>
      </c>
      <c r="L302" s="665">
        <v>0</v>
      </c>
      <c r="M302" s="665">
        <v>0</v>
      </c>
      <c r="N302" s="665">
        <v>0</v>
      </c>
      <c r="O302" s="665">
        <v>0</v>
      </c>
      <c r="P302" s="665">
        <v>0</v>
      </c>
      <c r="Q302" s="665">
        <v>0</v>
      </c>
      <c r="R302" s="665">
        <v>0</v>
      </c>
      <c r="S302" s="665">
        <v>2315</v>
      </c>
      <c r="T302" s="604">
        <v>0.98510638297872344</v>
      </c>
      <c r="U302" s="603">
        <v>35</v>
      </c>
      <c r="V302" s="603">
        <v>0</v>
      </c>
      <c r="W302" s="603">
        <v>35</v>
      </c>
      <c r="X302" s="603">
        <v>35</v>
      </c>
      <c r="Y302" s="603">
        <v>0</v>
      </c>
      <c r="Z302" s="603">
        <v>0</v>
      </c>
    </row>
    <row r="303" spans="1:26" x14ac:dyDescent="0.2">
      <c r="A303" s="605" t="s">
        <v>529</v>
      </c>
      <c r="B303" s="665">
        <v>50000</v>
      </c>
      <c r="C303" s="665">
        <v>50000</v>
      </c>
      <c r="D303" s="665">
        <v>50000</v>
      </c>
      <c r="E303" s="665">
        <v>0</v>
      </c>
      <c r="F303" s="665">
        <v>0</v>
      </c>
      <c r="G303" s="665">
        <v>0</v>
      </c>
      <c r="H303" s="665">
        <v>0</v>
      </c>
      <c r="I303" s="665">
        <v>0</v>
      </c>
      <c r="J303" s="665">
        <v>0</v>
      </c>
      <c r="K303" s="665">
        <v>0</v>
      </c>
      <c r="L303" s="665">
        <v>0</v>
      </c>
      <c r="M303" s="665">
        <v>0</v>
      </c>
      <c r="N303" s="665">
        <v>0</v>
      </c>
      <c r="O303" s="665">
        <v>0</v>
      </c>
      <c r="P303" s="665">
        <v>0</v>
      </c>
      <c r="Q303" s="665">
        <v>0</v>
      </c>
      <c r="R303" s="665">
        <v>0</v>
      </c>
      <c r="S303" s="665">
        <v>0</v>
      </c>
      <c r="T303" s="705">
        <v>0</v>
      </c>
      <c r="U303" s="603">
        <v>50000</v>
      </c>
      <c r="V303" s="603">
        <v>0</v>
      </c>
      <c r="W303" s="603">
        <v>50000</v>
      </c>
      <c r="X303" s="603">
        <v>50000</v>
      </c>
      <c r="Y303" s="603">
        <v>0</v>
      </c>
      <c r="Z303" s="603">
        <v>0</v>
      </c>
    </row>
    <row r="304" spans="1:26" x14ac:dyDescent="0.2">
      <c r="A304" s="605" t="s">
        <v>530</v>
      </c>
      <c r="B304" s="665">
        <v>0</v>
      </c>
      <c r="C304" s="665">
        <v>0</v>
      </c>
      <c r="D304" s="665">
        <v>0</v>
      </c>
      <c r="E304" s="665">
        <v>0</v>
      </c>
      <c r="F304" s="665">
        <v>0</v>
      </c>
      <c r="G304" s="665">
        <v>0</v>
      </c>
      <c r="H304" s="665">
        <v>0</v>
      </c>
      <c r="I304" s="665">
        <v>0</v>
      </c>
      <c r="J304" s="665">
        <v>0</v>
      </c>
      <c r="K304" s="665">
        <v>0</v>
      </c>
      <c r="L304" s="665">
        <v>0</v>
      </c>
      <c r="M304" s="665">
        <v>0</v>
      </c>
      <c r="N304" s="665">
        <v>0</v>
      </c>
      <c r="O304" s="665">
        <v>0</v>
      </c>
      <c r="P304" s="665">
        <v>0</v>
      </c>
      <c r="Q304" s="665">
        <v>0</v>
      </c>
      <c r="R304" s="665">
        <v>0</v>
      </c>
      <c r="S304" s="665">
        <v>0</v>
      </c>
      <c r="T304" s="604" t="e">
        <v>#DIV/0!</v>
      </c>
      <c r="U304" s="603">
        <v>0</v>
      </c>
      <c r="V304" s="603">
        <v>0</v>
      </c>
      <c r="W304" s="603">
        <v>0</v>
      </c>
      <c r="X304" s="603">
        <v>0</v>
      </c>
      <c r="Y304" s="603">
        <v>0</v>
      </c>
      <c r="Z304" s="603">
        <v>0</v>
      </c>
    </row>
    <row r="305" spans="1:26" x14ac:dyDescent="0.2">
      <c r="A305" s="605" t="s">
        <v>531</v>
      </c>
      <c r="B305" s="665">
        <v>6820</v>
      </c>
      <c r="C305" s="665">
        <v>6820</v>
      </c>
      <c r="D305" s="665">
        <v>6820</v>
      </c>
      <c r="E305" s="665">
        <v>2520</v>
      </c>
      <c r="F305" s="665">
        <v>850</v>
      </c>
      <c r="G305" s="665">
        <v>0</v>
      </c>
      <c r="H305" s="665">
        <v>0</v>
      </c>
      <c r="I305" s="665">
        <v>0</v>
      </c>
      <c r="J305" s="665">
        <v>700</v>
      </c>
      <c r="K305" s="665">
        <v>0</v>
      </c>
      <c r="L305" s="665">
        <v>0</v>
      </c>
      <c r="M305" s="665">
        <v>0</v>
      </c>
      <c r="N305" s="665">
        <v>150</v>
      </c>
      <c r="O305" s="665">
        <v>0</v>
      </c>
      <c r="P305" s="665">
        <v>0</v>
      </c>
      <c r="Q305" s="665">
        <v>0</v>
      </c>
      <c r="R305" s="665">
        <v>0</v>
      </c>
      <c r="S305" s="665">
        <v>850</v>
      </c>
      <c r="T305" s="604">
        <v>0.12463343108504399</v>
      </c>
      <c r="U305" s="603">
        <v>5970</v>
      </c>
      <c r="V305" s="603">
        <v>0</v>
      </c>
      <c r="W305" s="603">
        <v>4300</v>
      </c>
      <c r="X305" s="603">
        <v>4300</v>
      </c>
      <c r="Y305" s="603">
        <v>1670</v>
      </c>
      <c r="Z305" s="603">
        <v>0</v>
      </c>
    </row>
    <row r="306" spans="1:26" x14ac:dyDescent="0.2">
      <c r="A306" s="605" t="s">
        <v>532</v>
      </c>
      <c r="B306" s="665">
        <v>17200</v>
      </c>
      <c r="C306" s="665">
        <v>55673.3</v>
      </c>
      <c r="D306" s="665">
        <v>55673.3</v>
      </c>
      <c r="E306" s="665">
        <v>22071.199999999997</v>
      </c>
      <c r="F306" s="665">
        <v>22071.199999999997</v>
      </c>
      <c r="G306" s="665">
        <v>0</v>
      </c>
      <c r="H306" s="665">
        <v>1666.35</v>
      </c>
      <c r="I306" s="665">
        <v>0</v>
      </c>
      <c r="J306" s="665">
        <v>0</v>
      </c>
      <c r="K306" s="665">
        <v>0</v>
      </c>
      <c r="L306" s="665">
        <v>20404.849999999999</v>
      </c>
      <c r="M306" s="665">
        <v>0</v>
      </c>
      <c r="N306" s="665">
        <v>0</v>
      </c>
      <c r="O306" s="665">
        <v>0</v>
      </c>
      <c r="P306" s="665">
        <v>0</v>
      </c>
      <c r="Q306" s="665">
        <v>0</v>
      </c>
      <c r="R306" s="665">
        <v>0</v>
      </c>
      <c r="S306" s="665">
        <v>22071.199999999997</v>
      </c>
      <c r="T306" s="604">
        <v>0.39644138213470365</v>
      </c>
      <c r="U306" s="603">
        <v>33602.100000000006</v>
      </c>
      <c r="V306" s="603">
        <v>0</v>
      </c>
      <c r="W306" s="603">
        <v>33602.100000000006</v>
      </c>
      <c r="X306" s="603">
        <v>33602.100000000006</v>
      </c>
      <c r="Y306" s="603">
        <v>0</v>
      </c>
      <c r="Z306" s="603">
        <v>0</v>
      </c>
    </row>
    <row r="307" spans="1:26" x14ac:dyDescent="0.2">
      <c r="A307" s="597" t="s">
        <v>533</v>
      </c>
      <c r="B307" s="685">
        <v>0</v>
      </c>
      <c r="C307" s="685">
        <v>0</v>
      </c>
      <c r="D307" s="685">
        <v>0</v>
      </c>
      <c r="E307" s="685">
        <v>0</v>
      </c>
      <c r="F307" s="685">
        <v>0</v>
      </c>
      <c r="G307" s="685">
        <v>0</v>
      </c>
      <c r="H307" s="685">
        <v>0</v>
      </c>
      <c r="I307" s="685">
        <v>0</v>
      </c>
      <c r="J307" s="685">
        <v>0</v>
      </c>
      <c r="K307" s="685">
        <v>0</v>
      </c>
      <c r="L307" s="685">
        <v>0</v>
      </c>
      <c r="M307" s="685">
        <v>0</v>
      </c>
      <c r="N307" s="685">
        <v>0</v>
      </c>
      <c r="O307" s="685">
        <v>0</v>
      </c>
      <c r="P307" s="685">
        <v>0</v>
      </c>
      <c r="Q307" s="685">
        <v>0</v>
      </c>
      <c r="R307" s="685">
        <v>0</v>
      </c>
      <c r="S307" s="685">
        <v>0</v>
      </c>
      <c r="T307" s="600" t="e">
        <v>#DIV/0!</v>
      </c>
      <c r="U307" s="599">
        <v>0</v>
      </c>
      <c r="V307" s="599">
        <v>0</v>
      </c>
      <c r="W307" s="599">
        <v>0</v>
      </c>
      <c r="X307" s="599">
        <v>0</v>
      </c>
      <c r="Y307" s="599">
        <v>0</v>
      </c>
      <c r="Z307" s="599">
        <v>0</v>
      </c>
    </row>
    <row r="308" spans="1:26" x14ac:dyDescent="0.2">
      <c r="A308" s="597" t="s">
        <v>534</v>
      </c>
      <c r="B308" s="685">
        <v>22885</v>
      </c>
      <c r="C308" s="685">
        <v>21385</v>
      </c>
      <c r="D308" s="685">
        <v>21385</v>
      </c>
      <c r="E308" s="685">
        <v>20676.5</v>
      </c>
      <c r="F308" s="685">
        <v>12624.22</v>
      </c>
      <c r="G308" s="685">
        <v>0</v>
      </c>
      <c r="H308" s="685">
        <v>269.5</v>
      </c>
      <c r="I308" s="685">
        <v>0</v>
      </c>
      <c r="J308" s="685">
        <v>0</v>
      </c>
      <c r="K308" s="685">
        <v>20</v>
      </c>
      <c r="L308" s="685">
        <v>0</v>
      </c>
      <c r="M308" s="685">
        <v>2334.7199999999998</v>
      </c>
      <c r="N308" s="685">
        <v>10000</v>
      </c>
      <c r="O308" s="685">
        <v>0</v>
      </c>
      <c r="P308" s="685">
        <v>0</v>
      </c>
      <c r="Q308" s="685">
        <v>0</v>
      </c>
      <c r="R308" s="685">
        <v>0</v>
      </c>
      <c r="S308" s="685">
        <v>12624.22</v>
      </c>
      <c r="T308" s="600">
        <v>0.59033060556464811</v>
      </c>
      <c r="U308" s="599">
        <v>8760.7800000000007</v>
      </c>
      <c r="V308" s="599">
        <v>0</v>
      </c>
      <c r="W308" s="599">
        <v>708.5</v>
      </c>
      <c r="X308" s="599">
        <v>708.5</v>
      </c>
      <c r="Y308" s="599">
        <v>8052.2800000000007</v>
      </c>
      <c r="Z308" s="599">
        <v>0</v>
      </c>
    </row>
    <row r="309" spans="1:26" x14ac:dyDescent="0.2">
      <c r="A309" s="597" t="s">
        <v>535</v>
      </c>
      <c r="B309" s="655">
        <v>61000</v>
      </c>
      <c r="C309" s="655">
        <v>57400</v>
      </c>
      <c r="D309" s="655">
        <v>7400</v>
      </c>
      <c r="E309" s="655">
        <v>2034.1399999999999</v>
      </c>
      <c r="F309" s="655">
        <v>2034.1399999999999</v>
      </c>
      <c r="G309" s="655">
        <v>78.64</v>
      </c>
      <c r="H309" s="655">
        <v>78.39</v>
      </c>
      <c r="I309" s="655">
        <v>202.36</v>
      </c>
      <c r="J309" s="655">
        <v>383.63</v>
      </c>
      <c r="K309" s="655">
        <v>139.13</v>
      </c>
      <c r="L309" s="655">
        <v>545.73</v>
      </c>
      <c r="M309" s="655">
        <v>169.01</v>
      </c>
      <c r="N309" s="655">
        <v>120.17</v>
      </c>
      <c r="O309" s="655">
        <v>317.08</v>
      </c>
      <c r="P309" s="655">
        <v>0</v>
      </c>
      <c r="Q309" s="655">
        <v>0</v>
      </c>
      <c r="R309" s="655">
        <v>0</v>
      </c>
      <c r="S309" s="655">
        <v>2034.14</v>
      </c>
      <c r="T309" s="704">
        <v>3.5437979094076658E-2</v>
      </c>
      <c r="U309" s="599">
        <v>55365.86</v>
      </c>
      <c r="V309" s="599">
        <v>50000</v>
      </c>
      <c r="W309" s="599">
        <v>55365.86</v>
      </c>
      <c r="X309" s="599">
        <v>5365.8600000000006</v>
      </c>
      <c r="Y309" s="599">
        <v>0</v>
      </c>
      <c r="Z309" s="599">
        <v>0</v>
      </c>
    </row>
    <row r="310" spans="1:26" x14ac:dyDescent="0.2">
      <c r="A310" s="605" t="s">
        <v>536</v>
      </c>
      <c r="B310" s="665">
        <v>11000</v>
      </c>
      <c r="C310" s="665">
        <v>7400</v>
      </c>
      <c r="D310" s="665">
        <v>7400</v>
      </c>
      <c r="E310" s="665">
        <v>2034.1399999999999</v>
      </c>
      <c r="F310" s="665">
        <v>2034.1399999999999</v>
      </c>
      <c r="G310" s="665">
        <v>78.64</v>
      </c>
      <c r="H310" s="665">
        <v>78.39</v>
      </c>
      <c r="I310" s="665">
        <v>202.36</v>
      </c>
      <c r="J310" s="665">
        <v>383.63</v>
      </c>
      <c r="K310" s="665">
        <v>139.13</v>
      </c>
      <c r="L310" s="665">
        <v>545.73</v>
      </c>
      <c r="M310" s="665">
        <v>169.01</v>
      </c>
      <c r="N310" s="665">
        <v>120.17</v>
      </c>
      <c r="O310" s="665">
        <v>317.08</v>
      </c>
      <c r="P310" s="665">
        <v>0</v>
      </c>
      <c r="Q310" s="665">
        <v>0</v>
      </c>
      <c r="R310" s="665">
        <v>0</v>
      </c>
      <c r="S310" s="665">
        <v>2034.14</v>
      </c>
      <c r="T310" s="604">
        <v>0.27488378378378381</v>
      </c>
      <c r="U310" s="603">
        <v>5365.86</v>
      </c>
      <c r="V310" s="603">
        <v>0</v>
      </c>
      <c r="W310" s="603">
        <v>5365.8600000000006</v>
      </c>
      <c r="X310" s="603">
        <v>5365.8600000000006</v>
      </c>
      <c r="Y310" s="603">
        <v>0</v>
      </c>
      <c r="Z310" s="603">
        <v>0</v>
      </c>
    </row>
    <row r="311" spans="1:26" x14ac:dyDescent="0.2">
      <c r="A311" s="605" t="s">
        <v>537</v>
      </c>
      <c r="B311" s="665">
        <v>0</v>
      </c>
      <c r="C311" s="665">
        <v>0</v>
      </c>
      <c r="D311" s="665">
        <v>0</v>
      </c>
      <c r="E311" s="665">
        <v>0</v>
      </c>
      <c r="F311" s="665">
        <v>0</v>
      </c>
      <c r="G311" s="665">
        <v>0</v>
      </c>
      <c r="H311" s="665">
        <v>0</v>
      </c>
      <c r="I311" s="665">
        <v>0</v>
      </c>
      <c r="J311" s="665">
        <v>0</v>
      </c>
      <c r="K311" s="665">
        <v>0</v>
      </c>
      <c r="L311" s="665">
        <v>0</v>
      </c>
      <c r="M311" s="665">
        <v>0</v>
      </c>
      <c r="N311" s="665">
        <v>0</v>
      </c>
      <c r="O311" s="665">
        <v>0</v>
      </c>
      <c r="P311" s="665">
        <v>0</v>
      </c>
      <c r="Q311" s="665">
        <v>0</v>
      </c>
      <c r="R311" s="665">
        <v>0</v>
      </c>
      <c r="S311" s="665">
        <v>0</v>
      </c>
      <c r="T311" s="604" t="e">
        <v>#DIV/0!</v>
      </c>
      <c r="U311" s="603">
        <v>0</v>
      </c>
      <c r="V311" s="603">
        <v>0</v>
      </c>
      <c r="W311" s="603">
        <v>0</v>
      </c>
      <c r="X311" s="603">
        <v>0</v>
      </c>
      <c r="Y311" s="603">
        <v>0</v>
      </c>
      <c r="Z311" s="603">
        <v>0</v>
      </c>
    </row>
    <row r="312" spans="1:26" x14ac:dyDescent="0.2">
      <c r="A312" s="605" t="s">
        <v>538</v>
      </c>
      <c r="B312" s="665">
        <v>0</v>
      </c>
      <c r="C312" s="665">
        <v>0</v>
      </c>
      <c r="D312" s="665">
        <v>0</v>
      </c>
      <c r="E312" s="665">
        <v>0</v>
      </c>
      <c r="F312" s="665">
        <v>0</v>
      </c>
      <c r="G312" s="665">
        <v>0</v>
      </c>
      <c r="H312" s="665">
        <v>0</v>
      </c>
      <c r="I312" s="665">
        <v>0</v>
      </c>
      <c r="J312" s="665">
        <v>0</v>
      </c>
      <c r="K312" s="665">
        <v>0</v>
      </c>
      <c r="L312" s="665">
        <v>0</v>
      </c>
      <c r="M312" s="665">
        <v>0</v>
      </c>
      <c r="N312" s="665">
        <v>0</v>
      </c>
      <c r="O312" s="665">
        <v>0</v>
      </c>
      <c r="P312" s="665">
        <v>0</v>
      </c>
      <c r="Q312" s="665">
        <v>0</v>
      </c>
      <c r="R312" s="665">
        <v>0</v>
      </c>
      <c r="S312" s="665">
        <v>0</v>
      </c>
      <c r="T312" s="604" t="e">
        <v>#DIV/0!</v>
      </c>
      <c r="U312" s="603">
        <v>0</v>
      </c>
      <c r="V312" s="603">
        <v>0</v>
      </c>
      <c r="W312" s="603">
        <v>0</v>
      </c>
      <c r="X312" s="603">
        <v>0</v>
      </c>
      <c r="Y312" s="603">
        <v>0</v>
      </c>
      <c r="Z312" s="603">
        <v>0</v>
      </c>
    </row>
    <row r="313" spans="1:26" x14ac:dyDescent="0.2">
      <c r="A313" s="605" t="s">
        <v>539</v>
      </c>
      <c r="B313" s="665">
        <v>0</v>
      </c>
      <c r="C313" s="665">
        <v>0</v>
      </c>
      <c r="D313" s="665">
        <v>0</v>
      </c>
      <c r="E313" s="665">
        <v>0</v>
      </c>
      <c r="F313" s="665">
        <v>0</v>
      </c>
      <c r="G313" s="665">
        <v>0</v>
      </c>
      <c r="H313" s="665">
        <v>0</v>
      </c>
      <c r="I313" s="665">
        <v>0</v>
      </c>
      <c r="J313" s="665">
        <v>0</v>
      </c>
      <c r="K313" s="665">
        <v>0</v>
      </c>
      <c r="L313" s="665">
        <v>0</v>
      </c>
      <c r="M313" s="665">
        <v>0</v>
      </c>
      <c r="N313" s="665">
        <v>0</v>
      </c>
      <c r="O313" s="665">
        <v>0</v>
      </c>
      <c r="P313" s="665">
        <v>0</v>
      </c>
      <c r="Q313" s="665">
        <v>0</v>
      </c>
      <c r="R313" s="665">
        <v>0</v>
      </c>
      <c r="S313" s="665">
        <v>0</v>
      </c>
      <c r="T313" s="604" t="e">
        <v>#DIV/0!</v>
      </c>
      <c r="U313" s="603">
        <v>0</v>
      </c>
      <c r="V313" s="603">
        <v>0</v>
      </c>
      <c r="W313" s="603">
        <v>0</v>
      </c>
      <c r="X313" s="603">
        <v>0</v>
      </c>
      <c r="Y313" s="603">
        <v>0</v>
      </c>
      <c r="Z313" s="603">
        <v>0</v>
      </c>
    </row>
    <row r="314" spans="1:26" x14ac:dyDescent="0.2">
      <c r="A314" s="605" t="s">
        <v>540</v>
      </c>
      <c r="B314" s="665">
        <v>0</v>
      </c>
      <c r="C314" s="665">
        <v>0</v>
      </c>
      <c r="D314" s="665">
        <v>0</v>
      </c>
      <c r="E314" s="665">
        <v>0</v>
      </c>
      <c r="F314" s="665">
        <v>0</v>
      </c>
      <c r="G314" s="665">
        <v>0</v>
      </c>
      <c r="H314" s="665">
        <v>0</v>
      </c>
      <c r="I314" s="665">
        <v>0</v>
      </c>
      <c r="J314" s="665">
        <v>0</v>
      </c>
      <c r="K314" s="665">
        <v>0</v>
      </c>
      <c r="L314" s="665">
        <v>0</v>
      </c>
      <c r="M314" s="665">
        <v>0</v>
      </c>
      <c r="N314" s="665">
        <v>0</v>
      </c>
      <c r="O314" s="665">
        <v>0</v>
      </c>
      <c r="P314" s="665">
        <v>0</v>
      </c>
      <c r="Q314" s="665">
        <v>0</v>
      </c>
      <c r="R314" s="665">
        <v>0</v>
      </c>
      <c r="S314" s="665">
        <v>0</v>
      </c>
      <c r="T314" s="604" t="e">
        <v>#DIV/0!</v>
      </c>
      <c r="U314" s="603">
        <v>0</v>
      </c>
      <c r="V314" s="603">
        <v>0</v>
      </c>
      <c r="W314" s="603">
        <v>0</v>
      </c>
      <c r="X314" s="603">
        <v>0</v>
      </c>
      <c r="Y314" s="603">
        <v>0</v>
      </c>
      <c r="Z314" s="603">
        <v>0</v>
      </c>
    </row>
    <row r="315" spans="1:26" x14ac:dyDescent="0.2">
      <c r="A315" s="605" t="s">
        <v>541</v>
      </c>
      <c r="B315" s="665">
        <v>50000</v>
      </c>
      <c r="C315" s="665">
        <v>50000</v>
      </c>
      <c r="D315" s="665">
        <v>0</v>
      </c>
      <c r="E315" s="665">
        <v>0</v>
      </c>
      <c r="F315" s="665">
        <v>0</v>
      </c>
      <c r="G315" s="665">
        <v>0</v>
      </c>
      <c r="H315" s="665">
        <v>0</v>
      </c>
      <c r="I315" s="665">
        <v>0</v>
      </c>
      <c r="J315" s="665">
        <v>0</v>
      </c>
      <c r="K315" s="665">
        <v>0</v>
      </c>
      <c r="L315" s="665">
        <v>0</v>
      </c>
      <c r="M315" s="665">
        <v>0</v>
      </c>
      <c r="N315" s="665">
        <v>0</v>
      </c>
      <c r="O315" s="665">
        <v>0</v>
      </c>
      <c r="P315" s="665">
        <v>0</v>
      </c>
      <c r="Q315" s="665">
        <v>0</v>
      </c>
      <c r="R315" s="665">
        <v>0</v>
      </c>
      <c r="S315" s="665">
        <v>0</v>
      </c>
      <c r="T315" s="604">
        <v>0</v>
      </c>
      <c r="U315" s="603">
        <v>50000</v>
      </c>
      <c r="V315" s="603">
        <v>50000</v>
      </c>
      <c r="W315" s="603">
        <v>50000</v>
      </c>
      <c r="X315" s="603">
        <v>0</v>
      </c>
      <c r="Y315" s="603">
        <v>0</v>
      </c>
      <c r="Z315" s="603">
        <v>0</v>
      </c>
    </row>
    <row r="316" spans="1:26" x14ac:dyDescent="0.2">
      <c r="A316" s="597" t="s">
        <v>542</v>
      </c>
      <c r="B316" s="685">
        <v>0</v>
      </c>
      <c r="C316" s="685">
        <v>0</v>
      </c>
      <c r="D316" s="685">
        <v>0</v>
      </c>
      <c r="E316" s="685">
        <v>0</v>
      </c>
      <c r="F316" s="685">
        <v>0</v>
      </c>
      <c r="G316" s="685">
        <v>0</v>
      </c>
      <c r="H316" s="685">
        <v>0</v>
      </c>
      <c r="I316" s="685">
        <v>0</v>
      </c>
      <c r="J316" s="685">
        <v>0</v>
      </c>
      <c r="K316" s="685">
        <v>0</v>
      </c>
      <c r="L316" s="685">
        <v>0</v>
      </c>
      <c r="M316" s="685">
        <v>0</v>
      </c>
      <c r="N316" s="685">
        <v>0</v>
      </c>
      <c r="O316" s="685">
        <v>0</v>
      </c>
      <c r="P316" s="685">
        <v>0</v>
      </c>
      <c r="Q316" s="685">
        <v>0</v>
      </c>
      <c r="R316" s="685">
        <v>0</v>
      </c>
      <c r="S316" s="685">
        <v>0</v>
      </c>
      <c r="T316" s="600" t="e">
        <v>#DIV/0!</v>
      </c>
      <c r="U316" s="599">
        <v>0</v>
      </c>
      <c r="V316" s="599">
        <v>0</v>
      </c>
      <c r="W316" s="599">
        <v>0</v>
      </c>
      <c r="X316" s="599">
        <v>0</v>
      </c>
      <c r="Y316" s="599">
        <v>0</v>
      </c>
      <c r="Z316" s="599">
        <v>0</v>
      </c>
    </row>
    <row r="317" spans="1:26" x14ac:dyDescent="0.2">
      <c r="A317" s="597" t="s">
        <v>543</v>
      </c>
      <c r="B317" s="685">
        <v>0</v>
      </c>
      <c r="C317" s="685">
        <v>4400</v>
      </c>
      <c r="D317" s="685">
        <v>4400</v>
      </c>
      <c r="E317" s="685">
        <v>4390.79</v>
      </c>
      <c r="F317" s="685">
        <v>4390.79</v>
      </c>
      <c r="G317" s="685">
        <v>0</v>
      </c>
      <c r="H317" s="685">
        <v>2890</v>
      </c>
      <c r="I317" s="685">
        <v>0</v>
      </c>
      <c r="J317" s="685">
        <v>232.77</v>
      </c>
      <c r="K317" s="685">
        <v>0</v>
      </c>
      <c r="L317" s="685">
        <v>0</v>
      </c>
      <c r="M317" s="685">
        <v>0</v>
      </c>
      <c r="N317" s="685">
        <v>0</v>
      </c>
      <c r="O317" s="685">
        <v>1268.02</v>
      </c>
      <c r="P317" s="685">
        <v>0</v>
      </c>
      <c r="Q317" s="685">
        <v>0</v>
      </c>
      <c r="R317" s="685">
        <v>0</v>
      </c>
      <c r="S317" s="685">
        <v>4390.79</v>
      </c>
      <c r="T317" s="600">
        <v>0.99790681818181814</v>
      </c>
      <c r="U317" s="599">
        <v>9.2100000000000364</v>
      </c>
      <c r="V317" s="599">
        <v>0</v>
      </c>
      <c r="W317" s="599">
        <v>9.2100000000000364</v>
      </c>
      <c r="X317" s="599">
        <v>9.2100000000000364</v>
      </c>
      <c r="Y317" s="599">
        <v>0</v>
      </c>
      <c r="Z317" s="599">
        <v>0</v>
      </c>
    </row>
    <row r="318" spans="1:26" x14ac:dyDescent="0.2">
      <c r="A318" s="597" t="s">
        <v>544</v>
      </c>
      <c r="B318" s="655">
        <v>266377</v>
      </c>
      <c r="C318" s="655">
        <v>240064.7</v>
      </c>
      <c r="D318" s="655">
        <v>240064.7</v>
      </c>
      <c r="E318" s="655">
        <v>104185.3</v>
      </c>
      <c r="F318" s="655">
        <v>80208.320000000007</v>
      </c>
      <c r="G318" s="655">
        <v>0</v>
      </c>
      <c r="H318" s="655">
        <v>9915</v>
      </c>
      <c r="I318" s="655">
        <v>333.33</v>
      </c>
      <c r="J318" s="655">
        <v>9000</v>
      </c>
      <c r="K318" s="655">
        <v>15520</v>
      </c>
      <c r="L318" s="655">
        <v>10400</v>
      </c>
      <c r="M318" s="655">
        <v>3333.33</v>
      </c>
      <c r="N318" s="655">
        <v>27873.33</v>
      </c>
      <c r="O318" s="655">
        <v>3833.33</v>
      </c>
      <c r="P318" s="655">
        <v>0</v>
      </c>
      <c r="Q318" s="655">
        <v>0</v>
      </c>
      <c r="R318" s="655">
        <v>0</v>
      </c>
      <c r="S318" s="655">
        <v>80208.320000000007</v>
      </c>
      <c r="T318" s="708">
        <v>0.3341112625054829</v>
      </c>
      <c r="U318" s="599">
        <v>159856.38</v>
      </c>
      <c r="V318" s="599">
        <v>0</v>
      </c>
      <c r="W318" s="599">
        <v>135879.40000000002</v>
      </c>
      <c r="X318" s="599">
        <v>135879.40000000002</v>
      </c>
      <c r="Y318" s="599">
        <v>23976.979999999996</v>
      </c>
      <c r="Z318" s="599">
        <v>0</v>
      </c>
    </row>
    <row r="319" spans="1:26" ht="24" x14ac:dyDescent="0.2">
      <c r="A319" s="605" t="s">
        <v>545</v>
      </c>
      <c r="B319" s="665">
        <v>230000</v>
      </c>
      <c r="C319" s="665">
        <v>194172.7</v>
      </c>
      <c r="D319" s="665">
        <v>194172.7</v>
      </c>
      <c r="E319" s="665">
        <v>67533.3</v>
      </c>
      <c r="F319" s="665">
        <v>48233.320000000007</v>
      </c>
      <c r="G319" s="665">
        <v>0</v>
      </c>
      <c r="H319" s="665">
        <v>800</v>
      </c>
      <c r="I319" s="665">
        <v>333.33</v>
      </c>
      <c r="J319" s="665">
        <v>9000</v>
      </c>
      <c r="K319" s="665">
        <v>8800</v>
      </c>
      <c r="L319" s="665">
        <v>10000</v>
      </c>
      <c r="M319" s="665">
        <v>3333.33</v>
      </c>
      <c r="N319" s="665">
        <v>12133.33</v>
      </c>
      <c r="O319" s="665">
        <v>3833.33</v>
      </c>
      <c r="P319" s="665">
        <v>0</v>
      </c>
      <c r="Q319" s="665">
        <v>0</v>
      </c>
      <c r="R319" s="665">
        <v>0</v>
      </c>
      <c r="S319" s="665">
        <v>48233.320000000007</v>
      </c>
      <c r="T319" s="604">
        <v>0.24840422984281521</v>
      </c>
      <c r="U319" s="603">
        <v>145939.38</v>
      </c>
      <c r="V319" s="603">
        <v>0</v>
      </c>
      <c r="W319" s="603">
        <v>126639.40000000001</v>
      </c>
      <c r="X319" s="603">
        <v>126639.40000000001</v>
      </c>
      <c r="Y319" s="603">
        <v>19299.979999999996</v>
      </c>
      <c r="Z319" s="603">
        <v>0</v>
      </c>
    </row>
    <row r="320" spans="1:26" x14ac:dyDescent="0.2">
      <c r="A320" s="605" t="s">
        <v>546</v>
      </c>
      <c r="B320" s="665">
        <v>0</v>
      </c>
      <c r="C320" s="665">
        <v>7000</v>
      </c>
      <c r="D320" s="665">
        <v>7000</v>
      </c>
      <c r="E320" s="665">
        <v>7000</v>
      </c>
      <c r="F320" s="665">
        <v>7000</v>
      </c>
      <c r="G320" s="665">
        <v>0</v>
      </c>
      <c r="H320" s="665">
        <v>7000</v>
      </c>
      <c r="I320" s="665">
        <v>0</v>
      </c>
      <c r="J320" s="665">
        <v>0</v>
      </c>
      <c r="K320" s="665">
        <v>0</v>
      </c>
      <c r="L320" s="665">
        <v>0</v>
      </c>
      <c r="M320" s="665">
        <v>0</v>
      </c>
      <c r="N320" s="665">
        <v>0</v>
      </c>
      <c r="O320" s="665">
        <v>0</v>
      </c>
      <c r="P320" s="665">
        <v>0</v>
      </c>
      <c r="Q320" s="665">
        <v>0</v>
      </c>
      <c r="R320" s="665">
        <v>0</v>
      </c>
      <c r="S320" s="665">
        <v>7000</v>
      </c>
      <c r="T320" s="604">
        <v>1</v>
      </c>
      <c r="U320" s="603">
        <v>0</v>
      </c>
      <c r="V320" s="603">
        <v>0</v>
      </c>
      <c r="W320" s="603">
        <v>0</v>
      </c>
      <c r="X320" s="603">
        <v>0</v>
      </c>
      <c r="Y320" s="603">
        <v>0</v>
      </c>
      <c r="Z320" s="603">
        <v>0</v>
      </c>
    </row>
    <row r="321" spans="1:26" x14ac:dyDescent="0.2">
      <c r="A321" s="605" t="s">
        <v>547</v>
      </c>
      <c r="B321" s="665">
        <v>24377</v>
      </c>
      <c r="C321" s="665">
        <v>25492</v>
      </c>
      <c r="D321" s="665">
        <v>25492</v>
      </c>
      <c r="E321" s="665">
        <v>25492</v>
      </c>
      <c r="F321" s="665">
        <v>20815</v>
      </c>
      <c r="G321" s="665">
        <v>0</v>
      </c>
      <c r="H321" s="665">
        <v>715</v>
      </c>
      <c r="I321" s="665">
        <v>0</v>
      </c>
      <c r="J321" s="665">
        <v>0</v>
      </c>
      <c r="K321" s="665">
        <v>3960</v>
      </c>
      <c r="L321" s="665">
        <v>400</v>
      </c>
      <c r="M321" s="665">
        <v>0</v>
      </c>
      <c r="N321" s="665">
        <v>15740</v>
      </c>
      <c r="O321" s="665">
        <v>0</v>
      </c>
      <c r="P321" s="665">
        <v>0</v>
      </c>
      <c r="Q321" s="665">
        <v>0</v>
      </c>
      <c r="R321" s="665">
        <v>0</v>
      </c>
      <c r="S321" s="665">
        <v>20815</v>
      </c>
      <c r="T321" s="604">
        <v>0.81653067629060094</v>
      </c>
      <c r="U321" s="603">
        <v>4677</v>
      </c>
      <c r="V321" s="603">
        <v>0</v>
      </c>
      <c r="W321" s="603">
        <v>0</v>
      </c>
      <c r="X321" s="603">
        <v>0</v>
      </c>
      <c r="Y321" s="603">
        <v>4677</v>
      </c>
      <c r="Z321" s="603">
        <v>0</v>
      </c>
    </row>
    <row r="322" spans="1:26" x14ac:dyDescent="0.2">
      <c r="A322" s="605" t="s">
        <v>548</v>
      </c>
      <c r="B322" s="665">
        <v>0</v>
      </c>
      <c r="C322" s="665">
        <v>0</v>
      </c>
      <c r="D322" s="665">
        <v>0</v>
      </c>
      <c r="E322" s="665">
        <v>0</v>
      </c>
      <c r="F322" s="665">
        <v>0</v>
      </c>
      <c r="G322" s="665">
        <v>0</v>
      </c>
      <c r="H322" s="665">
        <v>0</v>
      </c>
      <c r="I322" s="665">
        <v>0</v>
      </c>
      <c r="J322" s="665">
        <v>0</v>
      </c>
      <c r="K322" s="665">
        <v>0</v>
      </c>
      <c r="L322" s="665">
        <v>0</v>
      </c>
      <c r="M322" s="665">
        <v>0</v>
      </c>
      <c r="N322" s="665">
        <v>0</v>
      </c>
      <c r="O322" s="665">
        <v>0</v>
      </c>
      <c r="P322" s="665">
        <v>0</v>
      </c>
      <c r="Q322" s="665">
        <v>0</v>
      </c>
      <c r="R322" s="665">
        <v>0</v>
      </c>
      <c r="S322" s="665">
        <v>0</v>
      </c>
      <c r="T322" s="604" t="e">
        <v>#DIV/0!</v>
      </c>
      <c r="U322" s="603">
        <v>0</v>
      </c>
      <c r="V322" s="603">
        <v>0</v>
      </c>
      <c r="W322" s="603">
        <v>0</v>
      </c>
      <c r="X322" s="603">
        <v>0</v>
      </c>
      <c r="Y322" s="603">
        <v>0</v>
      </c>
      <c r="Z322" s="603">
        <v>0</v>
      </c>
    </row>
    <row r="323" spans="1:26" x14ac:dyDescent="0.2">
      <c r="A323" s="605" t="s">
        <v>549</v>
      </c>
      <c r="B323" s="665">
        <v>0</v>
      </c>
      <c r="C323" s="665">
        <v>0</v>
      </c>
      <c r="D323" s="665">
        <v>0</v>
      </c>
      <c r="E323" s="665">
        <v>0</v>
      </c>
      <c r="F323" s="665">
        <v>0</v>
      </c>
      <c r="G323" s="665">
        <v>0</v>
      </c>
      <c r="H323" s="665">
        <v>0</v>
      </c>
      <c r="I323" s="665">
        <v>0</v>
      </c>
      <c r="J323" s="665">
        <v>0</v>
      </c>
      <c r="K323" s="665">
        <v>0</v>
      </c>
      <c r="L323" s="665">
        <v>0</v>
      </c>
      <c r="M323" s="665">
        <v>0</v>
      </c>
      <c r="N323" s="665">
        <v>0</v>
      </c>
      <c r="O323" s="665">
        <v>0</v>
      </c>
      <c r="P323" s="665">
        <v>0</v>
      </c>
      <c r="Q323" s="665">
        <v>0</v>
      </c>
      <c r="R323" s="665">
        <v>0</v>
      </c>
      <c r="S323" s="665">
        <v>0</v>
      </c>
      <c r="T323" s="604" t="e">
        <v>#DIV/0!</v>
      </c>
      <c r="U323" s="603">
        <v>0</v>
      </c>
      <c r="V323" s="603">
        <v>0</v>
      </c>
      <c r="W323" s="603">
        <v>0</v>
      </c>
      <c r="X323" s="603">
        <v>0</v>
      </c>
      <c r="Y323" s="603">
        <v>0</v>
      </c>
      <c r="Z323" s="603">
        <v>0</v>
      </c>
    </row>
    <row r="324" spans="1:26" x14ac:dyDescent="0.2">
      <c r="A324" s="605" t="s">
        <v>550</v>
      </c>
      <c r="B324" s="665">
        <v>0</v>
      </c>
      <c r="C324" s="665">
        <v>0</v>
      </c>
      <c r="D324" s="665">
        <v>0</v>
      </c>
      <c r="E324" s="665">
        <v>0</v>
      </c>
      <c r="F324" s="665">
        <v>0</v>
      </c>
      <c r="G324" s="665">
        <v>0</v>
      </c>
      <c r="H324" s="665">
        <v>0</v>
      </c>
      <c r="I324" s="665">
        <v>0</v>
      </c>
      <c r="J324" s="665">
        <v>0</v>
      </c>
      <c r="K324" s="665">
        <v>0</v>
      </c>
      <c r="L324" s="665">
        <v>0</v>
      </c>
      <c r="M324" s="665">
        <v>0</v>
      </c>
      <c r="N324" s="665">
        <v>0</v>
      </c>
      <c r="O324" s="665">
        <v>0</v>
      </c>
      <c r="P324" s="665">
        <v>0</v>
      </c>
      <c r="Q324" s="665">
        <v>0</v>
      </c>
      <c r="R324" s="665">
        <v>0</v>
      </c>
      <c r="S324" s="665">
        <v>0</v>
      </c>
      <c r="T324" s="604" t="e">
        <v>#DIV/0!</v>
      </c>
      <c r="U324" s="603">
        <v>0</v>
      </c>
      <c r="V324" s="603">
        <v>0</v>
      </c>
      <c r="W324" s="603">
        <v>0</v>
      </c>
      <c r="X324" s="603">
        <v>0</v>
      </c>
      <c r="Y324" s="603">
        <v>0</v>
      </c>
      <c r="Z324" s="603">
        <v>0</v>
      </c>
    </row>
    <row r="325" spans="1:26" x14ac:dyDescent="0.2">
      <c r="A325" s="605" t="s">
        <v>551</v>
      </c>
      <c r="B325" s="665">
        <v>0</v>
      </c>
      <c r="C325" s="665">
        <v>0</v>
      </c>
      <c r="D325" s="665">
        <v>0</v>
      </c>
      <c r="E325" s="665">
        <v>0</v>
      </c>
      <c r="F325" s="665">
        <v>0</v>
      </c>
      <c r="G325" s="665">
        <v>0</v>
      </c>
      <c r="H325" s="665">
        <v>0</v>
      </c>
      <c r="I325" s="665">
        <v>0</v>
      </c>
      <c r="J325" s="665">
        <v>0</v>
      </c>
      <c r="K325" s="665">
        <v>0</v>
      </c>
      <c r="L325" s="665">
        <v>0</v>
      </c>
      <c r="M325" s="665">
        <v>0</v>
      </c>
      <c r="N325" s="665">
        <v>0</v>
      </c>
      <c r="O325" s="665">
        <v>0</v>
      </c>
      <c r="P325" s="665">
        <v>0</v>
      </c>
      <c r="Q325" s="665">
        <v>0</v>
      </c>
      <c r="R325" s="665">
        <v>0</v>
      </c>
      <c r="S325" s="665">
        <v>0</v>
      </c>
      <c r="T325" s="604" t="e">
        <v>#DIV/0!</v>
      </c>
      <c r="U325" s="603">
        <v>0</v>
      </c>
      <c r="V325" s="603">
        <v>0</v>
      </c>
      <c r="W325" s="603">
        <v>0</v>
      </c>
      <c r="X325" s="603">
        <v>0</v>
      </c>
      <c r="Y325" s="603">
        <v>0</v>
      </c>
      <c r="Z325" s="603">
        <v>0</v>
      </c>
    </row>
    <row r="326" spans="1:26" x14ac:dyDescent="0.2">
      <c r="A326" s="605" t="s">
        <v>552</v>
      </c>
      <c r="B326" s="665">
        <v>0</v>
      </c>
      <c r="C326" s="665">
        <v>0</v>
      </c>
      <c r="D326" s="665">
        <v>0</v>
      </c>
      <c r="E326" s="665">
        <v>0</v>
      </c>
      <c r="F326" s="665">
        <v>0</v>
      </c>
      <c r="G326" s="665">
        <v>0</v>
      </c>
      <c r="H326" s="665">
        <v>0</v>
      </c>
      <c r="I326" s="665">
        <v>0</v>
      </c>
      <c r="J326" s="665">
        <v>0</v>
      </c>
      <c r="K326" s="665">
        <v>0</v>
      </c>
      <c r="L326" s="665">
        <v>0</v>
      </c>
      <c r="M326" s="665">
        <v>0</v>
      </c>
      <c r="N326" s="665">
        <v>0</v>
      </c>
      <c r="O326" s="665">
        <v>0</v>
      </c>
      <c r="P326" s="665">
        <v>0</v>
      </c>
      <c r="Q326" s="665">
        <v>0</v>
      </c>
      <c r="R326" s="665">
        <v>0</v>
      </c>
      <c r="S326" s="665">
        <v>0</v>
      </c>
      <c r="T326" s="604" t="e">
        <v>#DIV/0!</v>
      </c>
      <c r="U326" s="603">
        <v>0</v>
      </c>
      <c r="V326" s="603">
        <v>0</v>
      </c>
      <c r="W326" s="603">
        <v>0</v>
      </c>
      <c r="X326" s="603">
        <v>0</v>
      </c>
      <c r="Y326" s="603">
        <v>0</v>
      </c>
      <c r="Z326" s="603">
        <v>0</v>
      </c>
    </row>
    <row r="327" spans="1:26" x14ac:dyDescent="0.2">
      <c r="A327" s="605" t="s">
        <v>553</v>
      </c>
      <c r="B327" s="665">
        <v>0</v>
      </c>
      <c r="C327" s="665">
        <v>0</v>
      </c>
      <c r="D327" s="665">
        <v>0</v>
      </c>
      <c r="E327" s="665">
        <v>0</v>
      </c>
      <c r="F327" s="665">
        <v>0</v>
      </c>
      <c r="G327" s="665">
        <v>0</v>
      </c>
      <c r="H327" s="665">
        <v>0</v>
      </c>
      <c r="I327" s="665">
        <v>0</v>
      </c>
      <c r="J327" s="665">
        <v>0</v>
      </c>
      <c r="K327" s="665">
        <v>0</v>
      </c>
      <c r="L327" s="665">
        <v>0</v>
      </c>
      <c r="M327" s="665">
        <v>0</v>
      </c>
      <c r="N327" s="665">
        <v>0</v>
      </c>
      <c r="O327" s="665">
        <v>0</v>
      </c>
      <c r="P327" s="665">
        <v>0</v>
      </c>
      <c r="Q327" s="665">
        <v>0</v>
      </c>
      <c r="R327" s="665">
        <v>0</v>
      </c>
      <c r="S327" s="665">
        <v>0</v>
      </c>
      <c r="T327" s="604" t="e">
        <v>#DIV/0!</v>
      </c>
      <c r="U327" s="603">
        <v>0</v>
      </c>
      <c r="V327" s="603">
        <v>0</v>
      </c>
      <c r="W327" s="603">
        <v>0</v>
      </c>
      <c r="X327" s="603">
        <v>0</v>
      </c>
      <c r="Y327" s="603">
        <v>0</v>
      </c>
      <c r="Z327" s="603">
        <v>0</v>
      </c>
    </row>
    <row r="328" spans="1:26" x14ac:dyDescent="0.2">
      <c r="A328" s="605" t="s">
        <v>554</v>
      </c>
      <c r="B328" s="665">
        <v>0</v>
      </c>
      <c r="C328" s="665">
        <v>1400</v>
      </c>
      <c r="D328" s="665">
        <v>1400</v>
      </c>
      <c r="E328" s="665">
        <v>1400</v>
      </c>
      <c r="F328" s="665">
        <v>1400</v>
      </c>
      <c r="G328" s="665">
        <v>0</v>
      </c>
      <c r="H328" s="665">
        <v>1400</v>
      </c>
      <c r="I328" s="665">
        <v>0</v>
      </c>
      <c r="J328" s="665">
        <v>0</v>
      </c>
      <c r="K328" s="665">
        <v>0</v>
      </c>
      <c r="L328" s="665">
        <v>0</v>
      </c>
      <c r="M328" s="665">
        <v>0</v>
      </c>
      <c r="N328" s="665">
        <v>0</v>
      </c>
      <c r="O328" s="665">
        <v>0</v>
      </c>
      <c r="P328" s="665">
        <v>0</v>
      </c>
      <c r="Q328" s="665">
        <v>0</v>
      </c>
      <c r="R328" s="665">
        <v>0</v>
      </c>
      <c r="S328" s="665">
        <v>1400</v>
      </c>
      <c r="T328" s="604">
        <v>1</v>
      </c>
      <c r="U328" s="603">
        <v>0</v>
      </c>
      <c r="V328" s="603">
        <v>0</v>
      </c>
      <c r="W328" s="603">
        <v>0</v>
      </c>
      <c r="X328" s="603">
        <v>0</v>
      </c>
      <c r="Y328" s="603">
        <v>0</v>
      </c>
      <c r="Z328" s="603">
        <v>0</v>
      </c>
    </row>
    <row r="329" spans="1:26" x14ac:dyDescent="0.2">
      <c r="A329" s="605" t="s">
        <v>555</v>
      </c>
      <c r="B329" s="665">
        <v>0</v>
      </c>
      <c r="C329" s="665">
        <v>0</v>
      </c>
      <c r="D329" s="665">
        <v>0</v>
      </c>
      <c r="E329" s="665">
        <v>0</v>
      </c>
      <c r="F329" s="665">
        <v>0</v>
      </c>
      <c r="G329" s="665">
        <v>0</v>
      </c>
      <c r="H329" s="665">
        <v>0</v>
      </c>
      <c r="I329" s="665">
        <v>0</v>
      </c>
      <c r="J329" s="665">
        <v>0</v>
      </c>
      <c r="K329" s="665">
        <v>0</v>
      </c>
      <c r="L329" s="665">
        <v>0</v>
      </c>
      <c r="M329" s="665">
        <v>0</v>
      </c>
      <c r="N329" s="665">
        <v>0</v>
      </c>
      <c r="O329" s="665">
        <v>0</v>
      </c>
      <c r="P329" s="665">
        <v>0</v>
      </c>
      <c r="Q329" s="665">
        <v>0</v>
      </c>
      <c r="R329" s="665">
        <v>0</v>
      </c>
      <c r="S329" s="665">
        <v>0</v>
      </c>
      <c r="T329" s="604" t="e">
        <v>#DIV/0!</v>
      </c>
      <c r="U329" s="603">
        <v>0</v>
      </c>
      <c r="V329" s="603">
        <v>0</v>
      </c>
      <c r="W329" s="603">
        <v>0</v>
      </c>
      <c r="X329" s="603">
        <v>0</v>
      </c>
      <c r="Y329" s="603">
        <v>0</v>
      </c>
      <c r="Z329" s="603">
        <v>0</v>
      </c>
    </row>
    <row r="330" spans="1:26" x14ac:dyDescent="0.2">
      <c r="A330" s="605" t="s">
        <v>556</v>
      </c>
      <c r="B330" s="665">
        <v>12000</v>
      </c>
      <c r="C330" s="665">
        <v>12000</v>
      </c>
      <c r="D330" s="665">
        <v>12000</v>
      </c>
      <c r="E330" s="665">
        <v>2760</v>
      </c>
      <c r="F330" s="665">
        <v>2760</v>
      </c>
      <c r="G330" s="665">
        <v>0</v>
      </c>
      <c r="H330" s="665">
        <v>0</v>
      </c>
      <c r="I330" s="665">
        <v>0</v>
      </c>
      <c r="J330" s="665">
        <v>0</v>
      </c>
      <c r="K330" s="665">
        <v>2760</v>
      </c>
      <c r="L330" s="665">
        <v>0</v>
      </c>
      <c r="M330" s="665">
        <v>0</v>
      </c>
      <c r="N330" s="665">
        <v>0</v>
      </c>
      <c r="O330" s="665">
        <v>0</v>
      </c>
      <c r="P330" s="665">
        <v>0</v>
      </c>
      <c r="Q330" s="665">
        <v>0</v>
      </c>
      <c r="R330" s="665">
        <v>0</v>
      </c>
      <c r="S330" s="665">
        <v>2760</v>
      </c>
      <c r="T330" s="604">
        <v>0.23</v>
      </c>
      <c r="U330" s="603">
        <v>9240</v>
      </c>
      <c r="V330" s="603">
        <v>0</v>
      </c>
      <c r="W330" s="603">
        <v>9240</v>
      </c>
      <c r="X330" s="603">
        <v>9240</v>
      </c>
      <c r="Y330" s="603">
        <v>0</v>
      </c>
      <c r="Z330" s="603">
        <v>0</v>
      </c>
    </row>
    <row r="331" spans="1:26" x14ac:dyDescent="0.2">
      <c r="A331" s="597" t="s">
        <v>557</v>
      </c>
      <c r="B331" s="655">
        <v>0</v>
      </c>
      <c r="C331" s="655">
        <v>0</v>
      </c>
      <c r="D331" s="655">
        <v>0</v>
      </c>
      <c r="E331" s="655">
        <v>0</v>
      </c>
      <c r="F331" s="655">
        <v>0</v>
      </c>
      <c r="G331" s="655">
        <v>0</v>
      </c>
      <c r="H331" s="655">
        <v>0</v>
      </c>
      <c r="I331" s="655">
        <v>0</v>
      </c>
      <c r="J331" s="655">
        <v>0</v>
      </c>
      <c r="K331" s="655">
        <v>0</v>
      </c>
      <c r="L331" s="655">
        <v>0</v>
      </c>
      <c r="M331" s="655">
        <v>0</v>
      </c>
      <c r="N331" s="655">
        <v>0</v>
      </c>
      <c r="O331" s="655">
        <v>0</v>
      </c>
      <c r="P331" s="655">
        <v>0</v>
      </c>
      <c r="Q331" s="655">
        <v>0</v>
      </c>
      <c r="R331" s="655">
        <v>0</v>
      </c>
      <c r="S331" s="655">
        <v>0</v>
      </c>
      <c r="T331" s="600" t="e">
        <v>#DIV/0!</v>
      </c>
      <c r="U331" s="599">
        <v>0</v>
      </c>
      <c r="V331" s="599">
        <v>0</v>
      </c>
      <c r="W331" s="599">
        <v>0</v>
      </c>
      <c r="X331" s="599">
        <v>0</v>
      </c>
      <c r="Y331" s="599">
        <v>0</v>
      </c>
      <c r="Z331" s="599">
        <v>0</v>
      </c>
    </row>
    <row r="332" spans="1:26" x14ac:dyDescent="0.2">
      <c r="A332" s="605" t="s">
        <v>558</v>
      </c>
      <c r="B332" s="665">
        <v>0</v>
      </c>
      <c r="C332" s="665">
        <v>0</v>
      </c>
      <c r="D332" s="665">
        <v>0</v>
      </c>
      <c r="E332" s="665">
        <v>0</v>
      </c>
      <c r="F332" s="665">
        <v>0</v>
      </c>
      <c r="G332" s="665">
        <v>0</v>
      </c>
      <c r="H332" s="665">
        <v>0</v>
      </c>
      <c r="I332" s="665">
        <v>0</v>
      </c>
      <c r="J332" s="665">
        <v>0</v>
      </c>
      <c r="K332" s="665">
        <v>0</v>
      </c>
      <c r="L332" s="665">
        <v>0</v>
      </c>
      <c r="M332" s="665">
        <v>0</v>
      </c>
      <c r="N332" s="665">
        <v>0</v>
      </c>
      <c r="O332" s="665">
        <v>0</v>
      </c>
      <c r="P332" s="665">
        <v>0</v>
      </c>
      <c r="Q332" s="665">
        <v>0</v>
      </c>
      <c r="R332" s="665">
        <v>0</v>
      </c>
      <c r="S332" s="665">
        <v>0</v>
      </c>
      <c r="T332" s="604" t="e">
        <v>#DIV/0!</v>
      </c>
      <c r="U332" s="603">
        <v>0</v>
      </c>
      <c r="V332" s="603">
        <v>0</v>
      </c>
      <c r="W332" s="603">
        <v>0</v>
      </c>
      <c r="X332" s="603">
        <v>0</v>
      </c>
      <c r="Y332" s="603">
        <v>0</v>
      </c>
      <c r="Z332" s="603">
        <v>0</v>
      </c>
    </row>
    <row r="333" spans="1:26" x14ac:dyDescent="0.2">
      <c r="A333" s="605" t="s">
        <v>559</v>
      </c>
      <c r="B333" s="665">
        <v>0</v>
      </c>
      <c r="C333" s="665">
        <v>0</v>
      </c>
      <c r="D333" s="665">
        <v>0</v>
      </c>
      <c r="E333" s="665">
        <v>0</v>
      </c>
      <c r="F333" s="665">
        <v>0</v>
      </c>
      <c r="G333" s="665">
        <v>0</v>
      </c>
      <c r="H333" s="665">
        <v>0</v>
      </c>
      <c r="I333" s="665">
        <v>0</v>
      </c>
      <c r="J333" s="665">
        <v>0</v>
      </c>
      <c r="K333" s="665">
        <v>0</v>
      </c>
      <c r="L333" s="665">
        <v>0</v>
      </c>
      <c r="M333" s="665">
        <v>0</v>
      </c>
      <c r="N333" s="665">
        <v>0</v>
      </c>
      <c r="O333" s="665">
        <v>0</v>
      </c>
      <c r="P333" s="665">
        <v>0</v>
      </c>
      <c r="Q333" s="665">
        <v>0</v>
      </c>
      <c r="R333" s="665">
        <v>0</v>
      </c>
      <c r="S333" s="665">
        <v>0</v>
      </c>
      <c r="T333" s="604" t="e">
        <v>#DIV/0!</v>
      </c>
      <c r="U333" s="603">
        <v>0</v>
      </c>
      <c r="V333" s="603">
        <v>0</v>
      </c>
      <c r="W333" s="603">
        <v>0</v>
      </c>
      <c r="X333" s="603">
        <v>0</v>
      </c>
      <c r="Y333" s="603">
        <v>0</v>
      </c>
      <c r="Z333" s="603">
        <v>0</v>
      </c>
    </row>
    <row r="334" spans="1:26" x14ac:dyDescent="0.2">
      <c r="A334" s="605" t="s">
        <v>560</v>
      </c>
      <c r="B334" s="665">
        <v>0</v>
      </c>
      <c r="C334" s="665">
        <v>0</v>
      </c>
      <c r="D334" s="665">
        <v>0</v>
      </c>
      <c r="E334" s="665">
        <v>0</v>
      </c>
      <c r="F334" s="665">
        <v>0</v>
      </c>
      <c r="G334" s="665">
        <v>0</v>
      </c>
      <c r="H334" s="665">
        <v>0</v>
      </c>
      <c r="I334" s="665">
        <v>0</v>
      </c>
      <c r="J334" s="665">
        <v>0</v>
      </c>
      <c r="K334" s="665">
        <v>0</v>
      </c>
      <c r="L334" s="665">
        <v>0</v>
      </c>
      <c r="M334" s="665">
        <v>0</v>
      </c>
      <c r="N334" s="665">
        <v>0</v>
      </c>
      <c r="O334" s="665">
        <v>0</v>
      </c>
      <c r="P334" s="665">
        <v>0</v>
      </c>
      <c r="Q334" s="665">
        <v>0</v>
      </c>
      <c r="R334" s="665">
        <v>0</v>
      </c>
      <c r="S334" s="665">
        <v>0</v>
      </c>
      <c r="T334" s="604" t="e">
        <v>#DIV/0!</v>
      </c>
      <c r="U334" s="603">
        <v>0</v>
      </c>
      <c r="V334" s="603">
        <v>0</v>
      </c>
      <c r="W334" s="603">
        <v>0</v>
      </c>
      <c r="X334" s="603">
        <v>0</v>
      </c>
      <c r="Y334" s="603">
        <v>0</v>
      </c>
      <c r="Z334" s="603">
        <v>0</v>
      </c>
    </row>
    <row r="335" spans="1:26" x14ac:dyDescent="0.2">
      <c r="A335" s="592" t="s">
        <v>561</v>
      </c>
      <c r="B335" s="683">
        <v>167233012</v>
      </c>
      <c r="C335" s="683">
        <v>194604223.65000001</v>
      </c>
      <c r="D335" s="683">
        <v>192604223.65000001</v>
      </c>
      <c r="E335" s="683">
        <v>135764524.92409906</v>
      </c>
      <c r="F335" s="683">
        <v>135375523.87805125</v>
      </c>
      <c r="G335" s="683">
        <v>2130970.4500000002</v>
      </c>
      <c r="H335" s="683">
        <v>27025777.925999999</v>
      </c>
      <c r="I335" s="683">
        <v>26347393.804999996</v>
      </c>
      <c r="J335" s="683">
        <v>2421006.1800000002</v>
      </c>
      <c r="K335" s="683">
        <v>2388617.23</v>
      </c>
      <c r="L335" s="683">
        <v>22395670.188000001</v>
      </c>
      <c r="M335" s="683">
        <v>27446466.883173004</v>
      </c>
      <c r="N335" s="683">
        <v>2352154.4528144361</v>
      </c>
      <c r="O335" s="683">
        <v>22836498.776000001</v>
      </c>
      <c r="P335" s="683">
        <v>0</v>
      </c>
      <c r="Q335" s="683">
        <v>0</v>
      </c>
      <c r="R335" s="683">
        <v>0</v>
      </c>
      <c r="S335" s="683">
        <v>135344555.89098743</v>
      </c>
      <c r="T335" s="595">
        <v>0.69548621994149318</v>
      </c>
      <c r="U335" s="594">
        <v>59259667.75901258</v>
      </c>
      <c r="V335" s="594">
        <v>2000000</v>
      </c>
      <c r="W335" s="594">
        <v>58839698.725900948</v>
      </c>
      <c r="X335" s="594">
        <v>56839698.725900948</v>
      </c>
      <c r="Y335" s="594">
        <v>389001.04604780674</v>
      </c>
      <c r="Z335" s="594">
        <v>30967.98706382513</v>
      </c>
    </row>
    <row r="336" spans="1:26" x14ac:dyDescent="0.2">
      <c r="A336" s="597" t="s">
        <v>562</v>
      </c>
      <c r="B336" s="655">
        <v>2333807</v>
      </c>
      <c r="C336" s="655">
        <v>2198454.21</v>
      </c>
      <c r="D336" s="655">
        <v>198454.21</v>
      </c>
      <c r="E336" s="655">
        <v>112094.09</v>
      </c>
      <c r="F336" s="655">
        <v>112094.09</v>
      </c>
      <c r="G336" s="655">
        <v>0</v>
      </c>
      <c r="H336" s="655">
        <v>0</v>
      </c>
      <c r="I336" s="655">
        <v>28783.96</v>
      </c>
      <c r="J336" s="655">
        <v>0</v>
      </c>
      <c r="K336" s="655">
        <v>0</v>
      </c>
      <c r="L336" s="655">
        <v>0</v>
      </c>
      <c r="M336" s="655">
        <v>83310.13</v>
      </c>
      <c r="N336" s="655">
        <v>0</v>
      </c>
      <c r="O336" s="655">
        <v>0</v>
      </c>
      <c r="P336" s="655">
        <v>0</v>
      </c>
      <c r="Q336" s="655">
        <v>0</v>
      </c>
      <c r="R336" s="655">
        <v>0</v>
      </c>
      <c r="S336" s="655">
        <v>112094.09</v>
      </c>
      <c r="T336" s="600">
        <v>5.0987684660486969E-2</v>
      </c>
      <c r="U336" s="599">
        <v>2086360.1199999999</v>
      </c>
      <c r="V336" s="599">
        <v>2000000</v>
      </c>
      <c r="W336" s="599">
        <v>2086360.1199999999</v>
      </c>
      <c r="X336" s="599">
        <v>86360.12</v>
      </c>
      <c r="Y336" s="599">
        <v>0</v>
      </c>
      <c r="Z336" s="599">
        <v>0</v>
      </c>
    </row>
    <row r="337" spans="1:26" ht="24" x14ac:dyDescent="0.2">
      <c r="A337" s="605" t="s">
        <v>563</v>
      </c>
      <c r="B337" s="663">
        <v>0</v>
      </c>
      <c r="C337" s="663">
        <v>0</v>
      </c>
      <c r="D337" s="663">
        <v>0</v>
      </c>
      <c r="E337" s="663">
        <v>0</v>
      </c>
      <c r="F337" s="663">
        <v>0</v>
      </c>
      <c r="G337" s="663">
        <v>0</v>
      </c>
      <c r="H337" s="663">
        <v>0</v>
      </c>
      <c r="I337" s="663">
        <v>0</v>
      </c>
      <c r="J337" s="663">
        <v>0</v>
      </c>
      <c r="K337" s="663">
        <v>0</v>
      </c>
      <c r="L337" s="663">
        <v>0</v>
      </c>
      <c r="M337" s="663">
        <v>0</v>
      </c>
      <c r="N337" s="663">
        <v>0</v>
      </c>
      <c r="O337" s="663">
        <v>0</v>
      </c>
      <c r="P337" s="663">
        <v>0</v>
      </c>
      <c r="Q337" s="663">
        <v>0</v>
      </c>
      <c r="R337" s="663">
        <v>0</v>
      </c>
      <c r="S337" s="663">
        <v>0</v>
      </c>
      <c r="T337" s="604" t="e">
        <v>#DIV/0!</v>
      </c>
      <c r="U337" s="603">
        <v>0</v>
      </c>
      <c r="V337" s="603">
        <v>0</v>
      </c>
      <c r="W337" s="603">
        <v>0</v>
      </c>
      <c r="X337" s="603">
        <v>0</v>
      </c>
      <c r="Y337" s="603">
        <v>0</v>
      </c>
      <c r="Z337" s="603">
        <v>0</v>
      </c>
    </row>
    <row r="338" spans="1:26" x14ac:dyDescent="0.2">
      <c r="A338" s="607" t="s">
        <v>564</v>
      </c>
      <c r="B338" s="665">
        <v>0</v>
      </c>
      <c r="C338" s="665">
        <v>0</v>
      </c>
      <c r="D338" s="665">
        <v>0</v>
      </c>
      <c r="E338" s="665">
        <v>0</v>
      </c>
      <c r="F338" s="665">
        <v>0</v>
      </c>
      <c r="G338" s="665">
        <v>0</v>
      </c>
      <c r="H338" s="665">
        <v>0</v>
      </c>
      <c r="I338" s="665">
        <v>0</v>
      </c>
      <c r="J338" s="665">
        <v>0</v>
      </c>
      <c r="K338" s="665">
        <v>0</v>
      </c>
      <c r="L338" s="665">
        <v>0</v>
      </c>
      <c r="M338" s="665">
        <v>0</v>
      </c>
      <c r="N338" s="665">
        <v>0</v>
      </c>
      <c r="O338" s="665">
        <v>0</v>
      </c>
      <c r="P338" s="665">
        <v>0</v>
      </c>
      <c r="Q338" s="665">
        <v>0</v>
      </c>
      <c r="R338" s="665">
        <v>0</v>
      </c>
      <c r="S338" s="665">
        <v>0</v>
      </c>
      <c r="T338" s="604" t="e">
        <v>#DIV/0!</v>
      </c>
      <c r="U338" s="603">
        <v>0</v>
      </c>
      <c r="V338" s="603">
        <v>0</v>
      </c>
      <c r="W338" s="603">
        <v>0</v>
      </c>
      <c r="X338" s="603">
        <v>0</v>
      </c>
      <c r="Y338" s="603">
        <v>0</v>
      </c>
      <c r="Z338" s="603">
        <v>0</v>
      </c>
    </row>
    <row r="339" spans="1:26" x14ac:dyDescent="0.2">
      <c r="A339" s="607" t="s">
        <v>565</v>
      </c>
      <c r="B339" s="665">
        <v>0</v>
      </c>
      <c r="C339" s="665">
        <v>0</v>
      </c>
      <c r="D339" s="665">
        <v>0</v>
      </c>
      <c r="E339" s="665">
        <v>0</v>
      </c>
      <c r="F339" s="665">
        <v>0</v>
      </c>
      <c r="G339" s="665">
        <v>0</v>
      </c>
      <c r="H339" s="665">
        <v>0</v>
      </c>
      <c r="I339" s="665">
        <v>0</v>
      </c>
      <c r="J339" s="665">
        <v>0</v>
      </c>
      <c r="K339" s="665">
        <v>0</v>
      </c>
      <c r="L339" s="665">
        <v>0</v>
      </c>
      <c r="M339" s="665">
        <v>0</v>
      </c>
      <c r="N339" s="665">
        <v>0</v>
      </c>
      <c r="O339" s="665">
        <v>0</v>
      </c>
      <c r="P339" s="665">
        <v>0</v>
      </c>
      <c r="Q339" s="665">
        <v>0</v>
      </c>
      <c r="R339" s="665">
        <v>0</v>
      </c>
      <c r="S339" s="665">
        <v>0</v>
      </c>
      <c r="T339" s="604" t="e">
        <v>#DIV/0!</v>
      </c>
      <c r="U339" s="603">
        <v>0</v>
      </c>
      <c r="V339" s="603">
        <v>0</v>
      </c>
      <c r="W339" s="603">
        <v>0</v>
      </c>
      <c r="X339" s="603">
        <v>0</v>
      </c>
      <c r="Y339" s="603">
        <v>0</v>
      </c>
      <c r="Z339" s="603">
        <v>0</v>
      </c>
    </row>
    <row r="340" spans="1:26" x14ac:dyDescent="0.2">
      <c r="A340" s="605" t="s">
        <v>1257</v>
      </c>
      <c r="B340" s="665">
        <v>2333807</v>
      </c>
      <c r="C340" s="665">
        <v>2198454.21</v>
      </c>
      <c r="D340" s="665">
        <v>198454.21</v>
      </c>
      <c r="E340" s="665">
        <v>112094.09</v>
      </c>
      <c r="F340" s="665">
        <v>112094.09</v>
      </c>
      <c r="G340" s="665">
        <v>0</v>
      </c>
      <c r="H340" s="665">
        <v>0</v>
      </c>
      <c r="I340" s="665">
        <v>28783.96</v>
      </c>
      <c r="J340" s="665">
        <v>0</v>
      </c>
      <c r="K340" s="665">
        <v>0</v>
      </c>
      <c r="L340" s="665">
        <v>0</v>
      </c>
      <c r="M340" s="665">
        <v>83310.13</v>
      </c>
      <c r="N340" s="665">
        <v>0</v>
      </c>
      <c r="O340" s="665">
        <v>0</v>
      </c>
      <c r="P340" s="665">
        <v>0</v>
      </c>
      <c r="Q340" s="665">
        <v>0</v>
      </c>
      <c r="R340" s="665">
        <v>0</v>
      </c>
      <c r="S340" s="665">
        <v>112094.09</v>
      </c>
      <c r="T340" s="604">
        <v>5.0987684660486969E-2</v>
      </c>
      <c r="U340" s="603">
        <v>2086360.1199999999</v>
      </c>
      <c r="V340" s="603">
        <v>2000000</v>
      </c>
      <c r="W340" s="603">
        <v>2086360.1199999999</v>
      </c>
      <c r="X340" s="603">
        <v>86360.12</v>
      </c>
      <c r="Y340" s="603">
        <v>0</v>
      </c>
      <c r="Z340" s="603">
        <v>0</v>
      </c>
    </row>
    <row r="341" spans="1:26" x14ac:dyDescent="0.2">
      <c r="A341" s="607" t="s">
        <v>1259</v>
      </c>
      <c r="B341" s="665">
        <v>333807</v>
      </c>
      <c r="C341" s="665">
        <v>198454.21</v>
      </c>
      <c r="D341" s="665">
        <v>198454.21</v>
      </c>
      <c r="E341" s="665">
        <v>112094.09</v>
      </c>
      <c r="F341" s="665">
        <v>112094.09</v>
      </c>
      <c r="G341" s="665">
        <v>0</v>
      </c>
      <c r="H341" s="665">
        <v>0</v>
      </c>
      <c r="I341" s="665">
        <v>28783.96</v>
      </c>
      <c r="J341" s="665">
        <v>0</v>
      </c>
      <c r="K341" s="665">
        <v>0</v>
      </c>
      <c r="L341" s="665">
        <v>0</v>
      </c>
      <c r="M341" s="665">
        <v>83310.13</v>
      </c>
      <c r="N341" s="665">
        <v>0</v>
      </c>
      <c r="O341" s="665">
        <v>0</v>
      </c>
      <c r="P341" s="665">
        <v>0</v>
      </c>
      <c r="Q341" s="665">
        <v>0</v>
      </c>
      <c r="R341" s="665">
        <v>0</v>
      </c>
      <c r="S341" s="665">
        <v>112094.09</v>
      </c>
      <c r="T341" s="604">
        <v>0.5648360395075519</v>
      </c>
      <c r="U341" s="603">
        <v>86360.12</v>
      </c>
      <c r="V341" s="603">
        <v>0</v>
      </c>
      <c r="W341" s="603">
        <v>86360.12</v>
      </c>
      <c r="X341" s="603">
        <v>86360.12</v>
      </c>
      <c r="Y341" s="603">
        <v>0</v>
      </c>
      <c r="Z341" s="603">
        <v>0</v>
      </c>
    </row>
    <row r="342" spans="1:26" x14ac:dyDescent="0.2">
      <c r="A342" s="607" t="s">
        <v>1261</v>
      </c>
      <c r="B342" s="665">
        <v>2000000</v>
      </c>
      <c r="C342" s="665">
        <v>2000000</v>
      </c>
      <c r="D342" s="665">
        <v>0</v>
      </c>
      <c r="E342" s="665">
        <v>0</v>
      </c>
      <c r="F342" s="665">
        <v>0</v>
      </c>
      <c r="G342" s="665">
        <v>0</v>
      </c>
      <c r="H342" s="665">
        <v>0</v>
      </c>
      <c r="I342" s="665">
        <v>0</v>
      </c>
      <c r="J342" s="665">
        <v>0</v>
      </c>
      <c r="K342" s="665">
        <v>0</v>
      </c>
      <c r="L342" s="665">
        <v>0</v>
      </c>
      <c r="M342" s="665">
        <v>0</v>
      </c>
      <c r="N342" s="665">
        <v>0</v>
      </c>
      <c r="O342" s="665">
        <v>0</v>
      </c>
      <c r="P342" s="665">
        <v>0</v>
      </c>
      <c r="Q342" s="665">
        <v>0</v>
      </c>
      <c r="R342" s="665">
        <v>0</v>
      </c>
      <c r="S342" s="665">
        <v>0</v>
      </c>
      <c r="T342" s="604">
        <v>0</v>
      </c>
      <c r="U342" s="603">
        <v>2000000</v>
      </c>
      <c r="V342" s="603">
        <v>2000000</v>
      </c>
      <c r="W342" s="603">
        <v>2000000</v>
      </c>
      <c r="X342" s="603">
        <v>0</v>
      </c>
      <c r="Y342" s="603">
        <v>0</v>
      </c>
      <c r="Z342" s="603">
        <v>0</v>
      </c>
    </row>
    <row r="343" spans="1:26" x14ac:dyDescent="0.2">
      <c r="A343" s="605" t="s">
        <v>566</v>
      </c>
      <c r="B343" s="665">
        <v>0</v>
      </c>
      <c r="C343" s="665">
        <v>0</v>
      </c>
      <c r="D343" s="665">
        <v>0</v>
      </c>
      <c r="E343" s="665">
        <v>0</v>
      </c>
      <c r="F343" s="665">
        <v>0</v>
      </c>
      <c r="G343" s="665">
        <v>0</v>
      </c>
      <c r="H343" s="665">
        <v>0</v>
      </c>
      <c r="I343" s="665">
        <v>0</v>
      </c>
      <c r="J343" s="665">
        <v>0</v>
      </c>
      <c r="K343" s="665">
        <v>0</v>
      </c>
      <c r="L343" s="665">
        <v>0</v>
      </c>
      <c r="M343" s="665">
        <v>0</v>
      </c>
      <c r="N343" s="665">
        <v>0</v>
      </c>
      <c r="O343" s="665">
        <v>0</v>
      </c>
      <c r="P343" s="665">
        <v>0</v>
      </c>
      <c r="Q343" s="665">
        <v>0</v>
      </c>
      <c r="R343" s="665">
        <v>0</v>
      </c>
      <c r="S343" s="665">
        <v>0</v>
      </c>
      <c r="T343" s="604" t="e">
        <v>#DIV/0!</v>
      </c>
      <c r="U343" s="603">
        <v>0</v>
      </c>
      <c r="V343" s="603">
        <v>0</v>
      </c>
      <c r="W343" s="603">
        <v>0</v>
      </c>
      <c r="X343" s="603">
        <v>0</v>
      </c>
      <c r="Y343" s="603">
        <v>0</v>
      </c>
      <c r="Z343" s="603">
        <v>0</v>
      </c>
    </row>
    <row r="344" spans="1:26" x14ac:dyDescent="0.2">
      <c r="A344" s="605" t="s">
        <v>567</v>
      </c>
      <c r="B344" s="665">
        <v>0</v>
      </c>
      <c r="C344" s="665">
        <v>0</v>
      </c>
      <c r="D344" s="665">
        <v>0</v>
      </c>
      <c r="E344" s="665">
        <v>0</v>
      </c>
      <c r="F344" s="665">
        <v>0</v>
      </c>
      <c r="G344" s="665">
        <v>0</v>
      </c>
      <c r="H344" s="665">
        <v>0</v>
      </c>
      <c r="I344" s="665">
        <v>0</v>
      </c>
      <c r="J344" s="665">
        <v>0</v>
      </c>
      <c r="K344" s="665">
        <v>0</v>
      </c>
      <c r="L344" s="665">
        <v>0</v>
      </c>
      <c r="M344" s="665">
        <v>0</v>
      </c>
      <c r="N344" s="665">
        <v>0</v>
      </c>
      <c r="O344" s="665">
        <v>0</v>
      </c>
      <c r="P344" s="665">
        <v>0</v>
      </c>
      <c r="Q344" s="665">
        <v>0</v>
      </c>
      <c r="R344" s="665">
        <v>0</v>
      </c>
      <c r="S344" s="665">
        <v>0</v>
      </c>
      <c r="T344" s="604" t="e">
        <v>#DIV/0!</v>
      </c>
      <c r="U344" s="603">
        <v>0</v>
      </c>
      <c r="V344" s="603">
        <v>0</v>
      </c>
      <c r="W344" s="603">
        <v>0</v>
      </c>
      <c r="X344" s="603">
        <v>0</v>
      </c>
      <c r="Y344" s="603">
        <v>0</v>
      </c>
      <c r="Z344" s="603">
        <v>0</v>
      </c>
    </row>
    <row r="345" spans="1:26" x14ac:dyDescent="0.2">
      <c r="A345" s="597" t="s">
        <v>568</v>
      </c>
      <c r="B345" s="655">
        <v>0</v>
      </c>
      <c r="C345" s="655">
        <v>0</v>
      </c>
      <c r="D345" s="655">
        <v>0</v>
      </c>
      <c r="E345" s="655">
        <v>0</v>
      </c>
      <c r="F345" s="655">
        <v>0</v>
      </c>
      <c r="G345" s="655">
        <v>0</v>
      </c>
      <c r="H345" s="655">
        <v>0</v>
      </c>
      <c r="I345" s="655">
        <v>0</v>
      </c>
      <c r="J345" s="655">
        <v>0</v>
      </c>
      <c r="K345" s="655">
        <v>0</v>
      </c>
      <c r="L345" s="655">
        <v>0</v>
      </c>
      <c r="M345" s="655">
        <v>0</v>
      </c>
      <c r="N345" s="655">
        <v>0</v>
      </c>
      <c r="O345" s="655">
        <v>0</v>
      </c>
      <c r="P345" s="655">
        <v>0</v>
      </c>
      <c r="Q345" s="655">
        <v>0</v>
      </c>
      <c r="R345" s="655">
        <v>0</v>
      </c>
      <c r="S345" s="655">
        <v>0</v>
      </c>
      <c r="T345" s="600" t="e">
        <v>#DIV/0!</v>
      </c>
      <c r="U345" s="599">
        <v>0</v>
      </c>
      <c r="V345" s="599">
        <v>0</v>
      </c>
      <c r="W345" s="599">
        <v>0</v>
      </c>
      <c r="X345" s="599">
        <v>0</v>
      </c>
      <c r="Y345" s="599">
        <v>0</v>
      </c>
      <c r="Z345" s="599">
        <v>0</v>
      </c>
    </row>
    <row r="346" spans="1:26" x14ac:dyDescent="0.2">
      <c r="A346" s="605" t="s">
        <v>569</v>
      </c>
      <c r="B346" s="665">
        <v>0</v>
      </c>
      <c r="C346" s="665">
        <v>0</v>
      </c>
      <c r="D346" s="665">
        <v>0</v>
      </c>
      <c r="E346" s="665">
        <v>0</v>
      </c>
      <c r="F346" s="665">
        <v>0</v>
      </c>
      <c r="G346" s="665">
        <v>0</v>
      </c>
      <c r="H346" s="665">
        <v>0</v>
      </c>
      <c r="I346" s="665">
        <v>0</v>
      </c>
      <c r="J346" s="665">
        <v>0</v>
      </c>
      <c r="K346" s="665">
        <v>0</v>
      </c>
      <c r="L346" s="665">
        <v>0</v>
      </c>
      <c r="M346" s="665">
        <v>0</v>
      </c>
      <c r="N346" s="665">
        <v>0</v>
      </c>
      <c r="O346" s="665">
        <v>0</v>
      </c>
      <c r="P346" s="665">
        <v>0</v>
      </c>
      <c r="Q346" s="665">
        <v>0</v>
      </c>
      <c r="R346" s="665">
        <v>0</v>
      </c>
      <c r="S346" s="665">
        <v>0</v>
      </c>
      <c r="T346" s="604" t="e">
        <v>#DIV/0!</v>
      </c>
      <c r="U346" s="603">
        <v>0</v>
      </c>
      <c r="V346" s="603">
        <v>0</v>
      </c>
      <c r="W346" s="603">
        <v>0</v>
      </c>
      <c r="X346" s="603">
        <v>0</v>
      </c>
      <c r="Y346" s="603">
        <v>0</v>
      </c>
      <c r="Z346" s="603">
        <v>0</v>
      </c>
    </row>
    <row r="347" spans="1:26" ht="24" x14ac:dyDescent="0.2">
      <c r="A347" s="605" t="s">
        <v>570</v>
      </c>
      <c r="B347" s="665">
        <v>0</v>
      </c>
      <c r="C347" s="665">
        <v>0</v>
      </c>
      <c r="D347" s="665">
        <v>0</v>
      </c>
      <c r="E347" s="665">
        <v>0</v>
      </c>
      <c r="F347" s="665">
        <v>0</v>
      </c>
      <c r="G347" s="665">
        <v>0</v>
      </c>
      <c r="H347" s="665">
        <v>0</v>
      </c>
      <c r="I347" s="665">
        <v>0</v>
      </c>
      <c r="J347" s="665">
        <v>0</v>
      </c>
      <c r="K347" s="665">
        <v>0</v>
      </c>
      <c r="L347" s="665">
        <v>0</v>
      </c>
      <c r="M347" s="665">
        <v>0</v>
      </c>
      <c r="N347" s="665">
        <v>0</v>
      </c>
      <c r="O347" s="665">
        <v>0</v>
      </c>
      <c r="P347" s="665">
        <v>0</v>
      </c>
      <c r="Q347" s="665">
        <v>0</v>
      </c>
      <c r="R347" s="665">
        <v>0</v>
      </c>
      <c r="S347" s="665">
        <v>0</v>
      </c>
      <c r="T347" s="604" t="e">
        <v>#DIV/0!</v>
      </c>
      <c r="U347" s="603">
        <v>0</v>
      </c>
      <c r="V347" s="603">
        <v>0</v>
      </c>
      <c r="W347" s="603">
        <v>0</v>
      </c>
      <c r="X347" s="603">
        <v>0</v>
      </c>
      <c r="Y347" s="603">
        <v>0</v>
      </c>
      <c r="Z347" s="603">
        <v>0</v>
      </c>
    </row>
    <row r="348" spans="1:26" ht="24" x14ac:dyDescent="0.2">
      <c r="A348" s="605" t="s">
        <v>571</v>
      </c>
      <c r="B348" s="665">
        <v>0</v>
      </c>
      <c r="C348" s="665">
        <v>0</v>
      </c>
      <c r="D348" s="665">
        <v>0</v>
      </c>
      <c r="E348" s="665">
        <v>0</v>
      </c>
      <c r="F348" s="665">
        <v>0</v>
      </c>
      <c r="G348" s="665">
        <v>0</v>
      </c>
      <c r="H348" s="665">
        <v>0</v>
      </c>
      <c r="I348" s="665">
        <v>0</v>
      </c>
      <c r="J348" s="665">
        <v>0</v>
      </c>
      <c r="K348" s="665">
        <v>0</v>
      </c>
      <c r="L348" s="665">
        <v>0</v>
      </c>
      <c r="M348" s="665">
        <v>0</v>
      </c>
      <c r="N348" s="665">
        <v>0</v>
      </c>
      <c r="O348" s="665">
        <v>0</v>
      </c>
      <c r="P348" s="665">
        <v>0</v>
      </c>
      <c r="Q348" s="665">
        <v>0</v>
      </c>
      <c r="R348" s="665">
        <v>0</v>
      </c>
      <c r="S348" s="665">
        <v>0</v>
      </c>
      <c r="T348" s="604" t="e">
        <v>#DIV/0!</v>
      </c>
      <c r="U348" s="603">
        <v>0</v>
      </c>
      <c r="V348" s="603">
        <v>0</v>
      </c>
      <c r="W348" s="603">
        <v>0</v>
      </c>
      <c r="X348" s="603">
        <v>0</v>
      </c>
      <c r="Y348" s="603">
        <v>0</v>
      </c>
      <c r="Z348" s="603">
        <v>0</v>
      </c>
    </row>
    <row r="349" spans="1:26" x14ac:dyDescent="0.2">
      <c r="A349" s="597" t="s">
        <v>572</v>
      </c>
      <c r="B349" s="655">
        <v>125372902</v>
      </c>
      <c r="C349" s="655">
        <v>128127902</v>
      </c>
      <c r="D349" s="655">
        <v>128127902</v>
      </c>
      <c r="E349" s="655">
        <v>83145866.394099042</v>
      </c>
      <c r="F349" s="655">
        <v>82756865.348051265</v>
      </c>
      <c r="G349" s="655">
        <v>2130970.4500000002</v>
      </c>
      <c r="H349" s="655">
        <v>2339213.486</v>
      </c>
      <c r="I349" s="655">
        <v>23498609.844999995</v>
      </c>
      <c r="J349" s="655">
        <v>2421006.1800000002</v>
      </c>
      <c r="K349" s="655">
        <v>2388617.23</v>
      </c>
      <c r="L349" s="655">
        <v>22395670.188000001</v>
      </c>
      <c r="M349" s="655">
        <v>2363156.7531730034</v>
      </c>
      <c r="N349" s="655">
        <v>2352154.4528144361</v>
      </c>
      <c r="O349" s="655">
        <v>22836498.776000001</v>
      </c>
      <c r="P349" s="655">
        <v>0</v>
      </c>
      <c r="Q349" s="655">
        <v>0</v>
      </c>
      <c r="R349" s="655">
        <v>0</v>
      </c>
      <c r="S349" s="655">
        <v>82725897.360987425</v>
      </c>
      <c r="T349" s="600">
        <v>0.64565091654265461</v>
      </c>
      <c r="U349" s="599">
        <v>45402004.639012575</v>
      </c>
      <c r="V349" s="599">
        <v>0</v>
      </c>
      <c r="W349" s="599">
        <v>44982035.605900958</v>
      </c>
      <c r="X349" s="599">
        <v>44982035.605900958</v>
      </c>
      <c r="Y349" s="599">
        <v>389001.04604777694</v>
      </c>
      <c r="Z349" s="599">
        <v>30967.987063840032</v>
      </c>
    </row>
    <row r="350" spans="1:26" ht="24" x14ac:dyDescent="0.2">
      <c r="A350" s="605" t="s">
        <v>573</v>
      </c>
      <c r="B350" s="665">
        <v>8083440</v>
      </c>
      <c r="C350" s="665">
        <v>8903440</v>
      </c>
      <c r="D350" s="665">
        <v>8903440</v>
      </c>
      <c r="E350" s="665">
        <v>7097978.7999999998</v>
      </c>
      <c r="F350" s="665">
        <v>7004199.8499999996</v>
      </c>
      <c r="G350" s="665">
        <v>868100</v>
      </c>
      <c r="H350" s="665">
        <v>88800</v>
      </c>
      <c r="I350" s="665">
        <v>1733040</v>
      </c>
      <c r="J350" s="665">
        <v>88920</v>
      </c>
      <c r="K350" s="665">
        <v>85620</v>
      </c>
      <c r="L350" s="665">
        <v>1671000</v>
      </c>
      <c r="M350" s="665">
        <v>816340</v>
      </c>
      <c r="N350" s="665">
        <v>-10738.949999999997</v>
      </c>
      <c r="O350" s="665">
        <v>1663118.8</v>
      </c>
      <c r="P350" s="665">
        <v>0</v>
      </c>
      <c r="Q350" s="665">
        <v>0</v>
      </c>
      <c r="R350" s="665">
        <v>0</v>
      </c>
      <c r="S350" s="665">
        <v>7004199.8499999996</v>
      </c>
      <c r="T350" s="604">
        <v>0.78668468030334338</v>
      </c>
      <c r="U350" s="603">
        <v>1899240.1500000004</v>
      </c>
      <c r="V350" s="603">
        <v>0</v>
      </c>
      <c r="W350" s="603">
        <v>1805461.2000000002</v>
      </c>
      <c r="X350" s="603">
        <v>1805461.2000000002</v>
      </c>
      <c r="Y350" s="603">
        <v>93778.950000000186</v>
      </c>
      <c r="Z350" s="603">
        <v>0</v>
      </c>
    </row>
    <row r="351" spans="1:26" x14ac:dyDescent="0.2">
      <c r="A351" s="605" t="s">
        <v>574</v>
      </c>
      <c r="B351" s="665">
        <v>95646560</v>
      </c>
      <c r="C351" s="665">
        <v>94626560</v>
      </c>
      <c r="D351" s="665">
        <v>94626560</v>
      </c>
      <c r="E351" s="665">
        <v>63104338.700000003</v>
      </c>
      <c r="F351" s="665">
        <v>62886293.560000002</v>
      </c>
      <c r="G351" s="665">
        <v>88980</v>
      </c>
      <c r="H351" s="665">
        <v>868160</v>
      </c>
      <c r="I351" s="665">
        <v>20266141.149999999</v>
      </c>
      <c r="J351" s="665">
        <v>890282</v>
      </c>
      <c r="K351" s="665">
        <v>843780</v>
      </c>
      <c r="L351" s="665">
        <v>19277897.710000001</v>
      </c>
      <c r="M351" s="665">
        <v>100880</v>
      </c>
      <c r="N351" s="665">
        <v>832366</v>
      </c>
      <c r="O351" s="665">
        <v>19687446.699999999</v>
      </c>
      <c r="P351" s="665">
        <v>0</v>
      </c>
      <c r="Q351" s="665">
        <v>0</v>
      </c>
      <c r="R351" s="665">
        <v>0</v>
      </c>
      <c r="S351" s="665">
        <v>62855933.560000002</v>
      </c>
      <c r="T351" s="604">
        <v>0.6642525476990816</v>
      </c>
      <c r="U351" s="603">
        <v>31770626.439999998</v>
      </c>
      <c r="V351" s="603">
        <v>0</v>
      </c>
      <c r="W351" s="603">
        <v>31522221.299999997</v>
      </c>
      <c r="X351" s="603">
        <v>31522221.299999997</v>
      </c>
      <c r="Y351" s="603">
        <v>218045.1400000006</v>
      </c>
      <c r="Z351" s="603">
        <v>30360</v>
      </c>
    </row>
    <row r="352" spans="1:26" x14ac:dyDescent="0.2">
      <c r="A352" s="605" t="s">
        <v>575</v>
      </c>
      <c r="B352" s="665">
        <v>156000</v>
      </c>
      <c r="C352" s="665">
        <v>18000</v>
      </c>
      <c r="D352" s="665">
        <v>18000</v>
      </c>
      <c r="E352" s="665">
        <v>9147.6149999999998</v>
      </c>
      <c r="F352" s="665">
        <v>9147.6149999999998</v>
      </c>
      <c r="G352" s="665">
        <v>860.83999999999992</v>
      </c>
      <c r="H352" s="665">
        <v>860.83999999999992</v>
      </c>
      <c r="I352" s="665">
        <v>848.99</v>
      </c>
      <c r="J352" s="665">
        <v>848.99</v>
      </c>
      <c r="K352" s="665">
        <v>1070.5</v>
      </c>
      <c r="L352" s="665">
        <v>1354.8249999999998</v>
      </c>
      <c r="M352" s="665">
        <v>1131.04</v>
      </c>
      <c r="N352" s="665">
        <v>1156.2599999999998</v>
      </c>
      <c r="O352" s="665">
        <v>1015.3299999999999</v>
      </c>
      <c r="P352" s="665">
        <v>0</v>
      </c>
      <c r="Q352" s="665">
        <v>0</v>
      </c>
      <c r="R352" s="665">
        <v>0</v>
      </c>
      <c r="S352" s="665">
        <v>9147.6149999999998</v>
      </c>
      <c r="T352" s="604">
        <v>0.50820083333333332</v>
      </c>
      <c r="U352" s="603">
        <v>8852.3850000000002</v>
      </c>
      <c r="V352" s="603">
        <v>0</v>
      </c>
      <c r="W352" s="603">
        <v>8852.3850000000002</v>
      </c>
      <c r="X352" s="603">
        <v>8852.3850000000002</v>
      </c>
      <c r="Y352" s="603">
        <v>0</v>
      </c>
      <c r="Z352" s="603">
        <v>0</v>
      </c>
    </row>
    <row r="353" spans="1:26" x14ac:dyDescent="0.2">
      <c r="A353" s="605" t="s">
        <v>576</v>
      </c>
      <c r="B353" s="665">
        <v>364000</v>
      </c>
      <c r="C353" s="665">
        <v>702000</v>
      </c>
      <c r="D353" s="665">
        <v>702000</v>
      </c>
      <c r="E353" s="665">
        <v>395248.14400000003</v>
      </c>
      <c r="F353" s="665">
        <v>394489.83400000003</v>
      </c>
      <c r="G353" s="665">
        <v>27247.18</v>
      </c>
      <c r="H353" s="665">
        <v>39471.08</v>
      </c>
      <c r="I353" s="665">
        <v>53513.56</v>
      </c>
      <c r="J353" s="665">
        <v>45771.890000000007</v>
      </c>
      <c r="K353" s="665">
        <v>44424.82</v>
      </c>
      <c r="L353" s="665">
        <v>45313.84</v>
      </c>
      <c r="M353" s="665">
        <v>45445.149999999994</v>
      </c>
      <c r="N353" s="665">
        <v>46467.189999999995</v>
      </c>
      <c r="O353" s="665">
        <v>46835.123999999996</v>
      </c>
      <c r="P353" s="665">
        <v>0</v>
      </c>
      <c r="Q353" s="665">
        <v>0</v>
      </c>
      <c r="R353" s="665">
        <v>0</v>
      </c>
      <c r="S353" s="665">
        <v>394489.83400000003</v>
      </c>
      <c r="T353" s="604">
        <v>0.56195133048433055</v>
      </c>
      <c r="U353" s="603">
        <v>307510.16599999997</v>
      </c>
      <c r="V353" s="603">
        <v>0</v>
      </c>
      <c r="W353" s="603">
        <v>306751.85599999997</v>
      </c>
      <c r="X353" s="603">
        <v>306751.85599999997</v>
      </c>
      <c r="Y353" s="603">
        <v>758.30999999999767</v>
      </c>
      <c r="Z353" s="603">
        <v>0</v>
      </c>
    </row>
    <row r="354" spans="1:26" x14ac:dyDescent="0.2">
      <c r="A354" s="605" t="s">
        <v>577</v>
      </c>
      <c r="B354" s="665">
        <v>0</v>
      </c>
      <c r="C354" s="665">
        <v>0</v>
      </c>
      <c r="D354" s="665">
        <v>0</v>
      </c>
      <c r="E354" s="665">
        <v>0</v>
      </c>
      <c r="F354" s="665">
        <v>0</v>
      </c>
      <c r="G354" s="665">
        <v>0</v>
      </c>
      <c r="H354" s="665">
        <v>0</v>
      </c>
      <c r="I354" s="665">
        <v>0</v>
      </c>
      <c r="J354" s="665">
        <v>0</v>
      </c>
      <c r="K354" s="665">
        <v>0</v>
      </c>
      <c r="L354" s="665">
        <v>0</v>
      </c>
      <c r="M354" s="665">
        <v>0</v>
      </c>
      <c r="N354" s="665">
        <v>0</v>
      </c>
      <c r="O354" s="665">
        <v>0</v>
      </c>
      <c r="P354" s="665">
        <v>0</v>
      </c>
      <c r="Q354" s="665">
        <v>0</v>
      </c>
      <c r="R354" s="665">
        <v>0</v>
      </c>
      <c r="S354" s="665">
        <v>0</v>
      </c>
      <c r="T354" s="604" t="e">
        <v>#DIV/0!</v>
      </c>
      <c r="U354" s="603">
        <v>0</v>
      </c>
      <c r="V354" s="603">
        <v>0</v>
      </c>
      <c r="W354" s="603">
        <v>0</v>
      </c>
      <c r="X354" s="603">
        <v>0</v>
      </c>
      <c r="Y354" s="603">
        <v>0</v>
      </c>
      <c r="Z354" s="603">
        <v>0</v>
      </c>
    </row>
    <row r="355" spans="1:26" ht="24" x14ac:dyDescent="0.2">
      <c r="A355" s="605" t="s">
        <v>578</v>
      </c>
      <c r="B355" s="665">
        <v>0</v>
      </c>
      <c r="C355" s="665">
        <v>0</v>
      </c>
      <c r="D355" s="665">
        <v>0</v>
      </c>
      <c r="E355" s="665">
        <v>0</v>
      </c>
      <c r="F355" s="665">
        <v>0</v>
      </c>
      <c r="G355" s="665">
        <v>0</v>
      </c>
      <c r="H355" s="665">
        <v>0</v>
      </c>
      <c r="I355" s="665">
        <v>0</v>
      </c>
      <c r="J355" s="665">
        <v>0</v>
      </c>
      <c r="K355" s="665">
        <v>0</v>
      </c>
      <c r="L355" s="665">
        <v>0</v>
      </c>
      <c r="M355" s="665">
        <v>0</v>
      </c>
      <c r="N355" s="665">
        <v>0</v>
      </c>
      <c r="O355" s="665">
        <v>0</v>
      </c>
      <c r="P355" s="665">
        <v>0</v>
      </c>
      <c r="Q355" s="665">
        <v>0</v>
      </c>
      <c r="R355" s="665">
        <v>0</v>
      </c>
      <c r="S355" s="665">
        <v>0</v>
      </c>
      <c r="T355" s="604" t="e">
        <v>#DIV/0!</v>
      </c>
      <c r="U355" s="603">
        <v>0</v>
      </c>
      <c r="V355" s="603">
        <v>0</v>
      </c>
      <c r="W355" s="603">
        <v>0</v>
      </c>
      <c r="X355" s="603">
        <v>0</v>
      </c>
      <c r="Y355" s="603">
        <v>0</v>
      </c>
      <c r="Z355" s="603">
        <v>0</v>
      </c>
    </row>
    <row r="356" spans="1:26" x14ac:dyDescent="0.2">
      <c r="A356" s="605" t="s">
        <v>579</v>
      </c>
      <c r="B356" s="665">
        <v>188400</v>
      </c>
      <c r="C356" s="665">
        <v>188400</v>
      </c>
      <c r="D356" s="665">
        <v>188400</v>
      </c>
      <c r="E356" s="665">
        <v>64833.939999999995</v>
      </c>
      <c r="F356" s="665">
        <v>64833.939999999995</v>
      </c>
      <c r="G356" s="665">
        <v>6891.2300000000005</v>
      </c>
      <c r="H356" s="665">
        <v>6891.2300000000005</v>
      </c>
      <c r="I356" s="665">
        <v>6729.72</v>
      </c>
      <c r="J356" s="665">
        <v>6729.72</v>
      </c>
      <c r="K356" s="665">
        <v>6729.72</v>
      </c>
      <c r="L356" s="665">
        <v>9053.8000000000011</v>
      </c>
      <c r="M356" s="665">
        <v>7191.2</v>
      </c>
      <c r="N356" s="665">
        <v>7269.72</v>
      </c>
      <c r="O356" s="665">
        <v>7347.5999999999995</v>
      </c>
      <c r="P356" s="665">
        <v>0</v>
      </c>
      <c r="Q356" s="665">
        <v>0</v>
      </c>
      <c r="R356" s="665">
        <v>0</v>
      </c>
      <c r="S356" s="665">
        <v>64833.94</v>
      </c>
      <c r="T356" s="604">
        <v>0.34412919320594482</v>
      </c>
      <c r="U356" s="603">
        <v>123566.06</v>
      </c>
      <c r="V356" s="603">
        <v>0</v>
      </c>
      <c r="W356" s="603">
        <v>123566.06</v>
      </c>
      <c r="X356" s="603">
        <v>123566.06</v>
      </c>
      <c r="Y356" s="603">
        <v>0</v>
      </c>
      <c r="Z356" s="603">
        <v>0</v>
      </c>
    </row>
    <row r="357" spans="1:26" x14ac:dyDescent="0.2">
      <c r="A357" s="605" t="s">
        <v>580</v>
      </c>
      <c r="B357" s="665">
        <v>11400000</v>
      </c>
      <c r="C357" s="665">
        <v>11400000</v>
      </c>
      <c r="D357" s="665">
        <v>11400000</v>
      </c>
      <c r="E357" s="665">
        <v>5333345.2990000006</v>
      </c>
      <c r="F357" s="665">
        <v>5321898.9290000005</v>
      </c>
      <c r="G357" s="665">
        <v>471135.86</v>
      </c>
      <c r="H357" s="665">
        <v>582543.98</v>
      </c>
      <c r="I357" s="665">
        <v>638798.76</v>
      </c>
      <c r="J357" s="665">
        <v>596965.34000000008</v>
      </c>
      <c r="K357" s="665">
        <v>596668.12999999989</v>
      </c>
      <c r="L357" s="665">
        <v>604978.28000000014</v>
      </c>
      <c r="M357" s="665">
        <v>606622.40500000003</v>
      </c>
      <c r="N357" s="665">
        <v>610579.51400000008</v>
      </c>
      <c r="O357" s="665">
        <v>613606.65999999992</v>
      </c>
      <c r="P357" s="665">
        <v>0</v>
      </c>
      <c r="Q357" s="665">
        <v>0</v>
      </c>
      <c r="R357" s="665">
        <v>0</v>
      </c>
      <c r="S357" s="665">
        <v>5321898.9290000005</v>
      </c>
      <c r="T357" s="604">
        <v>0.46683323938596494</v>
      </c>
      <c r="U357" s="603">
        <v>6078101.0709999995</v>
      </c>
      <c r="V357" s="603">
        <v>0</v>
      </c>
      <c r="W357" s="603">
        <v>6066654.7009999994</v>
      </c>
      <c r="X357" s="603">
        <v>6066654.7009999994</v>
      </c>
      <c r="Y357" s="603">
        <v>11446.370000000112</v>
      </c>
      <c r="Z357" s="603">
        <v>0</v>
      </c>
    </row>
    <row r="358" spans="1:26" x14ac:dyDescent="0.2">
      <c r="A358" s="605" t="s">
        <v>581</v>
      </c>
      <c r="B358" s="665">
        <v>4800000</v>
      </c>
      <c r="C358" s="665">
        <v>4800000</v>
      </c>
      <c r="D358" s="665">
        <v>4800000</v>
      </c>
      <c r="E358" s="665">
        <v>2738534.085</v>
      </c>
      <c r="F358" s="665">
        <v>2737395.83</v>
      </c>
      <c r="G358" s="665">
        <v>295531.48</v>
      </c>
      <c r="H358" s="665">
        <v>296532.23</v>
      </c>
      <c r="I358" s="665">
        <v>298442.68500000006</v>
      </c>
      <c r="J358" s="665">
        <v>301795.93</v>
      </c>
      <c r="K358" s="665">
        <v>307666.84999999998</v>
      </c>
      <c r="L358" s="665">
        <v>303412.38999999996</v>
      </c>
      <c r="M358" s="665">
        <v>307457.08999999997</v>
      </c>
      <c r="N358" s="665">
        <v>312127.98000000004</v>
      </c>
      <c r="O358" s="665">
        <v>314429.19500000001</v>
      </c>
      <c r="P358" s="665">
        <v>0</v>
      </c>
      <c r="Q358" s="665">
        <v>0</v>
      </c>
      <c r="R358" s="665">
        <v>0</v>
      </c>
      <c r="S358" s="665">
        <v>2737395.8299999996</v>
      </c>
      <c r="T358" s="604">
        <v>0.57029079791666659</v>
      </c>
      <c r="U358" s="603">
        <v>2062604.1700000004</v>
      </c>
      <c r="V358" s="603">
        <v>0</v>
      </c>
      <c r="W358" s="603">
        <v>2061465.915</v>
      </c>
      <c r="X358" s="603">
        <v>2061465.915</v>
      </c>
      <c r="Y358" s="603">
        <v>1138.2549999998882</v>
      </c>
      <c r="Z358" s="603">
        <v>0</v>
      </c>
    </row>
    <row r="359" spans="1:26" x14ac:dyDescent="0.2">
      <c r="A359" s="605" t="s">
        <v>582</v>
      </c>
      <c r="B359" s="665">
        <v>68100</v>
      </c>
      <c r="C359" s="665">
        <v>73100</v>
      </c>
      <c r="D359" s="665">
        <v>73100</v>
      </c>
      <c r="E359" s="665">
        <v>61424.374999999978</v>
      </c>
      <c r="F359" s="665">
        <v>59950.738999999987</v>
      </c>
      <c r="G359" s="665">
        <v>7027.15</v>
      </c>
      <c r="H359" s="665">
        <v>4094.9439999999995</v>
      </c>
      <c r="I359" s="665">
        <v>4028.2999999999997</v>
      </c>
      <c r="J359" s="665">
        <v>3094.6699999999996</v>
      </c>
      <c r="K359" s="665">
        <v>4137.16</v>
      </c>
      <c r="L359" s="665">
        <v>5715.625</v>
      </c>
      <c r="M359" s="665">
        <v>4768.6099999999988</v>
      </c>
      <c r="N359" s="665">
        <v>19057.87</v>
      </c>
      <c r="O359" s="665">
        <v>8026.41</v>
      </c>
      <c r="P359" s="665">
        <v>0</v>
      </c>
      <c r="Q359" s="665">
        <v>0</v>
      </c>
      <c r="R359" s="665">
        <v>0</v>
      </c>
      <c r="S359" s="665">
        <v>59950.739000000001</v>
      </c>
      <c r="T359" s="604">
        <v>0.82011954856361147</v>
      </c>
      <c r="U359" s="603">
        <v>13149.260999999999</v>
      </c>
      <c r="V359" s="603">
        <v>0</v>
      </c>
      <c r="W359" s="603">
        <v>11675.625000000022</v>
      </c>
      <c r="X359" s="603">
        <v>11675.625000000022</v>
      </c>
      <c r="Y359" s="603">
        <v>1473.6359999999913</v>
      </c>
      <c r="Z359" s="603">
        <v>0</v>
      </c>
    </row>
    <row r="360" spans="1:26" x14ac:dyDescent="0.2">
      <c r="A360" s="605" t="s">
        <v>583</v>
      </c>
      <c r="B360" s="665">
        <v>788402</v>
      </c>
      <c r="C360" s="665">
        <v>4288402</v>
      </c>
      <c r="D360" s="665">
        <v>4288402</v>
      </c>
      <c r="E360" s="665">
        <v>2513829.6409999998</v>
      </c>
      <c r="F360" s="665">
        <v>2508420.091</v>
      </c>
      <c r="G360" s="665">
        <v>200231.12</v>
      </c>
      <c r="H360" s="665">
        <v>264477.40999999997</v>
      </c>
      <c r="I360" s="665">
        <v>308001.19500000001</v>
      </c>
      <c r="J360" s="665">
        <v>275509.96000000002</v>
      </c>
      <c r="K360" s="665">
        <v>285791.51</v>
      </c>
      <c r="L360" s="665">
        <v>286458.25400000002</v>
      </c>
      <c r="M360" s="665">
        <v>286853.11</v>
      </c>
      <c r="N360" s="665">
        <v>296763.64400000003</v>
      </c>
      <c r="O360" s="665">
        <v>304333.88799999998</v>
      </c>
      <c r="P360" s="665">
        <v>0</v>
      </c>
      <c r="Q360" s="665">
        <v>0</v>
      </c>
      <c r="R360" s="665">
        <v>0</v>
      </c>
      <c r="S360" s="665">
        <v>2508420.0909999995</v>
      </c>
      <c r="T360" s="604">
        <v>0.58493119138550898</v>
      </c>
      <c r="U360" s="603">
        <v>1779981.9090000005</v>
      </c>
      <c r="V360" s="603">
        <v>0</v>
      </c>
      <c r="W360" s="603">
        <v>1774572.3590000002</v>
      </c>
      <c r="X360" s="603">
        <v>1774572.3590000002</v>
      </c>
      <c r="Y360" s="603">
        <v>5409.5499999998137</v>
      </c>
      <c r="Z360" s="603">
        <v>0</v>
      </c>
    </row>
    <row r="361" spans="1:26" x14ac:dyDescent="0.2">
      <c r="A361" s="605" t="s">
        <v>584</v>
      </c>
      <c r="B361" s="665">
        <v>977000</v>
      </c>
      <c r="C361" s="665">
        <v>1227000</v>
      </c>
      <c r="D361" s="665">
        <v>1227000</v>
      </c>
      <c r="E361" s="665">
        <v>887683.51300000004</v>
      </c>
      <c r="F361" s="665">
        <v>886136.10699999984</v>
      </c>
      <c r="G361" s="665">
        <v>86023.99</v>
      </c>
      <c r="H361" s="665">
        <v>89133.754000000001</v>
      </c>
      <c r="I361" s="665">
        <v>91142.834999999992</v>
      </c>
      <c r="J361" s="665">
        <v>92283.78</v>
      </c>
      <c r="K361" s="665">
        <v>95536.16</v>
      </c>
      <c r="L361" s="665">
        <v>103911.50400000002</v>
      </c>
      <c r="M361" s="665">
        <v>107175.065</v>
      </c>
      <c r="N361" s="665">
        <v>111956.35999999999</v>
      </c>
      <c r="O361" s="665">
        <v>108452.429</v>
      </c>
      <c r="P361" s="665">
        <v>0</v>
      </c>
      <c r="Q361" s="665">
        <v>0</v>
      </c>
      <c r="R361" s="665">
        <v>0</v>
      </c>
      <c r="S361" s="665">
        <v>885615.87699999998</v>
      </c>
      <c r="T361" s="604">
        <v>0.7217733308883455</v>
      </c>
      <c r="U361" s="603">
        <v>341384.12300000002</v>
      </c>
      <c r="V361" s="603">
        <v>0</v>
      </c>
      <c r="W361" s="603">
        <v>339316.48699999996</v>
      </c>
      <c r="X361" s="603">
        <v>339316.48699999996</v>
      </c>
      <c r="Y361" s="603">
        <v>1547.4060000001919</v>
      </c>
      <c r="Z361" s="603">
        <v>520.22999999986496</v>
      </c>
    </row>
    <row r="362" spans="1:26" x14ac:dyDescent="0.2">
      <c r="A362" s="605" t="s">
        <v>585</v>
      </c>
      <c r="B362" s="665">
        <v>0</v>
      </c>
      <c r="C362" s="665">
        <v>0</v>
      </c>
      <c r="D362" s="665">
        <v>0</v>
      </c>
      <c r="E362" s="665">
        <v>0</v>
      </c>
      <c r="F362" s="665">
        <v>0</v>
      </c>
      <c r="G362" s="665">
        <v>0</v>
      </c>
      <c r="H362" s="665">
        <v>0</v>
      </c>
      <c r="I362" s="665">
        <v>0</v>
      </c>
      <c r="J362" s="665">
        <v>0</v>
      </c>
      <c r="K362" s="665">
        <v>0</v>
      </c>
      <c r="L362" s="665">
        <v>0</v>
      </c>
      <c r="M362" s="665">
        <v>0</v>
      </c>
      <c r="N362" s="665">
        <v>0</v>
      </c>
      <c r="O362" s="665">
        <v>0</v>
      </c>
      <c r="P362" s="665">
        <v>0</v>
      </c>
      <c r="Q362" s="665">
        <v>0</v>
      </c>
      <c r="R362" s="665">
        <v>0</v>
      </c>
      <c r="S362" s="665">
        <v>0</v>
      </c>
      <c r="T362" s="604" t="e">
        <v>#DIV/0!</v>
      </c>
      <c r="U362" s="603">
        <v>0</v>
      </c>
      <c r="V362" s="603">
        <v>0</v>
      </c>
      <c r="W362" s="603">
        <v>0</v>
      </c>
      <c r="X362" s="603">
        <v>0</v>
      </c>
      <c r="Y362" s="603">
        <v>0</v>
      </c>
      <c r="Z362" s="603">
        <v>0</v>
      </c>
    </row>
    <row r="363" spans="1:26" x14ac:dyDescent="0.2">
      <c r="A363" s="605" t="s">
        <v>586</v>
      </c>
      <c r="B363" s="665">
        <v>0</v>
      </c>
      <c r="C363" s="665">
        <v>0</v>
      </c>
      <c r="D363" s="665">
        <v>0</v>
      </c>
      <c r="E363" s="665">
        <v>0</v>
      </c>
      <c r="F363" s="665">
        <v>0</v>
      </c>
      <c r="G363" s="665">
        <v>0</v>
      </c>
      <c r="H363" s="665">
        <v>0</v>
      </c>
      <c r="I363" s="665">
        <v>0</v>
      </c>
      <c r="J363" s="665">
        <v>0</v>
      </c>
      <c r="K363" s="665">
        <v>0</v>
      </c>
      <c r="L363" s="665">
        <v>0</v>
      </c>
      <c r="M363" s="665">
        <v>0</v>
      </c>
      <c r="N363" s="665">
        <v>0</v>
      </c>
      <c r="O363" s="665">
        <v>0</v>
      </c>
      <c r="P363" s="665">
        <v>0</v>
      </c>
      <c r="Q363" s="665">
        <v>0</v>
      </c>
      <c r="R363" s="665">
        <v>0</v>
      </c>
      <c r="S363" s="665">
        <v>0</v>
      </c>
      <c r="T363" s="604" t="e">
        <v>#DIV/0!</v>
      </c>
      <c r="U363" s="603">
        <v>0</v>
      </c>
      <c r="V363" s="603">
        <v>0</v>
      </c>
      <c r="W363" s="603">
        <v>0</v>
      </c>
      <c r="X363" s="603">
        <v>0</v>
      </c>
      <c r="Y363" s="603">
        <v>0</v>
      </c>
      <c r="Z363" s="603">
        <v>0</v>
      </c>
    </row>
    <row r="364" spans="1:26" x14ac:dyDescent="0.2">
      <c r="A364" s="605" t="s">
        <v>587</v>
      </c>
      <c r="B364" s="665">
        <v>1000000</v>
      </c>
      <c r="C364" s="665">
        <v>1000000</v>
      </c>
      <c r="D364" s="665">
        <v>1000000</v>
      </c>
      <c r="E364" s="665">
        <v>556106.11000000022</v>
      </c>
      <c r="F364" s="665">
        <v>507441.08899999951</v>
      </c>
      <c r="G364" s="665">
        <v>45194.210000000006</v>
      </c>
      <c r="H364" s="665">
        <v>62493.349999999991</v>
      </c>
      <c r="I364" s="665">
        <v>58881.68</v>
      </c>
      <c r="J364" s="665">
        <v>84670.430000000008</v>
      </c>
      <c r="K364" s="665">
        <v>71026.5</v>
      </c>
      <c r="L364" s="665">
        <v>49912.929999999993</v>
      </c>
      <c r="M364" s="665">
        <v>35289.280999999995</v>
      </c>
      <c r="N364" s="665">
        <v>51219.152000000002</v>
      </c>
      <c r="O364" s="665">
        <v>48753.56</v>
      </c>
      <c r="P364" s="665">
        <v>0</v>
      </c>
      <c r="Q364" s="665">
        <v>0</v>
      </c>
      <c r="R364" s="665">
        <v>0</v>
      </c>
      <c r="S364" s="665">
        <v>507441.09299999999</v>
      </c>
      <c r="T364" s="604">
        <v>0.50744109299999995</v>
      </c>
      <c r="U364" s="603">
        <v>492558.90700000001</v>
      </c>
      <c r="V364" s="603">
        <v>0</v>
      </c>
      <c r="W364" s="603">
        <v>443893.88999999978</v>
      </c>
      <c r="X364" s="603">
        <v>443893.88999999978</v>
      </c>
      <c r="Y364" s="603">
        <v>48665.021000000706</v>
      </c>
      <c r="Z364" s="603">
        <v>-4.0000004810281098E-3</v>
      </c>
    </row>
    <row r="365" spans="1:26" x14ac:dyDescent="0.2">
      <c r="A365" s="605" t="s">
        <v>588</v>
      </c>
      <c r="B365" s="665">
        <v>50000</v>
      </c>
      <c r="C365" s="665">
        <v>50000</v>
      </c>
      <c r="D365" s="665">
        <v>50000</v>
      </c>
      <c r="E365" s="665">
        <v>13795.14</v>
      </c>
      <c r="F365" s="665">
        <v>11814.55</v>
      </c>
      <c r="G365" s="665">
        <v>773.31</v>
      </c>
      <c r="H365" s="665">
        <v>861.04</v>
      </c>
      <c r="I365" s="665">
        <v>1519.21</v>
      </c>
      <c r="J365" s="665">
        <v>1902.08</v>
      </c>
      <c r="K365" s="665">
        <v>1857.8500000000001</v>
      </c>
      <c r="L365" s="665">
        <v>628.81000000000006</v>
      </c>
      <c r="M365" s="665">
        <v>1332.6399999999999</v>
      </c>
      <c r="N365" s="665">
        <v>1783.96</v>
      </c>
      <c r="O365" s="665">
        <v>1155.6500000000001</v>
      </c>
      <c r="P365" s="665">
        <v>0</v>
      </c>
      <c r="Q365" s="665">
        <v>0</v>
      </c>
      <c r="R365" s="665">
        <v>0</v>
      </c>
      <c r="S365" s="665">
        <v>11814.550000000001</v>
      </c>
      <c r="T365" s="604">
        <v>0.23629100000000003</v>
      </c>
      <c r="U365" s="603">
        <v>38185.449999999997</v>
      </c>
      <c r="V365" s="603">
        <v>0</v>
      </c>
      <c r="W365" s="603">
        <v>36204.86</v>
      </c>
      <c r="X365" s="603">
        <v>36204.86</v>
      </c>
      <c r="Y365" s="603">
        <v>1980.5900000000001</v>
      </c>
      <c r="Z365" s="603">
        <v>0</v>
      </c>
    </row>
    <row r="366" spans="1:26" x14ac:dyDescent="0.2">
      <c r="A366" s="605" t="s">
        <v>589</v>
      </c>
      <c r="B366" s="665">
        <v>1000</v>
      </c>
      <c r="C366" s="665">
        <v>1000</v>
      </c>
      <c r="D366" s="665">
        <v>1000</v>
      </c>
      <c r="E366" s="665">
        <v>0</v>
      </c>
      <c r="F366" s="665">
        <v>0</v>
      </c>
      <c r="G366" s="665">
        <v>0</v>
      </c>
      <c r="H366" s="665">
        <v>0</v>
      </c>
      <c r="I366" s="665">
        <v>0</v>
      </c>
      <c r="J366" s="665">
        <v>0</v>
      </c>
      <c r="K366" s="665">
        <v>0</v>
      </c>
      <c r="L366" s="665">
        <v>0</v>
      </c>
      <c r="M366" s="665">
        <v>0</v>
      </c>
      <c r="N366" s="665">
        <v>0</v>
      </c>
      <c r="O366" s="665">
        <v>0</v>
      </c>
      <c r="P366" s="665">
        <v>0</v>
      </c>
      <c r="Q366" s="665">
        <v>0</v>
      </c>
      <c r="R366" s="665">
        <v>0</v>
      </c>
      <c r="S366" s="665">
        <v>0</v>
      </c>
      <c r="T366" s="604">
        <v>0</v>
      </c>
      <c r="U366" s="603">
        <v>1000</v>
      </c>
      <c r="V366" s="603">
        <v>0</v>
      </c>
      <c r="W366" s="603">
        <v>1000</v>
      </c>
      <c r="X366" s="603">
        <v>1000</v>
      </c>
      <c r="Y366" s="603">
        <v>0</v>
      </c>
      <c r="Z366" s="603">
        <v>0</v>
      </c>
    </row>
    <row r="367" spans="1:26" x14ac:dyDescent="0.2">
      <c r="A367" s="605" t="s">
        <v>590</v>
      </c>
      <c r="B367" s="665">
        <v>550000</v>
      </c>
      <c r="C367" s="665">
        <v>550000</v>
      </c>
      <c r="D367" s="665">
        <v>550000</v>
      </c>
      <c r="E367" s="665">
        <v>362072.63209905423</v>
      </c>
      <c r="F367" s="665">
        <v>357364.41405126947</v>
      </c>
      <c r="G367" s="665">
        <v>32974.080000000002</v>
      </c>
      <c r="H367" s="665">
        <v>34893.628000000004</v>
      </c>
      <c r="I367" s="665">
        <v>37521.759999999995</v>
      </c>
      <c r="J367" s="665">
        <v>32231.390000000003</v>
      </c>
      <c r="K367" s="665">
        <v>44308.03</v>
      </c>
      <c r="L367" s="665">
        <v>36032.219999999994</v>
      </c>
      <c r="M367" s="665">
        <v>41381.322173003464</v>
      </c>
      <c r="N367" s="665">
        <v>70437.542814436179</v>
      </c>
      <c r="O367" s="665">
        <v>27584.440000000002</v>
      </c>
      <c r="P367" s="665">
        <v>0</v>
      </c>
      <c r="Q367" s="665">
        <v>0</v>
      </c>
      <c r="R367" s="665">
        <v>0</v>
      </c>
      <c r="S367" s="665">
        <v>357364.41298743966</v>
      </c>
      <c r="T367" s="604">
        <v>0.64975347815898121</v>
      </c>
      <c r="U367" s="603">
        <v>192635.58701256034</v>
      </c>
      <c r="V367" s="603">
        <v>0</v>
      </c>
      <c r="W367" s="603">
        <v>187927.36790094577</v>
      </c>
      <c r="X367" s="603">
        <v>187927.36790094577</v>
      </c>
      <c r="Y367" s="603">
        <v>4708.2180477847578</v>
      </c>
      <c r="Z367" s="603">
        <v>1.0638298117555678E-3</v>
      </c>
    </row>
    <row r="368" spans="1:26" x14ac:dyDescent="0.2">
      <c r="A368" s="605" t="s">
        <v>591</v>
      </c>
      <c r="B368" s="665">
        <v>0</v>
      </c>
      <c r="C368" s="665">
        <v>0</v>
      </c>
      <c r="D368" s="665">
        <v>0</v>
      </c>
      <c r="E368" s="665">
        <v>0</v>
      </c>
      <c r="F368" s="665">
        <v>0</v>
      </c>
      <c r="G368" s="665">
        <v>0</v>
      </c>
      <c r="H368" s="665">
        <v>0</v>
      </c>
      <c r="I368" s="665">
        <v>0</v>
      </c>
      <c r="J368" s="665">
        <v>0</v>
      </c>
      <c r="K368" s="665">
        <v>0</v>
      </c>
      <c r="L368" s="665">
        <v>0</v>
      </c>
      <c r="M368" s="665">
        <v>0</v>
      </c>
      <c r="N368" s="665">
        <v>0</v>
      </c>
      <c r="O368" s="665">
        <v>0</v>
      </c>
      <c r="P368" s="665">
        <v>0</v>
      </c>
      <c r="Q368" s="665">
        <v>0</v>
      </c>
      <c r="R368" s="665">
        <v>0</v>
      </c>
      <c r="S368" s="665">
        <v>0</v>
      </c>
      <c r="T368" s="604" t="e">
        <v>#DIV/0!</v>
      </c>
      <c r="U368" s="603">
        <v>0</v>
      </c>
      <c r="V368" s="603">
        <v>0</v>
      </c>
      <c r="W368" s="603">
        <v>0</v>
      </c>
      <c r="X368" s="603">
        <v>0</v>
      </c>
      <c r="Y368" s="603">
        <v>0</v>
      </c>
      <c r="Z368" s="603">
        <v>0</v>
      </c>
    </row>
    <row r="369" spans="1:26" x14ac:dyDescent="0.2">
      <c r="A369" s="605" t="s">
        <v>592</v>
      </c>
      <c r="B369" s="665">
        <v>1300000</v>
      </c>
      <c r="C369" s="665">
        <v>300000</v>
      </c>
      <c r="D369" s="665">
        <v>300000</v>
      </c>
      <c r="E369" s="665">
        <v>7528.4</v>
      </c>
      <c r="F369" s="665">
        <v>7478.8</v>
      </c>
      <c r="G369" s="665">
        <v>0</v>
      </c>
      <c r="H369" s="665">
        <v>0</v>
      </c>
      <c r="I369" s="665">
        <v>0</v>
      </c>
      <c r="J369" s="665">
        <v>0</v>
      </c>
      <c r="K369" s="665">
        <v>0</v>
      </c>
      <c r="L369" s="665">
        <v>0</v>
      </c>
      <c r="M369" s="665">
        <v>1289.8399999999999</v>
      </c>
      <c r="N369" s="665">
        <v>1708.2099999999998</v>
      </c>
      <c r="O369" s="665">
        <v>4392.99</v>
      </c>
      <c r="P369" s="665">
        <v>0</v>
      </c>
      <c r="Q369" s="665">
        <v>0</v>
      </c>
      <c r="R369" s="665">
        <v>0</v>
      </c>
      <c r="S369" s="665">
        <v>7391.0399999999991</v>
      </c>
      <c r="T369" s="604">
        <v>2.4636799999999997E-2</v>
      </c>
      <c r="U369" s="603">
        <v>292608.96000000002</v>
      </c>
      <c r="V369" s="603">
        <v>0</v>
      </c>
      <c r="W369" s="603">
        <v>292471.59999999998</v>
      </c>
      <c r="X369" s="603">
        <v>292471.59999999998</v>
      </c>
      <c r="Y369" s="603">
        <v>49.599999999999454</v>
      </c>
      <c r="Z369" s="603">
        <v>87.760000000001128</v>
      </c>
    </row>
    <row r="370" spans="1:26" x14ac:dyDescent="0.2">
      <c r="A370" s="605" t="s">
        <v>593</v>
      </c>
      <c r="B370" s="665">
        <v>0</v>
      </c>
      <c r="C370" s="665">
        <v>0</v>
      </c>
      <c r="D370" s="665">
        <v>0</v>
      </c>
      <c r="E370" s="665">
        <v>0</v>
      </c>
      <c r="F370" s="665">
        <v>0</v>
      </c>
      <c r="G370" s="665">
        <v>0</v>
      </c>
      <c r="H370" s="665">
        <v>0</v>
      </c>
      <c r="I370" s="665">
        <v>0</v>
      </c>
      <c r="J370" s="665">
        <v>0</v>
      </c>
      <c r="K370" s="665">
        <v>0</v>
      </c>
      <c r="L370" s="665">
        <v>0</v>
      </c>
      <c r="M370" s="665">
        <v>0</v>
      </c>
      <c r="N370" s="665">
        <v>0</v>
      </c>
      <c r="O370" s="665">
        <v>0</v>
      </c>
      <c r="P370" s="665">
        <v>0</v>
      </c>
      <c r="Q370" s="665">
        <v>0</v>
      </c>
      <c r="R370" s="665">
        <v>0</v>
      </c>
      <c r="S370" s="665">
        <v>0</v>
      </c>
      <c r="T370" s="604" t="e">
        <v>#DIV/0!</v>
      </c>
      <c r="U370" s="603">
        <v>0</v>
      </c>
      <c r="V370" s="603">
        <v>0</v>
      </c>
      <c r="W370" s="603">
        <v>0</v>
      </c>
      <c r="X370" s="603">
        <v>0</v>
      </c>
      <c r="Y370" s="603">
        <v>0</v>
      </c>
      <c r="Z370" s="603">
        <v>0</v>
      </c>
    </row>
    <row r="371" spans="1:26" x14ac:dyDescent="0.2">
      <c r="A371" s="605" t="s">
        <v>594</v>
      </c>
      <c r="B371" s="665">
        <v>0</v>
      </c>
      <c r="C371" s="665">
        <v>0</v>
      </c>
      <c r="D371" s="665">
        <v>0</v>
      </c>
      <c r="E371" s="665">
        <v>0</v>
      </c>
      <c r="F371" s="665">
        <v>0</v>
      </c>
      <c r="G371" s="665">
        <v>0</v>
      </c>
      <c r="H371" s="665">
        <v>0</v>
      </c>
      <c r="I371" s="665">
        <v>0</v>
      </c>
      <c r="J371" s="665">
        <v>0</v>
      </c>
      <c r="K371" s="665">
        <v>0</v>
      </c>
      <c r="L371" s="665">
        <v>0</v>
      </c>
      <c r="M371" s="665">
        <v>0</v>
      </c>
      <c r="N371" s="665">
        <v>0</v>
      </c>
      <c r="O371" s="665">
        <v>0</v>
      </c>
      <c r="P371" s="665">
        <v>0</v>
      </c>
      <c r="Q371" s="665">
        <v>0</v>
      </c>
      <c r="R371" s="665">
        <v>0</v>
      </c>
      <c r="S371" s="665">
        <v>0</v>
      </c>
      <c r="T371" s="604" t="e">
        <v>#DIV/0!</v>
      </c>
      <c r="U371" s="603">
        <v>0</v>
      </c>
      <c r="V371" s="603">
        <v>0</v>
      </c>
      <c r="W371" s="603">
        <v>0</v>
      </c>
      <c r="X371" s="603">
        <v>0</v>
      </c>
      <c r="Y371" s="603">
        <v>0</v>
      </c>
      <c r="Z371" s="603">
        <v>0</v>
      </c>
    </row>
    <row r="372" spans="1:26" ht="24" x14ac:dyDescent="0.2">
      <c r="A372" s="605" t="s">
        <v>595</v>
      </c>
      <c r="B372" s="665">
        <v>0</v>
      </c>
      <c r="C372" s="665">
        <v>0</v>
      </c>
      <c r="D372" s="665">
        <v>0</v>
      </c>
      <c r="E372" s="665">
        <v>0</v>
      </c>
      <c r="F372" s="665">
        <v>0</v>
      </c>
      <c r="G372" s="665">
        <v>0</v>
      </c>
      <c r="H372" s="665">
        <v>0</v>
      </c>
      <c r="I372" s="665">
        <v>0</v>
      </c>
      <c r="J372" s="665">
        <v>0</v>
      </c>
      <c r="K372" s="665">
        <v>0</v>
      </c>
      <c r="L372" s="665">
        <v>0</v>
      </c>
      <c r="M372" s="665">
        <v>0</v>
      </c>
      <c r="N372" s="665">
        <v>0</v>
      </c>
      <c r="O372" s="665">
        <v>0</v>
      </c>
      <c r="P372" s="665">
        <v>0</v>
      </c>
      <c r="Q372" s="665">
        <v>0</v>
      </c>
      <c r="R372" s="665">
        <v>0</v>
      </c>
      <c r="S372" s="665">
        <v>0</v>
      </c>
      <c r="T372" s="604" t="e">
        <v>#DIV/0!</v>
      </c>
      <c r="U372" s="603">
        <v>0</v>
      </c>
      <c r="V372" s="603">
        <v>0</v>
      </c>
      <c r="W372" s="603">
        <v>0</v>
      </c>
      <c r="X372" s="603">
        <v>0</v>
      </c>
      <c r="Y372" s="603">
        <v>0</v>
      </c>
      <c r="Z372" s="603">
        <v>0</v>
      </c>
    </row>
    <row r="373" spans="1:26" x14ac:dyDescent="0.2">
      <c r="A373" s="605" t="s">
        <v>596</v>
      </c>
      <c r="B373" s="665">
        <v>0</v>
      </c>
      <c r="C373" s="665">
        <v>0</v>
      </c>
      <c r="D373" s="665">
        <v>0</v>
      </c>
      <c r="E373" s="665">
        <v>0</v>
      </c>
      <c r="F373" s="665">
        <v>0</v>
      </c>
      <c r="G373" s="665">
        <v>0</v>
      </c>
      <c r="H373" s="665">
        <v>0</v>
      </c>
      <c r="I373" s="665">
        <v>0</v>
      </c>
      <c r="J373" s="665">
        <v>0</v>
      </c>
      <c r="K373" s="665">
        <v>0</v>
      </c>
      <c r="L373" s="665">
        <v>0</v>
      </c>
      <c r="M373" s="665">
        <v>0</v>
      </c>
      <c r="N373" s="665">
        <v>0</v>
      </c>
      <c r="O373" s="665">
        <v>0</v>
      </c>
      <c r="P373" s="665">
        <v>0</v>
      </c>
      <c r="Q373" s="665">
        <v>0</v>
      </c>
      <c r="R373" s="665">
        <v>0</v>
      </c>
      <c r="S373" s="665">
        <v>0</v>
      </c>
      <c r="T373" s="604" t="e">
        <v>#DIV/0!</v>
      </c>
      <c r="U373" s="603">
        <v>0</v>
      </c>
      <c r="V373" s="603">
        <v>0</v>
      </c>
      <c r="W373" s="603">
        <v>0</v>
      </c>
      <c r="X373" s="603">
        <v>0</v>
      </c>
      <c r="Y373" s="603">
        <v>0</v>
      </c>
      <c r="Z373" s="603">
        <v>0</v>
      </c>
    </row>
    <row r="374" spans="1:26" ht="24" x14ac:dyDescent="0.2">
      <c r="A374" s="605" t="s">
        <v>597</v>
      </c>
      <c r="B374" s="665">
        <v>0</v>
      </c>
      <c r="C374" s="665">
        <v>0</v>
      </c>
      <c r="D374" s="665">
        <v>0</v>
      </c>
      <c r="E374" s="665">
        <v>0</v>
      </c>
      <c r="F374" s="665">
        <v>0</v>
      </c>
      <c r="G374" s="665">
        <v>0</v>
      </c>
      <c r="H374" s="665">
        <v>0</v>
      </c>
      <c r="I374" s="665">
        <v>0</v>
      </c>
      <c r="J374" s="665">
        <v>0</v>
      </c>
      <c r="K374" s="665">
        <v>0</v>
      </c>
      <c r="L374" s="665">
        <v>0</v>
      </c>
      <c r="M374" s="665">
        <v>0</v>
      </c>
      <c r="N374" s="665">
        <v>0</v>
      </c>
      <c r="O374" s="665">
        <v>0</v>
      </c>
      <c r="P374" s="665">
        <v>0</v>
      </c>
      <c r="Q374" s="665">
        <v>0</v>
      </c>
      <c r="R374" s="665">
        <v>0</v>
      </c>
      <c r="S374" s="665">
        <v>0</v>
      </c>
      <c r="T374" s="604" t="e">
        <v>#DIV/0!</v>
      </c>
      <c r="U374" s="603">
        <v>0</v>
      </c>
      <c r="V374" s="603">
        <v>0</v>
      </c>
      <c r="W374" s="603">
        <v>0</v>
      </c>
      <c r="X374" s="603">
        <v>0</v>
      </c>
      <c r="Y374" s="603">
        <v>0</v>
      </c>
      <c r="Z374" s="603">
        <v>0</v>
      </c>
    </row>
    <row r="375" spans="1:26" x14ac:dyDescent="0.2">
      <c r="A375" s="605" t="s">
        <v>598</v>
      </c>
      <c r="B375" s="665">
        <v>0</v>
      </c>
      <c r="C375" s="665">
        <v>0</v>
      </c>
      <c r="D375" s="665">
        <v>0</v>
      </c>
      <c r="E375" s="665">
        <v>0</v>
      </c>
      <c r="F375" s="665">
        <v>0</v>
      </c>
      <c r="G375" s="665">
        <v>0</v>
      </c>
      <c r="H375" s="665">
        <v>0</v>
      </c>
      <c r="I375" s="665">
        <v>0</v>
      </c>
      <c r="J375" s="665">
        <v>0</v>
      </c>
      <c r="K375" s="665">
        <v>0</v>
      </c>
      <c r="L375" s="665">
        <v>0</v>
      </c>
      <c r="M375" s="665">
        <v>0</v>
      </c>
      <c r="N375" s="665">
        <v>0</v>
      </c>
      <c r="O375" s="665">
        <v>0</v>
      </c>
      <c r="P375" s="665">
        <v>0</v>
      </c>
      <c r="Q375" s="665">
        <v>0</v>
      </c>
      <c r="R375" s="665">
        <v>0</v>
      </c>
      <c r="S375" s="665">
        <v>0</v>
      </c>
      <c r="T375" s="604" t="e">
        <v>#DIV/0!</v>
      </c>
      <c r="U375" s="603">
        <v>0</v>
      </c>
      <c r="V375" s="603">
        <v>0</v>
      </c>
      <c r="W375" s="603">
        <v>0</v>
      </c>
      <c r="X375" s="603">
        <v>0</v>
      </c>
      <c r="Y375" s="603">
        <v>0</v>
      </c>
      <c r="Z375" s="603">
        <v>0</v>
      </c>
    </row>
    <row r="376" spans="1:26" ht="24" x14ac:dyDescent="0.2">
      <c r="A376" s="605" t="s">
        <v>599</v>
      </c>
      <c r="B376" s="665">
        <v>0</v>
      </c>
      <c r="C376" s="665">
        <v>0</v>
      </c>
      <c r="D376" s="665">
        <v>0</v>
      </c>
      <c r="E376" s="665">
        <v>0</v>
      </c>
      <c r="F376" s="665">
        <v>0</v>
      </c>
      <c r="G376" s="665">
        <v>0</v>
      </c>
      <c r="H376" s="665">
        <v>0</v>
      </c>
      <c r="I376" s="665">
        <v>0</v>
      </c>
      <c r="J376" s="665">
        <v>0</v>
      </c>
      <c r="K376" s="665">
        <v>0</v>
      </c>
      <c r="L376" s="665">
        <v>0</v>
      </c>
      <c r="M376" s="665">
        <v>0</v>
      </c>
      <c r="N376" s="665">
        <v>0</v>
      </c>
      <c r="O376" s="665">
        <v>0</v>
      </c>
      <c r="P376" s="665">
        <v>0</v>
      </c>
      <c r="Q376" s="665">
        <v>0</v>
      </c>
      <c r="R376" s="665">
        <v>0</v>
      </c>
      <c r="S376" s="665">
        <v>0</v>
      </c>
      <c r="T376" s="604" t="e">
        <v>#DIV/0!</v>
      </c>
      <c r="U376" s="603">
        <v>0</v>
      </c>
      <c r="V376" s="603">
        <v>0</v>
      </c>
      <c r="W376" s="603">
        <v>0</v>
      </c>
      <c r="X376" s="603">
        <v>0</v>
      </c>
      <c r="Y376" s="603">
        <v>0</v>
      </c>
      <c r="Z376" s="603">
        <v>0</v>
      </c>
    </row>
    <row r="377" spans="1:26" x14ac:dyDescent="0.2">
      <c r="A377" s="605" t="s">
        <v>600</v>
      </c>
      <c r="B377" s="665">
        <v>0</v>
      </c>
      <c r="C377" s="665">
        <v>0</v>
      </c>
      <c r="D377" s="665">
        <v>0</v>
      </c>
      <c r="E377" s="665">
        <v>0</v>
      </c>
      <c r="F377" s="665">
        <v>0</v>
      </c>
      <c r="G377" s="665">
        <v>0</v>
      </c>
      <c r="H377" s="665">
        <v>0</v>
      </c>
      <c r="I377" s="665">
        <v>0</v>
      </c>
      <c r="J377" s="665">
        <v>0</v>
      </c>
      <c r="K377" s="665">
        <v>0</v>
      </c>
      <c r="L377" s="665">
        <v>0</v>
      </c>
      <c r="M377" s="665">
        <v>0</v>
      </c>
      <c r="N377" s="665">
        <v>0</v>
      </c>
      <c r="O377" s="665">
        <v>0</v>
      </c>
      <c r="P377" s="665">
        <v>0</v>
      </c>
      <c r="Q377" s="665">
        <v>0</v>
      </c>
      <c r="R377" s="665">
        <v>0</v>
      </c>
      <c r="S377" s="665">
        <v>0</v>
      </c>
      <c r="T377" s="604" t="e">
        <v>#DIV/0!</v>
      </c>
      <c r="U377" s="603">
        <v>0</v>
      </c>
      <c r="V377" s="603">
        <v>0</v>
      </c>
      <c r="W377" s="603">
        <v>0</v>
      </c>
      <c r="X377" s="603">
        <v>0</v>
      </c>
      <c r="Y377" s="603">
        <v>0</v>
      </c>
      <c r="Z377" s="603">
        <v>0</v>
      </c>
    </row>
    <row r="378" spans="1:26" x14ac:dyDescent="0.2">
      <c r="A378" s="605" t="s">
        <v>601</v>
      </c>
      <c r="B378" s="665">
        <v>0</v>
      </c>
      <c r="C378" s="665">
        <v>0</v>
      </c>
      <c r="D378" s="665">
        <v>0</v>
      </c>
      <c r="E378" s="665">
        <v>0</v>
      </c>
      <c r="F378" s="665">
        <v>0</v>
      </c>
      <c r="G378" s="665">
        <v>0</v>
      </c>
      <c r="H378" s="665">
        <v>0</v>
      </c>
      <c r="I378" s="665">
        <v>0</v>
      </c>
      <c r="J378" s="665">
        <v>0</v>
      </c>
      <c r="K378" s="665">
        <v>0</v>
      </c>
      <c r="L378" s="665">
        <v>0</v>
      </c>
      <c r="M378" s="665">
        <v>0</v>
      </c>
      <c r="N378" s="665">
        <v>0</v>
      </c>
      <c r="O378" s="665">
        <v>0</v>
      </c>
      <c r="P378" s="665">
        <v>0</v>
      </c>
      <c r="Q378" s="665">
        <v>0</v>
      </c>
      <c r="R378" s="665">
        <v>0</v>
      </c>
      <c r="S378" s="665">
        <v>0</v>
      </c>
      <c r="T378" s="604" t="e">
        <v>#DIV/0!</v>
      </c>
      <c r="U378" s="603">
        <v>0</v>
      </c>
      <c r="V378" s="603">
        <v>0</v>
      </c>
      <c r="W378" s="603">
        <v>0</v>
      </c>
      <c r="X378" s="603">
        <v>0</v>
      </c>
      <c r="Y378" s="603">
        <v>0</v>
      </c>
      <c r="Z378" s="603">
        <v>0</v>
      </c>
    </row>
    <row r="379" spans="1:26" x14ac:dyDescent="0.2">
      <c r="A379" s="605" t="s">
        <v>602</v>
      </c>
      <c r="B379" s="665">
        <v>0</v>
      </c>
      <c r="C379" s="665">
        <v>0</v>
      </c>
      <c r="D379" s="665">
        <v>0</v>
      </c>
      <c r="E379" s="665">
        <v>0</v>
      </c>
      <c r="F379" s="665">
        <v>0</v>
      </c>
      <c r="G379" s="665">
        <v>0</v>
      </c>
      <c r="H379" s="665">
        <v>0</v>
      </c>
      <c r="I379" s="665">
        <v>0</v>
      </c>
      <c r="J379" s="665">
        <v>0</v>
      </c>
      <c r="K379" s="665">
        <v>0</v>
      </c>
      <c r="L379" s="665">
        <v>0</v>
      </c>
      <c r="M379" s="665">
        <v>0</v>
      </c>
      <c r="N379" s="665">
        <v>0</v>
      </c>
      <c r="O379" s="665">
        <v>0</v>
      </c>
      <c r="P379" s="665">
        <v>0</v>
      </c>
      <c r="Q379" s="665">
        <v>0</v>
      </c>
      <c r="R379" s="665">
        <v>0</v>
      </c>
      <c r="S379" s="665">
        <v>0</v>
      </c>
      <c r="T379" s="604" t="e">
        <v>#DIV/0!</v>
      </c>
      <c r="U379" s="603">
        <v>0</v>
      </c>
      <c r="V379" s="603">
        <v>0</v>
      </c>
      <c r="W379" s="603">
        <v>0</v>
      </c>
      <c r="X379" s="603">
        <v>0</v>
      </c>
      <c r="Y379" s="603">
        <v>0</v>
      </c>
      <c r="Z379" s="603">
        <v>0</v>
      </c>
    </row>
    <row r="380" spans="1:26" x14ac:dyDescent="0.2">
      <c r="A380" s="605" t="s">
        <v>603</v>
      </c>
      <c r="B380" s="665">
        <v>0</v>
      </c>
      <c r="C380" s="665">
        <v>0</v>
      </c>
      <c r="D380" s="665">
        <v>0</v>
      </c>
      <c r="E380" s="665">
        <v>0</v>
      </c>
      <c r="F380" s="665">
        <v>0</v>
      </c>
      <c r="G380" s="665">
        <v>0</v>
      </c>
      <c r="H380" s="665">
        <v>0</v>
      </c>
      <c r="I380" s="665">
        <v>0</v>
      </c>
      <c r="J380" s="665">
        <v>0</v>
      </c>
      <c r="K380" s="665">
        <v>0</v>
      </c>
      <c r="L380" s="665">
        <v>0</v>
      </c>
      <c r="M380" s="665">
        <v>0</v>
      </c>
      <c r="N380" s="665">
        <v>0</v>
      </c>
      <c r="O380" s="665">
        <v>0</v>
      </c>
      <c r="P380" s="665">
        <v>0</v>
      </c>
      <c r="Q380" s="665">
        <v>0</v>
      </c>
      <c r="R380" s="665">
        <v>0</v>
      </c>
      <c r="S380" s="665">
        <v>0</v>
      </c>
      <c r="T380" s="604" t="e">
        <v>#DIV/0!</v>
      </c>
      <c r="U380" s="603">
        <v>0</v>
      </c>
      <c r="V380" s="603">
        <v>0</v>
      </c>
      <c r="W380" s="603">
        <v>0</v>
      </c>
      <c r="X380" s="603">
        <v>0</v>
      </c>
      <c r="Y380" s="603">
        <v>0</v>
      </c>
      <c r="Z380" s="603">
        <v>0</v>
      </c>
    </row>
    <row r="381" spans="1:26" x14ac:dyDescent="0.2">
      <c r="A381" s="597" t="s">
        <v>604</v>
      </c>
      <c r="B381" s="655">
        <v>0</v>
      </c>
      <c r="C381" s="655">
        <v>0</v>
      </c>
      <c r="D381" s="655">
        <v>0</v>
      </c>
      <c r="E381" s="655">
        <v>0</v>
      </c>
      <c r="F381" s="655">
        <v>0</v>
      </c>
      <c r="G381" s="655">
        <v>0</v>
      </c>
      <c r="H381" s="655">
        <v>0</v>
      </c>
      <c r="I381" s="655">
        <v>0</v>
      </c>
      <c r="J381" s="655">
        <v>0</v>
      </c>
      <c r="K381" s="655">
        <v>0</v>
      </c>
      <c r="L381" s="655">
        <v>0</v>
      </c>
      <c r="M381" s="655">
        <v>0</v>
      </c>
      <c r="N381" s="655">
        <v>0</v>
      </c>
      <c r="O381" s="655">
        <v>0</v>
      </c>
      <c r="P381" s="655">
        <v>0</v>
      </c>
      <c r="Q381" s="655">
        <v>0</v>
      </c>
      <c r="R381" s="655">
        <v>0</v>
      </c>
      <c r="S381" s="655">
        <v>0</v>
      </c>
      <c r="T381" s="600" t="e">
        <v>#DIV/0!</v>
      </c>
      <c r="U381" s="599">
        <v>0</v>
      </c>
      <c r="V381" s="599">
        <v>0</v>
      </c>
      <c r="W381" s="599">
        <v>0</v>
      </c>
      <c r="X381" s="599">
        <v>0</v>
      </c>
      <c r="Y381" s="599">
        <v>0</v>
      </c>
      <c r="Z381" s="599">
        <v>0</v>
      </c>
    </row>
    <row r="382" spans="1:26" x14ac:dyDescent="0.2">
      <c r="A382" s="605" t="s">
        <v>605</v>
      </c>
      <c r="B382" s="665">
        <v>0</v>
      </c>
      <c r="C382" s="665">
        <v>0</v>
      </c>
      <c r="D382" s="665">
        <v>0</v>
      </c>
      <c r="E382" s="665">
        <v>0</v>
      </c>
      <c r="F382" s="665">
        <v>0</v>
      </c>
      <c r="G382" s="665">
        <v>0</v>
      </c>
      <c r="H382" s="665">
        <v>0</v>
      </c>
      <c r="I382" s="665">
        <v>0</v>
      </c>
      <c r="J382" s="665">
        <v>0</v>
      </c>
      <c r="K382" s="665">
        <v>0</v>
      </c>
      <c r="L382" s="665">
        <v>0</v>
      </c>
      <c r="M382" s="665">
        <v>0</v>
      </c>
      <c r="N382" s="665">
        <v>0</v>
      </c>
      <c r="O382" s="665">
        <v>0</v>
      </c>
      <c r="P382" s="665">
        <v>0</v>
      </c>
      <c r="Q382" s="665">
        <v>0</v>
      </c>
      <c r="R382" s="665">
        <v>0</v>
      </c>
      <c r="S382" s="665">
        <v>0</v>
      </c>
      <c r="T382" s="604" t="e">
        <v>#DIV/0!</v>
      </c>
      <c r="U382" s="603">
        <v>0</v>
      </c>
      <c r="V382" s="603">
        <v>0</v>
      </c>
      <c r="W382" s="603">
        <v>0</v>
      </c>
      <c r="X382" s="603">
        <v>0</v>
      </c>
      <c r="Y382" s="603">
        <v>0</v>
      </c>
      <c r="Z382" s="603">
        <v>0</v>
      </c>
    </row>
    <row r="383" spans="1:26" x14ac:dyDescent="0.2">
      <c r="A383" s="605" t="s">
        <v>606</v>
      </c>
      <c r="B383" s="665">
        <v>0</v>
      </c>
      <c r="C383" s="665">
        <v>0</v>
      </c>
      <c r="D383" s="665">
        <v>0</v>
      </c>
      <c r="E383" s="665">
        <v>0</v>
      </c>
      <c r="F383" s="665">
        <v>0</v>
      </c>
      <c r="G383" s="665">
        <v>0</v>
      </c>
      <c r="H383" s="665">
        <v>0</v>
      </c>
      <c r="I383" s="665">
        <v>0</v>
      </c>
      <c r="J383" s="665">
        <v>0</v>
      </c>
      <c r="K383" s="665">
        <v>0</v>
      </c>
      <c r="L383" s="665">
        <v>0</v>
      </c>
      <c r="M383" s="665">
        <v>0</v>
      </c>
      <c r="N383" s="665">
        <v>0</v>
      </c>
      <c r="O383" s="665">
        <v>0</v>
      </c>
      <c r="P383" s="665">
        <v>0</v>
      </c>
      <c r="Q383" s="665">
        <v>0</v>
      </c>
      <c r="R383" s="665">
        <v>0</v>
      </c>
      <c r="S383" s="665">
        <v>0</v>
      </c>
      <c r="T383" s="604" t="e">
        <v>#DIV/0!</v>
      </c>
      <c r="U383" s="603">
        <v>0</v>
      </c>
      <c r="V383" s="603">
        <v>0</v>
      </c>
      <c r="W383" s="603">
        <v>0</v>
      </c>
      <c r="X383" s="603">
        <v>0</v>
      </c>
      <c r="Y383" s="603">
        <v>0</v>
      </c>
      <c r="Z383" s="603">
        <v>0</v>
      </c>
    </row>
    <row r="384" spans="1:26" ht="24" x14ac:dyDescent="0.2">
      <c r="A384" s="605" t="s">
        <v>607</v>
      </c>
      <c r="B384" s="665">
        <v>0</v>
      </c>
      <c r="C384" s="665">
        <v>0</v>
      </c>
      <c r="D384" s="665">
        <v>0</v>
      </c>
      <c r="E384" s="665">
        <v>0</v>
      </c>
      <c r="F384" s="665">
        <v>0</v>
      </c>
      <c r="G384" s="665">
        <v>0</v>
      </c>
      <c r="H384" s="665">
        <v>0</v>
      </c>
      <c r="I384" s="665">
        <v>0</v>
      </c>
      <c r="J384" s="665">
        <v>0</v>
      </c>
      <c r="K384" s="665">
        <v>0</v>
      </c>
      <c r="L384" s="665">
        <v>0</v>
      </c>
      <c r="M384" s="665">
        <v>0</v>
      </c>
      <c r="N384" s="665">
        <v>0</v>
      </c>
      <c r="O384" s="665">
        <v>0</v>
      </c>
      <c r="P384" s="665">
        <v>0</v>
      </c>
      <c r="Q384" s="665">
        <v>0</v>
      </c>
      <c r="R384" s="665">
        <v>0</v>
      </c>
      <c r="S384" s="665">
        <v>0</v>
      </c>
      <c r="T384" s="604" t="e">
        <v>#DIV/0!</v>
      </c>
      <c r="U384" s="603">
        <v>0</v>
      </c>
      <c r="V384" s="603">
        <v>0</v>
      </c>
      <c r="W384" s="603">
        <v>0</v>
      </c>
      <c r="X384" s="603">
        <v>0</v>
      </c>
      <c r="Y384" s="603">
        <v>0</v>
      </c>
      <c r="Z384" s="603">
        <v>0</v>
      </c>
    </row>
    <row r="385" spans="1:26" x14ac:dyDescent="0.2">
      <c r="A385" s="597" t="s">
        <v>608</v>
      </c>
      <c r="B385" s="655">
        <v>0</v>
      </c>
      <c r="C385" s="655">
        <v>0</v>
      </c>
      <c r="D385" s="655">
        <v>0</v>
      </c>
      <c r="E385" s="655">
        <v>0</v>
      </c>
      <c r="F385" s="655">
        <v>0</v>
      </c>
      <c r="G385" s="655">
        <v>0</v>
      </c>
      <c r="H385" s="655">
        <v>0</v>
      </c>
      <c r="I385" s="655">
        <v>0</v>
      </c>
      <c r="J385" s="655">
        <v>0</v>
      </c>
      <c r="K385" s="655">
        <v>0</v>
      </c>
      <c r="L385" s="655">
        <v>0</v>
      </c>
      <c r="M385" s="655">
        <v>0</v>
      </c>
      <c r="N385" s="655">
        <v>0</v>
      </c>
      <c r="O385" s="655">
        <v>0</v>
      </c>
      <c r="P385" s="655">
        <v>0</v>
      </c>
      <c r="Q385" s="655">
        <v>0</v>
      </c>
      <c r="R385" s="655">
        <v>0</v>
      </c>
      <c r="S385" s="655">
        <v>0</v>
      </c>
      <c r="T385" s="600" t="e">
        <v>#DIV/0!</v>
      </c>
      <c r="U385" s="599">
        <v>0</v>
      </c>
      <c r="V385" s="599">
        <v>0</v>
      </c>
      <c r="W385" s="599">
        <v>0</v>
      </c>
      <c r="X385" s="599">
        <v>0</v>
      </c>
      <c r="Y385" s="599">
        <v>0</v>
      </c>
      <c r="Z385" s="599">
        <v>0</v>
      </c>
    </row>
    <row r="386" spans="1:26" x14ac:dyDescent="0.2">
      <c r="A386" s="605" t="s">
        <v>609</v>
      </c>
      <c r="B386" s="665">
        <v>0</v>
      </c>
      <c r="C386" s="665">
        <v>0</v>
      </c>
      <c r="D386" s="665">
        <v>0</v>
      </c>
      <c r="E386" s="665">
        <v>0</v>
      </c>
      <c r="F386" s="665">
        <v>0</v>
      </c>
      <c r="G386" s="665">
        <v>0</v>
      </c>
      <c r="H386" s="665">
        <v>0</v>
      </c>
      <c r="I386" s="665">
        <v>0</v>
      </c>
      <c r="J386" s="665">
        <v>0</v>
      </c>
      <c r="K386" s="665">
        <v>0</v>
      </c>
      <c r="L386" s="665">
        <v>0</v>
      </c>
      <c r="M386" s="665">
        <v>0</v>
      </c>
      <c r="N386" s="665">
        <v>0</v>
      </c>
      <c r="O386" s="665">
        <v>0</v>
      </c>
      <c r="P386" s="665">
        <v>0</v>
      </c>
      <c r="Q386" s="665">
        <v>0</v>
      </c>
      <c r="R386" s="665">
        <v>0</v>
      </c>
      <c r="S386" s="665">
        <v>0</v>
      </c>
      <c r="T386" s="604" t="e">
        <v>#DIV/0!</v>
      </c>
      <c r="U386" s="603">
        <v>0</v>
      </c>
      <c r="V386" s="603">
        <v>0</v>
      </c>
      <c r="W386" s="603">
        <v>0</v>
      </c>
      <c r="X386" s="603">
        <v>0</v>
      </c>
      <c r="Y386" s="603">
        <v>0</v>
      </c>
      <c r="Z386" s="603">
        <v>0</v>
      </c>
    </row>
    <row r="387" spans="1:26" ht="24" x14ac:dyDescent="0.2">
      <c r="A387" s="605" t="s">
        <v>610</v>
      </c>
      <c r="B387" s="665">
        <v>0</v>
      </c>
      <c r="C387" s="665">
        <v>0</v>
      </c>
      <c r="D387" s="665">
        <v>0</v>
      </c>
      <c r="E387" s="665">
        <v>0</v>
      </c>
      <c r="F387" s="665">
        <v>0</v>
      </c>
      <c r="G387" s="665">
        <v>0</v>
      </c>
      <c r="H387" s="665">
        <v>0</v>
      </c>
      <c r="I387" s="665">
        <v>0</v>
      </c>
      <c r="J387" s="665">
        <v>0</v>
      </c>
      <c r="K387" s="665">
        <v>0</v>
      </c>
      <c r="L387" s="665">
        <v>0</v>
      </c>
      <c r="M387" s="665">
        <v>0</v>
      </c>
      <c r="N387" s="665">
        <v>0</v>
      </c>
      <c r="O387" s="665">
        <v>0</v>
      </c>
      <c r="P387" s="665">
        <v>0</v>
      </c>
      <c r="Q387" s="665">
        <v>0</v>
      </c>
      <c r="R387" s="665">
        <v>0</v>
      </c>
      <c r="S387" s="665">
        <v>0</v>
      </c>
      <c r="T387" s="604" t="e">
        <v>#DIV/0!</v>
      </c>
      <c r="U387" s="603">
        <v>0</v>
      </c>
      <c r="V387" s="603">
        <v>0</v>
      </c>
      <c r="W387" s="603">
        <v>0</v>
      </c>
      <c r="X387" s="603">
        <v>0</v>
      </c>
      <c r="Y387" s="603">
        <v>0</v>
      </c>
      <c r="Z387" s="603">
        <v>0</v>
      </c>
    </row>
    <row r="388" spans="1:26" x14ac:dyDescent="0.2">
      <c r="A388" s="605" t="s">
        <v>611</v>
      </c>
      <c r="B388" s="665">
        <v>0</v>
      </c>
      <c r="C388" s="665">
        <v>0</v>
      </c>
      <c r="D388" s="665">
        <v>0</v>
      </c>
      <c r="E388" s="665">
        <v>0</v>
      </c>
      <c r="F388" s="665">
        <v>0</v>
      </c>
      <c r="G388" s="665">
        <v>0</v>
      </c>
      <c r="H388" s="665">
        <v>0</v>
      </c>
      <c r="I388" s="665">
        <v>0</v>
      </c>
      <c r="J388" s="665">
        <v>0</v>
      </c>
      <c r="K388" s="665">
        <v>0</v>
      </c>
      <c r="L388" s="665">
        <v>0</v>
      </c>
      <c r="M388" s="665">
        <v>0</v>
      </c>
      <c r="N388" s="665">
        <v>0</v>
      </c>
      <c r="O388" s="665">
        <v>0</v>
      </c>
      <c r="P388" s="665">
        <v>0</v>
      </c>
      <c r="Q388" s="665">
        <v>0</v>
      </c>
      <c r="R388" s="665">
        <v>0</v>
      </c>
      <c r="S388" s="665">
        <v>0</v>
      </c>
      <c r="T388" s="604" t="e">
        <v>#DIV/0!</v>
      </c>
      <c r="U388" s="603">
        <v>0</v>
      </c>
      <c r="V388" s="603">
        <v>0</v>
      </c>
      <c r="W388" s="603">
        <v>0</v>
      </c>
      <c r="X388" s="603">
        <v>0</v>
      </c>
      <c r="Y388" s="603">
        <v>0</v>
      </c>
      <c r="Z388" s="603">
        <v>0</v>
      </c>
    </row>
    <row r="389" spans="1:26" x14ac:dyDescent="0.2">
      <c r="A389" s="597" t="s">
        <v>612</v>
      </c>
      <c r="B389" s="655">
        <v>0</v>
      </c>
      <c r="C389" s="655">
        <v>0</v>
      </c>
      <c r="D389" s="655">
        <v>0</v>
      </c>
      <c r="E389" s="655">
        <v>0</v>
      </c>
      <c r="F389" s="655">
        <v>0</v>
      </c>
      <c r="G389" s="655">
        <v>0</v>
      </c>
      <c r="H389" s="655">
        <v>0</v>
      </c>
      <c r="I389" s="655">
        <v>0</v>
      </c>
      <c r="J389" s="655">
        <v>0</v>
      </c>
      <c r="K389" s="655">
        <v>0</v>
      </c>
      <c r="L389" s="655">
        <v>0</v>
      </c>
      <c r="M389" s="655">
        <v>0</v>
      </c>
      <c r="N389" s="655">
        <v>0</v>
      </c>
      <c r="O389" s="655">
        <v>0</v>
      </c>
      <c r="P389" s="655">
        <v>0</v>
      </c>
      <c r="Q389" s="655">
        <v>0</v>
      </c>
      <c r="R389" s="655">
        <v>0</v>
      </c>
      <c r="S389" s="655">
        <v>0</v>
      </c>
      <c r="T389" s="600" t="e">
        <v>#DIV/0!</v>
      </c>
      <c r="U389" s="599">
        <v>0</v>
      </c>
      <c r="V389" s="599">
        <v>0</v>
      </c>
      <c r="W389" s="599">
        <v>0</v>
      </c>
      <c r="X389" s="599">
        <v>0</v>
      </c>
      <c r="Y389" s="599">
        <v>0</v>
      </c>
      <c r="Z389" s="599">
        <v>0</v>
      </c>
    </row>
    <row r="390" spans="1:26" x14ac:dyDescent="0.2">
      <c r="A390" s="605" t="s">
        <v>613</v>
      </c>
      <c r="B390" s="665">
        <v>0</v>
      </c>
      <c r="C390" s="665">
        <v>0</v>
      </c>
      <c r="D390" s="665">
        <v>0</v>
      </c>
      <c r="E390" s="665">
        <v>0</v>
      </c>
      <c r="F390" s="665">
        <v>0</v>
      </c>
      <c r="G390" s="665">
        <v>0</v>
      </c>
      <c r="H390" s="665">
        <v>0</v>
      </c>
      <c r="I390" s="665">
        <v>0</v>
      </c>
      <c r="J390" s="665">
        <v>0</v>
      </c>
      <c r="K390" s="665">
        <v>0</v>
      </c>
      <c r="L390" s="665">
        <v>0</v>
      </c>
      <c r="M390" s="665">
        <v>0</v>
      </c>
      <c r="N390" s="665">
        <v>0</v>
      </c>
      <c r="O390" s="665">
        <v>0</v>
      </c>
      <c r="P390" s="665">
        <v>0</v>
      </c>
      <c r="Q390" s="665">
        <v>0</v>
      </c>
      <c r="R390" s="665">
        <v>0</v>
      </c>
      <c r="S390" s="665">
        <v>0</v>
      </c>
      <c r="T390" s="604" t="e">
        <v>#DIV/0!</v>
      </c>
      <c r="U390" s="603">
        <v>0</v>
      </c>
      <c r="V390" s="603">
        <v>0</v>
      </c>
      <c r="W390" s="603">
        <v>0</v>
      </c>
      <c r="X390" s="603">
        <v>0</v>
      </c>
      <c r="Y390" s="603">
        <v>0</v>
      </c>
      <c r="Z390" s="603">
        <v>0</v>
      </c>
    </row>
    <row r="391" spans="1:26" x14ac:dyDescent="0.2">
      <c r="A391" s="605" t="s">
        <v>614</v>
      </c>
      <c r="B391" s="665">
        <v>0</v>
      </c>
      <c r="C391" s="665">
        <v>0</v>
      </c>
      <c r="D391" s="665">
        <v>0</v>
      </c>
      <c r="E391" s="665">
        <v>0</v>
      </c>
      <c r="F391" s="665">
        <v>0</v>
      </c>
      <c r="G391" s="665">
        <v>0</v>
      </c>
      <c r="H391" s="665">
        <v>0</v>
      </c>
      <c r="I391" s="665">
        <v>0</v>
      </c>
      <c r="J391" s="665">
        <v>0</v>
      </c>
      <c r="K391" s="665">
        <v>0</v>
      </c>
      <c r="L391" s="665">
        <v>0</v>
      </c>
      <c r="M391" s="665">
        <v>0</v>
      </c>
      <c r="N391" s="665">
        <v>0</v>
      </c>
      <c r="O391" s="665">
        <v>0</v>
      </c>
      <c r="P391" s="665">
        <v>0</v>
      </c>
      <c r="Q391" s="665">
        <v>0</v>
      </c>
      <c r="R391" s="665">
        <v>0</v>
      </c>
      <c r="S391" s="665">
        <v>0</v>
      </c>
      <c r="T391" s="604" t="e">
        <v>#DIV/0!</v>
      </c>
      <c r="U391" s="603">
        <v>0</v>
      </c>
      <c r="V391" s="603">
        <v>0</v>
      </c>
      <c r="W391" s="603">
        <v>0</v>
      </c>
      <c r="X391" s="603">
        <v>0</v>
      </c>
      <c r="Y391" s="603">
        <v>0</v>
      </c>
      <c r="Z391" s="603">
        <v>0</v>
      </c>
    </row>
    <row r="392" spans="1:26" x14ac:dyDescent="0.2">
      <c r="A392" s="605" t="s">
        <v>615</v>
      </c>
      <c r="B392" s="665">
        <v>0</v>
      </c>
      <c r="C392" s="665">
        <v>0</v>
      </c>
      <c r="D392" s="665">
        <v>0</v>
      </c>
      <c r="E392" s="665">
        <v>0</v>
      </c>
      <c r="F392" s="665">
        <v>0</v>
      </c>
      <c r="G392" s="665">
        <v>0</v>
      </c>
      <c r="H392" s="665">
        <v>0</v>
      </c>
      <c r="I392" s="665">
        <v>0</v>
      </c>
      <c r="J392" s="665">
        <v>0</v>
      </c>
      <c r="K392" s="665">
        <v>0</v>
      </c>
      <c r="L392" s="665">
        <v>0</v>
      </c>
      <c r="M392" s="665">
        <v>0</v>
      </c>
      <c r="N392" s="665">
        <v>0</v>
      </c>
      <c r="O392" s="665">
        <v>0</v>
      </c>
      <c r="P392" s="665">
        <v>0</v>
      </c>
      <c r="Q392" s="665">
        <v>0</v>
      </c>
      <c r="R392" s="665">
        <v>0</v>
      </c>
      <c r="S392" s="665">
        <v>0</v>
      </c>
      <c r="T392" s="604" t="e">
        <v>#DIV/0!</v>
      </c>
      <c r="U392" s="603">
        <v>0</v>
      </c>
      <c r="V392" s="603">
        <v>0</v>
      </c>
      <c r="W392" s="603">
        <v>0</v>
      </c>
      <c r="X392" s="603">
        <v>0</v>
      </c>
      <c r="Y392" s="603">
        <v>0</v>
      </c>
      <c r="Z392" s="603">
        <v>0</v>
      </c>
    </row>
    <row r="393" spans="1:26" x14ac:dyDescent="0.2">
      <c r="A393" s="605" t="s">
        <v>616</v>
      </c>
      <c r="B393" s="665">
        <v>0</v>
      </c>
      <c r="C393" s="665">
        <v>0</v>
      </c>
      <c r="D393" s="665">
        <v>0</v>
      </c>
      <c r="E393" s="665">
        <v>0</v>
      </c>
      <c r="F393" s="665">
        <v>0</v>
      </c>
      <c r="G393" s="665">
        <v>0</v>
      </c>
      <c r="H393" s="665">
        <v>0</v>
      </c>
      <c r="I393" s="665">
        <v>0</v>
      </c>
      <c r="J393" s="665">
        <v>0</v>
      </c>
      <c r="K393" s="665">
        <v>0</v>
      </c>
      <c r="L393" s="665">
        <v>0</v>
      </c>
      <c r="M393" s="665">
        <v>0</v>
      </c>
      <c r="N393" s="665">
        <v>0</v>
      </c>
      <c r="O393" s="665">
        <v>0</v>
      </c>
      <c r="P393" s="665">
        <v>0</v>
      </c>
      <c r="Q393" s="665">
        <v>0</v>
      </c>
      <c r="R393" s="665">
        <v>0</v>
      </c>
      <c r="S393" s="665">
        <v>0</v>
      </c>
      <c r="T393" s="604" t="e">
        <v>#DIV/0!</v>
      </c>
      <c r="U393" s="603">
        <v>0</v>
      </c>
      <c r="V393" s="603">
        <v>0</v>
      </c>
      <c r="W393" s="603">
        <v>0</v>
      </c>
      <c r="X393" s="603">
        <v>0</v>
      </c>
      <c r="Y393" s="603">
        <v>0</v>
      </c>
      <c r="Z393" s="603">
        <v>0</v>
      </c>
    </row>
    <row r="394" spans="1:26" x14ac:dyDescent="0.2">
      <c r="A394" s="605" t="s">
        <v>617</v>
      </c>
      <c r="B394" s="665">
        <v>0</v>
      </c>
      <c r="C394" s="665">
        <v>0</v>
      </c>
      <c r="D394" s="665">
        <v>0</v>
      </c>
      <c r="E394" s="665">
        <v>0</v>
      </c>
      <c r="F394" s="665">
        <v>0</v>
      </c>
      <c r="G394" s="665">
        <v>0</v>
      </c>
      <c r="H394" s="665">
        <v>0</v>
      </c>
      <c r="I394" s="665">
        <v>0</v>
      </c>
      <c r="J394" s="665">
        <v>0</v>
      </c>
      <c r="K394" s="665">
        <v>0</v>
      </c>
      <c r="L394" s="665">
        <v>0</v>
      </c>
      <c r="M394" s="665">
        <v>0</v>
      </c>
      <c r="N394" s="665">
        <v>0</v>
      </c>
      <c r="O394" s="665">
        <v>0</v>
      </c>
      <c r="P394" s="665">
        <v>0</v>
      </c>
      <c r="Q394" s="665">
        <v>0</v>
      </c>
      <c r="R394" s="665">
        <v>0</v>
      </c>
      <c r="S394" s="665">
        <v>0</v>
      </c>
      <c r="T394" s="604" t="e">
        <v>#DIV/0!</v>
      </c>
      <c r="U394" s="603">
        <v>0</v>
      </c>
      <c r="V394" s="603">
        <v>0</v>
      </c>
      <c r="W394" s="603">
        <v>0</v>
      </c>
      <c r="X394" s="603">
        <v>0</v>
      </c>
      <c r="Y394" s="603">
        <v>0</v>
      </c>
      <c r="Z394" s="603">
        <v>0</v>
      </c>
    </row>
    <row r="395" spans="1:26" x14ac:dyDescent="0.2">
      <c r="A395" s="605" t="s">
        <v>618</v>
      </c>
      <c r="B395" s="665">
        <v>0</v>
      </c>
      <c r="C395" s="665">
        <v>0</v>
      </c>
      <c r="D395" s="665">
        <v>0</v>
      </c>
      <c r="E395" s="665">
        <v>0</v>
      </c>
      <c r="F395" s="665">
        <v>0</v>
      </c>
      <c r="G395" s="665">
        <v>0</v>
      </c>
      <c r="H395" s="665">
        <v>0</v>
      </c>
      <c r="I395" s="665">
        <v>0</v>
      </c>
      <c r="J395" s="665">
        <v>0</v>
      </c>
      <c r="K395" s="665">
        <v>0</v>
      </c>
      <c r="L395" s="665">
        <v>0</v>
      </c>
      <c r="M395" s="665">
        <v>0</v>
      </c>
      <c r="N395" s="665">
        <v>0</v>
      </c>
      <c r="O395" s="665">
        <v>0</v>
      </c>
      <c r="P395" s="665">
        <v>0</v>
      </c>
      <c r="Q395" s="665">
        <v>0</v>
      </c>
      <c r="R395" s="665">
        <v>0</v>
      </c>
      <c r="S395" s="665">
        <v>0</v>
      </c>
      <c r="T395" s="604" t="e">
        <v>#DIV/0!</v>
      </c>
      <c r="U395" s="603">
        <v>0</v>
      </c>
      <c r="V395" s="603">
        <v>0</v>
      </c>
      <c r="W395" s="603">
        <v>0</v>
      </c>
      <c r="X395" s="603">
        <v>0</v>
      </c>
      <c r="Y395" s="603">
        <v>0</v>
      </c>
      <c r="Z395" s="603">
        <v>0</v>
      </c>
    </row>
    <row r="396" spans="1:26" x14ac:dyDescent="0.2">
      <c r="A396" s="605" t="s">
        <v>619</v>
      </c>
      <c r="B396" s="665">
        <v>0</v>
      </c>
      <c r="C396" s="665">
        <v>0</v>
      </c>
      <c r="D396" s="665">
        <v>0</v>
      </c>
      <c r="E396" s="665">
        <v>0</v>
      </c>
      <c r="F396" s="665">
        <v>0</v>
      </c>
      <c r="G396" s="665">
        <v>0</v>
      </c>
      <c r="H396" s="665">
        <v>0</v>
      </c>
      <c r="I396" s="665">
        <v>0</v>
      </c>
      <c r="J396" s="665">
        <v>0</v>
      </c>
      <c r="K396" s="665">
        <v>0</v>
      </c>
      <c r="L396" s="665">
        <v>0</v>
      </c>
      <c r="M396" s="665">
        <v>0</v>
      </c>
      <c r="N396" s="665">
        <v>0</v>
      </c>
      <c r="O396" s="665">
        <v>0</v>
      </c>
      <c r="P396" s="665">
        <v>0</v>
      </c>
      <c r="Q396" s="665">
        <v>0</v>
      </c>
      <c r="R396" s="665">
        <v>0</v>
      </c>
      <c r="S396" s="665">
        <v>0</v>
      </c>
      <c r="T396" s="604" t="e">
        <v>#DIV/0!</v>
      </c>
      <c r="U396" s="603">
        <v>0</v>
      </c>
      <c r="V396" s="603">
        <v>0</v>
      </c>
      <c r="W396" s="603">
        <v>0</v>
      </c>
      <c r="X396" s="603">
        <v>0</v>
      </c>
      <c r="Y396" s="603">
        <v>0</v>
      </c>
      <c r="Z396" s="603">
        <v>0</v>
      </c>
    </row>
    <row r="397" spans="1:26" x14ac:dyDescent="0.2">
      <c r="A397" s="597" t="s">
        <v>620</v>
      </c>
      <c r="B397" s="685">
        <v>0</v>
      </c>
      <c r="C397" s="685">
        <v>0</v>
      </c>
      <c r="D397" s="685">
        <v>0</v>
      </c>
      <c r="E397" s="685">
        <v>0</v>
      </c>
      <c r="F397" s="685">
        <v>0</v>
      </c>
      <c r="G397" s="685">
        <v>0</v>
      </c>
      <c r="H397" s="685">
        <v>0</v>
      </c>
      <c r="I397" s="685">
        <v>0</v>
      </c>
      <c r="J397" s="685">
        <v>0</v>
      </c>
      <c r="K397" s="685">
        <v>0</v>
      </c>
      <c r="L397" s="685">
        <v>0</v>
      </c>
      <c r="M397" s="685">
        <v>0</v>
      </c>
      <c r="N397" s="685">
        <v>0</v>
      </c>
      <c r="O397" s="685">
        <v>0</v>
      </c>
      <c r="P397" s="685">
        <v>0</v>
      </c>
      <c r="Q397" s="685">
        <v>0</v>
      </c>
      <c r="R397" s="685">
        <v>0</v>
      </c>
      <c r="S397" s="685">
        <v>0</v>
      </c>
      <c r="T397" s="600" t="e">
        <v>#DIV/0!</v>
      </c>
      <c r="U397" s="599">
        <v>0</v>
      </c>
      <c r="V397" s="599">
        <v>0</v>
      </c>
      <c r="W397" s="599">
        <v>0</v>
      </c>
      <c r="X397" s="599">
        <v>0</v>
      </c>
      <c r="Y397" s="599">
        <v>0</v>
      </c>
      <c r="Z397" s="599">
        <v>0</v>
      </c>
    </row>
    <row r="398" spans="1:26" x14ac:dyDescent="0.2">
      <c r="A398" s="597" t="s">
        <v>621</v>
      </c>
      <c r="B398" s="685">
        <v>0</v>
      </c>
      <c r="C398" s="685">
        <v>0</v>
      </c>
      <c r="D398" s="685">
        <v>0</v>
      </c>
      <c r="E398" s="685">
        <v>0</v>
      </c>
      <c r="F398" s="685">
        <v>0</v>
      </c>
      <c r="G398" s="685">
        <v>0</v>
      </c>
      <c r="H398" s="685">
        <v>0</v>
      </c>
      <c r="I398" s="685">
        <v>0</v>
      </c>
      <c r="J398" s="685">
        <v>0</v>
      </c>
      <c r="K398" s="685">
        <v>0</v>
      </c>
      <c r="L398" s="685">
        <v>0</v>
      </c>
      <c r="M398" s="685">
        <v>0</v>
      </c>
      <c r="N398" s="685">
        <v>0</v>
      </c>
      <c r="O398" s="685">
        <v>0</v>
      </c>
      <c r="P398" s="685">
        <v>0</v>
      </c>
      <c r="Q398" s="685">
        <v>0</v>
      </c>
      <c r="R398" s="685">
        <v>0</v>
      </c>
      <c r="S398" s="685">
        <v>0</v>
      </c>
      <c r="T398" s="600" t="e">
        <v>#DIV/0!</v>
      </c>
      <c r="U398" s="599">
        <v>0</v>
      </c>
      <c r="V398" s="599">
        <v>0</v>
      </c>
      <c r="W398" s="599">
        <v>0</v>
      </c>
      <c r="X398" s="599">
        <v>0</v>
      </c>
      <c r="Y398" s="599">
        <v>0</v>
      </c>
      <c r="Z398" s="599">
        <v>0</v>
      </c>
    </row>
    <row r="399" spans="1:26" x14ac:dyDescent="0.2">
      <c r="A399" s="597" t="s">
        <v>622</v>
      </c>
      <c r="B399" s="685">
        <v>0</v>
      </c>
      <c r="C399" s="685">
        <v>0</v>
      </c>
      <c r="D399" s="685">
        <v>0</v>
      </c>
      <c r="E399" s="685">
        <v>0</v>
      </c>
      <c r="F399" s="685">
        <v>0</v>
      </c>
      <c r="G399" s="685">
        <v>0</v>
      </c>
      <c r="H399" s="685">
        <v>0</v>
      </c>
      <c r="I399" s="685">
        <v>0</v>
      </c>
      <c r="J399" s="685">
        <v>0</v>
      </c>
      <c r="K399" s="685">
        <v>0</v>
      </c>
      <c r="L399" s="685">
        <v>0</v>
      </c>
      <c r="M399" s="685">
        <v>0</v>
      </c>
      <c r="N399" s="685">
        <v>0</v>
      </c>
      <c r="O399" s="685">
        <v>0</v>
      </c>
      <c r="P399" s="685">
        <v>0</v>
      </c>
      <c r="Q399" s="685">
        <v>0</v>
      </c>
      <c r="R399" s="685">
        <v>0</v>
      </c>
      <c r="S399" s="685">
        <v>0</v>
      </c>
      <c r="T399" s="600" t="e">
        <v>#DIV/0!</v>
      </c>
      <c r="U399" s="599">
        <v>0</v>
      </c>
      <c r="V399" s="599">
        <v>0</v>
      </c>
      <c r="W399" s="599">
        <v>0</v>
      </c>
      <c r="X399" s="599">
        <v>0</v>
      </c>
      <c r="Y399" s="599">
        <v>0</v>
      </c>
      <c r="Z399" s="599">
        <v>0</v>
      </c>
    </row>
    <row r="400" spans="1:26" x14ac:dyDescent="0.2">
      <c r="A400" s="597" t="s">
        <v>623</v>
      </c>
      <c r="B400" s="685">
        <v>0</v>
      </c>
      <c r="C400" s="685">
        <v>0</v>
      </c>
      <c r="D400" s="685">
        <v>0</v>
      </c>
      <c r="E400" s="685">
        <v>0</v>
      </c>
      <c r="F400" s="685">
        <v>0</v>
      </c>
      <c r="G400" s="685">
        <v>0</v>
      </c>
      <c r="H400" s="685">
        <v>0</v>
      </c>
      <c r="I400" s="685">
        <v>0</v>
      </c>
      <c r="J400" s="685">
        <v>0</v>
      </c>
      <c r="K400" s="685">
        <v>0</v>
      </c>
      <c r="L400" s="685">
        <v>0</v>
      </c>
      <c r="M400" s="685">
        <v>0</v>
      </c>
      <c r="N400" s="685">
        <v>0</v>
      </c>
      <c r="O400" s="685">
        <v>0</v>
      </c>
      <c r="P400" s="685">
        <v>0</v>
      </c>
      <c r="Q400" s="685">
        <v>0</v>
      </c>
      <c r="R400" s="685">
        <v>0</v>
      </c>
      <c r="S400" s="685">
        <v>0</v>
      </c>
      <c r="T400" s="600" t="e">
        <v>#DIV/0!</v>
      </c>
      <c r="U400" s="599">
        <v>0</v>
      </c>
      <c r="V400" s="599">
        <v>0</v>
      </c>
      <c r="W400" s="599">
        <v>0</v>
      </c>
      <c r="X400" s="599">
        <v>0</v>
      </c>
      <c r="Y400" s="599">
        <v>0</v>
      </c>
      <c r="Z400" s="599">
        <v>0</v>
      </c>
    </row>
    <row r="401" spans="1:26" x14ac:dyDescent="0.2">
      <c r="A401" s="597" t="s">
        <v>624</v>
      </c>
      <c r="B401" s="655">
        <v>39526303</v>
      </c>
      <c r="C401" s="655">
        <v>64277867.439999998</v>
      </c>
      <c r="D401" s="655">
        <v>64277867.439999998</v>
      </c>
      <c r="E401" s="655">
        <v>52506564.439999998</v>
      </c>
      <c r="F401" s="655">
        <v>52506564.439999998</v>
      </c>
      <c r="G401" s="655">
        <v>0</v>
      </c>
      <c r="H401" s="655">
        <v>24686564.440000001</v>
      </c>
      <c r="I401" s="655">
        <v>2820000</v>
      </c>
      <c r="J401" s="655">
        <v>0</v>
      </c>
      <c r="K401" s="655">
        <v>0</v>
      </c>
      <c r="L401" s="655">
        <v>0</v>
      </c>
      <c r="M401" s="655">
        <v>25000000</v>
      </c>
      <c r="N401" s="655">
        <v>0</v>
      </c>
      <c r="O401" s="655">
        <v>0</v>
      </c>
      <c r="P401" s="655">
        <v>0</v>
      </c>
      <c r="Q401" s="655">
        <v>0</v>
      </c>
      <c r="R401" s="655">
        <v>0</v>
      </c>
      <c r="S401" s="655">
        <v>52506564.439999998</v>
      </c>
      <c r="T401" s="600">
        <v>0.81686848881556484</v>
      </c>
      <c r="U401" s="599">
        <v>11771303</v>
      </c>
      <c r="V401" s="599">
        <v>0</v>
      </c>
      <c r="W401" s="599">
        <v>11771303</v>
      </c>
      <c r="X401" s="599">
        <v>11771303</v>
      </c>
      <c r="Y401" s="599">
        <v>0</v>
      </c>
      <c r="Z401" s="599">
        <v>0</v>
      </c>
    </row>
    <row r="402" spans="1:26" x14ac:dyDescent="0.2">
      <c r="A402" s="605" t="s">
        <v>625</v>
      </c>
      <c r="B402" s="663">
        <v>39526303</v>
      </c>
      <c r="C402" s="663">
        <v>64277867.439999998</v>
      </c>
      <c r="D402" s="663">
        <v>64277867.439999998</v>
      </c>
      <c r="E402" s="663">
        <v>52506564.439999998</v>
      </c>
      <c r="F402" s="663">
        <v>52506564.439999998</v>
      </c>
      <c r="G402" s="663">
        <v>0</v>
      </c>
      <c r="H402" s="663">
        <v>24686564.440000001</v>
      </c>
      <c r="I402" s="663">
        <v>2820000</v>
      </c>
      <c r="J402" s="663">
        <v>0</v>
      </c>
      <c r="K402" s="663">
        <v>0</v>
      </c>
      <c r="L402" s="663">
        <v>0</v>
      </c>
      <c r="M402" s="663">
        <v>25000000</v>
      </c>
      <c r="N402" s="663">
        <v>0</v>
      </c>
      <c r="O402" s="663">
        <v>0</v>
      </c>
      <c r="P402" s="663">
        <v>0</v>
      </c>
      <c r="Q402" s="663">
        <v>0</v>
      </c>
      <c r="R402" s="663">
        <v>0</v>
      </c>
      <c r="S402" s="663">
        <v>52506564.439999998</v>
      </c>
      <c r="T402" s="604">
        <v>0.81686848881556484</v>
      </c>
      <c r="U402" s="603">
        <v>11771303</v>
      </c>
      <c r="V402" s="603">
        <v>0</v>
      </c>
      <c r="W402" s="603">
        <v>11771303</v>
      </c>
      <c r="X402" s="603">
        <v>11771303</v>
      </c>
      <c r="Y402" s="603">
        <v>0</v>
      </c>
      <c r="Z402" s="603">
        <v>0</v>
      </c>
    </row>
    <row r="403" spans="1:26" x14ac:dyDescent="0.2">
      <c r="A403" s="607" t="s">
        <v>626</v>
      </c>
      <c r="B403" s="663">
        <v>0</v>
      </c>
      <c r="C403" s="663">
        <v>0</v>
      </c>
      <c r="D403" s="663">
        <v>0</v>
      </c>
      <c r="E403" s="663">
        <v>0</v>
      </c>
      <c r="F403" s="663">
        <v>0</v>
      </c>
      <c r="G403" s="663">
        <v>0</v>
      </c>
      <c r="H403" s="663">
        <v>0</v>
      </c>
      <c r="I403" s="663">
        <v>0</v>
      </c>
      <c r="J403" s="663">
        <v>0</v>
      </c>
      <c r="K403" s="663">
        <v>0</v>
      </c>
      <c r="L403" s="663">
        <v>0</v>
      </c>
      <c r="M403" s="663">
        <v>0</v>
      </c>
      <c r="N403" s="663">
        <v>0</v>
      </c>
      <c r="O403" s="663">
        <v>0</v>
      </c>
      <c r="P403" s="663">
        <v>0</v>
      </c>
      <c r="Q403" s="663">
        <v>0</v>
      </c>
      <c r="R403" s="663">
        <v>0</v>
      </c>
      <c r="S403" s="663">
        <v>0</v>
      </c>
      <c r="T403" s="604" t="e">
        <v>#DIV/0!</v>
      </c>
      <c r="U403" s="603">
        <v>0</v>
      </c>
      <c r="V403" s="603">
        <v>0</v>
      </c>
      <c r="W403" s="603">
        <v>0</v>
      </c>
      <c r="X403" s="603">
        <v>0</v>
      </c>
      <c r="Y403" s="603">
        <v>0</v>
      </c>
      <c r="Z403" s="603">
        <v>0</v>
      </c>
    </row>
    <row r="404" spans="1:26" x14ac:dyDescent="0.2">
      <c r="A404" s="608" t="s">
        <v>627</v>
      </c>
      <c r="B404" s="665">
        <v>0</v>
      </c>
      <c r="C404" s="665">
        <v>0</v>
      </c>
      <c r="D404" s="665">
        <v>0</v>
      </c>
      <c r="E404" s="665">
        <v>0</v>
      </c>
      <c r="F404" s="665">
        <v>0</v>
      </c>
      <c r="G404" s="665">
        <v>0</v>
      </c>
      <c r="H404" s="665">
        <v>0</v>
      </c>
      <c r="I404" s="665">
        <v>0</v>
      </c>
      <c r="J404" s="665">
        <v>0</v>
      </c>
      <c r="K404" s="665">
        <v>0</v>
      </c>
      <c r="L404" s="665">
        <v>0</v>
      </c>
      <c r="M404" s="665">
        <v>0</v>
      </c>
      <c r="N404" s="665">
        <v>0</v>
      </c>
      <c r="O404" s="665">
        <v>0</v>
      </c>
      <c r="P404" s="665">
        <v>0</v>
      </c>
      <c r="Q404" s="665">
        <v>0</v>
      </c>
      <c r="R404" s="665">
        <v>0</v>
      </c>
      <c r="S404" s="665">
        <v>0</v>
      </c>
      <c r="T404" s="604" t="e">
        <v>#DIV/0!</v>
      </c>
      <c r="U404" s="603">
        <v>0</v>
      </c>
      <c r="V404" s="603">
        <v>0</v>
      </c>
      <c r="W404" s="603">
        <v>0</v>
      </c>
      <c r="X404" s="603">
        <v>0</v>
      </c>
      <c r="Y404" s="603">
        <v>0</v>
      </c>
      <c r="Z404" s="603">
        <v>0</v>
      </c>
    </row>
    <row r="405" spans="1:26" x14ac:dyDescent="0.2">
      <c r="A405" s="608" t="s">
        <v>628</v>
      </c>
      <c r="B405" s="665">
        <v>0</v>
      </c>
      <c r="C405" s="665">
        <v>0</v>
      </c>
      <c r="D405" s="665">
        <v>0</v>
      </c>
      <c r="E405" s="665">
        <v>0</v>
      </c>
      <c r="F405" s="665">
        <v>0</v>
      </c>
      <c r="G405" s="665">
        <v>0</v>
      </c>
      <c r="H405" s="665">
        <v>0</v>
      </c>
      <c r="I405" s="665">
        <v>0</v>
      </c>
      <c r="J405" s="665">
        <v>0</v>
      </c>
      <c r="K405" s="665">
        <v>0</v>
      </c>
      <c r="L405" s="665">
        <v>0</v>
      </c>
      <c r="M405" s="665">
        <v>0</v>
      </c>
      <c r="N405" s="665">
        <v>0</v>
      </c>
      <c r="O405" s="665">
        <v>0</v>
      </c>
      <c r="P405" s="665">
        <v>0</v>
      </c>
      <c r="Q405" s="665">
        <v>0</v>
      </c>
      <c r="R405" s="665">
        <v>0</v>
      </c>
      <c r="S405" s="665">
        <v>0</v>
      </c>
      <c r="T405" s="604" t="e">
        <v>#DIV/0!</v>
      </c>
      <c r="U405" s="603">
        <v>0</v>
      </c>
      <c r="V405" s="603">
        <v>0</v>
      </c>
      <c r="W405" s="603">
        <v>0</v>
      </c>
      <c r="X405" s="603">
        <v>0</v>
      </c>
      <c r="Y405" s="603">
        <v>0</v>
      </c>
      <c r="Z405" s="603">
        <v>0</v>
      </c>
    </row>
    <row r="406" spans="1:26" x14ac:dyDescent="0.2">
      <c r="A406" s="607" t="s">
        <v>1317</v>
      </c>
      <c r="B406" s="665">
        <v>39526303</v>
      </c>
      <c r="C406" s="665">
        <v>64277867.439999998</v>
      </c>
      <c r="D406" s="665">
        <v>64277867.439999998</v>
      </c>
      <c r="E406" s="665">
        <v>52506564.439999998</v>
      </c>
      <c r="F406" s="665">
        <v>52506564.439999998</v>
      </c>
      <c r="G406" s="665">
        <v>0</v>
      </c>
      <c r="H406" s="665">
        <v>24686564.440000001</v>
      </c>
      <c r="I406" s="665">
        <v>2820000</v>
      </c>
      <c r="J406" s="665">
        <v>0</v>
      </c>
      <c r="K406" s="665">
        <v>0</v>
      </c>
      <c r="L406" s="665">
        <v>0</v>
      </c>
      <c r="M406" s="665">
        <v>25000000</v>
      </c>
      <c r="N406" s="665">
        <v>0</v>
      </c>
      <c r="O406" s="665">
        <v>0</v>
      </c>
      <c r="P406" s="665">
        <v>0</v>
      </c>
      <c r="Q406" s="665">
        <v>0</v>
      </c>
      <c r="R406" s="665">
        <v>0</v>
      </c>
      <c r="S406" s="665">
        <v>52506564.439999998</v>
      </c>
      <c r="T406" s="604">
        <v>0.81686848881556484</v>
      </c>
      <c r="U406" s="603">
        <v>11771303</v>
      </c>
      <c r="V406" s="603">
        <v>0</v>
      </c>
      <c r="W406" s="603">
        <v>11771303</v>
      </c>
      <c r="X406" s="603">
        <v>11771303</v>
      </c>
      <c r="Y406" s="603">
        <v>0</v>
      </c>
      <c r="Z406" s="603">
        <v>0</v>
      </c>
    </row>
    <row r="407" spans="1:26" x14ac:dyDescent="0.2">
      <c r="A407" s="608" t="s">
        <v>1319</v>
      </c>
      <c r="B407" s="665">
        <v>0</v>
      </c>
      <c r="C407" s="665">
        <v>0</v>
      </c>
      <c r="D407" s="665">
        <v>0</v>
      </c>
      <c r="E407" s="665">
        <v>0</v>
      </c>
      <c r="F407" s="665">
        <v>0</v>
      </c>
      <c r="G407" s="665">
        <v>0</v>
      </c>
      <c r="H407" s="665">
        <v>0</v>
      </c>
      <c r="I407" s="665">
        <v>0</v>
      </c>
      <c r="J407" s="665">
        <v>0</v>
      </c>
      <c r="K407" s="665">
        <v>0</v>
      </c>
      <c r="L407" s="665">
        <v>0</v>
      </c>
      <c r="M407" s="665">
        <v>0</v>
      </c>
      <c r="N407" s="665">
        <v>0</v>
      </c>
      <c r="O407" s="665">
        <v>0</v>
      </c>
      <c r="P407" s="665">
        <v>0</v>
      </c>
      <c r="Q407" s="665">
        <v>0</v>
      </c>
      <c r="R407" s="665">
        <v>0</v>
      </c>
      <c r="S407" s="665">
        <v>0</v>
      </c>
      <c r="T407" s="604" t="e">
        <v>#DIV/0!</v>
      </c>
      <c r="U407" s="603">
        <v>0</v>
      </c>
      <c r="V407" s="603">
        <v>0</v>
      </c>
      <c r="W407" s="603">
        <v>0</v>
      </c>
      <c r="X407" s="603">
        <v>0</v>
      </c>
      <c r="Y407" s="603">
        <v>0</v>
      </c>
      <c r="Z407" s="603">
        <v>0</v>
      </c>
    </row>
    <row r="408" spans="1:26" x14ac:dyDescent="0.2">
      <c r="A408" s="608" t="s">
        <v>1321</v>
      </c>
      <c r="B408" s="665">
        <v>39526303</v>
      </c>
      <c r="C408" s="665">
        <v>64277867.439999998</v>
      </c>
      <c r="D408" s="665">
        <v>64277867.439999998</v>
      </c>
      <c r="E408" s="665">
        <v>52506564.439999998</v>
      </c>
      <c r="F408" s="665">
        <v>52506564.439999998</v>
      </c>
      <c r="G408" s="665">
        <v>0</v>
      </c>
      <c r="H408" s="665">
        <v>24686564.440000001</v>
      </c>
      <c r="I408" s="665">
        <v>2820000</v>
      </c>
      <c r="J408" s="665">
        <v>0</v>
      </c>
      <c r="K408" s="665">
        <v>0</v>
      </c>
      <c r="L408" s="665">
        <v>0</v>
      </c>
      <c r="M408" s="665">
        <v>25000000</v>
      </c>
      <c r="N408" s="665">
        <v>0</v>
      </c>
      <c r="O408" s="665">
        <v>0</v>
      </c>
      <c r="P408" s="665">
        <v>0</v>
      </c>
      <c r="Q408" s="665">
        <v>0</v>
      </c>
      <c r="R408" s="665">
        <v>0</v>
      </c>
      <c r="S408" s="665">
        <v>52506564.439999998</v>
      </c>
      <c r="T408" s="604">
        <v>0.81686848881556484</v>
      </c>
      <c r="U408" s="603">
        <v>11771303</v>
      </c>
      <c r="V408" s="603">
        <v>0</v>
      </c>
      <c r="W408" s="603">
        <v>11771303</v>
      </c>
      <c r="X408" s="603">
        <v>11771303</v>
      </c>
      <c r="Y408" s="603">
        <v>0</v>
      </c>
      <c r="Z408" s="603">
        <v>0</v>
      </c>
    </row>
    <row r="409" spans="1:26" x14ac:dyDescent="0.2">
      <c r="A409" s="607" t="s">
        <v>629</v>
      </c>
      <c r="B409" s="665">
        <v>0</v>
      </c>
      <c r="C409" s="665">
        <v>0</v>
      </c>
      <c r="D409" s="665">
        <v>0</v>
      </c>
      <c r="E409" s="665">
        <v>0</v>
      </c>
      <c r="F409" s="665">
        <v>0</v>
      </c>
      <c r="G409" s="665">
        <v>0</v>
      </c>
      <c r="H409" s="665">
        <v>0</v>
      </c>
      <c r="I409" s="665">
        <v>0</v>
      </c>
      <c r="J409" s="665">
        <v>0</v>
      </c>
      <c r="K409" s="665">
        <v>0</v>
      </c>
      <c r="L409" s="665">
        <v>0</v>
      </c>
      <c r="M409" s="665">
        <v>0</v>
      </c>
      <c r="N409" s="665">
        <v>0</v>
      </c>
      <c r="O409" s="665">
        <v>0</v>
      </c>
      <c r="P409" s="665">
        <v>0</v>
      </c>
      <c r="Q409" s="665">
        <v>0</v>
      </c>
      <c r="R409" s="665">
        <v>0</v>
      </c>
      <c r="S409" s="665">
        <v>0</v>
      </c>
      <c r="T409" s="604" t="e">
        <v>#DIV/0!</v>
      </c>
      <c r="U409" s="603">
        <v>0</v>
      </c>
      <c r="V409" s="603">
        <v>0</v>
      </c>
      <c r="W409" s="603">
        <v>0</v>
      </c>
      <c r="X409" s="603">
        <v>0</v>
      </c>
      <c r="Y409" s="603">
        <v>0</v>
      </c>
      <c r="Z409" s="603">
        <v>0</v>
      </c>
    </row>
    <row r="410" spans="1:26" x14ac:dyDescent="0.2">
      <c r="A410" s="607" t="s">
        <v>630</v>
      </c>
      <c r="B410" s="665">
        <v>0</v>
      </c>
      <c r="C410" s="665">
        <v>0</v>
      </c>
      <c r="D410" s="665">
        <v>0</v>
      </c>
      <c r="E410" s="665">
        <v>0</v>
      </c>
      <c r="F410" s="665">
        <v>0</v>
      </c>
      <c r="G410" s="665">
        <v>0</v>
      </c>
      <c r="H410" s="665">
        <v>0</v>
      </c>
      <c r="I410" s="665">
        <v>0</v>
      </c>
      <c r="J410" s="665">
        <v>0</v>
      </c>
      <c r="K410" s="665">
        <v>0</v>
      </c>
      <c r="L410" s="665">
        <v>0</v>
      </c>
      <c r="M410" s="665">
        <v>0</v>
      </c>
      <c r="N410" s="665">
        <v>0</v>
      </c>
      <c r="O410" s="665">
        <v>0</v>
      </c>
      <c r="P410" s="665">
        <v>0</v>
      </c>
      <c r="Q410" s="665">
        <v>0</v>
      </c>
      <c r="R410" s="665">
        <v>0</v>
      </c>
      <c r="S410" s="665">
        <v>0</v>
      </c>
      <c r="T410" s="604" t="e">
        <v>#DIV/0!</v>
      </c>
      <c r="U410" s="603">
        <v>0</v>
      </c>
      <c r="V410" s="603">
        <v>0</v>
      </c>
      <c r="W410" s="603">
        <v>0</v>
      </c>
      <c r="X410" s="603">
        <v>0</v>
      </c>
      <c r="Y410" s="603">
        <v>0</v>
      </c>
      <c r="Z410" s="603">
        <v>0</v>
      </c>
    </row>
    <row r="411" spans="1:26" x14ac:dyDescent="0.2">
      <c r="A411" s="605" t="s">
        <v>631</v>
      </c>
      <c r="B411" s="665">
        <v>0</v>
      </c>
      <c r="C411" s="665">
        <v>0</v>
      </c>
      <c r="D411" s="665">
        <v>0</v>
      </c>
      <c r="E411" s="665">
        <v>0</v>
      </c>
      <c r="F411" s="665">
        <v>0</v>
      </c>
      <c r="G411" s="665">
        <v>0</v>
      </c>
      <c r="H411" s="665">
        <v>0</v>
      </c>
      <c r="I411" s="665">
        <v>0</v>
      </c>
      <c r="J411" s="665">
        <v>0</v>
      </c>
      <c r="K411" s="665">
        <v>0</v>
      </c>
      <c r="L411" s="665">
        <v>0</v>
      </c>
      <c r="M411" s="665">
        <v>0</v>
      </c>
      <c r="N411" s="665">
        <v>0</v>
      </c>
      <c r="O411" s="665">
        <v>0</v>
      </c>
      <c r="P411" s="665">
        <v>0</v>
      </c>
      <c r="Q411" s="665">
        <v>0</v>
      </c>
      <c r="R411" s="665">
        <v>0</v>
      </c>
      <c r="S411" s="665">
        <v>0</v>
      </c>
      <c r="T411" s="604" t="e">
        <v>#DIV/0!</v>
      </c>
      <c r="U411" s="603">
        <v>0</v>
      </c>
      <c r="V411" s="603">
        <v>0</v>
      </c>
      <c r="W411" s="603">
        <v>0</v>
      </c>
      <c r="X411" s="603">
        <v>0</v>
      </c>
      <c r="Y411" s="603">
        <v>0</v>
      </c>
      <c r="Z411" s="603">
        <v>0</v>
      </c>
    </row>
    <row r="412" spans="1:26" x14ac:dyDescent="0.2">
      <c r="A412" s="605" t="s">
        <v>632</v>
      </c>
      <c r="B412" s="665">
        <v>0</v>
      </c>
      <c r="C412" s="665">
        <v>0</v>
      </c>
      <c r="D412" s="665">
        <v>0</v>
      </c>
      <c r="E412" s="665">
        <v>0</v>
      </c>
      <c r="F412" s="665">
        <v>0</v>
      </c>
      <c r="G412" s="665">
        <v>0</v>
      </c>
      <c r="H412" s="665">
        <v>0</v>
      </c>
      <c r="I412" s="665">
        <v>0</v>
      </c>
      <c r="J412" s="665">
        <v>0</v>
      </c>
      <c r="K412" s="665">
        <v>0</v>
      </c>
      <c r="L412" s="665">
        <v>0</v>
      </c>
      <c r="M412" s="665">
        <v>0</v>
      </c>
      <c r="N412" s="665">
        <v>0</v>
      </c>
      <c r="O412" s="665">
        <v>0</v>
      </c>
      <c r="P412" s="665">
        <v>0</v>
      </c>
      <c r="Q412" s="665">
        <v>0</v>
      </c>
      <c r="R412" s="665">
        <v>0</v>
      </c>
      <c r="S412" s="665">
        <v>0</v>
      </c>
      <c r="T412" s="604" t="e">
        <v>#DIV/0!</v>
      </c>
      <c r="U412" s="603">
        <v>0</v>
      </c>
      <c r="V412" s="603">
        <v>0</v>
      </c>
      <c r="W412" s="603">
        <v>0</v>
      </c>
      <c r="X412" s="603">
        <v>0</v>
      </c>
      <c r="Y412" s="603">
        <v>0</v>
      </c>
      <c r="Z412" s="603">
        <v>0</v>
      </c>
    </row>
    <row r="413" spans="1:26" x14ac:dyDescent="0.2">
      <c r="A413" s="605" t="s">
        <v>633</v>
      </c>
      <c r="B413" s="665">
        <v>0</v>
      </c>
      <c r="C413" s="665">
        <v>0</v>
      </c>
      <c r="D413" s="665">
        <v>0</v>
      </c>
      <c r="E413" s="665">
        <v>0</v>
      </c>
      <c r="F413" s="665">
        <v>0</v>
      </c>
      <c r="G413" s="665">
        <v>0</v>
      </c>
      <c r="H413" s="665">
        <v>0</v>
      </c>
      <c r="I413" s="665">
        <v>0</v>
      </c>
      <c r="J413" s="665">
        <v>0</v>
      </c>
      <c r="K413" s="665">
        <v>0</v>
      </c>
      <c r="L413" s="665">
        <v>0</v>
      </c>
      <c r="M413" s="665">
        <v>0</v>
      </c>
      <c r="N413" s="665">
        <v>0</v>
      </c>
      <c r="O413" s="665">
        <v>0</v>
      </c>
      <c r="P413" s="665">
        <v>0</v>
      </c>
      <c r="Q413" s="665">
        <v>0</v>
      </c>
      <c r="R413" s="665">
        <v>0</v>
      </c>
      <c r="S413" s="665">
        <v>0</v>
      </c>
      <c r="T413" s="604" t="e">
        <v>#DIV/0!</v>
      </c>
      <c r="U413" s="603">
        <v>0</v>
      </c>
      <c r="V413" s="603">
        <v>0</v>
      </c>
      <c r="W413" s="603">
        <v>0</v>
      </c>
      <c r="X413" s="603">
        <v>0</v>
      </c>
      <c r="Y413" s="603">
        <v>0</v>
      </c>
      <c r="Z413" s="603">
        <v>0</v>
      </c>
    </row>
    <row r="414" spans="1:26" x14ac:dyDescent="0.2">
      <c r="A414" s="605" t="s">
        <v>634</v>
      </c>
      <c r="B414" s="665">
        <v>0</v>
      </c>
      <c r="C414" s="665">
        <v>0</v>
      </c>
      <c r="D414" s="665">
        <v>0</v>
      </c>
      <c r="E414" s="665">
        <v>0</v>
      </c>
      <c r="F414" s="665">
        <v>0</v>
      </c>
      <c r="G414" s="665">
        <v>0</v>
      </c>
      <c r="H414" s="665">
        <v>0</v>
      </c>
      <c r="I414" s="665">
        <v>0</v>
      </c>
      <c r="J414" s="665">
        <v>0</v>
      </c>
      <c r="K414" s="665">
        <v>0</v>
      </c>
      <c r="L414" s="665">
        <v>0</v>
      </c>
      <c r="M414" s="665">
        <v>0</v>
      </c>
      <c r="N414" s="665">
        <v>0</v>
      </c>
      <c r="O414" s="665">
        <v>0</v>
      </c>
      <c r="P414" s="665">
        <v>0</v>
      </c>
      <c r="Q414" s="665">
        <v>0</v>
      </c>
      <c r="R414" s="665">
        <v>0</v>
      </c>
      <c r="S414" s="665">
        <v>0</v>
      </c>
      <c r="T414" s="604" t="e">
        <v>#DIV/0!</v>
      </c>
      <c r="U414" s="603">
        <v>0</v>
      </c>
      <c r="V414" s="603">
        <v>0</v>
      </c>
      <c r="W414" s="603">
        <v>0</v>
      </c>
      <c r="X414" s="603">
        <v>0</v>
      </c>
      <c r="Y414" s="603">
        <v>0</v>
      </c>
      <c r="Z414" s="603">
        <v>0</v>
      </c>
    </row>
    <row r="415" spans="1:26" x14ac:dyDescent="0.2">
      <c r="A415" s="605" t="s">
        <v>635</v>
      </c>
      <c r="B415" s="665">
        <v>0</v>
      </c>
      <c r="C415" s="665">
        <v>0</v>
      </c>
      <c r="D415" s="665">
        <v>0</v>
      </c>
      <c r="E415" s="665">
        <v>0</v>
      </c>
      <c r="F415" s="665">
        <v>0</v>
      </c>
      <c r="G415" s="665">
        <v>0</v>
      </c>
      <c r="H415" s="665">
        <v>0</v>
      </c>
      <c r="I415" s="665">
        <v>0</v>
      </c>
      <c r="J415" s="665">
        <v>0</v>
      </c>
      <c r="K415" s="665">
        <v>0</v>
      </c>
      <c r="L415" s="665">
        <v>0</v>
      </c>
      <c r="M415" s="665">
        <v>0</v>
      </c>
      <c r="N415" s="665">
        <v>0</v>
      </c>
      <c r="O415" s="665">
        <v>0</v>
      </c>
      <c r="P415" s="665">
        <v>0</v>
      </c>
      <c r="Q415" s="665">
        <v>0</v>
      </c>
      <c r="R415" s="665">
        <v>0</v>
      </c>
      <c r="S415" s="665">
        <v>0</v>
      </c>
      <c r="T415" s="604" t="e">
        <v>#DIV/0!</v>
      </c>
      <c r="U415" s="603">
        <v>0</v>
      </c>
      <c r="V415" s="603">
        <v>0</v>
      </c>
      <c r="W415" s="603">
        <v>0</v>
      </c>
      <c r="X415" s="603">
        <v>0</v>
      </c>
      <c r="Y415" s="603">
        <v>0</v>
      </c>
      <c r="Z415" s="603">
        <v>0</v>
      </c>
    </row>
    <row r="416" spans="1:26" x14ac:dyDescent="0.2">
      <c r="A416" s="597" t="s">
        <v>636</v>
      </c>
      <c r="B416" s="655">
        <v>0</v>
      </c>
      <c r="C416" s="655">
        <v>0</v>
      </c>
      <c r="D416" s="655">
        <v>0</v>
      </c>
      <c r="E416" s="655">
        <v>0</v>
      </c>
      <c r="F416" s="655">
        <v>0</v>
      </c>
      <c r="G416" s="655">
        <v>0</v>
      </c>
      <c r="H416" s="655">
        <v>0</v>
      </c>
      <c r="I416" s="655">
        <v>0</v>
      </c>
      <c r="J416" s="655">
        <v>0</v>
      </c>
      <c r="K416" s="655">
        <v>0</v>
      </c>
      <c r="L416" s="655">
        <v>0</v>
      </c>
      <c r="M416" s="655">
        <v>0</v>
      </c>
      <c r="N416" s="655">
        <v>0</v>
      </c>
      <c r="O416" s="655">
        <v>0</v>
      </c>
      <c r="P416" s="655">
        <v>0</v>
      </c>
      <c r="Q416" s="655">
        <v>0</v>
      </c>
      <c r="R416" s="655">
        <v>0</v>
      </c>
      <c r="S416" s="655">
        <v>0</v>
      </c>
      <c r="T416" s="600" t="e">
        <v>#DIV/0!</v>
      </c>
      <c r="U416" s="599">
        <v>0</v>
      </c>
      <c r="V416" s="599">
        <v>0</v>
      </c>
      <c r="W416" s="599">
        <v>0</v>
      </c>
      <c r="X416" s="599">
        <v>0</v>
      </c>
      <c r="Y416" s="599">
        <v>0</v>
      </c>
      <c r="Z416" s="599">
        <v>0</v>
      </c>
    </row>
    <row r="417" spans="1:26" x14ac:dyDescent="0.2">
      <c r="A417" s="605" t="s">
        <v>637</v>
      </c>
      <c r="B417" s="665">
        <v>0</v>
      </c>
      <c r="C417" s="665">
        <v>0</v>
      </c>
      <c r="D417" s="665">
        <v>0</v>
      </c>
      <c r="E417" s="665">
        <v>0</v>
      </c>
      <c r="F417" s="665">
        <v>0</v>
      </c>
      <c r="G417" s="665">
        <v>0</v>
      </c>
      <c r="H417" s="665">
        <v>0</v>
      </c>
      <c r="I417" s="665">
        <v>0</v>
      </c>
      <c r="J417" s="665">
        <v>0</v>
      </c>
      <c r="K417" s="665">
        <v>0</v>
      </c>
      <c r="L417" s="665">
        <v>0</v>
      </c>
      <c r="M417" s="665">
        <v>0</v>
      </c>
      <c r="N417" s="665">
        <v>0</v>
      </c>
      <c r="O417" s="665">
        <v>0</v>
      </c>
      <c r="P417" s="665">
        <v>0</v>
      </c>
      <c r="Q417" s="665">
        <v>0</v>
      </c>
      <c r="R417" s="665">
        <v>0</v>
      </c>
      <c r="S417" s="665">
        <v>0</v>
      </c>
      <c r="T417" s="604" t="e">
        <v>#DIV/0!</v>
      </c>
      <c r="U417" s="603">
        <v>0</v>
      </c>
      <c r="V417" s="603">
        <v>0</v>
      </c>
      <c r="W417" s="603">
        <v>0</v>
      </c>
      <c r="X417" s="603">
        <v>0</v>
      </c>
      <c r="Y417" s="603">
        <v>0</v>
      </c>
      <c r="Z417" s="603">
        <v>0</v>
      </c>
    </row>
    <row r="418" spans="1:26" x14ac:dyDescent="0.2">
      <c r="A418" s="605" t="s">
        <v>638</v>
      </c>
      <c r="B418" s="665">
        <v>0</v>
      </c>
      <c r="C418" s="665">
        <v>0</v>
      </c>
      <c r="D418" s="665">
        <v>0</v>
      </c>
      <c r="E418" s="665">
        <v>0</v>
      </c>
      <c r="F418" s="665">
        <v>0</v>
      </c>
      <c r="G418" s="665">
        <v>0</v>
      </c>
      <c r="H418" s="665">
        <v>0</v>
      </c>
      <c r="I418" s="665">
        <v>0</v>
      </c>
      <c r="J418" s="665">
        <v>0</v>
      </c>
      <c r="K418" s="665">
        <v>0</v>
      </c>
      <c r="L418" s="665">
        <v>0</v>
      </c>
      <c r="M418" s="665">
        <v>0</v>
      </c>
      <c r="N418" s="665">
        <v>0</v>
      </c>
      <c r="O418" s="665">
        <v>0</v>
      </c>
      <c r="P418" s="665">
        <v>0</v>
      </c>
      <c r="Q418" s="665">
        <v>0</v>
      </c>
      <c r="R418" s="665">
        <v>0</v>
      </c>
      <c r="S418" s="665">
        <v>0</v>
      </c>
      <c r="T418" s="604" t="e">
        <v>#DIV/0!</v>
      </c>
      <c r="U418" s="603">
        <v>0</v>
      </c>
      <c r="V418" s="603">
        <v>0</v>
      </c>
      <c r="W418" s="603">
        <v>0</v>
      </c>
      <c r="X418" s="603">
        <v>0</v>
      </c>
      <c r="Y418" s="603">
        <v>0</v>
      </c>
      <c r="Z418" s="603">
        <v>0</v>
      </c>
    </row>
    <row r="419" spans="1:26" x14ac:dyDescent="0.2">
      <c r="A419" s="605" t="s">
        <v>639</v>
      </c>
      <c r="B419" s="665">
        <v>0</v>
      </c>
      <c r="C419" s="665">
        <v>0</v>
      </c>
      <c r="D419" s="665">
        <v>0</v>
      </c>
      <c r="E419" s="665">
        <v>0</v>
      </c>
      <c r="F419" s="665">
        <v>0</v>
      </c>
      <c r="G419" s="665">
        <v>0</v>
      </c>
      <c r="H419" s="665">
        <v>0</v>
      </c>
      <c r="I419" s="665">
        <v>0</v>
      </c>
      <c r="J419" s="665">
        <v>0</v>
      </c>
      <c r="K419" s="665">
        <v>0</v>
      </c>
      <c r="L419" s="665">
        <v>0</v>
      </c>
      <c r="M419" s="665">
        <v>0</v>
      </c>
      <c r="N419" s="665">
        <v>0</v>
      </c>
      <c r="O419" s="665">
        <v>0</v>
      </c>
      <c r="P419" s="665">
        <v>0</v>
      </c>
      <c r="Q419" s="665">
        <v>0</v>
      </c>
      <c r="R419" s="665">
        <v>0</v>
      </c>
      <c r="S419" s="665">
        <v>0</v>
      </c>
      <c r="T419" s="604" t="e">
        <v>#DIV/0!</v>
      </c>
      <c r="U419" s="603">
        <v>0</v>
      </c>
      <c r="V419" s="603">
        <v>0</v>
      </c>
      <c r="W419" s="603">
        <v>0</v>
      </c>
      <c r="X419" s="603">
        <v>0</v>
      </c>
      <c r="Y419" s="603">
        <v>0</v>
      </c>
      <c r="Z419" s="603">
        <v>0</v>
      </c>
    </row>
    <row r="420" spans="1:26" x14ac:dyDescent="0.2">
      <c r="A420" s="597" t="s">
        <v>640</v>
      </c>
      <c r="B420" s="655">
        <v>0</v>
      </c>
      <c r="C420" s="655">
        <v>0</v>
      </c>
      <c r="D420" s="655">
        <v>0</v>
      </c>
      <c r="E420" s="655">
        <v>0</v>
      </c>
      <c r="F420" s="655">
        <v>0</v>
      </c>
      <c r="G420" s="655">
        <v>0</v>
      </c>
      <c r="H420" s="655">
        <v>0</v>
      </c>
      <c r="I420" s="655">
        <v>0</v>
      </c>
      <c r="J420" s="655">
        <v>0</v>
      </c>
      <c r="K420" s="655">
        <v>0</v>
      </c>
      <c r="L420" s="655">
        <v>0</v>
      </c>
      <c r="M420" s="655">
        <v>0</v>
      </c>
      <c r="N420" s="655">
        <v>0</v>
      </c>
      <c r="O420" s="655">
        <v>0</v>
      </c>
      <c r="P420" s="655">
        <v>0</v>
      </c>
      <c r="Q420" s="655">
        <v>0</v>
      </c>
      <c r="R420" s="655">
        <v>0</v>
      </c>
      <c r="S420" s="655">
        <v>0</v>
      </c>
      <c r="T420" s="600" t="e">
        <v>#DIV/0!</v>
      </c>
      <c r="U420" s="599">
        <v>0</v>
      </c>
      <c r="V420" s="599">
        <v>0</v>
      </c>
      <c r="W420" s="599">
        <v>0</v>
      </c>
      <c r="X420" s="599">
        <v>0</v>
      </c>
      <c r="Y420" s="599">
        <v>0</v>
      </c>
      <c r="Z420" s="599">
        <v>0</v>
      </c>
    </row>
    <row r="421" spans="1:26" x14ac:dyDescent="0.2">
      <c r="A421" s="605" t="s">
        <v>641</v>
      </c>
      <c r="B421" s="665">
        <v>0</v>
      </c>
      <c r="C421" s="665">
        <v>0</v>
      </c>
      <c r="D421" s="665">
        <v>0</v>
      </c>
      <c r="E421" s="665">
        <v>0</v>
      </c>
      <c r="F421" s="665">
        <v>0</v>
      </c>
      <c r="G421" s="665">
        <v>0</v>
      </c>
      <c r="H421" s="665">
        <v>0</v>
      </c>
      <c r="I421" s="665">
        <v>0</v>
      </c>
      <c r="J421" s="665">
        <v>0</v>
      </c>
      <c r="K421" s="665">
        <v>0</v>
      </c>
      <c r="L421" s="665">
        <v>0</v>
      </c>
      <c r="M421" s="665">
        <v>0</v>
      </c>
      <c r="N421" s="665">
        <v>0</v>
      </c>
      <c r="O421" s="665">
        <v>0</v>
      </c>
      <c r="P421" s="665">
        <v>0</v>
      </c>
      <c r="Q421" s="665">
        <v>0</v>
      </c>
      <c r="R421" s="665">
        <v>0</v>
      </c>
      <c r="S421" s="665">
        <v>0</v>
      </c>
      <c r="T421" s="604" t="e">
        <v>#DIV/0!</v>
      </c>
      <c r="U421" s="603">
        <v>0</v>
      </c>
      <c r="V421" s="603">
        <v>0</v>
      </c>
      <c r="W421" s="603">
        <v>0</v>
      </c>
      <c r="X421" s="603">
        <v>0</v>
      </c>
      <c r="Y421" s="603">
        <v>0</v>
      </c>
      <c r="Z421" s="603">
        <v>0</v>
      </c>
    </row>
    <row r="422" spans="1:26" x14ac:dyDescent="0.2">
      <c r="A422" s="605" t="s">
        <v>642</v>
      </c>
      <c r="B422" s="665">
        <v>0</v>
      </c>
      <c r="C422" s="665">
        <v>0</v>
      </c>
      <c r="D422" s="665">
        <v>0</v>
      </c>
      <c r="E422" s="665">
        <v>0</v>
      </c>
      <c r="F422" s="665">
        <v>0</v>
      </c>
      <c r="G422" s="665">
        <v>0</v>
      </c>
      <c r="H422" s="665">
        <v>0</v>
      </c>
      <c r="I422" s="665">
        <v>0</v>
      </c>
      <c r="J422" s="665">
        <v>0</v>
      </c>
      <c r="K422" s="665">
        <v>0</v>
      </c>
      <c r="L422" s="665">
        <v>0</v>
      </c>
      <c r="M422" s="665">
        <v>0</v>
      </c>
      <c r="N422" s="665">
        <v>0</v>
      </c>
      <c r="O422" s="665">
        <v>0</v>
      </c>
      <c r="P422" s="665">
        <v>0</v>
      </c>
      <c r="Q422" s="665">
        <v>0</v>
      </c>
      <c r="R422" s="665">
        <v>0</v>
      </c>
      <c r="S422" s="665">
        <v>0</v>
      </c>
      <c r="T422" s="604" t="e">
        <v>#DIV/0!</v>
      </c>
      <c r="U422" s="603">
        <v>0</v>
      </c>
      <c r="V422" s="603">
        <v>0</v>
      </c>
      <c r="W422" s="603">
        <v>0</v>
      </c>
      <c r="X422" s="603">
        <v>0</v>
      </c>
      <c r="Y422" s="603">
        <v>0</v>
      </c>
      <c r="Z422" s="603">
        <v>0</v>
      </c>
    </row>
    <row r="423" spans="1:26" x14ac:dyDescent="0.2">
      <c r="A423" s="605" t="s">
        <v>643</v>
      </c>
      <c r="B423" s="665">
        <v>0</v>
      </c>
      <c r="C423" s="665">
        <v>0</v>
      </c>
      <c r="D423" s="665">
        <v>0</v>
      </c>
      <c r="E423" s="665">
        <v>0</v>
      </c>
      <c r="F423" s="665">
        <v>0</v>
      </c>
      <c r="G423" s="665">
        <v>0</v>
      </c>
      <c r="H423" s="665">
        <v>0</v>
      </c>
      <c r="I423" s="665">
        <v>0</v>
      </c>
      <c r="J423" s="665">
        <v>0</v>
      </c>
      <c r="K423" s="665">
        <v>0</v>
      </c>
      <c r="L423" s="665">
        <v>0</v>
      </c>
      <c r="M423" s="665">
        <v>0</v>
      </c>
      <c r="N423" s="665">
        <v>0</v>
      </c>
      <c r="O423" s="665">
        <v>0</v>
      </c>
      <c r="P423" s="665">
        <v>0</v>
      </c>
      <c r="Q423" s="665">
        <v>0</v>
      </c>
      <c r="R423" s="665">
        <v>0</v>
      </c>
      <c r="S423" s="665">
        <v>0</v>
      </c>
      <c r="T423" s="604" t="e">
        <v>#DIV/0!</v>
      </c>
      <c r="U423" s="603">
        <v>0</v>
      </c>
      <c r="V423" s="603">
        <v>0</v>
      </c>
      <c r="W423" s="603">
        <v>0</v>
      </c>
      <c r="X423" s="603">
        <v>0</v>
      </c>
      <c r="Y423" s="603">
        <v>0</v>
      </c>
      <c r="Z423" s="603">
        <v>0</v>
      </c>
    </row>
    <row r="424" spans="1:26" x14ac:dyDescent="0.2">
      <c r="A424" s="605" t="s">
        <v>644</v>
      </c>
      <c r="B424" s="665">
        <v>0</v>
      </c>
      <c r="C424" s="665">
        <v>0</v>
      </c>
      <c r="D424" s="665">
        <v>0</v>
      </c>
      <c r="E424" s="665">
        <v>0</v>
      </c>
      <c r="F424" s="665">
        <v>0</v>
      </c>
      <c r="G424" s="665">
        <v>0</v>
      </c>
      <c r="H424" s="665">
        <v>0</v>
      </c>
      <c r="I424" s="665">
        <v>0</v>
      </c>
      <c r="J424" s="665">
        <v>0</v>
      </c>
      <c r="K424" s="665">
        <v>0</v>
      </c>
      <c r="L424" s="665">
        <v>0</v>
      </c>
      <c r="M424" s="665">
        <v>0</v>
      </c>
      <c r="N424" s="665">
        <v>0</v>
      </c>
      <c r="O424" s="665">
        <v>0</v>
      </c>
      <c r="P424" s="665">
        <v>0</v>
      </c>
      <c r="Q424" s="665">
        <v>0</v>
      </c>
      <c r="R424" s="665">
        <v>0</v>
      </c>
      <c r="S424" s="665">
        <v>0</v>
      </c>
      <c r="T424" s="604" t="e">
        <v>#DIV/0!</v>
      </c>
      <c r="U424" s="603">
        <v>0</v>
      </c>
      <c r="V424" s="603">
        <v>0</v>
      </c>
      <c r="W424" s="603">
        <v>0</v>
      </c>
      <c r="X424" s="603">
        <v>0</v>
      </c>
      <c r="Y424" s="603">
        <v>0</v>
      </c>
      <c r="Z424" s="603">
        <v>0</v>
      </c>
    </row>
    <row r="425" spans="1:26" x14ac:dyDescent="0.2">
      <c r="A425" s="605" t="s">
        <v>645</v>
      </c>
      <c r="B425" s="665">
        <v>0</v>
      </c>
      <c r="C425" s="665">
        <v>0</v>
      </c>
      <c r="D425" s="665">
        <v>0</v>
      </c>
      <c r="E425" s="665">
        <v>0</v>
      </c>
      <c r="F425" s="665">
        <v>0</v>
      </c>
      <c r="G425" s="665">
        <v>0</v>
      </c>
      <c r="H425" s="665">
        <v>0</v>
      </c>
      <c r="I425" s="665">
        <v>0</v>
      </c>
      <c r="J425" s="665">
        <v>0</v>
      </c>
      <c r="K425" s="665">
        <v>0</v>
      </c>
      <c r="L425" s="665">
        <v>0</v>
      </c>
      <c r="M425" s="665">
        <v>0</v>
      </c>
      <c r="N425" s="665">
        <v>0</v>
      </c>
      <c r="O425" s="665">
        <v>0</v>
      </c>
      <c r="P425" s="665">
        <v>0</v>
      </c>
      <c r="Q425" s="665">
        <v>0</v>
      </c>
      <c r="R425" s="665">
        <v>0</v>
      </c>
      <c r="S425" s="665">
        <v>0</v>
      </c>
      <c r="T425" s="604" t="e">
        <v>#DIV/0!</v>
      </c>
      <c r="U425" s="603">
        <v>0</v>
      </c>
      <c r="V425" s="603">
        <v>0</v>
      </c>
      <c r="W425" s="603">
        <v>0</v>
      </c>
      <c r="X425" s="603">
        <v>0</v>
      </c>
      <c r="Y425" s="603">
        <v>0</v>
      </c>
      <c r="Z425" s="603">
        <v>0</v>
      </c>
    </row>
    <row r="426" spans="1:26" x14ac:dyDescent="0.2">
      <c r="A426" s="605" t="s">
        <v>646</v>
      </c>
      <c r="B426" s="665">
        <v>0</v>
      </c>
      <c r="C426" s="665">
        <v>0</v>
      </c>
      <c r="D426" s="665">
        <v>0</v>
      </c>
      <c r="E426" s="665">
        <v>0</v>
      </c>
      <c r="F426" s="665">
        <v>0</v>
      </c>
      <c r="G426" s="665">
        <v>0</v>
      </c>
      <c r="H426" s="665">
        <v>0</v>
      </c>
      <c r="I426" s="665">
        <v>0</v>
      </c>
      <c r="J426" s="665">
        <v>0</v>
      </c>
      <c r="K426" s="665">
        <v>0</v>
      </c>
      <c r="L426" s="665">
        <v>0</v>
      </c>
      <c r="M426" s="665">
        <v>0</v>
      </c>
      <c r="N426" s="665">
        <v>0</v>
      </c>
      <c r="O426" s="665">
        <v>0</v>
      </c>
      <c r="P426" s="665">
        <v>0</v>
      </c>
      <c r="Q426" s="665">
        <v>0</v>
      </c>
      <c r="R426" s="665">
        <v>0</v>
      </c>
      <c r="S426" s="665">
        <v>0</v>
      </c>
      <c r="T426" s="604" t="e">
        <v>#DIV/0!</v>
      </c>
      <c r="U426" s="603">
        <v>0</v>
      </c>
      <c r="V426" s="603">
        <v>0</v>
      </c>
      <c r="W426" s="603">
        <v>0</v>
      </c>
      <c r="X426" s="603">
        <v>0</v>
      </c>
      <c r="Y426" s="603">
        <v>0</v>
      </c>
      <c r="Z426" s="603">
        <v>0</v>
      </c>
    </row>
    <row r="427" spans="1:26" x14ac:dyDescent="0.2">
      <c r="A427" s="592" t="s">
        <v>647</v>
      </c>
      <c r="B427" s="683">
        <v>0</v>
      </c>
      <c r="C427" s="683">
        <v>800</v>
      </c>
      <c r="D427" s="683">
        <v>500</v>
      </c>
      <c r="E427" s="683">
        <v>0</v>
      </c>
      <c r="F427" s="683">
        <v>0</v>
      </c>
      <c r="G427" s="683">
        <v>0</v>
      </c>
      <c r="H427" s="683">
        <v>0</v>
      </c>
      <c r="I427" s="683">
        <v>0</v>
      </c>
      <c r="J427" s="683">
        <v>0</v>
      </c>
      <c r="K427" s="683">
        <v>0</v>
      </c>
      <c r="L427" s="683">
        <v>0</v>
      </c>
      <c r="M427" s="683">
        <v>0</v>
      </c>
      <c r="N427" s="683">
        <v>0</v>
      </c>
      <c r="O427" s="683">
        <v>0</v>
      </c>
      <c r="P427" s="683">
        <v>0</v>
      </c>
      <c r="Q427" s="683">
        <v>0</v>
      </c>
      <c r="R427" s="683">
        <v>0</v>
      </c>
      <c r="S427" s="683">
        <v>0</v>
      </c>
      <c r="T427" s="595">
        <v>0</v>
      </c>
      <c r="U427" s="594">
        <v>800</v>
      </c>
      <c r="V427" s="594">
        <v>300</v>
      </c>
      <c r="W427" s="594">
        <v>800</v>
      </c>
      <c r="X427" s="594">
        <v>500</v>
      </c>
      <c r="Y427" s="594">
        <v>0</v>
      </c>
      <c r="Z427" s="594">
        <v>0</v>
      </c>
    </row>
    <row r="428" spans="1:26" x14ac:dyDescent="0.2">
      <c r="A428" s="597" t="s">
        <v>648</v>
      </c>
      <c r="B428" s="655">
        <v>0</v>
      </c>
      <c r="C428" s="655">
        <v>800</v>
      </c>
      <c r="D428" s="655">
        <v>500</v>
      </c>
      <c r="E428" s="655">
        <v>0</v>
      </c>
      <c r="F428" s="655">
        <v>0</v>
      </c>
      <c r="G428" s="655">
        <v>0</v>
      </c>
      <c r="H428" s="655">
        <v>0</v>
      </c>
      <c r="I428" s="655">
        <v>0</v>
      </c>
      <c r="J428" s="655">
        <v>0</v>
      </c>
      <c r="K428" s="655">
        <v>0</v>
      </c>
      <c r="L428" s="655">
        <v>0</v>
      </c>
      <c r="M428" s="655">
        <v>0</v>
      </c>
      <c r="N428" s="655">
        <v>0</v>
      </c>
      <c r="O428" s="655">
        <v>0</v>
      </c>
      <c r="P428" s="655">
        <v>0</v>
      </c>
      <c r="Q428" s="655">
        <v>0</v>
      </c>
      <c r="R428" s="655">
        <v>0</v>
      </c>
      <c r="S428" s="655">
        <v>0</v>
      </c>
      <c r="T428" s="600">
        <v>0</v>
      </c>
      <c r="U428" s="599">
        <v>800</v>
      </c>
      <c r="V428" s="599">
        <v>300</v>
      </c>
      <c r="W428" s="599">
        <v>800</v>
      </c>
      <c r="X428" s="599">
        <v>500</v>
      </c>
      <c r="Y428" s="599">
        <v>0</v>
      </c>
      <c r="Z428" s="599">
        <v>0</v>
      </c>
    </row>
    <row r="429" spans="1:26" x14ac:dyDescent="0.2">
      <c r="A429" s="605" t="s">
        <v>649</v>
      </c>
      <c r="B429" s="665">
        <v>0</v>
      </c>
      <c r="C429" s="665">
        <v>0</v>
      </c>
      <c r="D429" s="665">
        <v>0</v>
      </c>
      <c r="E429" s="665">
        <v>0</v>
      </c>
      <c r="F429" s="665">
        <v>0</v>
      </c>
      <c r="G429" s="665">
        <v>0</v>
      </c>
      <c r="H429" s="665">
        <v>0</v>
      </c>
      <c r="I429" s="665">
        <v>0</v>
      </c>
      <c r="J429" s="665">
        <v>0</v>
      </c>
      <c r="K429" s="665">
        <v>0</v>
      </c>
      <c r="L429" s="665">
        <v>0</v>
      </c>
      <c r="M429" s="665">
        <v>0</v>
      </c>
      <c r="N429" s="665">
        <v>0</v>
      </c>
      <c r="O429" s="665">
        <v>0</v>
      </c>
      <c r="P429" s="665">
        <v>0</v>
      </c>
      <c r="Q429" s="665">
        <v>0</v>
      </c>
      <c r="R429" s="665">
        <v>0</v>
      </c>
      <c r="S429" s="665">
        <v>0</v>
      </c>
      <c r="T429" s="604" t="e">
        <v>#DIV/0!</v>
      </c>
      <c r="U429" s="603">
        <v>0</v>
      </c>
      <c r="V429" s="603">
        <v>0</v>
      </c>
      <c r="W429" s="603">
        <v>0</v>
      </c>
      <c r="X429" s="603">
        <v>0</v>
      </c>
      <c r="Y429" s="603">
        <v>0</v>
      </c>
      <c r="Z429" s="603">
        <v>0</v>
      </c>
    </row>
    <row r="430" spans="1:26" x14ac:dyDescent="0.2">
      <c r="A430" s="605" t="s">
        <v>650</v>
      </c>
      <c r="B430" s="665">
        <v>0</v>
      </c>
      <c r="C430" s="665">
        <v>0</v>
      </c>
      <c r="D430" s="665">
        <v>0</v>
      </c>
      <c r="E430" s="665">
        <v>0</v>
      </c>
      <c r="F430" s="665">
        <v>0</v>
      </c>
      <c r="G430" s="665">
        <v>0</v>
      </c>
      <c r="H430" s="665">
        <v>0</v>
      </c>
      <c r="I430" s="665">
        <v>0</v>
      </c>
      <c r="J430" s="665">
        <v>0</v>
      </c>
      <c r="K430" s="665">
        <v>0</v>
      </c>
      <c r="L430" s="665">
        <v>0</v>
      </c>
      <c r="M430" s="665">
        <v>0</v>
      </c>
      <c r="N430" s="665">
        <v>0</v>
      </c>
      <c r="O430" s="665">
        <v>0</v>
      </c>
      <c r="P430" s="665">
        <v>0</v>
      </c>
      <c r="Q430" s="665">
        <v>0</v>
      </c>
      <c r="R430" s="665">
        <v>0</v>
      </c>
      <c r="S430" s="665">
        <v>0</v>
      </c>
      <c r="T430" s="604" t="e">
        <v>#DIV/0!</v>
      </c>
      <c r="U430" s="603">
        <v>0</v>
      </c>
      <c r="V430" s="603">
        <v>0</v>
      </c>
      <c r="W430" s="603">
        <v>0</v>
      </c>
      <c r="X430" s="603">
        <v>0</v>
      </c>
      <c r="Y430" s="603">
        <v>0</v>
      </c>
      <c r="Z430" s="603">
        <v>0</v>
      </c>
    </row>
    <row r="431" spans="1:26" x14ac:dyDescent="0.2">
      <c r="A431" s="605" t="s">
        <v>651</v>
      </c>
      <c r="B431" s="665">
        <v>0</v>
      </c>
      <c r="C431" s="665">
        <v>500</v>
      </c>
      <c r="D431" s="665">
        <v>500</v>
      </c>
      <c r="E431" s="665">
        <v>0</v>
      </c>
      <c r="F431" s="665">
        <v>0</v>
      </c>
      <c r="G431" s="665">
        <v>0</v>
      </c>
      <c r="H431" s="665">
        <v>0</v>
      </c>
      <c r="I431" s="665">
        <v>0</v>
      </c>
      <c r="J431" s="665">
        <v>0</v>
      </c>
      <c r="K431" s="665">
        <v>0</v>
      </c>
      <c r="L431" s="665">
        <v>0</v>
      </c>
      <c r="M431" s="665">
        <v>0</v>
      </c>
      <c r="N431" s="665">
        <v>0</v>
      </c>
      <c r="O431" s="665">
        <v>0</v>
      </c>
      <c r="P431" s="665">
        <v>0</v>
      </c>
      <c r="Q431" s="665">
        <v>0</v>
      </c>
      <c r="R431" s="665">
        <v>0</v>
      </c>
      <c r="S431" s="665">
        <v>0</v>
      </c>
      <c r="T431" s="604">
        <v>0</v>
      </c>
      <c r="U431" s="603">
        <v>500</v>
      </c>
      <c r="V431" s="603">
        <v>0</v>
      </c>
      <c r="W431" s="603">
        <v>500</v>
      </c>
      <c r="X431" s="603">
        <v>500</v>
      </c>
      <c r="Y431" s="603">
        <v>0</v>
      </c>
      <c r="Z431" s="603">
        <v>0</v>
      </c>
    </row>
    <row r="432" spans="1:26" x14ac:dyDescent="0.2">
      <c r="A432" s="605" t="s">
        <v>652</v>
      </c>
      <c r="B432" s="665">
        <v>0</v>
      </c>
      <c r="C432" s="665">
        <v>0</v>
      </c>
      <c r="D432" s="665">
        <v>0</v>
      </c>
      <c r="E432" s="665">
        <v>0</v>
      </c>
      <c r="F432" s="665">
        <v>0</v>
      </c>
      <c r="G432" s="665">
        <v>0</v>
      </c>
      <c r="H432" s="665">
        <v>0</v>
      </c>
      <c r="I432" s="665">
        <v>0</v>
      </c>
      <c r="J432" s="665">
        <v>0</v>
      </c>
      <c r="K432" s="665">
        <v>0</v>
      </c>
      <c r="L432" s="665">
        <v>0</v>
      </c>
      <c r="M432" s="665">
        <v>0</v>
      </c>
      <c r="N432" s="665">
        <v>0</v>
      </c>
      <c r="O432" s="665">
        <v>0</v>
      </c>
      <c r="P432" s="665">
        <v>0</v>
      </c>
      <c r="Q432" s="665">
        <v>0</v>
      </c>
      <c r="R432" s="665">
        <v>0</v>
      </c>
      <c r="S432" s="665">
        <v>0</v>
      </c>
      <c r="T432" s="604" t="e">
        <v>#DIV/0!</v>
      </c>
      <c r="U432" s="603">
        <v>0</v>
      </c>
      <c r="V432" s="603">
        <v>0</v>
      </c>
      <c r="W432" s="603">
        <v>0</v>
      </c>
      <c r="X432" s="603">
        <v>0</v>
      </c>
      <c r="Y432" s="603">
        <v>0</v>
      </c>
      <c r="Z432" s="603">
        <v>0</v>
      </c>
    </row>
    <row r="433" spans="1:26" x14ac:dyDescent="0.2">
      <c r="A433" s="605" t="s">
        <v>653</v>
      </c>
      <c r="B433" s="665">
        <v>0</v>
      </c>
      <c r="C433" s="665">
        <v>0</v>
      </c>
      <c r="D433" s="665">
        <v>0</v>
      </c>
      <c r="E433" s="665">
        <v>0</v>
      </c>
      <c r="F433" s="665">
        <v>0</v>
      </c>
      <c r="G433" s="665">
        <v>0</v>
      </c>
      <c r="H433" s="665">
        <v>0</v>
      </c>
      <c r="I433" s="665">
        <v>0</v>
      </c>
      <c r="J433" s="665">
        <v>0</v>
      </c>
      <c r="K433" s="665">
        <v>0</v>
      </c>
      <c r="L433" s="665">
        <v>0</v>
      </c>
      <c r="M433" s="665">
        <v>0</v>
      </c>
      <c r="N433" s="665">
        <v>0</v>
      </c>
      <c r="O433" s="665">
        <v>0</v>
      </c>
      <c r="P433" s="665">
        <v>0</v>
      </c>
      <c r="Q433" s="665">
        <v>0</v>
      </c>
      <c r="R433" s="665">
        <v>0</v>
      </c>
      <c r="S433" s="665">
        <v>0</v>
      </c>
      <c r="T433" s="604" t="e">
        <v>#DIV/0!</v>
      </c>
      <c r="U433" s="603">
        <v>0</v>
      </c>
      <c r="V433" s="603">
        <v>0</v>
      </c>
      <c r="W433" s="603">
        <v>0</v>
      </c>
      <c r="X433" s="603">
        <v>0</v>
      </c>
      <c r="Y433" s="603">
        <v>0</v>
      </c>
      <c r="Z433" s="603">
        <v>0</v>
      </c>
    </row>
    <row r="434" spans="1:26" x14ac:dyDescent="0.2">
      <c r="A434" s="605" t="s">
        <v>654</v>
      </c>
      <c r="B434" s="665">
        <v>0</v>
      </c>
      <c r="C434" s="665">
        <v>0</v>
      </c>
      <c r="D434" s="665">
        <v>0</v>
      </c>
      <c r="E434" s="665">
        <v>0</v>
      </c>
      <c r="F434" s="665">
        <v>0</v>
      </c>
      <c r="G434" s="665">
        <v>0</v>
      </c>
      <c r="H434" s="665">
        <v>0</v>
      </c>
      <c r="I434" s="665">
        <v>0</v>
      </c>
      <c r="J434" s="665">
        <v>0</v>
      </c>
      <c r="K434" s="665">
        <v>0</v>
      </c>
      <c r="L434" s="665">
        <v>0</v>
      </c>
      <c r="M434" s="665">
        <v>0</v>
      </c>
      <c r="N434" s="665">
        <v>0</v>
      </c>
      <c r="O434" s="665">
        <v>0</v>
      </c>
      <c r="P434" s="665">
        <v>0</v>
      </c>
      <c r="Q434" s="665">
        <v>0</v>
      </c>
      <c r="R434" s="665">
        <v>0</v>
      </c>
      <c r="S434" s="665">
        <v>0</v>
      </c>
      <c r="T434" s="604" t="e">
        <v>#DIV/0!</v>
      </c>
      <c r="U434" s="603">
        <v>0</v>
      </c>
      <c r="V434" s="603">
        <v>0</v>
      </c>
      <c r="W434" s="603">
        <v>0</v>
      </c>
      <c r="X434" s="603">
        <v>0</v>
      </c>
      <c r="Y434" s="603">
        <v>0</v>
      </c>
      <c r="Z434" s="603">
        <v>0</v>
      </c>
    </row>
    <row r="435" spans="1:26" x14ac:dyDescent="0.2">
      <c r="A435" s="605" t="s">
        <v>655</v>
      </c>
      <c r="B435" s="665">
        <v>0</v>
      </c>
      <c r="C435" s="665">
        <v>0</v>
      </c>
      <c r="D435" s="665">
        <v>0</v>
      </c>
      <c r="E435" s="665">
        <v>0</v>
      </c>
      <c r="F435" s="665">
        <v>0</v>
      </c>
      <c r="G435" s="665">
        <v>0</v>
      </c>
      <c r="H435" s="665">
        <v>0</v>
      </c>
      <c r="I435" s="665">
        <v>0</v>
      </c>
      <c r="J435" s="665">
        <v>0</v>
      </c>
      <c r="K435" s="665">
        <v>0</v>
      </c>
      <c r="L435" s="665">
        <v>0</v>
      </c>
      <c r="M435" s="665">
        <v>0</v>
      </c>
      <c r="N435" s="665">
        <v>0</v>
      </c>
      <c r="O435" s="665">
        <v>0</v>
      </c>
      <c r="P435" s="665">
        <v>0</v>
      </c>
      <c r="Q435" s="665">
        <v>0</v>
      </c>
      <c r="R435" s="665">
        <v>0</v>
      </c>
      <c r="S435" s="665">
        <v>0</v>
      </c>
      <c r="T435" s="604" t="e">
        <v>#DIV/0!</v>
      </c>
      <c r="U435" s="603">
        <v>0</v>
      </c>
      <c r="V435" s="603">
        <v>0</v>
      </c>
      <c r="W435" s="603">
        <v>0</v>
      </c>
      <c r="X435" s="603">
        <v>0</v>
      </c>
      <c r="Y435" s="603">
        <v>0</v>
      </c>
      <c r="Z435" s="603">
        <v>0</v>
      </c>
    </row>
    <row r="436" spans="1:26" x14ac:dyDescent="0.2">
      <c r="A436" s="605" t="s">
        <v>656</v>
      </c>
      <c r="B436" s="665">
        <v>0</v>
      </c>
      <c r="C436" s="665">
        <v>0</v>
      </c>
      <c r="D436" s="665">
        <v>0</v>
      </c>
      <c r="E436" s="665">
        <v>0</v>
      </c>
      <c r="F436" s="665">
        <v>0</v>
      </c>
      <c r="G436" s="665">
        <v>0</v>
      </c>
      <c r="H436" s="665">
        <v>0</v>
      </c>
      <c r="I436" s="665">
        <v>0</v>
      </c>
      <c r="J436" s="665">
        <v>0</v>
      </c>
      <c r="K436" s="665">
        <v>0</v>
      </c>
      <c r="L436" s="665">
        <v>0</v>
      </c>
      <c r="M436" s="665">
        <v>0</v>
      </c>
      <c r="N436" s="665">
        <v>0</v>
      </c>
      <c r="O436" s="665">
        <v>0</v>
      </c>
      <c r="P436" s="665">
        <v>0</v>
      </c>
      <c r="Q436" s="665">
        <v>0</v>
      </c>
      <c r="R436" s="665">
        <v>0</v>
      </c>
      <c r="S436" s="665">
        <v>0</v>
      </c>
      <c r="T436" s="604" t="e">
        <v>#DIV/0!</v>
      </c>
      <c r="U436" s="603">
        <v>0</v>
      </c>
      <c r="V436" s="603">
        <v>0</v>
      </c>
      <c r="W436" s="603">
        <v>0</v>
      </c>
      <c r="X436" s="603">
        <v>0</v>
      </c>
      <c r="Y436" s="603">
        <v>0</v>
      </c>
      <c r="Z436" s="603">
        <v>0</v>
      </c>
    </row>
    <row r="437" spans="1:26" x14ac:dyDescent="0.2">
      <c r="A437" s="605" t="s">
        <v>657</v>
      </c>
      <c r="B437" s="665">
        <v>0</v>
      </c>
      <c r="C437" s="665">
        <v>0</v>
      </c>
      <c r="D437" s="665">
        <v>0</v>
      </c>
      <c r="E437" s="665">
        <v>0</v>
      </c>
      <c r="F437" s="665">
        <v>0</v>
      </c>
      <c r="G437" s="665">
        <v>0</v>
      </c>
      <c r="H437" s="665">
        <v>0</v>
      </c>
      <c r="I437" s="665">
        <v>0</v>
      </c>
      <c r="J437" s="665">
        <v>0</v>
      </c>
      <c r="K437" s="665">
        <v>0</v>
      </c>
      <c r="L437" s="665">
        <v>0</v>
      </c>
      <c r="M437" s="665">
        <v>0</v>
      </c>
      <c r="N437" s="665">
        <v>0</v>
      </c>
      <c r="O437" s="665">
        <v>0</v>
      </c>
      <c r="P437" s="665">
        <v>0</v>
      </c>
      <c r="Q437" s="665">
        <v>0</v>
      </c>
      <c r="R437" s="665">
        <v>0</v>
      </c>
      <c r="S437" s="665">
        <v>0</v>
      </c>
      <c r="T437" s="604" t="e">
        <v>#DIV/0!</v>
      </c>
      <c r="U437" s="603">
        <v>0</v>
      </c>
      <c r="V437" s="603">
        <v>0</v>
      </c>
      <c r="W437" s="603">
        <v>0</v>
      </c>
      <c r="X437" s="603">
        <v>0</v>
      </c>
      <c r="Y437" s="603">
        <v>0</v>
      </c>
      <c r="Z437" s="603">
        <v>0</v>
      </c>
    </row>
    <row r="438" spans="1:26" x14ac:dyDescent="0.2">
      <c r="A438" s="605" t="s">
        <v>658</v>
      </c>
      <c r="B438" s="665">
        <v>0</v>
      </c>
      <c r="C438" s="665">
        <v>0</v>
      </c>
      <c r="D438" s="665">
        <v>0</v>
      </c>
      <c r="E438" s="665">
        <v>0</v>
      </c>
      <c r="F438" s="665">
        <v>0</v>
      </c>
      <c r="G438" s="665">
        <v>0</v>
      </c>
      <c r="H438" s="665">
        <v>0</v>
      </c>
      <c r="I438" s="665">
        <v>0</v>
      </c>
      <c r="J438" s="665">
        <v>0</v>
      </c>
      <c r="K438" s="665">
        <v>0</v>
      </c>
      <c r="L438" s="665">
        <v>0</v>
      </c>
      <c r="M438" s="665">
        <v>0</v>
      </c>
      <c r="N438" s="665">
        <v>0</v>
      </c>
      <c r="O438" s="665">
        <v>0</v>
      </c>
      <c r="P438" s="665">
        <v>0</v>
      </c>
      <c r="Q438" s="665">
        <v>0</v>
      </c>
      <c r="R438" s="665">
        <v>0</v>
      </c>
      <c r="S438" s="665">
        <v>0</v>
      </c>
      <c r="T438" s="604" t="e">
        <v>#DIV/0!</v>
      </c>
      <c r="U438" s="603">
        <v>0</v>
      </c>
      <c r="V438" s="603">
        <v>0</v>
      </c>
      <c r="W438" s="603">
        <v>0</v>
      </c>
      <c r="X438" s="603">
        <v>0</v>
      </c>
      <c r="Y438" s="603">
        <v>0</v>
      </c>
      <c r="Z438" s="603">
        <v>0</v>
      </c>
    </row>
    <row r="439" spans="1:26" x14ac:dyDescent="0.2">
      <c r="A439" s="605" t="s">
        <v>659</v>
      </c>
      <c r="B439" s="665">
        <v>0</v>
      </c>
      <c r="C439" s="665">
        <v>0</v>
      </c>
      <c r="D439" s="665">
        <v>0</v>
      </c>
      <c r="E439" s="665">
        <v>0</v>
      </c>
      <c r="F439" s="665">
        <v>0</v>
      </c>
      <c r="G439" s="665">
        <v>0</v>
      </c>
      <c r="H439" s="665">
        <v>0</v>
      </c>
      <c r="I439" s="665">
        <v>0</v>
      </c>
      <c r="J439" s="665">
        <v>0</v>
      </c>
      <c r="K439" s="665">
        <v>0</v>
      </c>
      <c r="L439" s="665">
        <v>0</v>
      </c>
      <c r="M439" s="665">
        <v>0</v>
      </c>
      <c r="N439" s="665">
        <v>0</v>
      </c>
      <c r="O439" s="665">
        <v>0</v>
      </c>
      <c r="P439" s="665">
        <v>0</v>
      </c>
      <c r="Q439" s="665">
        <v>0</v>
      </c>
      <c r="R439" s="665">
        <v>0</v>
      </c>
      <c r="S439" s="665">
        <v>0</v>
      </c>
      <c r="T439" s="604" t="e">
        <v>#DIV/0!</v>
      </c>
      <c r="U439" s="603">
        <v>0</v>
      </c>
      <c r="V439" s="603">
        <v>0</v>
      </c>
      <c r="W439" s="603">
        <v>0</v>
      </c>
      <c r="X439" s="603">
        <v>0</v>
      </c>
      <c r="Y439" s="603">
        <v>0</v>
      </c>
      <c r="Z439" s="603">
        <v>0</v>
      </c>
    </row>
    <row r="440" spans="1:26" x14ac:dyDescent="0.2">
      <c r="A440" s="605" t="s">
        <v>660</v>
      </c>
      <c r="B440" s="665">
        <v>0</v>
      </c>
      <c r="C440" s="665">
        <v>300</v>
      </c>
      <c r="D440" s="665">
        <v>0</v>
      </c>
      <c r="E440" s="665">
        <v>0</v>
      </c>
      <c r="F440" s="665">
        <v>0</v>
      </c>
      <c r="G440" s="665">
        <v>0</v>
      </c>
      <c r="H440" s="665">
        <v>0</v>
      </c>
      <c r="I440" s="665">
        <v>0</v>
      </c>
      <c r="J440" s="665">
        <v>0</v>
      </c>
      <c r="K440" s="665">
        <v>0</v>
      </c>
      <c r="L440" s="665">
        <v>0</v>
      </c>
      <c r="M440" s="665">
        <v>0</v>
      </c>
      <c r="N440" s="665">
        <v>0</v>
      </c>
      <c r="O440" s="665">
        <v>0</v>
      </c>
      <c r="P440" s="665">
        <v>0</v>
      </c>
      <c r="Q440" s="665">
        <v>0</v>
      </c>
      <c r="R440" s="665">
        <v>0</v>
      </c>
      <c r="S440" s="665">
        <v>0</v>
      </c>
      <c r="T440" s="604">
        <v>0</v>
      </c>
      <c r="U440" s="603">
        <v>300</v>
      </c>
      <c r="V440" s="603">
        <v>300</v>
      </c>
      <c r="W440" s="603">
        <v>300</v>
      </c>
      <c r="X440" s="603">
        <v>0</v>
      </c>
      <c r="Y440" s="603">
        <v>0</v>
      </c>
      <c r="Z440" s="603">
        <v>0</v>
      </c>
    </row>
    <row r="441" spans="1:26" x14ac:dyDescent="0.2">
      <c r="A441" s="605" t="s">
        <v>661</v>
      </c>
      <c r="B441" s="665">
        <v>0</v>
      </c>
      <c r="C441" s="665">
        <v>0</v>
      </c>
      <c r="D441" s="665">
        <v>0</v>
      </c>
      <c r="E441" s="665">
        <v>0</v>
      </c>
      <c r="F441" s="665">
        <v>0</v>
      </c>
      <c r="G441" s="665">
        <v>0</v>
      </c>
      <c r="H441" s="665">
        <v>0</v>
      </c>
      <c r="I441" s="665">
        <v>0</v>
      </c>
      <c r="J441" s="665">
        <v>0</v>
      </c>
      <c r="K441" s="665">
        <v>0</v>
      </c>
      <c r="L441" s="665">
        <v>0</v>
      </c>
      <c r="M441" s="665">
        <v>0</v>
      </c>
      <c r="N441" s="665">
        <v>0</v>
      </c>
      <c r="O441" s="665">
        <v>0</v>
      </c>
      <c r="P441" s="665">
        <v>0</v>
      </c>
      <c r="Q441" s="665">
        <v>0</v>
      </c>
      <c r="R441" s="665">
        <v>0</v>
      </c>
      <c r="S441" s="665">
        <v>0</v>
      </c>
      <c r="T441" s="604" t="e">
        <v>#DIV/0!</v>
      </c>
      <c r="U441" s="603">
        <v>0</v>
      </c>
      <c r="V441" s="603">
        <v>0</v>
      </c>
      <c r="W441" s="603">
        <v>0</v>
      </c>
      <c r="X441" s="603">
        <v>0</v>
      </c>
      <c r="Y441" s="603">
        <v>0</v>
      </c>
      <c r="Z441" s="603">
        <v>0</v>
      </c>
    </row>
    <row r="442" spans="1:26" x14ac:dyDescent="0.2">
      <c r="A442" s="605" t="s">
        <v>662</v>
      </c>
      <c r="B442" s="665">
        <v>0</v>
      </c>
      <c r="C442" s="665">
        <v>0</v>
      </c>
      <c r="D442" s="665">
        <v>0</v>
      </c>
      <c r="E442" s="665">
        <v>0</v>
      </c>
      <c r="F442" s="665">
        <v>0</v>
      </c>
      <c r="G442" s="665">
        <v>0</v>
      </c>
      <c r="H442" s="665">
        <v>0</v>
      </c>
      <c r="I442" s="665">
        <v>0</v>
      </c>
      <c r="J442" s="665">
        <v>0</v>
      </c>
      <c r="K442" s="665">
        <v>0</v>
      </c>
      <c r="L442" s="665">
        <v>0</v>
      </c>
      <c r="M442" s="665">
        <v>0</v>
      </c>
      <c r="N442" s="665">
        <v>0</v>
      </c>
      <c r="O442" s="665">
        <v>0</v>
      </c>
      <c r="P442" s="665">
        <v>0</v>
      </c>
      <c r="Q442" s="665">
        <v>0</v>
      </c>
      <c r="R442" s="665">
        <v>0</v>
      </c>
      <c r="S442" s="665">
        <v>0</v>
      </c>
      <c r="T442" s="604" t="e">
        <v>#DIV/0!</v>
      </c>
      <c r="U442" s="603">
        <v>0</v>
      </c>
      <c r="V442" s="603">
        <v>0</v>
      </c>
      <c r="W442" s="603">
        <v>0</v>
      </c>
      <c r="X442" s="603">
        <v>0</v>
      </c>
      <c r="Y442" s="603">
        <v>0</v>
      </c>
      <c r="Z442" s="603">
        <v>0</v>
      </c>
    </row>
    <row r="443" spans="1:26" x14ac:dyDescent="0.2">
      <c r="A443" s="597" t="s">
        <v>663</v>
      </c>
      <c r="B443" s="685">
        <v>0</v>
      </c>
      <c r="C443" s="685">
        <v>0</v>
      </c>
      <c r="D443" s="685">
        <v>0</v>
      </c>
      <c r="E443" s="685">
        <v>0</v>
      </c>
      <c r="F443" s="685">
        <v>0</v>
      </c>
      <c r="G443" s="685">
        <v>0</v>
      </c>
      <c r="H443" s="685">
        <v>0</v>
      </c>
      <c r="I443" s="685">
        <v>0</v>
      </c>
      <c r="J443" s="685">
        <v>0</v>
      </c>
      <c r="K443" s="685">
        <v>0</v>
      </c>
      <c r="L443" s="685">
        <v>0</v>
      </c>
      <c r="M443" s="685">
        <v>0</v>
      </c>
      <c r="N443" s="685">
        <v>0</v>
      </c>
      <c r="O443" s="685">
        <v>0</v>
      </c>
      <c r="P443" s="685">
        <v>0</v>
      </c>
      <c r="Q443" s="685">
        <v>0</v>
      </c>
      <c r="R443" s="685">
        <v>0</v>
      </c>
      <c r="S443" s="685">
        <v>0</v>
      </c>
      <c r="T443" s="600" t="e">
        <v>#DIV/0!</v>
      </c>
      <c r="U443" s="599">
        <v>0</v>
      </c>
      <c r="V443" s="599">
        <v>0</v>
      </c>
      <c r="W443" s="599">
        <v>0</v>
      </c>
      <c r="X443" s="599">
        <v>0</v>
      </c>
      <c r="Y443" s="599">
        <v>0</v>
      </c>
      <c r="Z443" s="599">
        <v>0</v>
      </c>
    </row>
    <row r="444" spans="1:26" x14ac:dyDescent="0.2">
      <c r="A444" s="592" t="s">
        <v>664</v>
      </c>
      <c r="B444" s="683">
        <v>0</v>
      </c>
      <c r="C444" s="683">
        <v>0</v>
      </c>
      <c r="D444" s="683">
        <v>0</v>
      </c>
      <c r="E444" s="683">
        <v>0</v>
      </c>
      <c r="F444" s="683">
        <v>0</v>
      </c>
      <c r="G444" s="683">
        <v>0</v>
      </c>
      <c r="H444" s="683">
        <v>0</v>
      </c>
      <c r="I444" s="683">
        <v>0</v>
      </c>
      <c r="J444" s="683">
        <v>0</v>
      </c>
      <c r="K444" s="683">
        <v>0</v>
      </c>
      <c r="L444" s="683">
        <v>0</v>
      </c>
      <c r="M444" s="683">
        <v>0</v>
      </c>
      <c r="N444" s="683">
        <v>0</v>
      </c>
      <c r="O444" s="683">
        <v>0</v>
      </c>
      <c r="P444" s="683">
        <v>0</v>
      </c>
      <c r="Q444" s="683">
        <v>0</v>
      </c>
      <c r="R444" s="683">
        <v>0</v>
      </c>
      <c r="S444" s="683">
        <v>0</v>
      </c>
      <c r="T444" s="595" t="e">
        <v>#DIV/0!</v>
      </c>
      <c r="U444" s="594">
        <v>0</v>
      </c>
      <c r="V444" s="594">
        <v>0</v>
      </c>
      <c r="W444" s="594">
        <v>0</v>
      </c>
      <c r="X444" s="594">
        <v>0</v>
      </c>
      <c r="Y444" s="594">
        <v>0</v>
      </c>
      <c r="Z444" s="594">
        <v>0</v>
      </c>
    </row>
    <row r="445" spans="1:26" x14ac:dyDescent="0.2">
      <c r="A445" s="597" t="s">
        <v>665</v>
      </c>
      <c r="B445" s="655">
        <v>0</v>
      </c>
      <c r="C445" s="655">
        <v>0</v>
      </c>
      <c r="D445" s="655">
        <v>0</v>
      </c>
      <c r="E445" s="655">
        <v>0</v>
      </c>
      <c r="F445" s="655">
        <v>0</v>
      </c>
      <c r="G445" s="655">
        <v>0</v>
      </c>
      <c r="H445" s="655">
        <v>0</v>
      </c>
      <c r="I445" s="655">
        <v>0</v>
      </c>
      <c r="J445" s="655">
        <v>0</v>
      </c>
      <c r="K445" s="655">
        <v>0</v>
      </c>
      <c r="L445" s="655">
        <v>0</v>
      </c>
      <c r="M445" s="655">
        <v>0</v>
      </c>
      <c r="N445" s="655">
        <v>0</v>
      </c>
      <c r="O445" s="655">
        <v>0</v>
      </c>
      <c r="P445" s="655">
        <v>0</v>
      </c>
      <c r="Q445" s="655">
        <v>0</v>
      </c>
      <c r="R445" s="655">
        <v>0</v>
      </c>
      <c r="S445" s="655">
        <v>0</v>
      </c>
      <c r="T445" s="600" t="e">
        <v>#DIV/0!</v>
      </c>
      <c r="U445" s="599">
        <v>0</v>
      </c>
      <c r="V445" s="599">
        <v>0</v>
      </c>
      <c r="W445" s="599">
        <v>0</v>
      </c>
      <c r="X445" s="599">
        <v>0</v>
      </c>
      <c r="Y445" s="599">
        <v>0</v>
      </c>
      <c r="Z445" s="599">
        <v>0</v>
      </c>
    </row>
    <row r="446" spans="1:26" x14ac:dyDescent="0.2">
      <c r="A446" s="605" t="s">
        <v>666</v>
      </c>
      <c r="B446" s="665">
        <v>0</v>
      </c>
      <c r="C446" s="665">
        <v>0</v>
      </c>
      <c r="D446" s="665">
        <v>0</v>
      </c>
      <c r="E446" s="665">
        <v>0</v>
      </c>
      <c r="F446" s="665">
        <v>0</v>
      </c>
      <c r="G446" s="665">
        <v>0</v>
      </c>
      <c r="H446" s="665">
        <v>0</v>
      </c>
      <c r="I446" s="665">
        <v>0</v>
      </c>
      <c r="J446" s="665">
        <v>0</v>
      </c>
      <c r="K446" s="665">
        <v>0</v>
      </c>
      <c r="L446" s="665">
        <v>0</v>
      </c>
      <c r="M446" s="665">
        <v>0</v>
      </c>
      <c r="N446" s="665">
        <v>0</v>
      </c>
      <c r="O446" s="665">
        <v>0</v>
      </c>
      <c r="P446" s="665">
        <v>0</v>
      </c>
      <c r="Q446" s="665">
        <v>0</v>
      </c>
      <c r="R446" s="665">
        <v>0</v>
      </c>
      <c r="S446" s="665">
        <v>0</v>
      </c>
      <c r="T446" s="604" t="e">
        <v>#DIV/0!</v>
      </c>
      <c r="U446" s="603">
        <v>0</v>
      </c>
      <c r="V446" s="603">
        <v>0</v>
      </c>
      <c r="W446" s="603">
        <v>0</v>
      </c>
      <c r="X446" s="603">
        <v>0</v>
      </c>
      <c r="Y446" s="603">
        <v>0</v>
      </c>
      <c r="Z446" s="603">
        <v>0</v>
      </c>
    </row>
    <row r="447" spans="1:26" x14ac:dyDescent="0.2">
      <c r="A447" s="605" t="s">
        <v>667</v>
      </c>
      <c r="B447" s="665">
        <v>0</v>
      </c>
      <c r="C447" s="665">
        <v>0</v>
      </c>
      <c r="D447" s="665">
        <v>0</v>
      </c>
      <c r="E447" s="665">
        <v>0</v>
      </c>
      <c r="F447" s="665">
        <v>0</v>
      </c>
      <c r="G447" s="665">
        <v>0</v>
      </c>
      <c r="H447" s="665">
        <v>0</v>
      </c>
      <c r="I447" s="665">
        <v>0</v>
      </c>
      <c r="J447" s="665">
        <v>0</v>
      </c>
      <c r="K447" s="665">
        <v>0</v>
      </c>
      <c r="L447" s="665">
        <v>0</v>
      </c>
      <c r="M447" s="665">
        <v>0</v>
      </c>
      <c r="N447" s="665">
        <v>0</v>
      </c>
      <c r="O447" s="665">
        <v>0</v>
      </c>
      <c r="P447" s="665">
        <v>0</v>
      </c>
      <c r="Q447" s="665">
        <v>0</v>
      </c>
      <c r="R447" s="665">
        <v>0</v>
      </c>
      <c r="S447" s="665">
        <v>0</v>
      </c>
      <c r="T447" s="604" t="e">
        <v>#DIV/0!</v>
      </c>
      <c r="U447" s="603">
        <v>0</v>
      </c>
      <c r="V447" s="603">
        <v>0</v>
      </c>
      <c r="W447" s="603">
        <v>0</v>
      </c>
      <c r="X447" s="603">
        <v>0</v>
      </c>
      <c r="Y447" s="603">
        <v>0</v>
      </c>
      <c r="Z447" s="603">
        <v>0</v>
      </c>
    </row>
    <row r="448" spans="1:26" x14ac:dyDescent="0.2">
      <c r="A448" s="605" t="s">
        <v>668</v>
      </c>
      <c r="B448" s="665">
        <v>0</v>
      </c>
      <c r="C448" s="665">
        <v>0</v>
      </c>
      <c r="D448" s="665">
        <v>0</v>
      </c>
      <c r="E448" s="665">
        <v>0</v>
      </c>
      <c r="F448" s="665">
        <v>0</v>
      </c>
      <c r="G448" s="665">
        <v>0</v>
      </c>
      <c r="H448" s="665">
        <v>0</v>
      </c>
      <c r="I448" s="665">
        <v>0</v>
      </c>
      <c r="J448" s="665">
        <v>0</v>
      </c>
      <c r="K448" s="665">
        <v>0</v>
      </c>
      <c r="L448" s="665">
        <v>0</v>
      </c>
      <c r="M448" s="665">
        <v>0</v>
      </c>
      <c r="N448" s="665">
        <v>0</v>
      </c>
      <c r="O448" s="665">
        <v>0</v>
      </c>
      <c r="P448" s="665">
        <v>0</v>
      </c>
      <c r="Q448" s="665">
        <v>0</v>
      </c>
      <c r="R448" s="665">
        <v>0</v>
      </c>
      <c r="S448" s="665">
        <v>0</v>
      </c>
      <c r="T448" s="604" t="e">
        <v>#DIV/0!</v>
      </c>
      <c r="U448" s="603">
        <v>0</v>
      </c>
      <c r="V448" s="603">
        <v>0</v>
      </c>
      <c r="W448" s="603">
        <v>0</v>
      </c>
      <c r="X448" s="603">
        <v>0</v>
      </c>
      <c r="Y448" s="603">
        <v>0</v>
      </c>
      <c r="Z448" s="603">
        <v>0</v>
      </c>
    </row>
    <row r="449" spans="1:26" x14ac:dyDescent="0.2">
      <c r="A449" s="605" t="s">
        <v>669</v>
      </c>
      <c r="B449" s="665">
        <v>0</v>
      </c>
      <c r="C449" s="665">
        <v>0</v>
      </c>
      <c r="D449" s="665">
        <v>0</v>
      </c>
      <c r="E449" s="665">
        <v>0</v>
      </c>
      <c r="F449" s="665">
        <v>0</v>
      </c>
      <c r="G449" s="665">
        <v>0</v>
      </c>
      <c r="H449" s="665">
        <v>0</v>
      </c>
      <c r="I449" s="665">
        <v>0</v>
      </c>
      <c r="J449" s="665">
        <v>0</v>
      </c>
      <c r="K449" s="665">
        <v>0</v>
      </c>
      <c r="L449" s="665">
        <v>0</v>
      </c>
      <c r="M449" s="665">
        <v>0</v>
      </c>
      <c r="N449" s="665">
        <v>0</v>
      </c>
      <c r="O449" s="665">
        <v>0</v>
      </c>
      <c r="P449" s="665">
        <v>0</v>
      </c>
      <c r="Q449" s="665">
        <v>0</v>
      </c>
      <c r="R449" s="665">
        <v>0</v>
      </c>
      <c r="S449" s="665">
        <v>0</v>
      </c>
      <c r="T449" s="604" t="e">
        <v>#DIV/0!</v>
      </c>
      <c r="U449" s="603">
        <v>0</v>
      </c>
      <c r="V449" s="603">
        <v>0</v>
      </c>
      <c r="W449" s="603">
        <v>0</v>
      </c>
      <c r="X449" s="603">
        <v>0</v>
      </c>
      <c r="Y449" s="603">
        <v>0</v>
      </c>
      <c r="Z449" s="603">
        <v>0</v>
      </c>
    </row>
    <row r="450" spans="1:26" x14ac:dyDescent="0.2">
      <c r="A450" s="605" t="s">
        <v>670</v>
      </c>
      <c r="B450" s="665">
        <v>0</v>
      </c>
      <c r="C450" s="665">
        <v>0</v>
      </c>
      <c r="D450" s="665">
        <v>0</v>
      </c>
      <c r="E450" s="665">
        <v>0</v>
      </c>
      <c r="F450" s="665">
        <v>0</v>
      </c>
      <c r="G450" s="665">
        <v>0</v>
      </c>
      <c r="H450" s="665">
        <v>0</v>
      </c>
      <c r="I450" s="665">
        <v>0</v>
      </c>
      <c r="J450" s="665">
        <v>0</v>
      </c>
      <c r="K450" s="665">
        <v>0</v>
      </c>
      <c r="L450" s="665">
        <v>0</v>
      </c>
      <c r="M450" s="665">
        <v>0</v>
      </c>
      <c r="N450" s="665">
        <v>0</v>
      </c>
      <c r="O450" s="665">
        <v>0</v>
      </c>
      <c r="P450" s="665">
        <v>0</v>
      </c>
      <c r="Q450" s="665">
        <v>0</v>
      </c>
      <c r="R450" s="665">
        <v>0</v>
      </c>
      <c r="S450" s="665">
        <v>0</v>
      </c>
      <c r="T450" s="604" t="e">
        <v>#DIV/0!</v>
      </c>
      <c r="U450" s="603">
        <v>0</v>
      </c>
      <c r="V450" s="603">
        <v>0</v>
      </c>
      <c r="W450" s="603">
        <v>0</v>
      </c>
      <c r="X450" s="603">
        <v>0</v>
      </c>
      <c r="Y450" s="603">
        <v>0</v>
      </c>
      <c r="Z450" s="603">
        <v>0</v>
      </c>
    </row>
    <row r="451" spans="1:26" x14ac:dyDescent="0.2">
      <c r="A451" s="605" t="s">
        <v>671</v>
      </c>
      <c r="B451" s="665">
        <v>0</v>
      </c>
      <c r="C451" s="665">
        <v>0</v>
      </c>
      <c r="D451" s="665">
        <v>0</v>
      </c>
      <c r="E451" s="665">
        <v>0</v>
      </c>
      <c r="F451" s="665">
        <v>0</v>
      </c>
      <c r="G451" s="665">
        <v>0</v>
      </c>
      <c r="H451" s="665">
        <v>0</v>
      </c>
      <c r="I451" s="665">
        <v>0</v>
      </c>
      <c r="J451" s="665">
        <v>0</v>
      </c>
      <c r="K451" s="665">
        <v>0</v>
      </c>
      <c r="L451" s="665">
        <v>0</v>
      </c>
      <c r="M451" s="665">
        <v>0</v>
      </c>
      <c r="N451" s="665">
        <v>0</v>
      </c>
      <c r="O451" s="665">
        <v>0</v>
      </c>
      <c r="P451" s="665">
        <v>0</v>
      </c>
      <c r="Q451" s="665">
        <v>0</v>
      </c>
      <c r="R451" s="665">
        <v>0</v>
      </c>
      <c r="S451" s="665">
        <v>0</v>
      </c>
      <c r="T451" s="604" t="e">
        <v>#DIV/0!</v>
      </c>
      <c r="U451" s="603">
        <v>0</v>
      </c>
      <c r="V451" s="603">
        <v>0</v>
      </c>
      <c r="W451" s="603">
        <v>0</v>
      </c>
      <c r="X451" s="603">
        <v>0</v>
      </c>
      <c r="Y451" s="603">
        <v>0</v>
      </c>
      <c r="Z451" s="603">
        <v>0</v>
      </c>
    </row>
    <row r="452" spans="1:26" x14ac:dyDescent="0.2">
      <c r="A452" s="605" t="s">
        <v>672</v>
      </c>
      <c r="B452" s="665">
        <v>0</v>
      </c>
      <c r="C452" s="665">
        <v>0</v>
      </c>
      <c r="D452" s="665">
        <v>0</v>
      </c>
      <c r="E452" s="665">
        <v>0</v>
      </c>
      <c r="F452" s="665">
        <v>0</v>
      </c>
      <c r="G452" s="665">
        <v>0</v>
      </c>
      <c r="H452" s="665">
        <v>0</v>
      </c>
      <c r="I452" s="665">
        <v>0</v>
      </c>
      <c r="J452" s="665">
        <v>0</v>
      </c>
      <c r="K452" s="665">
        <v>0</v>
      </c>
      <c r="L452" s="665">
        <v>0</v>
      </c>
      <c r="M452" s="665">
        <v>0</v>
      </c>
      <c r="N452" s="665">
        <v>0</v>
      </c>
      <c r="O452" s="665">
        <v>0</v>
      </c>
      <c r="P452" s="665">
        <v>0</v>
      </c>
      <c r="Q452" s="665">
        <v>0</v>
      </c>
      <c r="R452" s="665">
        <v>0</v>
      </c>
      <c r="S452" s="665">
        <v>0</v>
      </c>
      <c r="T452" s="604" t="e">
        <v>#DIV/0!</v>
      </c>
      <c r="U452" s="603">
        <v>0</v>
      </c>
      <c r="V452" s="603">
        <v>0</v>
      </c>
      <c r="W452" s="603">
        <v>0</v>
      </c>
      <c r="X452" s="603">
        <v>0</v>
      </c>
      <c r="Y452" s="603">
        <v>0</v>
      </c>
      <c r="Z452" s="603">
        <v>0</v>
      </c>
    </row>
    <row r="453" spans="1:26" x14ac:dyDescent="0.2">
      <c r="A453" s="605" t="s">
        <v>673</v>
      </c>
      <c r="B453" s="665">
        <v>0</v>
      </c>
      <c r="C453" s="665">
        <v>0</v>
      </c>
      <c r="D453" s="665">
        <v>0</v>
      </c>
      <c r="E453" s="665">
        <v>0</v>
      </c>
      <c r="F453" s="665">
        <v>0</v>
      </c>
      <c r="G453" s="665">
        <v>0</v>
      </c>
      <c r="H453" s="665">
        <v>0</v>
      </c>
      <c r="I453" s="665">
        <v>0</v>
      </c>
      <c r="J453" s="665">
        <v>0</v>
      </c>
      <c r="K453" s="665">
        <v>0</v>
      </c>
      <c r="L453" s="665">
        <v>0</v>
      </c>
      <c r="M453" s="665">
        <v>0</v>
      </c>
      <c r="N453" s="665">
        <v>0</v>
      </c>
      <c r="O453" s="665">
        <v>0</v>
      </c>
      <c r="P453" s="665">
        <v>0</v>
      </c>
      <c r="Q453" s="665">
        <v>0</v>
      </c>
      <c r="R453" s="665">
        <v>0</v>
      </c>
      <c r="S453" s="665">
        <v>0</v>
      </c>
      <c r="T453" s="604" t="e">
        <v>#DIV/0!</v>
      </c>
      <c r="U453" s="603">
        <v>0</v>
      </c>
      <c r="V453" s="603">
        <v>0</v>
      </c>
      <c r="W453" s="603">
        <v>0</v>
      </c>
      <c r="X453" s="603">
        <v>0</v>
      </c>
      <c r="Y453" s="603">
        <v>0</v>
      </c>
      <c r="Z453" s="603">
        <v>0</v>
      </c>
    </row>
    <row r="454" spans="1:26" x14ac:dyDescent="0.2">
      <c r="A454" s="605" t="s">
        <v>674</v>
      </c>
      <c r="B454" s="665">
        <v>0</v>
      </c>
      <c r="C454" s="665">
        <v>0</v>
      </c>
      <c r="D454" s="665">
        <v>0</v>
      </c>
      <c r="E454" s="665">
        <v>0</v>
      </c>
      <c r="F454" s="665">
        <v>0</v>
      </c>
      <c r="G454" s="665">
        <v>0</v>
      </c>
      <c r="H454" s="665">
        <v>0</v>
      </c>
      <c r="I454" s="665">
        <v>0</v>
      </c>
      <c r="J454" s="665">
        <v>0</v>
      </c>
      <c r="K454" s="665">
        <v>0</v>
      </c>
      <c r="L454" s="665">
        <v>0</v>
      </c>
      <c r="M454" s="665">
        <v>0</v>
      </c>
      <c r="N454" s="665">
        <v>0</v>
      </c>
      <c r="O454" s="665">
        <v>0</v>
      </c>
      <c r="P454" s="665">
        <v>0</v>
      </c>
      <c r="Q454" s="665">
        <v>0</v>
      </c>
      <c r="R454" s="665">
        <v>0</v>
      </c>
      <c r="S454" s="665">
        <v>0</v>
      </c>
      <c r="T454" s="604" t="e">
        <v>#DIV/0!</v>
      </c>
      <c r="U454" s="603">
        <v>0</v>
      </c>
      <c r="V454" s="603">
        <v>0</v>
      </c>
      <c r="W454" s="603">
        <v>0</v>
      </c>
      <c r="X454" s="603">
        <v>0</v>
      </c>
      <c r="Y454" s="603">
        <v>0</v>
      </c>
      <c r="Z454" s="603">
        <v>0</v>
      </c>
    </row>
    <row r="455" spans="1:26" x14ac:dyDescent="0.2">
      <c r="A455" s="605" t="s">
        <v>675</v>
      </c>
      <c r="B455" s="665">
        <v>0</v>
      </c>
      <c r="C455" s="665">
        <v>0</v>
      </c>
      <c r="D455" s="665">
        <v>0</v>
      </c>
      <c r="E455" s="665">
        <v>0</v>
      </c>
      <c r="F455" s="665">
        <v>0</v>
      </c>
      <c r="G455" s="665">
        <v>0</v>
      </c>
      <c r="H455" s="665">
        <v>0</v>
      </c>
      <c r="I455" s="665">
        <v>0</v>
      </c>
      <c r="J455" s="665">
        <v>0</v>
      </c>
      <c r="K455" s="665">
        <v>0</v>
      </c>
      <c r="L455" s="665">
        <v>0</v>
      </c>
      <c r="M455" s="665">
        <v>0</v>
      </c>
      <c r="N455" s="665">
        <v>0</v>
      </c>
      <c r="O455" s="665">
        <v>0</v>
      </c>
      <c r="P455" s="665">
        <v>0</v>
      </c>
      <c r="Q455" s="665">
        <v>0</v>
      </c>
      <c r="R455" s="665">
        <v>0</v>
      </c>
      <c r="S455" s="665">
        <v>0</v>
      </c>
      <c r="T455" s="604" t="e">
        <v>#DIV/0!</v>
      </c>
      <c r="U455" s="603">
        <v>0</v>
      </c>
      <c r="V455" s="603">
        <v>0</v>
      </c>
      <c r="W455" s="603">
        <v>0</v>
      </c>
      <c r="X455" s="603">
        <v>0</v>
      </c>
      <c r="Y455" s="603">
        <v>0</v>
      </c>
      <c r="Z455" s="603">
        <v>0</v>
      </c>
    </row>
    <row r="456" spans="1:26" x14ac:dyDescent="0.2">
      <c r="A456" s="605" t="s">
        <v>676</v>
      </c>
      <c r="B456" s="665">
        <v>0</v>
      </c>
      <c r="C456" s="665">
        <v>0</v>
      </c>
      <c r="D456" s="665">
        <v>0</v>
      </c>
      <c r="E456" s="665">
        <v>0</v>
      </c>
      <c r="F456" s="665">
        <v>0</v>
      </c>
      <c r="G456" s="665">
        <v>0</v>
      </c>
      <c r="H456" s="665">
        <v>0</v>
      </c>
      <c r="I456" s="665">
        <v>0</v>
      </c>
      <c r="J456" s="665">
        <v>0</v>
      </c>
      <c r="K456" s="665">
        <v>0</v>
      </c>
      <c r="L456" s="665">
        <v>0</v>
      </c>
      <c r="M456" s="665">
        <v>0</v>
      </c>
      <c r="N456" s="665">
        <v>0</v>
      </c>
      <c r="O456" s="665">
        <v>0</v>
      </c>
      <c r="P456" s="665">
        <v>0</v>
      </c>
      <c r="Q456" s="665">
        <v>0</v>
      </c>
      <c r="R456" s="665">
        <v>0</v>
      </c>
      <c r="S456" s="665">
        <v>0</v>
      </c>
      <c r="T456" s="604" t="e">
        <v>#DIV/0!</v>
      </c>
      <c r="U456" s="603">
        <v>0</v>
      </c>
      <c r="V456" s="603">
        <v>0</v>
      </c>
      <c r="W456" s="603">
        <v>0</v>
      </c>
      <c r="X456" s="603">
        <v>0</v>
      </c>
      <c r="Y456" s="603">
        <v>0</v>
      </c>
      <c r="Z456" s="603">
        <v>0</v>
      </c>
    </row>
    <row r="457" spans="1:26" x14ac:dyDescent="0.2">
      <c r="A457" s="605" t="s">
        <v>677</v>
      </c>
      <c r="B457" s="665">
        <v>0</v>
      </c>
      <c r="C457" s="665">
        <v>0</v>
      </c>
      <c r="D457" s="665">
        <v>0</v>
      </c>
      <c r="E457" s="665">
        <v>0</v>
      </c>
      <c r="F457" s="665">
        <v>0</v>
      </c>
      <c r="G457" s="665">
        <v>0</v>
      </c>
      <c r="H457" s="665">
        <v>0</v>
      </c>
      <c r="I457" s="665">
        <v>0</v>
      </c>
      <c r="J457" s="665">
        <v>0</v>
      </c>
      <c r="K457" s="665">
        <v>0</v>
      </c>
      <c r="L457" s="665">
        <v>0</v>
      </c>
      <c r="M457" s="665">
        <v>0</v>
      </c>
      <c r="N457" s="665">
        <v>0</v>
      </c>
      <c r="O457" s="665">
        <v>0</v>
      </c>
      <c r="P457" s="665">
        <v>0</v>
      </c>
      <c r="Q457" s="665">
        <v>0</v>
      </c>
      <c r="R457" s="665">
        <v>0</v>
      </c>
      <c r="S457" s="665">
        <v>0</v>
      </c>
      <c r="T457" s="604" t="e">
        <v>#DIV/0!</v>
      </c>
      <c r="U457" s="603">
        <v>0</v>
      </c>
      <c r="V457" s="603">
        <v>0</v>
      </c>
      <c r="W457" s="603">
        <v>0</v>
      </c>
      <c r="X457" s="603">
        <v>0</v>
      </c>
      <c r="Y457" s="603">
        <v>0</v>
      </c>
      <c r="Z457" s="603">
        <v>0</v>
      </c>
    </row>
    <row r="458" spans="1:26" x14ac:dyDescent="0.2">
      <c r="A458" s="605" t="s">
        <v>678</v>
      </c>
      <c r="B458" s="665">
        <v>0</v>
      </c>
      <c r="C458" s="665">
        <v>0</v>
      </c>
      <c r="D458" s="665">
        <v>0</v>
      </c>
      <c r="E458" s="665">
        <v>0</v>
      </c>
      <c r="F458" s="665">
        <v>0</v>
      </c>
      <c r="G458" s="665">
        <v>0</v>
      </c>
      <c r="H458" s="665">
        <v>0</v>
      </c>
      <c r="I458" s="665">
        <v>0</v>
      </c>
      <c r="J458" s="665">
        <v>0</v>
      </c>
      <c r="K458" s="665">
        <v>0</v>
      </c>
      <c r="L458" s="665">
        <v>0</v>
      </c>
      <c r="M458" s="665">
        <v>0</v>
      </c>
      <c r="N458" s="665">
        <v>0</v>
      </c>
      <c r="O458" s="665">
        <v>0</v>
      </c>
      <c r="P458" s="665">
        <v>0</v>
      </c>
      <c r="Q458" s="665">
        <v>0</v>
      </c>
      <c r="R458" s="665">
        <v>0</v>
      </c>
      <c r="S458" s="665">
        <v>0</v>
      </c>
      <c r="T458" s="604" t="e">
        <v>#DIV/0!</v>
      </c>
      <c r="U458" s="603">
        <v>0</v>
      </c>
      <c r="V458" s="603">
        <v>0</v>
      </c>
      <c r="W458" s="603">
        <v>0</v>
      </c>
      <c r="X458" s="603">
        <v>0</v>
      </c>
      <c r="Y458" s="603">
        <v>0</v>
      </c>
      <c r="Z458" s="603">
        <v>0</v>
      </c>
    </row>
    <row r="459" spans="1:26" x14ac:dyDescent="0.2">
      <c r="A459" s="605" t="s">
        <v>679</v>
      </c>
      <c r="B459" s="665">
        <v>0</v>
      </c>
      <c r="C459" s="665">
        <v>0</v>
      </c>
      <c r="D459" s="665">
        <v>0</v>
      </c>
      <c r="E459" s="665">
        <v>0</v>
      </c>
      <c r="F459" s="665">
        <v>0</v>
      </c>
      <c r="G459" s="665">
        <v>0</v>
      </c>
      <c r="H459" s="665">
        <v>0</v>
      </c>
      <c r="I459" s="665">
        <v>0</v>
      </c>
      <c r="J459" s="665">
        <v>0</v>
      </c>
      <c r="K459" s="665">
        <v>0</v>
      </c>
      <c r="L459" s="665">
        <v>0</v>
      </c>
      <c r="M459" s="665">
        <v>0</v>
      </c>
      <c r="N459" s="665">
        <v>0</v>
      </c>
      <c r="O459" s="665">
        <v>0</v>
      </c>
      <c r="P459" s="665">
        <v>0</v>
      </c>
      <c r="Q459" s="665">
        <v>0</v>
      </c>
      <c r="R459" s="665">
        <v>0</v>
      </c>
      <c r="S459" s="665">
        <v>0</v>
      </c>
      <c r="T459" s="604" t="e">
        <v>#DIV/0!</v>
      </c>
      <c r="U459" s="603">
        <v>0</v>
      </c>
      <c r="V459" s="603">
        <v>0</v>
      </c>
      <c r="W459" s="603">
        <v>0</v>
      </c>
      <c r="X459" s="603">
        <v>0</v>
      </c>
      <c r="Y459" s="603">
        <v>0</v>
      </c>
      <c r="Z459" s="603">
        <v>0</v>
      </c>
    </row>
    <row r="460" spans="1:26" x14ac:dyDescent="0.2">
      <c r="A460" s="605" t="s">
        <v>680</v>
      </c>
      <c r="B460" s="665">
        <v>0</v>
      </c>
      <c r="C460" s="665">
        <v>0</v>
      </c>
      <c r="D460" s="665">
        <v>0</v>
      </c>
      <c r="E460" s="665">
        <v>0</v>
      </c>
      <c r="F460" s="665">
        <v>0</v>
      </c>
      <c r="G460" s="665">
        <v>0</v>
      </c>
      <c r="H460" s="665">
        <v>0</v>
      </c>
      <c r="I460" s="665">
        <v>0</v>
      </c>
      <c r="J460" s="665">
        <v>0</v>
      </c>
      <c r="K460" s="665">
        <v>0</v>
      </c>
      <c r="L460" s="665">
        <v>0</v>
      </c>
      <c r="M460" s="665">
        <v>0</v>
      </c>
      <c r="N460" s="665">
        <v>0</v>
      </c>
      <c r="O460" s="665">
        <v>0</v>
      </c>
      <c r="P460" s="665">
        <v>0</v>
      </c>
      <c r="Q460" s="665">
        <v>0</v>
      </c>
      <c r="R460" s="665">
        <v>0</v>
      </c>
      <c r="S460" s="665">
        <v>0</v>
      </c>
      <c r="T460" s="604" t="e">
        <v>#DIV/0!</v>
      </c>
      <c r="U460" s="603">
        <v>0</v>
      </c>
      <c r="V460" s="603">
        <v>0</v>
      </c>
      <c r="W460" s="603">
        <v>0</v>
      </c>
      <c r="X460" s="603">
        <v>0</v>
      </c>
      <c r="Y460" s="603">
        <v>0</v>
      </c>
      <c r="Z460" s="603">
        <v>0</v>
      </c>
    </row>
    <row r="461" spans="1:26" x14ac:dyDescent="0.2">
      <c r="A461" s="605" t="s">
        <v>681</v>
      </c>
      <c r="B461" s="665">
        <v>0</v>
      </c>
      <c r="C461" s="665">
        <v>0</v>
      </c>
      <c r="D461" s="665">
        <v>0</v>
      </c>
      <c r="E461" s="665">
        <v>0</v>
      </c>
      <c r="F461" s="665">
        <v>0</v>
      </c>
      <c r="G461" s="665">
        <v>0</v>
      </c>
      <c r="H461" s="665">
        <v>0</v>
      </c>
      <c r="I461" s="665">
        <v>0</v>
      </c>
      <c r="J461" s="665">
        <v>0</v>
      </c>
      <c r="K461" s="665">
        <v>0</v>
      </c>
      <c r="L461" s="665">
        <v>0</v>
      </c>
      <c r="M461" s="665">
        <v>0</v>
      </c>
      <c r="N461" s="665">
        <v>0</v>
      </c>
      <c r="O461" s="665">
        <v>0</v>
      </c>
      <c r="P461" s="665">
        <v>0</v>
      </c>
      <c r="Q461" s="665">
        <v>0</v>
      </c>
      <c r="R461" s="665">
        <v>0</v>
      </c>
      <c r="S461" s="665">
        <v>0</v>
      </c>
      <c r="T461" s="604" t="e">
        <v>#DIV/0!</v>
      </c>
      <c r="U461" s="603">
        <v>0</v>
      </c>
      <c r="V461" s="603">
        <v>0</v>
      </c>
      <c r="W461" s="603">
        <v>0</v>
      </c>
      <c r="X461" s="603">
        <v>0</v>
      </c>
      <c r="Y461" s="603">
        <v>0</v>
      </c>
      <c r="Z461" s="603">
        <v>0</v>
      </c>
    </row>
    <row r="462" spans="1:26" x14ac:dyDescent="0.2">
      <c r="A462" s="605" t="s">
        <v>682</v>
      </c>
      <c r="B462" s="665">
        <v>0</v>
      </c>
      <c r="C462" s="665">
        <v>0</v>
      </c>
      <c r="D462" s="665">
        <v>0</v>
      </c>
      <c r="E462" s="665">
        <v>0</v>
      </c>
      <c r="F462" s="665">
        <v>0</v>
      </c>
      <c r="G462" s="665">
        <v>0</v>
      </c>
      <c r="H462" s="665">
        <v>0</v>
      </c>
      <c r="I462" s="665">
        <v>0</v>
      </c>
      <c r="J462" s="665">
        <v>0</v>
      </c>
      <c r="K462" s="665">
        <v>0</v>
      </c>
      <c r="L462" s="665">
        <v>0</v>
      </c>
      <c r="M462" s="665">
        <v>0</v>
      </c>
      <c r="N462" s="665">
        <v>0</v>
      </c>
      <c r="O462" s="665">
        <v>0</v>
      </c>
      <c r="P462" s="665">
        <v>0</v>
      </c>
      <c r="Q462" s="665">
        <v>0</v>
      </c>
      <c r="R462" s="665">
        <v>0</v>
      </c>
      <c r="S462" s="665">
        <v>0</v>
      </c>
      <c r="T462" s="604" t="e">
        <v>#DIV/0!</v>
      </c>
      <c r="U462" s="603">
        <v>0</v>
      </c>
      <c r="V462" s="603">
        <v>0</v>
      </c>
      <c r="W462" s="603">
        <v>0</v>
      </c>
      <c r="X462" s="603">
        <v>0</v>
      </c>
      <c r="Y462" s="603">
        <v>0</v>
      </c>
      <c r="Z462" s="603">
        <v>0</v>
      </c>
    </row>
    <row r="463" spans="1:26" x14ac:dyDescent="0.2">
      <c r="A463" s="605" t="s">
        <v>683</v>
      </c>
      <c r="B463" s="665">
        <v>0</v>
      </c>
      <c r="C463" s="665">
        <v>0</v>
      </c>
      <c r="D463" s="665">
        <v>0</v>
      </c>
      <c r="E463" s="665">
        <v>0</v>
      </c>
      <c r="F463" s="665">
        <v>0</v>
      </c>
      <c r="G463" s="665">
        <v>0</v>
      </c>
      <c r="H463" s="665">
        <v>0</v>
      </c>
      <c r="I463" s="665">
        <v>0</v>
      </c>
      <c r="J463" s="665">
        <v>0</v>
      </c>
      <c r="K463" s="665">
        <v>0</v>
      </c>
      <c r="L463" s="665">
        <v>0</v>
      </c>
      <c r="M463" s="665">
        <v>0</v>
      </c>
      <c r="N463" s="665">
        <v>0</v>
      </c>
      <c r="O463" s="665">
        <v>0</v>
      </c>
      <c r="P463" s="665">
        <v>0</v>
      </c>
      <c r="Q463" s="665">
        <v>0</v>
      </c>
      <c r="R463" s="665">
        <v>0</v>
      </c>
      <c r="S463" s="665">
        <v>0</v>
      </c>
      <c r="T463" s="604" t="e">
        <v>#DIV/0!</v>
      </c>
      <c r="U463" s="603">
        <v>0</v>
      </c>
      <c r="V463" s="603">
        <v>0</v>
      </c>
      <c r="W463" s="603">
        <v>0</v>
      </c>
      <c r="X463" s="603">
        <v>0</v>
      </c>
      <c r="Y463" s="603">
        <v>0</v>
      </c>
      <c r="Z463" s="603">
        <v>0</v>
      </c>
    </row>
    <row r="464" spans="1:26" x14ac:dyDescent="0.2">
      <c r="A464" s="609" t="s">
        <v>684</v>
      </c>
      <c r="B464" s="669">
        <v>0</v>
      </c>
      <c r="C464" s="669">
        <v>0</v>
      </c>
      <c r="D464" s="669">
        <v>0</v>
      </c>
      <c r="E464" s="669">
        <v>0</v>
      </c>
      <c r="F464" s="669">
        <v>0</v>
      </c>
      <c r="G464" s="669">
        <v>0</v>
      </c>
      <c r="H464" s="669">
        <v>0</v>
      </c>
      <c r="I464" s="669">
        <v>0</v>
      </c>
      <c r="J464" s="669">
        <v>0</v>
      </c>
      <c r="K464" s="669">
        <v>0</v>
      </c>
      <c r="L464" s="669">
        <v>0</v>
      </c>
      <c r="M464" s="669">
        <v>0</v>
      </c>
      <c r="N464" s="669">
        <v>0</v>
      </c>
      <c r="O464" s="669">
        <v>0</v>
      </c>
      <c r="P464" s="669">
        <v>0</v>
      </c>
      <c r="Q464" s="669">
        <v>0</v>
      </c>
      <c r="R464" s="669">
        <v>0</v>
      </c>
      <c r="S464" s="669">
        <v>0</v>
      </c>
      <c r="T464" s="612" t="e">
        <v>#DIV/0!</v>
      </c>
      <c r="U464" s="611">
        <v>0</v>
      </c>
      <c r="V464" s="611">
        <v>0</v>
      </c>
      <c r="W464" s="611">
        <v>0</v>
      </c>
      <c r="X464" s="611">
        <v>0</v>
      </c>
      <c r="Y464" s="611">
        <v>0</v>
      </c>
      <c r="Z464" s="611">
        <v>0</v>
      </c>
    </row>
    <row r="465" spans="1:27" x14ac:dyDescent="0.2">
      <c r="A465" s="597" t="s">
        <v>685</v>
      </c>
      <c r="B465" s="685">
        <v>0</v>
      </c>
      <c r="C465" s="685">
        <v>0</v>
      </c>
      <c r="D465" s="685">
        <v>0</v>
      </c>
      <c r="E465" s="685">
        <v>0</v>
      </c>
      <c r="F465" s="685">
        <v>0</v>
      </c>
      <c r="G465" s="685">
        <v>0</v>
      </c>
      <c r="H465" s="685">
        <v>0</v>
      </c>
      <c r="I465" s="685">
        <v>0</v>
      </c>
      <c r="J465" s="685">
        <v>0</v>
      </c>
      <c r="K465" s="685">
        <v>0</v>
      </c>
      <c r="L465" s="685">
        <v>0</v>
      </c>
      <c r="M465" s="685">
        <v>0</v>
      </c>
      <c r="N465" s="685">
        <v>0</v>
      </c>
      <c r="O465" s="685">
        <v>0</v>
      </c>
      <c r="P465" s="685">
        <v>0</v>
      </c>
      <c r="Q465" s="685">
        <v>0</v>
      </c>
      <c r="R465" s="685">
        <v>0</v>
      </c>
      <c r="S465" s="685">
        <v>0</v>
      </c>
      <c r="T465" s="600" t="e">
        <v>#DIV/0!</v>
      </c>
      <c r="U465" s="599">
        <v>0</v>
      </c>
      <c r="V465" s="599">
        <v>0</v>
      </c>
      <c r="W465" s="599">
        <v>0</v>
      </c>
      <c r="X465" s="599">
        <v>0</v>
      </c>
      <c r="Y465" s="599">
        <v>0</v>
      </c>
      <c r="Z465" s="599">
        <v>0</v>
      </c>
      <c r="AA465" s="661"/>
    </row>
    <row r="466" spans="1:27" x14ac:dyDescent="0.2">
      <c r="A466" s="597" t="s">
        <v>686</v>
      </c>
      <c r="B466" s="655">
        <v>0</v>
      </c>
      <c r="C466" s="655">
        <v>0</v>
      </c>
      <c r="D466" s="655">
        <v>0</v>
      </c>
      <c r="E466" s="655">
        <v>0</v>
      </c>
      <c r="F466" s="655">
        <v>0</v>
      </c>
      <c r="G466" s="655">
        <v>0</v>
      </c>
      <c r="H466" s="655">
        <v>0</v>
      </c>
      <c r="I466" s="655">
        <v>0</v>
      </c>
      <c r="J466" s="655">
        <v>0</v>
      </c>
      <c r="K466" s="655">
        <v>0</v>
      </c>
      <c r="L466" s="655">
        <v>0</v>
      </c>
      <c r="M466" s="655">
        <v>0</v>
      </c>
      <c r="N466" s="655">
        <v>0</v>
      </c>
      <c r="O466" s="655">
        <v>0</v>
      </c>
      <c r="P466" s="655">
        <v>0</v>
      </c>
      <c r="Q466" s="655">
        <v>0</v>
      </c>
      <c r="R466" s="655">
        <v>0</v>
      </c>
      <c r="S466" s="655">
        <v>0</v>
      </c>
      <c r="T466" s="600" t="e">
        <v>#DIV/0!</v>
      </c>
      <c r="U466" s="599">
        <v>0</v>
      </c>
      <c r="V466" s="599">
        <v>0</v>
      </c>
      <c r="W466" s="599">
        <v>0</v>
      </c>
      <c r="X466" s="599">
        <v>0</v>
      </c>
      <c r="Y466" s="599">
        <v>0</v>
      </c>
      <c r="Z466" s="599">
        <v>0</v>
      </c>
      <c r="AA466" s="661"/>
    </row>
    <row r="467" spans="1:27" ht="24" x14ac:dyDescent="0.2">
      <c r="A467" s="605" t="s">
        <v>687</v>
      </c>
      <c r="B467" s="665">
        <v>0</v>
      </c>
      <c r="C467" s="665">
        <v>0</v>
      </c>
      <c r="D467" s="665">
        <v>0</v>
      </c>
      <c r="E467" s="665">
        <v>0</v>
      </c>
      <c r="F467" s="665">
        <v>0</v>
      </c>
      <c r="G467" s="665">
        <v>0</v>
      </c>
      <c r="H467" s="665">
        <v>0</v>
      </c>
      <c r="I467" s="665">
        <v>0</v>
      </c>
      <c r="J467" s="665">
        <v>0</v>
      </c>
      <c r="K467" s="665">
        <v>0</v>
      </c>
      <c r="L467" s="665">
        <v>0</v>
      </c>
      <c r="M467" s="665">
        <v>0</v>
      </c>
      <c r="N467" s="665">
        <v>0</v>
      </c>
      <c r="O467" s="665">
        <v>0</v>
      </c>
      <c r="P467" s="665">
        <v>0</v>
      </c>
      <c r="Q467" s="665">
        <v>0</v>
      </c>
      <c r="R467" s="665">
        <v>0</v>
      </c>
      <c r="S467" s="665">
        <v>0</v>
      </c>
      <c r="T467" s="604" t="e">
        <v>#DIV/0!</v>
      </c>
      <c r="U467" s="603">
        <v>0</v>
      </c>
      <c r="V467" s="603">
        <v>0</v>
      </c>
      <c r="W467" s="603">
        <v>0</v>
      </c>
      <c r="X467" s="603">
        <v>0</v>
      </c>
      <c r="Y467" s="603">
        <v>0</v>
      </c>
      <c r="Z467" s="603">
        <v>0</v>
      </c>
    </row>
    <row r="468" spans="1:27" ht="24" x14ac:dyDescent="0.2">
      <c r="A468" s="605" t="s">
        <v>688</v>
      </c>
      <c r="B468" s="665">
        <v>0</v>
      </c>
      <c r="C468" s="665">
        <v>0</v>
      </c>
      <c r="D468" s="665">
        <v>0</v>
      </c>
      <c r="E468" s="665">
        <v>0</v>
      </c>
      <c r="F468" s="665">
        <v>0</v>
      </c>
      <c r="G468" s="665">
        <v>0</v>
      </c>
      <c r="H468" s="665">
        <v>0</v>
      </c>
      <c r="I468" s="665">
        <v>0</v>
      </c>
      <c r="J468" s="665">
        <v>0</v>
      </c>
      <c r="K468" s="665">
        <v>0</v>
      </c>
      <c r="L468" s="665">
        <v>0</v>
      </c>
      <c r="M468" s="665">
        <v>0</v>
      </c>
      <c r="N468" s="665">
        <v>0</v>
      </c>
      <c r="O468" s="665">
        <v>0</v>
      </c>
      <c r="P468" s="665">
        <v>0</v>
      </c>
      <c r="Q468" s="665">
        <v>0</v>
      </c>
      <c r="R468" s="665">
        <v>0</v>
      </c>
      <c r="S468" s="665">
        <v>0</v>
      </c>
      <c r="T468" s="604" t="e">
        <v>#DIV/0!</v>
      </c>
      <c r="U468" s="603">
        <v>0</v>
      </c>
      <c r="V468" s="603">
        <v>0</v>
      </c>
      <c r="W468" s="603">
        <v>0</v>
      </c>
      <c r="X468" s="603">
        <v>0</v>
      </c>
      <c r="Y468" s="603">
        <v>0</v>
      </c>
      <c r="Z468" s="603">
        <v>0</v>
      </c>
    </row>
    <row r="469" spans="1:27" ht="24" x14ac:dyDescent="0.2">
      <c r="A469" s="605" t="s">
        <v>689</v>
      </c>
      <c r="B469" s="665">
        <v>0</v>
      </c>
      <c r="C469" s="665">
        <v>0</v>
      </c>
      <c r="D469" s="665">
        <v>0</v>
      </c>
      <c r="E469" s="665">
        <v>0</v>
      </c>
      <c r="F469" s="665">
        <v>0</v>
      </c>
      <c r="G469" s="665">
        <v>0</v>
      </c>
      <c r="H469" s="665">
        <v>0</v>
      </c>
      <c r="I469" s="665">
        <v>0</v>
      </c>
      <c r="J469" s="665">
        <v>0</v>
      </c>
      <c r="K469" s="665">
        <v>0</v>
      </c>
      <c r="L469" s="665">
        <v>0</v>
      </c>
      <c r="M469" s="665">
        <v>0</v>
      </c>
      <c r="N469" s="665">
        <v>0</v>
      </c>
      <c r="O469" s="665">
        <v>0</v>
      </c>
      <c r="P469" s="665">
        <v>0</v>
      </c>
      <c r="Q469" s="665">
        <v>0</v>
      </c>
      <c r="R469" s="665">
        <v>0</v>
      </c>
      <c r="S469" s="665">
        <v>0</v>
      </c>
      <c r="T469" s="604" t="e">
        <v>#DIV/0!</v>
      </c>
      <c r="U469" s="603">
        <v>0</v>
      </c>
      <c r="V469" s="603">
        <v>0</v>
      </c>
      <c r="W469" s="603">
        <v>0</v>
      </c>
      <c r="X469" s="603">
        <v>0</v>
      </c>
      <c r="Y469" s="603">
        <v>0</v>
      </c>
      <c r="Z469" s="603">
        <v>0</v>
      </c>
    </row>
    <row r="470" spans="1:27" x14ac:dyDescent="0.2">
      <c r="A470" s="597" t="s">
        <v>690</v>
      </c>
      <c r="B470" s="655">
        <v>0</v>
      </c>
      <c r="C470" s="655">
        <v>0</v>
      </c>
      <c r="D470" s="655">
        <v>0</v>
      </c>
      <c r="E470" s="655">
        <v>0</v>
      </c>
      <c r="F470" s="655">
        <v>0</v>
      </c>
      <c r="G470" s="655">
        <v>0</v>
      </c>
      <c r="H470" s="655">
        <v>0</v>
      </c>
      <c r="I470" s="655">
        <v>0</v>
      </c>
      <c r="J470" s="655">
        <v>0</v>
      </c>
      <c r="K470" s="655">
        <v>0</v>
      </c>
      <c r="L470" s="655">
        <v>0</v>
      </c>
      <c r="M470" s="655">
        <v>0</v>
      </c>
      <c r="N470" s="655">
        <v>0</v>
      </c>
      <c r="O470" s="655">
        <v>0</v>
      </c>
      <c r="P470" s="655">
        <v>0</v>
      </c>
      <c r="Q470" s="655">
        <v>0</v>
      </c>
      <c r="R470" s="655">
        <v>0</v>
      </c>
      <c r="S470" s="655">
        <v>0</v>
      </c>
      <c r="T470" s="600" t="e">
        <v>#DIV/0!</v>
      </c>
      <c r="U470" s="599">
        <v>0</v>
      </c>
      <c r="V470" s="599">
        <v>0</v>
      </c>
      <c r="W470" s="599">
        <v>0</v>
      </c>
      <c r="X470" s="599">
        <v>0</v>
      </c>
      <c r="Y470" s="599">
        <v>0</v>
      </c>
      <c r="Z470" s="599">
        <v>0</v>
      </c>
    </row>
    <row r="471" spans="1:27" x14ac:dyDescent="0.2">
      <c r="A471" s="605" t="s">
        <v>691</v>
      </c>
      <c r="B471" s="665">
        <v>0</v>
      </c>
      <c r="C471" s="665">
        <v>0</v>
      </c>
      <c r="D471" s="665">
        <v>0</v>
      </c>
      <c r="E471" s="665">
        <v>0</v>
      </c>
      <c r="F471" s="665">
        <v>0</v>
      </c>
      <c r="G471" s="665">
        <v>0</v>
      </c>
      <c r="H471" s="665">
        <v>0</v>
      </c>
      <c r="I471" s="665">
        <v>0</v>
      </c>
      <c r="J471" s="665">
        <v>0</v>
      </c>
      <c r="K471" s="665">
        <v>0</v>
      </c>
      <c r="L471" s="665">
        <v>0</v>
      </c>
      <c r="M471" s="665">
        <v>0</v>
      </c>
      <c r="N471" s="665">
        <v>0</v>
      </c>
      <c r="O471" s="665">
        <v>0</v>
      </c>
      <c r="P471" s="665">
        <v>0</v>
      </c>
      <c r="Q471" s="665">
        <v>0</v>
      </c>
      <c r="R471" s="665">
        <v>0</v>
      </c>
      <c r="S471" s="665">
        <v>0</v>
      </c>
      <c r="T471" s="604" t="e">
        <v>#DIV/0!</v>
      </c>
      <c r="U471" s="603">
        <v>0</v>
      </c>
      <c r="V471" s="603">
        <v>0</v>
      </c>
      <c r="W471" s="603">
        <v>0</v>
      </c>
      <c r="X471" s="603">
        <v>0</v>
      </c>
      <c r="Y471" s="603">
        <v>0</v>
      </c>
      <c r="Z471" s="603">
        <v>0</v>
      </c>
    </row>
    <row r="472" spans="1:27" x14ac:dyDescent="0.2">
      <c r="A472" s="605" t="s">
        <v>692</v>
      </c>
      <c r="B472" s="665">
        <v>0</v>
      </c>
      <c r="C472" s="665">
        <v>0</v>
      </c>
      <c r="D472" s="665">
        <v>0</v>
      </c>
      <c r="E472" s="665">
        <v>0</v>
      </c>
      <c r="F472" s="665">
        <v>0</v>
      </c>
      <c r="G472" s="665">
        <v>0</v>
      </c>
      <c r="H472" s="665">
        <v>0</v>
      </c>
      <c r="I472" s="665">
        <v>0</v>
      </c>
      <c r="J472" s="665">
        <v>0</v>
      </c>
      <c r="K472" s="665">
        <v>0</v>
      </c>
      <c r="L472" s="665">
        <v>0</v>
      </c>
      <c r="M472" s="665">
        <v>0</v>
      </c>
      <c r="N472" s="665">
        <v>0</v>
      </c>
      <c r="O472" s="665">
        <v>0</v>
      </c>
      <c r="P472" s="665">
        <v>0</v>
      </c>
      <c r="Q472" s="665">
        <v>0</v>
      </c>
      <c r="R472" s="665">
        <v>0</v>
      </c>
      <c r="S472" s="665">
        <v>0</v>
      </c>
      <c r="T472" s="604" t="e">
        <v>#DIV/0!</v>
      </c>
      <c r="U472" s="603">
        <v>0</v>
      </c>
      <c r="V472" s="603">
        <v>0</v>
      </c>
      <c r="W472" s="603">
        <v>0</v>
      </c>
      <c r="X472" s="603">
        <v>0</v>
      </c>
      <c r="Y472" s="603">
        <v>0</v>
      </c>
      <c r="Z472" s="603">
        <v>0</v>
      </c>
    </row>
    <row r="473" spans="1:27" x14ac:dyDescent="0.2">
      <c r="A473" s="605" t="s">
        <v>693</v>
      </c>
      <c r="B473" s="665">
        <v>0</v>
      </c>
      <c r="C473" s="665">
        <v>0</v>
      </c>
      <c r="D473" s="665">
        <v>0</v>
      </c>
      <c r="E473" s="665">
        <v>0</v>
      </c>
      <c r="F473" s="665">
        <v>0</v>
      </c>
      <c r="G473" s="665">
        <v>0</v>
      </c>
      <c r="H473" s="665">
        <v>0</v>
      </c>
      <c r="I473" s="665">
        <v>0</v>
      </c>
      <c r="J473" s="665">
        <v>0</v>
      </c>
      <c r="K473" s="665">
        <v>0</v>
      </c>
      <c r="L473" s="665">
        <v>0</v>
      </c>
      <c r="M473" s="665">
        <v>0</v>
      </c>
      <c r="N473" s="665">
        <v>0</v>
      </c>
      <c r="O473" s="665">
        <v>0</v>
      </c>
      <c r="P473" s="665">
        <v>0</v>
      </c>
      <c r="Q473" s="665">
        <v>0</v>
      </c>
      <c r="R473" s="665">
        <v>0</v>
      </c>
      <c r="S473" s="665">
        <v>0</v>
      </c>
      <c r="T473" s="604" t="e">
        <v>#DIV/0!</v>
      </c>
      <c r="U473" s="603">
        <v>0</v>
      </c>
      <c r="V473" s="603">
        <v>0</v>
      </c>
      <c r="W473" s="603">
        <v>0</v>
      </c>
      <c r="X473" s="603">
        <v>0</v>
      </c>
      <c r="Y473" s="603">
        <v>0</v>
      </c>
      <c r="Z473" s="603">
        <v>0</v>
      </c>
    </row>
    <row r="474" spans="1:27" x14ac:dyDescent="0.2">
      <c r="A474" s="597" t="s">
        <v>694</v>
      </c>
      <c r="B474" s="685">
        <v>0</v>
      </c>
      <c r="C474" s="685">
        <v>0</v>
      </c>
      <c r="D474" s="685">
        <v>0</v>
      </c>
      <c r="E474" s="685">
        <v>0</v>
      </c>
      <c r="F474" s="685">
        <v>0</v>
      </c>
      <c r="G474" s="685">
        <v>0</v>
      </c>
      <c r="H474" s="685">
        <v>0</v>
      </c>
      <c r="I474" s="685">
        <v>0</v>
      </c>
      <c r="J474" s="685">
        <v>0</v>
      </c>
      <c r="K474" s="685">
        <v>0</v>
      </c>
      <c r="L474" s="685">
        <v>0</v>
      </c>
      <c r="M474" s="685">
        <v>0</v>
      </c>
      <c r="N474" s="685">
        <v>0</v>
      </c>
      <c r="O474" s="685">
        <v>0</v>
      </c>
      <c r="P474" s="685">
        <v>0</v>
      </c>
      <c r="Q474" s="685">
        <v>0</v>
      </c>
      <c r="R474" s="685">
        <v>0</v>
      </c>
      <c r="S474" s="685">
        <v>0</v>
      </c>
      <c r="T474" s="600" t="e">
        <v>#DIV/0!</v>
      </c>
      <c r="U474" s="599">
        <v>0</v>
      </c>
      <c r="V474" s="599">
        <v>0</v>
      </c>
      <c r="W474" s="599">
        <v>0</v>
      </c>
      <c r="X474" s="599">
        <v>0</v>
      </c>
      <c r="Y474" s="599">
        <v>0</v>
      </c>
      <c r="Z474" s="599">
        <v>0</v>
      </c>
    </row>
    <row r="475" spans="1:27" x14ac:dyDescent="0.2">
      <c r="A475" s="618" t="s">
        <v>35</v>
      </c>
      <c r="B475" s="686">
        <v>170733012</v>
      </c>
      <c r="C475" s="686">
        <v>198104223.65000001</v>
      </c>
      <c r="D475" s="686">
        <v>196011503.05000001</v>
      </c>
      <c r="E475" s="686">
        <v>138287046.89409906</v>
      </c>
      <c r="F475" s="686">
        <v>137308009.59805125</v>
      </c>
      <c r="G475" s="686">
        <v>2287624.8600000003</v>
      </c>
      <c r="H475" s="686">
        <v>27229895.445999999</v>
      </c>
      <c r="I475" s="686">
        <v>26514223.704999994</v>
      </c>
      <c r="J475" s="686">
        <v>2692584.79</v>
      </c>
      <c r="K475" s="686">
        <v>2612058.6799999997</v>
      </c>
      <c r="L475" s="686">
        <v>22638270.558000002</v>
      </c>
      <c r="M475" s="686">
        <v>27642792.373173002</v>
      </c>
      <c r="N475" s="686">
        <v>2559678.7228144361</v>
      </c>
      <c r="O475" s="686">
        <v>23099712.446000002</v>
      </c>
      <c r="P475" s="686">
        <v>0</v>
      </c>
      <c r="Q475" s="686">
        <v>0</v>
      </c>
      <c r="R475" s="686">
        <v>0</v>
      </c>
      <c r="S475" s="686">
        <v>137276841.58098742</v>
      </c>
      <c r="T475" s="621">
        <v>0.69295262388509615</v>
      </c>
      <c r="U475" s="620">
        <v>60827382.069012582</v>
      </c>
      <c r="V475" s="620">
        <v>2092720.599999994</v>
      </c>
      <c r="W475" s="620">
        <v>59817176.755900949</v>
      </c>
      <c r="X475" s="620">
        <v>57724456.155900955</v>
      </c>
      <c r="Y475" s="620">
        <v>979037.29604780674</v>
      </c>
      <c r="Z475" s="620">
        <v>31168.017063826323</v>
      </c>
    </row>
    <row r="476" spans="1:27" x14ac:dyDescent="0.2">
      <c r="A476" s="622" t="s">
        <v>72</v>
      </c>
      <c r="B476" s="687">
        <v>170399205</v>
      </c>
      <c r="C476" s="687">
        <v>197905769.44</v>
      </c>
      <c r="D476" s="687">
        <v>195813048.84</v>
      </c>
      <c r="E476" s="687">
        <v>138174952.80409905</v>
      </c>
      <c r="F476" s="687">
        <v>137195915.50805125</v>
      </c>
      <c r="G476" s="687">
        <v>2287624.8600000003</v>
      </c>
      <c r="H476" s="687">
        <v>27229895.445999999</v>
      </c>
      <c r="I476" s="687">
        <v>26485439.744999994</v>
      </c>
      <c r="J476" s="687">
        <v>2692584.79</v>
      </c>
      <c r="K476" s="687">
        <v>2612058.6799999997</v>
      </c>
      <c r="L476" s="687">
        <v>22638270.558000002</v>
      </c>
      <c r="M476" s="687">
        <v>27559482.243173003</v>
      </c>
      <c r="N476" s="687">
        <v>2559678.7228144361</v>
      </c>
      <c r="O476" s="687">
        <v>23099712.446000002</v>
      </c>
      <c r="P476" s="687">
        <v>0</v>
      </c>
      <c r="Q476" s="687">
        <v>0</v>
      </c>
      <c r="R476" s="687">
        <v>0</v>
      </c>
      <c r="S476" s="687">
        <v>137164747.49098742</v>
      </c>
      <c r="T476" s="625">
        <v>0.69308109550880115</v>
      </c>
      <c r="U476" s="624">
        <v>60741021.949012578</v>
      </c>
      <c r="V476" s="624">
        <v>2092720.599999994</v>
      </c>
      <c r="W476" s="624">
        <v>59730816.635900944</v>
      </c>
      <c r="X476" s="624">
        <v>57638096.03590095</v>
      </c>
      <c r="Y476" s="624">
        <v>979037.29604780674</v>
      </c>
      <c r="Z476" s="624">
        <v>31168.017063826323</v>
      </c>
    </row>
    <row r="477" spans="1:27" x14ac:dyDescent="0.2">
      <c r="A477" s="622" t="s">
        <v>73</v>
      </c>
      <c r="B477" s="687">
        <v>170733012</v>
      </c>
      <c r="C477" s="687">
        <v>198104223.65000001</v>
      </c>
      <c r="D477" s="687">
        <v>196011503.05000001</v>
      </c>
      <c r="E477" s="687">
        <v>138287046.89409906</v>
      </c>
      <c r="F477" s="687">
        <v>137308009.59805125</v>
      </c>
      <c r="G477" s="687">
        <v>2287624.8600000003</v>
      </c>
      <c r="H477" s="687">
        <v>27229895.445999999</v>
      </c>
      <c r="I477" s="687">
        <v>26514223.704999994</v>
      </c>
      <c r="J477" s="687">
        <v>2692584.79</v>
      </c>
      <c r="K477" s="687">
        <v>2612058.6799999997</v>
      </c>
      <c r="L477" s="687">
        <v>22638270.558000002</v>
      </c>
      <c r="M477" s="687">
        <v>27642792.373173002</v>
      </c>
      <c r="N477" s="687">
        <v>2559678.7228144361</v>
      </c>
      <c r="O477" s="687">
        <v>23099712.446000002</v>
      </c>
      <c r="P477" s="687">
        <v>0</v>
      </c>
      <c r="Q477" s="687">
        <v>0</v>
      </c>
      <c r="R477" s="687">
        <v>0</v>
      </c>
      <c r="S477" s="687">
        <v>137276841.58098742</v>
      </c>
      <c r="T477" s="625">
        <v>0.69295262388509615</v>
      </c>
      <c r="U477" s="624">
        <v>60827382.069012582</v>
      </c>
      <c r="V477" s="624">
        <v>2092720.599999994</v>
      </c>
      <c r="W477" s="624">
        <v>59817176.755900949</v>
      </c>
      <c r="X477" s="624">
        <v>57724456.155900955</v>
      </c>
      <c r="Y477" s="624">
        <v>979037.29604780674</v>
      </c>
      <c r="Z477" s="624">
        <v>31168.017063826323</v>
      </c>
    </row>
    <row r="478" spans="1:27" x14ac:dyDescent="0.2">
      <c r="A478" s="622" t="s">
        <v>74</v>
      </c>
      <c r="B478" s="687">
        <v>170399205</v>
      </c>
      <c r="C478" s="687">
        <v>197905769.44</v>
      </c>
      <c r="D478" s="687">
        <v>195813048.84</v>
      </c>
      <c r="E478" s="687">
        <v>138174952.80409905</v>
      </c>
      <c r="F478" s="687">
        <v>137195915.50805125</v>
      </c>
      <c r="G478" s="687">
        <v>2287624.8600000003</v>
      </c>
      <c r="H478" s="687">
        <v>27229895.445999999</v>
      </c>
      <c r="I478" s="687">
        <v>26485439.744999994</v>
      </c>
      <c r="J478" s="687">
        <v>2692584.79</v>
      </c>
      <c r="K478" s="687">
        <v>2612058.6799999997</v>
      </c>
      <c r="L478" s="687">
        <v>22638270.558000002</v>
      </c>
      <c r="M478" s="687">
        <v>27559482.243173003</v>
      </c>
      <c r="N478" s="687">
        <v>2559678.7228144361</v>
      </c>
      <c r="O478" s="687">
        <v>23099712.446000002</v>
      </c>
      <c r="P478" s="687">
        <v>0</v>
      </c>
      <c r="Q478" s="687">
        <v>0</v>
      </c>
      <c r="R478" s="687">
        <v>0</v>
      </c>
      <c r="S478" s="687">
        <v>137164747.49098742</v>
      </c>
      <c r="T478" s="625">
        <v>0.69308109550880115</v>
      </c>
      <c r="U478" s="624">
        <v>60741021.949012578</v>
      </c>
      <c r="V478" s="624">
        <v>2092720.599999994</v>
      </c>
      <c r="W478" s="624">
        <v>59730816.635900944</v>
      </c>
      <c r="X478" s="624">
        <v>57638096.03590095</v>
      </c>
      <c r="Y478" s="624">
        <v>979037.29604780674</v>
      </c>
      <c r="Z478" s="624">
        <v>31168.017063826323</v>
      </c>
    </row>
    <row r="479" spans="1:27" x14ac:dyDescent="0.2">
      <c r="A479" s="688" t="s">
        <v>75</v>
      </c>
      <c r="B479" s="689">
        <v>0</v>
      </c>
      <c r="C479" s="689">
        <v>0</v>
      </c>
      <c r="D479" s="689"/>
      <c r="E479" s="689"/>
      <c r="F479" s="689"/>
      <c r="G479" s="689">
        <v>44515788.902000003</v>
      </c>
      <c r="H479" s="689">
        <v>-24875347.526000001</v>
      </c>
      <c r="I479" s="689">
        <v>29222254.781000014</v>
      </c>
      <c r="J479" s="689">
        <v>-356071.67100000056</v>
      </c>
      <c r="K479" s="689">
        <v>2853144.5510000009</v>
      </c>
      <c r="L479" s="689">
        <v>-17395929.975000001</v>
      </c>
      <c r="M479" s="689">
        <v>-11080567.385173002</v>
      </c>
      <c r="N479" s="689">
        <v>3209415.9931855639</v>
      </c>
      <c r="O479" s="689">
        <v>-16694166.856000002</v>
      </c>
      <c r="P479" s="689">
        <v>0</v>
      </c>
      <c r="Q479" s="689">
        <v>0</v>
      </c>
      <c r="R479" s="689">
        <v>0</v>
      </c>
      <c r="S479" s="689">
        <v>9398520.8140125871</v>
      </c>
      <c r="T479" s="690" t="e">
        <v>#DIV/0!</v>
      </c>
      <c r="U479" s="691">
        <v>-9398520.8140125871</v>
      </c>
      <c r="V479" s="691">
        <v>0</v>
      </c>
      <c r="W479" s="691">
        <v>0</v>
      </c>
      <c r="X479" s="691">
        <v>0</v>
      </c>
      <c r="Y479" s="691">
        <v>0</v>
      </c>
      <c r="Z479" s="691">
        <v>-9398520.8140125871</v>
      </c>
    </row>
    <row r="480" spans="1:27" x14ac:dyDescent="0.2">
      <c r="A480" s="692" t="s">
        <v>76</v>
      </c>
      <c r="B480" s="689">
        <v>0</v>
      </c>
      <c r="C480" s="689">
        <v>0</v>
      </c>
      <c r="D480" s="689"/>
      <c r="E480" s="689"/>
      <c r="F480" s="689"/>
      <c r="G480" s="689">
        <v>44515788.902000003</v>
      </c>
      <c r="H480" s="689">
        <v>-24875347.526000001</v>
      </c>
      <c r="I480" s="689">
        <v>29222254.777000014</v>
      </c>
      <c r="J480" s="689">
        <v>-356071.67100000056</v>
      </c>
      <c r="K480" s="689">
        <v>2853144.5510000009</v>
      </c>
      <c r="L480" s="689">
        <v>-17395929.975000001</v>
      </c>
      <c r="M480" s="689">
        <v>-11080567.385173004</v>
      </c>
      <c r="N480" s="689">
        <v>3209415.9931855639</v>
      </c>
      <c r="O480" s="689">
        <v>-16694166.856000002</v>
      </c>
      <c r="P480" s="689">
        <v>0</v>
      </c>
      <c r="Q480" s="689">
        <v>0</v>
      </c>
      <c r="R480" s="689">
        <v>0</v>
      </c>
      <c r="S480" s="689">
        <v>9398520.810012579</v>
      </c>
      <c r="T480" s="690" t="e">
        <v>#DIV/0!</v>
      </c>
      <c r="U480" s="691">
        <v>-9398520.810012579</v>
      </c>
      <c r="V480" s="691">
        <v>0</v>
      </c>
      <c r="W480" s="691">
        <v>0</v>
      </c>
      <c r="X480" s="691">
        <v>0</v>
      </c>
      <c r="Y480" s="691">
        <v>0</v>
      </c>
      <c r="Z480" s="691">
        <v>-9398520.810012579</v>
      </c>
    </row>
    <row r="481" spans="1:26" x14ac:dyDescent="0.2">
      <c r="A481" s="692" t="s">
        <v>77</v>
      </c>
      <c r="B481" s="689">
        <v>0</v>
      </c>
      <c r="C481" s="689">
        <v>-36798388.979999989</v>
      </c>
      <c r="D481" s="689"/>
      <c r="E481" s="689"/>
      <c r="F481" s="689"/>
      <c r="G481" s="689">
        <v>7717399.9420000007</v>
      </c>
      <c r="H481" s="689">
        <v>-24875347.526000001</v>
      </c>
      <c r="I481" s="689">
        <v>29222254.781000014</v>
      </c>
      <c r="J481" s="689">
        <v>-356071.67100000056</v>
      </c>
      <c r="K481" s="689">
        <v>2853144.5510000009</v>
      </c>
      <c r="L481" s="689">
        <v>-17395929.975000001</v>
      </c>
      <c r="M481" s="689">
        <v>-11080567.385173002</v>
      </c>
      <c r="N481" s="689">
        <v>3209415.9931855639</v>
      </c>
      <c r="O481" s="689">
        <v>-16694166.856000002</v>
      </c>
      <c r="P481" s="689">
        <v>0</v>
      </c>
      <c r="Q481" s="689">
        <v>0</v>
      </c>
      <c r="R481" s="689">
        <v>0</v>
      </c>
      <c r="S481" s="689">
        <v>-27399868.145987421</v>
      </c>
      <c r="T481" s="690">
        <v>0.74459423103764988</v>
      </c>
      <c r="U481" s="691">
        <v>-9398520.834012568</v>
      </c>
      <c r="V481" s="691">
        <v>-36798388.979999989</v>
      </c>
      <c r="W481" s="691">
        <v>-36798388.979999989</v>
      </c>
      <c r="X481" s="691">
        <v>0</v>
      </c>
      <c r="Y481" s="691">
        <v>0</v>
      </c>
      <c r="Z481" s="691">
        <v>27399868.145987421</v>
      </c>
    </row>
    <row r="482" spans="1:26" x14ac:dyDescent="0.2">
      <c r="A482" s="692" t="s">
        <v>78</v>
      </c>
      <c r="B482" s="689">
        <v>0</v>
      </c>
      <c r="C482" s="689">
        <v>-36798388.979999989</v>
      </c>
      <c r="D482" s="689"/>
      <c r="E482" s="689"/>
      <c r="F482" s="689"/>
      <c r="G482" s="689">
        <v>7717399.9420000007</v>
      </c>
      <c r="H482" s="689">
        <v>-24875347.526000001</v>
      </c>
      <c r="I482" s="689">
        <v>29222254.777000014</v>
      </c>
      <c r="J482" s="689">
        <v>-356071.67100000056</v>
      </c>
      <c r="K482" s="689">
        <v>2853144.5510000009</v>
      </c>
      <c r="L482" s="689">
        <v>-17395929.975000001</v>
      </c>
      <c r="M482" s="689">
        <v>-11080567.385173004</v>
      </c>
      <c r="N482" s="689">
        <v>3209415.9931855639</v>
      </c>
      <c r="O482" s="689">
        <v>-16694166.856000002</v>
      </c>
      <c r="P482" s="689">
        <v>0</v>
      </c>
      <c r="Q482" s="689">
        <v>0</v>
      </c>
      <c r="R482" s="689">
        <v>0</v>
      </c>
      <c r="S482" s="689">
        <v>-27399868.149987414</v>
      </c>
      <c r="T482" s="690">
        <v>0.74459423114635015</v>
      </c>
      <c r="U482" s="691">
        <v>-9398520.8300125748</v>
      </c>
      <c r="V482" s="691">
        <v>-36798388.979999989</v>
      </c>
      <c r="W482" s="691">
        <v>-36798388.979999989</v>
      </c>
      <c r="X482" s="691">
        <v>0</v>
      </c>
      <c r="Y482" s="691">
        <v>0</v>
      </c>
      <c r="Z482" s="691">
        <v>27399868.149987414</v>
      </c>
    </row>
    <row r="484" spans="1:26" x14ac:dyDescent="0.2">
      <c r="B484" s="684"/>
      <c r="C484" s="684"/>
      <c r="D484" s="684"/>
      <c r="E484" s="684"/>
      <c r="F484" s="684"/>
      <c r="G484" s="684"/>
      <c r="H484" s="684"/>
      <c r="I484" s="684"/>
      <c r="J484" s="684"/>
      <c r="K484" s="684"/>
      <c r="L484" s="684"/>
      <c r="M484" s="684"/>
      <c r="N484" s="684"/>
      <c r="O484" s="684"/>
      <c r="P484" s="684"/>
      <c r="Q484" s="684"/>
      <c r="R484" s="684"/>
      <c r="S484" s="684"/>
    </row>
  </sheetData>
  <sheetProtection formatCells="0" formatColumns="0" formatRows="0" autoFilter="0"/>
  <mergeCells count="43">
    <mergeCell ref="X175:X176"/>
    <mergeCell ref="Y175:Y176"/>
    <mergeCell ref="Z175:Z176"/>
    <mergeCell ref="P175:P176"/>
    <mergeCell ref="Q175:Q176"/>
    <mergeCell ref="R175:R176"/>
    <mergeCell ref="U175:U176"/>
    <mergeCell ref="V175:V176"/>
    <mergeCell ref="W175:W176"/>
    <mergeCell ref="J175:J176"/>
    <mergeCell ref="K175:K176"/>
    <mergeCell ref="L175:L176"/>
    <mergeCell ref="M175:M176"/>
    <mergeCell ref="N175:N176"/>
    <mergeCell ref="O175:O176"/>
    <mergeCell ref="A175:A177"/>
    <mergeCell ref="B175:B176"/>
    <mergeCell ref="C175:C176"/>
    <mergeCell ref="G175:G176"/>
    <mergeCell ref="H175:H176"/>
    <mergeCell ref="I175:I176"/>
    <mergeCell ref="P7:P8"/>
    <mergeCell ref="Q7:Q8"/>
    <mergeCell ref="R7:R8"/>
    <mergeCell ref="U7:U8"/>
    <mergeCell ref="V7:V8"/>
    <mergeCell ref="A174:Z174"/>
    <mergeCell ref="J7:J8"/>
    <mergeCell ref="K7:K8"/>
    <mergeCell ref="L7:L8"/>
    <mergeCell ref="M7:M8"/>
    <mergeCell ref="N7:N8"/>
    <mergeCell ref="O7:O8"/>
    <mergeCell ref="A2:Z2"/>
    <mergeCell ref="A3:Z3"/>
    <mergeCell ref="A4:Z4"/>
    <mergeCell ref="A6:Z6"/>
    <mergeCell ref="A7:A9"/>
    <mergeCell ref="B7:B8"/>
    <mergeCell ref="C7:C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B5B03-EFD9-4DAD-818F-4AEE062D94F2}">
  <dimension ref="A1:AA482"/>
  <sheetViews>
    <sheetView tabSelected="1" topLeftCell="J1" zoomScale="90" zoomScaleNormal="90" workbookViewId="0">
      <pane ySplit="9" topLeftCell="A457" activePane="bottomLeft" state="frozen"/>
      <selection activeCell="L1" sqref="L1"/>
      <selection pane="bottomLeft" activeCell="A75" sqref="A75:XFD75"/>
    </sheetView>
  </sheetViews>
  <sheetFormatPr defaultColWidth="8.7109375" defaultRowHeight="12" x14ac:dyDescent="0.2"/>
  <cols>
    <col min="1" max="1" width="51.85546875" style="447" customWidth="1"/>
    <col min="2" max="2" width="16.140625" style="447" customWidth="1"/>
    <col min="3" max="3" width="16" style="447" customWidth="1"/>
    <col min="4" max="4" width="18.7109375" style="447" customWidth="1"/>
    <col min="5" max="5" width="15.140625" style="447" customWidth="1"/>
    <col min="6" max="6" width="15.42578125" style="447" customWidth="1"/>
    <col min="7" max="7" width="12.140625" style="447" customWidth="1"/>
    <col min="8" max="8" width="13.140625" style="447" customWidth="1"/>
    <col min="9" max="10" width="12.85546875" style="447" customWidth="1"/>
    <col min="11" max="11" width="12.5703125" style="447" customWidth="1"/>
    <col min="12" max="12" width="12.85546875" style="447" customWidth="1"/>
    <col min="13" max="13" width="12.7109375" style="447" customWidth="1"/>
    <col min="14" max="14" width="11.7109375" style="447" customWidth="1"/>
    <col min="15" max="15" width="12.5703125" style="447" customWidth="1"/>
    <col min="16" max="16" width="12.28515625" style="447" customWidth="1"/>
    <col min="17" max="17" width="11.42578125" style="447" customWidth="1"/>
    <col min="18" max="18" width="12.140625" style="447" customWidth="1"/>
    <col min="19" max="19" width="13" style="447" customWidth="1"/>
    <col min="20" max="20" width="12.85546875" style="447" customWidth="1"/>
    <col min="21" max="21" width="16.5703125" style="447" customWidth="1"/>
    <col min="22" max="22" width="18.42578125" style="447" customWidth="1"/>
    <col min="23" max="23" width="15.85546875" style="447" customWidth="1"/>
    <col min="24" max="24" width="14.85546875" style="447" customWidth="1"/>
    <col min="25" max="25" width="13" style="447" customWidth="1"/>
    <col min="26" max="26" width="13.85546875" style="447" customWidth="1"/>
    <col min="27" max="16384" width="8.7109375" style="447"/>
  </cols>
  <sheetData>
    <row r="1" spans="1:26" s="433" customFormat="1" ht="15" x14ac:dyDescent="0.2">
      <c r="A1" s="14"/>
      <c r="B1" s="14"/>
      <c r="C1" s="15"/>
    </row>
    <row r="2" spans="1:26" s="433" customFormat="1" ht="15" x14ac:dyDescent="0.2">
      <c r="A2" s="546" t="s">
        <v>0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</row>
    <row r="3" spans="1:26" s="433" customFormat="1" ht="15" x14ac:dyDescent="0.2">
      <c r="A3" s="546" t="s">
        <v>1066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</row>
    <row r="4" spans="1:26" s="433" customFormat="1" ht="15" x14ac:dyDescent="0.2">
      <c r="A4" s="547">
        <v>2026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</row>
    <row r="5" spans="1:26" s="263" customFormat="1" x14ac:dyDescent="0.2">
      <c r="A5" s="4"/>
      <c r="B5" s="6"/>
      <c r="C5" s="6"/>
      <c r="U5" s="434"/>
      <c r="V5" s="7"/>
      <c r="W5" s="7"/>
      <c r="X5" s="7"/>
      <c r="Y5" s="7"/>
      <c r="Z5" s="7" t="s">
        <v>1</v>
      </c>
    </row>
    <row r="6" spans="1:26" s="263" customFormat="1" x14ac:dyDescent="0.2">
      <c r="A6" s="548" t="s">
        <v>25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</row>
    <row r="7" spans="1:26" s="263" customFormat="1" ht="24" x14ac:dyDescent="0.2">
      <c r="A7" s="549" t="s">
        <v>36</v>
      </c>
      <c r="B7" s="549" t="s">
        <v>2</v>
      </c>
      <c r="C7" s="549" t="s">
        <v>3</v>
      </c>
      <c r="D7" s="435" t="s">
        <v>4</v>
      </c>
      <c r="E7" s="436"/>
      <c r="F7" s="436"/>
      <c r="G7" s="550" t="s">
        <v>5</v>
      </c>
      <c r="H7" s="550" t="s">
        <v>6</v>
      </c>
      <c r="I7" s="550" t="s">
        <v>7</v>
      </c>
      <c r="J7" s="550" t="s">
        <v>8</v>
      </c>
      <c r="K7" s="550" t="s">
        <v>9</v>
      </c>
      <c r="L7" s="550" t="s">
        <v>10</v>
      </c>
      <c r="M7" s="550" t="s">
        <v>11</v>
      </c>
      <c r="N7" s="550" t="s">
        <v>12</v>
      </c>
      <c r="O7" s="550" t="s">
        <v>13</v>
      </c>
      <c r="P7" s="550" t="s">
        <v>14</v>
      </c>
      <c r="Q7" s="550" t="s">
        <v>15</v>
      </c>
      <c r="R7" s="550" t="s">
        <v>16</v>
      </c>
      <c r="S7" s="435" t="s">
        <v>17</v>
      </c>
      <c r="T7" s="435" t="s">
        <v>18</v>
      </c>
      <c r="U7" s="550" t="s">
        <v>19</v>
      </c>
      <c r="V7" s="550" t="s">
        <v>48</v>
      </c>
      <c r="W7" s="436"/>
      <c r="X7" s="436"/>
      <c r="Y7" s="436"/>
      <c r="Z7" s="436"/>
    </row>
    <row r="8" spans="1:26" s="263" customFormat="1" ht="24" x14ac:dyDescent="0.2">
      <c r="A8" s="549"/>
      <c r="B8" s="549"/>
      <c r="C8" s="549"/>
      <c r="D8" s="437" t="s">
        <v>1426</v>
      </c>
      <c r="E8" s="438"/>
      <c r="F8" s="438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437" t="s">
        <v>1426</v>
      </c>
      <c r="T8" s="437" t="s">
        <v>1426</v>
      </c>
      <c r="U8" s="550"/>
      <c r="V8" s="550"/>
      <c r="W8" s="438"/>
      <c r="X8" s="438"/>
      <c r="Y8" s="438"/>
      <c r="Z8" s="438"/>
    </row>
    <row r="9" spans="1:26" s="263" customFormat="1" x14ac:dyDescent="0.2">
      <c r="A9" s="549"/>
      <c r="B9" s="439" t="s">
        <v>20</v>
      </c>
      <c r="C9" s="439" t="s">
        <v>21</v>
      </c>
      <c r="D9" s="439" t="s">
        <v>22</v>
      </c>
      <c r="E9" s="440"/>
      <c r="F9" s="440"/>
      <c r="G9" s="439" t="s">
        <v>23</v>
      </c>
      <c r="H9" s="439" t="s">
        <v>23</v>
      </c>
      <c r="I9" s="439" t="s">
        <v>23</v>
      </c>
      <c r="J9" s="439" t="s">
        <v>23</v>
      </c>
      <c r="K9" s="439" t="s">
        <v>23</v>
      </c>
      <c r="L9" s="439" t="s">
        <v>23</v>
      </c>
      <c r="M9" s="439" t="s">
        <v>23</v>
      </c>
      <c r="N9" s="439" t="s">
        <v>23</v>
      </c>
      <c r="O9" s="439" t="s">
        <v>23</v>
      </c>
      <c r="P9" s="439" t="s">
        <v>23</v>
      </c>
      <c r="Q9" s="439" t="s">
        <v>23</v>
      </c>
      <c r="R9" s="439" t="s">
        <v>23</v>
      </c>
      <c r="S9" s="439" t="s">
        <v>49</v>
      </c>
      <c r="T9" s="439" t="s">
        <v>50</v>
      </c>
      <c r="U9" s="439" t="s">
        <v>51</v>
      </c>
      <c r="V9" s="439" t="s">
        <v>52</v>
      </c>
      <c r="W9" s="440"/>
      <c r="X9" s="440"/>
      <c r="Y9" s="440"/>
      <c r="Z9" s="440"/>
    </row>
    <row r="10" spans="1:26" x14ac:dyDescent="0.2">
      <c r="A10" s="441" t="s">
        <v>250</v>
      </c>
      <c r="B10" s="442">
        <v>0</v>
      </c>
      <c r="C10" s="442">
        <v>0</v>
      </c>
      <c r="D10" s="442">
        <v>0</v>
      </c>
      <c r="E10" s="443"/>
      <c r="F10" s="443"/>
      <c r="G10" s="442">
        <v>0</v>
      </c>
      <c r="H10" s="442">
        <v>0</v>
      </c>
      <c r="I10" s="442">
        <v>0</v>
      </c>
      <c r="J10" s="442">
        <v>0</v>
      </c>
      <c r="K10" s="442">
        <v>0</v>
      </c>
      <c r="L10" s="442">
        <v>0</v>
      </c>
      <c r="M10" s="442">
        <v>0</v>
      </c>
      <c r="N10" s="442">
        <v>0</v>
      </c>
      <c r="O10" s="442">
        <v>0</v>
      </c>
      <c r="P10" s="442">
        <v>0</v>
      </c>
      <c r="Q10" s="442">
        <v>0</v>
      </c>
      <c r="R10" s="442">
        <v>0</v>
      </c>
      <c r="S10" s="442">
        <v>0</v>
      </c>
      <c r="T10" s="444" t="e">
        <v>#DIV/0!</v>
      </c>
      <c r="U10" s="445">
        <v>0</v>
      </c>
      <c r="V10" s="445">
        <v>0</v>
      </c>
      <c r="W10" s="446"/>
      <c r="X10" s="446"/>
      <c r="Y10" s="446"/>
      <c r="Z10" s="446"/>
    </row>
    <row r="11" spans="1:26" x14ac:dyDescent="0.2">
      <c r="A11" s="404" t="s">
        <v>251</v>
      </c>
      <c r="B11" s="448">
        <v>0</v>
      </c>
      <c r="C11" s="448">
        <v>0</v>
      </c>
      <c r="D11" s="448">
        <v>0</v>
      </c>
      <c r="E11" s="443"/>
      <c r="F11" s="443"/>
      <c r="G11" s="448">
        <v>0</v>
      </c>
      <c r="H11" s="448">
        <v>0</v>
      </c>
      <c r="I11" s="448">
        <v>0</v>
      </c>
      <c r="J11" s="448">
        <v>0</v>
      </c>
      <c r="K11" s="448">
        <v>0</v>
      </c>
      <c r="L11" s="448">
        <v>0</v>
      </c>
      <c r="M11" s="448">
        <v>0</v>
      </c>
      <c r="N11" s="448">
        <v>0</v>
      </c>
      <c r="O11" s="448">
        <v>0</v>
      </c>
      <c r="P11" s="448">
        <v>0</v>
      </c>
      <c r="Q11" s="448">
        <v>0</v>
      </c>
      <c r="R11" s="448">
        <v>0</v>
      </c>
      <c r="S11" s="448">
        <v>0</v>
      </c>
      <c r="T11" s="407" t="e">
        <v>#DIV/0!</v>
      </c>
      <c r="U11" s="449">
        <v>0</v>
      </c>
      <c r="V11" s="449">
        <v>0</v>
      </c>
      <c r="W11" s="446"/>
      <c r="X11" s="446"/>
      <c r="Y11" s="446"/>
      <c r="Z11" s="446"/>
    </row>
    <row r="12" spans="1:26" x14ac:dyDescent="0.2">
      <c r="A12" s="409" t="s">
        <v>252</v>
      </c>
      <c r="B12" s="292">
        <v>0</v>
      </c>
      <c r="C12" s="292">
        <v>0</v>
      </c>
      <c r="D12" s="292">
        <v>0</v>
      </c>
      <c r="E12" s="446"/>
      <c r="F12" s="446"/>
      <c r="G12" s="292">
        <v>0</v>
      </c>
      <c r="H12" s="292">
        <v>0</v>
      </c>
      <c r="I12" s="292">
        <v>0</v>
      </c>
      <c r="J12" s="292">
        <v>0</v>
      </c>
      <c r="K12" s="292">
        <v>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  <c r="Q12" s="292">
        <v>0</v>
      </c>
      <c r="R12" s="292">
        <v>0</v>
      </c>
      <c r="S12" s="292">
        <v>0</v>
      </c>
      <c r="T12" s="410" t="e">
        <v>#DIV/0!</v>
      </c>
      <c r="U12" s="450">
        <v>0</v>
      </c>
      <c r="V12" s="450">
        <v>0</v>
      </c>
      <c r="W12" s="446"/>
      <c r="X12" s="446"/>
      <c r="Y12" s="446"/>
      <c r="Z12" s="446"/>
    </row>
    <row r="13" spans="1:26" x14ac:dyDescent="0.2">
      <c r="A13" s="409" t="s">
        <v>253</v>
      </c>
      <c r="B13" s="292">
        <v>0</v>
      </c>
      <c r="C13" s="292">
        <v>0</v>
      </c>
      <c r="D13" s="292">
        <v>0</v>
      </c>
      <c r="E13" s="446"/>
      <c r="F13" s="446"/>
      <c r="G13" s="292">
        <v>0</v>
      </c>
      <c r="H13" s="292">
        <v>0</v>
      </c>
      <c r="I13" s="292">
        <v>0</v>
      </c>
      <c r="J13" s="292">
        <v>0</v>
      </c>
      <c r="K13" s="292">
        <v>0</v>
      </c>
      <c r="L13" s="292">
        <v>0</v>
      </c>
      <c r="M13" s="292">
        <v>0</v>
      </c>
      <c r="N13" s="292">
        <v>0</v>
      </c>
      <c r="O13" s="292">
        <v>0</v>
      </c>
      <c r="P13" s="292">
        <v>0</v>
      </c>
      <c r="Q13" s="292">
        <v>0</v>
      </c>
      <c r="R13" s="292">
        <v>0</v>
      </c>
      <c r="S13" s="292">
        <v>0</v>
      </c>
      <c r="T13" s="410" t="e">
        <v>#DIV/0!</v>
      </c>
      <c r="U13" s="450">
        <v>0</v>
      </c>
      <c r="V13" s="450">
        <v>0</v>
      </c>
      <c r="W13" s="446"/>
      <c r="X13" s="446"/>
      <c r="Y13" s="446"/>
      <c r="Z13" s="446"/>
    </row>
    <row r="14" spans="1:26" x14ac:dyDescent="0.2">
      <c r="A14" s="409" t="s">
        <v>254</v>
      </c>
      <c r="B14" s="292">
        <v>0</v>
      </c>
      <c r="C14" s="292">
        <v>0</v>
      </c>
      <c r="D14" s="292">
        <v>0</v>
      </c>
      <c r="E14" s="446"/>
      <c r="F14" s="446"/>
      <c r="G14" s="292">
        <v>0</v>
      </c>
      <c r="H14" s="292">
        <v>0</v>
      </c>
      <c r="I14" s="292">
        <v>0</v>
      </c>
      <c r="J14" s="292">
        <v>0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  <c r="Q14" s="292">
        <v>0</v>
      </c>
      <c r="R14" s="292">
        <v>0</v>
      </c>
      <c r="S14" s="292">
        <v>0</v>
      </c>
      <c r="T14" s="410" t="e">
        <v>#DIV/0!</v>
      </c>
      <c r="U14" s="450">
        <v>0</v>
      </c>
      <c r="V14" s="450">
        <v>0</v>
      </c>
      <c r="W14" s="446"/>
      <c r="X14" s="446"/>
      <c r="Y14" s="446"/>
      <c r="Z14" s="446"/>
    </row>
    <row r="15" spans="1:26" x14ac:dyDescent="0.2">
      <c r="A15" s="409" t="s">
        <v>255</v>
      </c>
      <c r="B15" s="292">
        <v>0</v>
      </c>
      <c r="C15" s="292">
        <v>0</v>
      </c>
      <c r="D15" s="292">
        <v>0</v>
      </c>
      <c r="E15" s="446"/>
      <c r="F15" s="446"/>
      <c r="G15" s="292">
        <v>0</v>
      </c>
      <c r="H15" s="292">
        <v>0</v>
      </c>
      <c r="I15" s="292">
        <v>0</v>
      </c>
      <c r="J15" s="292">
        <v>0</v>
      </c>
      <c r="K15" s="292">
        <v>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410" t="e">
        <v>#DIV/0!</v>
      </c>
      <c r="U15" s="450">
        <v>0</v>
      </c>
      <c r="V15" s="450">
        <v>0</v>
      </c>
      <c r="W15" s="446"/>
      <c r="X15" s="446"/>
      <c r="Y15" s="446"/>
      <c r="Z15" s="446"/>
    </row>
    <row r="16" spans="1:26" x14ac:dyDescent="0.2">
      <c r="A16" s="409" t="s">
        <v>256</v>
      </c>
      <c r="B16" s="292">
        <v>0</v>
      </c>
      <c r="C16" s="292">
        <v>0</v>
      </c>
      <c r="D16" s="292">
        <v>0</v>
      </c>
      <c r="E16" s="446"/>
      <c r="F16" s="446"/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410" t="e">
        <v>#DIV/0!</v>
      </c>
      <c r="U16" s="450">
        <v>0</v>
      </c>
      <c r="V16" s="450">
        <v>0</v>
      </c>
      <c r="W16" s="446"/>
      <c r="X16" s="446"/>
      <c r="Y16" s="446"/>
      <c r="Z16" s="446"/>
    </row>
    <row r="17" spans="1:26" x14ac:dyDescent="0.2">
      <c r="A17" s="409" t="s">
        <v>257</v>
      </c>
      <c r="B17" s="292">
        <v>0</v>
      </c>
      <c r="C17" s="292">
        <v>0</v>
      </c>
      <c r="D17" s="292">
        <v>0</v>
      </c>
      <c r="E17" s="446"/>
      <c r="F17" s="446"/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410" t="e">
        <v>#DIV/0!</v>
      </c>
      <c r="U17" s="450">
        <v>0</v>
      </c>
      <c r="V17" s="450">
        <v>0</v>
      </c>
      <c r="W17" s="446"/>
      <c r="X17" s="446"/>
      <c r="Y17" s="446"/>
      <c r="Z17" s="446"/>
    </row>
    <row r="18" spans="1:26" x14ac:dyDescent="0.2">
      <c r="A18" s="409" t="s">
        <v>258</v>
      </c>
      <c r="B18" s="292">
        <v>0</v>
      </c>
      <c r="C18" s="292">
        <v>0</v>
      </c>
      <c r="D18" s="292">
        <v>0</v>
      </c>
      <c r="E18" s="446"/>
      <c r="F18" s="446"/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410" t="e">
        <v>#DIV/0!</v>
      </c>
      <c r="U18" s="450">
        <v>0</v>
      </c>
      <c r="V18" s="450">
        <v>0</v>
      </c>
      <c r="W18" s="446"/>
      <c r="X18" s="446"/>
      <c r="Y18" s="446"/>
      <c r="Z18" s="446"/>
    </row>
    <row r="19" spans="1:26" x14ac:dyDescent="0.2">
      <c r="A19" s="409" t="s">
        <v>259</v>
      </c>
      <c r="B19" s="292">
        <v>0</v>
      </c>
      <c r="C19" s="292">
        <v>0</v>
      </c>
      <c r="D19" s="292">
        <v>0</v>
      </c>
      <c r="E19" s="446"/>
      <c r="F19" s="446"/>
      <c r="G19" s="292">
        <v>0</v>
      </c>
      <c r="H19" s="292">
        <v>0</v>
      </c>
      <c r="I19" s="292">
        <v>0</v>
      </c>
      <c r="J19" s="292">
        <v>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0</v>
      </c>
      <c r="S19" s="292">
        <v>0</v>
      </c>
      <c r="T19" s="410" t="e">
        <v>#DIV/0!</v>
      </c>
      <c r="U19" s="450">
        <v>0</v>
      </c>
      <c r="V19" s="450">
        <v>0</v>
      </c>
      <c r="W19" s="446"/>
      <c r="X19" s="446"/>
      <c r="Y19" s="446"/>
      <c r="Z19" s="446"/>
    </row>
    <row r="20" spans="1:26" x14ac:dyDescent="0.2">
      <c r="A20" s="409" t="s">
        <v>260</v>
      </c>
      <c r="B20" s="292">
        <v>0</v>
      </c>
      <c r="C20" s="292">
        <v>0</v>
      </c>
      <c r="D20" s="292">
        <v>0</v>
      </c>
      <c r="E20" s="446"/>
      <c r="F20" s="446"/>
      <c r="G20" s="292">
        <v>0</v>
      </c>
      <c r="H20" s="292">
        <v>0</v>
      </c>
      <c r="I20" s="292">
        <v>0</v>
      </c>
      <c r="J20" s="292">
        <v>0</v>
      </c>
      <c r="K20" s="292">
        <v>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410" t="e">
        <v>#DIV/0!</v>
      </c>
      <c r="U20" s="450">
        <v>0</v>
      </c>
      <c r="V20" s="450">
        <v>0</v>
      </c>
      <c r="W20" s="446"/>
      <c r="X20" s="446"/>
      <c r="Y20" s="446"/>
      <c r="Z20" s="446"/>
    </row>
    <row r="21" spans="1:26" x14ac:dyDescent="0.2">
      <c r="A21" s="409" t="s">
        <v>261</v>
      </c>
      <c r="B21" s="292">
        <v>0</v>
      </c>
      <c r="C21" s="292">
        <v>0</v>
      </c>
      <c r="D21" s="292">
        <v>0</v>
      </c>
      <c r="E21" s="446"/>
      <c r="F21" s="446"/>
      <c r="G21" s="292">
        <v>0</v>
      </c>
      <c r="H21" s="292">
        <v>0</v>
      </c>
      <c r="I21" s="292">
        <v>0</v>
      </c>
      <c r="J21" s="292">
        <v>0</v>
      </c>
      <c r="K21" s="292">
        <v>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410" t="e">
        <v>#DIV/0!</v>
      </c>
      <c r="U21" s="450">
        <v>0</v>
      </c>
      <c r="V21" s="450">
        <v>0</v>
      </c>
      <c r="W21" s="446"/>
      <c r="X21" s="446"/>
      <c r="Y21" s="446"/>
      <c r="Z21" s="446"/>
    </row>
    <row r="22" spans="1:26" x14ac:dyDescent="0.2">
      <c r="A22" s="409" t="s">
        <v>262</v>
      </c>
      <c r="B22" s="292">
        <v>0</v>
      </c>
      <c r="C22" s="292">
        <v>0</v>
      </c>
      <c r="D22" s="292">
        <v>0</v>
      </c>
      <c r="E22" s="446"/>
      <c r="F22" s="446"/>
      <c r="G22" s="292">
        <v>0</v>
      </c>
      <c r="H22" s="292">
        <v>0</v>
      </c>
      <c r="I22" s="292">
        <v>0</v>
      </c>
      <c r="J22" s="292">
        <v>0</v>
      </c>
      <c r="K22" s="292">
        <v>0</v>
      </c>
      <c r="L22" s="292">
        <v>0</v>
      </c>
      <c r="M22" s="292">
        <v>0</v>
      </c>
      <c r="N22" s="292">
        <v>0</v>
      </c>
      <c r="O22" s="292">
        <v>0</v>
      </c>
      <c r="P22" s="292">
        <v>0</v>
      </c>
      <c r="Q22" s="292">
        <v>0</v>
      </c>
      <c r="R22" s="292">
        <v>0</v>
      </c>
      <c r="S22" s="292">
        <v>0</v>
      </c>
      <c r="T22" s="410" t="e">
        <v>#DIV/0!</v>
      </c>
      <c r="U22" s="450">
        <v>0</v>
      </c>
      <c r="V22" s="450">
        <v>0</v>
      </c>
      <c r="W22" s="446"/>
      <c r="X22" s="446"/>
      <c r="Y22" s="446"/>
      <c r="Z22" s="446"/>
    </row>
    <row r="23" spans="1:26" s="453" customFormat="1" x14ac:dyDescent="0.2">
      <c r="A23" s="404" t="s">
        <v>263</v>
      </c>
      <c r="B23" s="451">
        <v>0</v>
      </c>
      <c r="C23" s="451">
        <v>0</v>
      </c>
      <c r="D23" s="451">
        <v>0</v>
      </c>
      <c r="E23" s="452"/>
      <c r="F23" s="452"/>
      <c r="G23" s="451">
        <v>0</v>
      </c>
      <c r="H23" s="451">
        <v>0</v>
      </c>
      <c r="I23" s="451">
        <v>0</v>
      </c>
      <c r="J23" s="451">
        <v>0</v>
      </c>
      <c r="K23" s="451">
        <v>0</v>
      </c>
      <c r="L23" s="451">
        <v>0</v>
      </c>
      <c r="M23" s="451">
        <v>0</v>
      </c>
      <c r="N23" s="451">
        <v>0</v>
      </c>
      <c r="O23" s="451">
        <v>0</v>
      </c>
      <c r="P23" s="451">
        <v>0</v>
      </c>
      <c r="Q23" s="451">
        <v>0</v>
      </c>
      <c r="R23" s="451">
        <v>0</v>
      </c>
      <c r="S23" s="451">
        <v>0</v>
      </c>
      <c r="T23" s="407" t="e">
        <v>#DIV/0!</v>
      </c>
      <c r="U23" s="449">
        <v>0</v>
      </c>
      <c r="V23" s="449">
        <v>0</v>
      </c>
      <c r="W23" s="452"/>
      <c r="X23" s="452"/>
      <c r="Y23" s="452"/>
      <c r="Z23" s="452"/>
    </row>
    <row r="24" spans="1:26" x14ac:dyDescent="0.2">
      <c r="A24" s="404" t="s">
        <v>264</v>
      </c>
      <c r="B24" s="448">
        <v>0</v>
      </c>
      <c r="C24" s="448">
        <v>0</v>
      </c>
      <c r="D24" s="448">
        <v>0</v>
      </c>
      <c r="E24" s="443"/>
      <c r="F24" s="443"/>
      <c r="G24" s="448">
        <v>0</v>
      </c>
      <c r="H24" s="448">
        <v>0</v>
      </c>
      <c r="I24" s="448">
        <v>0</v>
      </c>
      <c r="J24" s="448">
        <v>0</v>
      </c>
      <c r="K24" s="448">
        <v>0</v>
      </c>
      <c r="L24" s="448">
        <v>0</v>
      </c>
      <c r="M24" s="448">
        <v>0</v>
      </c>
      <c r="N24" s="448">
        <v>0</v>
      </c>
      <c r="O24" s="448">
        <v>0</v>
      </c>
      <c r="P24" s="448">
        <v>0</v>
      </c>
      <c r="Q24" s="448">
        <v>0</v>
      </c>
      <c r="R24" s="448">
        <v>0</v>
      </c>
      <c r="S24" s="448">
        <v>0</v>
      </c>
      <c r="T24" s="407" t="e">
        <v>#DIV/0!</v>
      </c>
      <c r="U24" s="449">
        <v>0</v>
      </c>
      <c r="V24" s="449">
        <v>0</v>
      </c>
      <c r="W24" s="446"/>
      <c r="X24" s="446"/>
      <c r="Y24" s="446"/>
      <c r="Z24" s="446"/>
    </row>
    <row r="25" spans="1:26" ht="24" x14ac:dyDescent="0.2">
      <c r="A25" s="409" t="s">
        <v>265</v>
      </c>
      <c r="B25" s="292">
        <v>0</v>
      </c>
      <c r="C25" s="292">
        <v>0</v>
      </c>
      <c r="D25" s="292">
        <v>0</v>
      </c>
      <c r="E25" s="446"/>
      <c r="F25" s="446"/>
      <c r="G25" s="292">
        <v>0</v>
      </c>
      <c r="H25" s="292">
        <v>0</v>
      </c>
      <c r="I25" s="292">
        <v>0</v>
      </c>
      <c r="J25" s="292">
        <v>0</v>
      </c>
      <c r="K25" s="292">
        <v>0</v>
      </c>
      <c r="L25" s="292">
        <v>0</v>
      </c>
      <c r="M25" s="292">
        <v>0</v>
      </c>
      <c r="N25" s="292">
        <v>0</v>
      </c>
      <c r="O25" s="292">
        <v>0</v>
      </c>
      <c r="P25" s="292">
        <v>0</v>
      </c>
      <c r="Q25" s="292">
        <v>0</v>
      </c>
      <c r="R25" s="292">
        <v>0</v>
      </c>
      <c r="S25" s="292">
        <v>0</v>
      </c>
      <c r="T25" s="410" t="e">
        <v>#DIV/0!</v>
      </c>
      <c r="U25" s="450">
        <v>0</v>
      </c>
      <c r="V25" s="450">
        <v>0</v>
      </c>
      <c r="W25" s="446"/>
      <c r="X25" s="446"/>
      <c r="Y25" s="446"/>
      <c r="Z25" s="446"/>
    </row>
    <row r="26" spans="1:26" ht="24" x14ac:dyDescent="0.2">
      <c r="A26" s="409" t="s">
        <v>266</v>
      </c>
      <c r="B26" s="292">
        <v>0</v>
      </c>
      <c r="C26" s="292">
        <v>0</v>
      </c>
      <c r="D26" s="292">
        <v>0</v>
      </c>
      <c r="E26" s="446"/>
      <c r="F26" s="446"/>
      <c r="G26" s="292">
        <v>0</v>
      </c>
      <c r="H26" s="292">
        <v>0</v>
      </c>
      <c r="I26" s="292">
        <v>0</v>
      </c>
      <c r="J26" s="292">
        <v>0</v>
      </c>
      <c r="K26" s="292">
        <v>0</v>
      </c>
      <c r="L26" s="292">
        <v>0</v>
      </c>
      <c r="M26" s="292">
        <v>0</v>
      </c>
      <c r="N26" s="292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410" t="e">
        <v>#DIV/0!</v>
      </c>
      <c r="U26" s="450">
        <v>0</v>
      </c>
      <c r="V26" s="450">
        <v>0</v>
      </c>
      <c r="W26" s="446"/>
      <c r="X26" s="446"/>
      <c r="Y26" s="446"/>
      <c r="Z26" s="446"/>
    </row>
    <row r="27" spans="1:26" x14ac:dyDescent="0.2">
      <c r="A27" s="409" t="s">
        <v>267</v>
      </c>
      <c r="B27" s="292">
        <v>0</v>
      </c>
      <c r="C27" s="292">
        <v>0</v>
      </c>
      <c r="D27" s="292">
        <v>0</v>
      </c>
      <c r="E27" s="446"/>
      <c r="F27" s="446"/>
      <c r="G27" s="292">
        <v>0</v>
      </c>
      <c r="H27" s="292">
        <v>0</v>
      </c>
      <c r="I27" s="292">
        <v>0</v>
      </c>
      <c r="J27" s="292">
        <v>0</v>
      </c>
      <c r="K27" s="292">
        <v>0</v>
      </c>
      <c r="L27" s="292">
        <v>0</v>
      </c>
      <c r="M27" s="292">
        <v>0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410" t="e">
        <v>#DIV/0!</v>
      </c>
      <c r="U27" s="450">
        <v>0</v>
      </c>
      <c r="V27" s="450">
        <v>0</v>
      </c>
      <c r="W27" s="446"/>
      <c r="X27" s="446"/>
      <c r="Y27" s="446"/>
      <c r="Z27" s="446"/>
    </row>
    <row r="28" spans="1:26" x14ac:dyDescent="0.2">
      <c r="A28" s="409" t="s">
        <v>268</v>
      </c>
      <c r="B28" s="292">
        <v>0</v>
      </c>
      <c r="C28" s="292">
        <v>0</v>
      </c>
      <c r="D28" s="292">
        <v>0</v>
      </c>
      <c r="E28" s="446"/>
      <c r="F28" s="446"/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  <c r="M28" s="292">
        <v>0</v>
      </c>
      <c r="N28" s="292">
        <v>0</v>
      </c>
      <c r="O28" s="292">
        <v>0</v>
      </c>
      <c r="P28" s="292">
        <v>0</v>
      </c>
      <c r="Q28" s="292">
        <v>0</v>
      </c>
      <c r="R28" s="292">
        <v>0</v>
      </c>
      <c r="S28" s="292">
        <v>0</v>
      </c>
      <c r="T28" s="410" t="e">
        <v>#DIV/0!</v>
      </c>
      <c r="U28" s="450">
        <v>0</v>
      </c>
      <c r="V28" s="450">
        <v>0</v>
      </c>
      <c r="W28" s="446"/>
      <c r="X28" s="446"/>
      <c r="Y28" s="446"/>
      <c r="Z28" s="446"/>
    </row>
    <row r="29" spans="1:26" x14ac:dyDescent="0.2">
      <c r="A29" s="441" t="s">
        <v>269</v>
      </c>
      <c r="B29" s="442">
        <v>0</v>
      </c>
      <c r="C29" s="442">
        <v>0</v>
      </c>
      <c r="D29" s="442">
        <v>0</v>
      </c>
      <c r="E29" s="443"/>
      <c r="F29" s="443"/>
      <c r="G29" s="442">
        <v>0</v>
      </c>
      <c r="H29" s="442">
        <v>0</v>
      </c>
      <c r="I29" s="442">
        <v>0</v>
      </c>
      <c r="J29" s="442">
        <v>0</v>
      </c>
      <c r="K29" s="442">
        <v>0</v>
      </c>
      <c r="L29" s="442">
        <v>0</v>
      </c>
      <c r="M29" s="442">
        <v>0</v>
      </c>
      <c r="N29" s="442">
        <v>0</v>
      </c>
      <c r="O29" s="442">
        <v>0</v>
      </c>
      <c r="P29" s="442">
        <v>0</v>
      </c>
      <c r="Q29" s="442">
        <v>0</v>
      </c>
      <c r="R29" s="442">
        <v>0</v>
      </c>
      <c r="S29" s="442">
        <v>0</v>
      </c>
      <c r="T29" s="444" t="e">
        <v>#DIV/0!</v>
      </c>
      <c r="U29" s="445">
        <v>0</v>
      </c>
      <c r="V29" s="445">
        <v>0</v>
      </c>
      <c r="W29" s="446"/>
      <c r="X29" s="446"/>
      <c r="Y29" s="446"/>
      <c r="Z29" s="446"/>
    </row>
    <row r="30" spans="1:26" x14ac:dyDescent="0.2">
      <c r="A30" s="404" t="s">
        <v>270</v>
      </c>
      <c r="B30" s="448">
        <v>0</v>
      </c>
      <c r="C30" s="448">
        <v>0</v>
      </c>
      <c r="D30" s="448">
        <v>0</v>
      </c>
      <c r="E30" s="443"/>
      <c r="F30" s="443"/>
      <c r="G30" s="448">
        <v>0</v>
      </c>
      <c r="H30" s="448">
        <v>0</v>
      </c>
      <c r="I30" s="448">
        <v>0</v>
      </c>
      <c r="J30" s="448">
        <v>0</v>
      </c>
      <c r="K30" s="448">
        <v>0</v>
      </c>
      <c r="L30" s="448">
        <v>0</v>
      </c>
      <c r="M30" s="448">
        <v>0</v>
      </c>
      <c r="N30" s="448">
        <v>0</v>
      </c>
      <c r="O30" s="448">
        <v>0</v>
      </c>
      <c r="P30" s="448">
        <v>0</v>
      </c>
      <c r="Q30" s="448">
        <v>0</v>
      </c>
      <c r="R30" s="448">
        <v>0</v>
      </c>
      <c r="S30" s="448">
        <v>0</v>
      </c>
      <c r="T30" s="407" t="e">
        <v>#DIV/0!</v>
      </c>
      <c r="U30" s="449">
        <v>0</v>
      </c>
      <c r="V30" s="449">
        <v>0</v>
      </c>
      <c r="W30" s="446"/>
      <c r="X30" s="446"/>
      <c r="Y30" s="446"/>
      <c r="Z30" s="446"/>
    </row>
    <row r="31" spans="1:26" x14ac:dyDescent="0.2">
      <c r="A31" s="409" t="s">
        <v>271</v>
      </c>
      <c r="B31" s="292">
        <v>0</v>
      </c>
      <c r="C31" s="292">
        <v>0</v>
      </c>
      <c r="D31" s="292">
        <v>0</v>
      </c>
      <c r="E31" s="446"/>
      <c r="F31" s="446"/>
      <c r="G31" s="292">
        <v>0</v>
      </c>
      <c r="H31" s="292">
        <v>0</v>
      </c>
      <c r="I31" s="292">
        <v>0</v>
      </c>
      <c r="J31" s="292">
        <v>0</v>
      </c>
      <c r="K31" s="292">
        <v>0</v>
      </c>
      <c r="L31" s="292">
        <v>0</v>
      </c>
      <c r="M31" s="292">
        <v>0</v>
      </c>
      <c r="N31" s="292">
        <v>0</v>
      </c>
      <c r="O31" s="292">
        <v>0</v>
      </c>
      <c r="P31" s="292">
        <v>0</v>
      </c>
      <c r="Q31" s="292">
        <v>0</v>
      </c>
      <c r="R31" s="292">
        <v>0</v>
      </c>
      <c r="S31" s="292">
        <v>0</v>
      </c>
      <c r="T31" s="410" t="e">
        <v>#DIV/0!</v>
      </c>
      <c r="U31" s="450">
        <v>0</v>
      </c>
      <c r="V31" s="450">
        <v>0</v>
      </c>
      <c r="W31" s="446"/>
      <c r="X31" s="446"/>
      <c r="Y31" s="446"/>
      <c r="Z31" s="446"/>
    </row>
    <row r="32" spans="1:26" x14ac:dyDescent="0.2">
      <c r="A32" s="409" t="s">
        <v>272</v>
      </c>
      <c r="B32" s="292">
        <v>0</v>
      </c>
      <c r="C32" s="292">
        <v>0</v>
      </c>
      <c r="D32" s="292">
        <v>0</v>
      </c>
      <c r="E32" s="446"/>
      <c r="F32" s="446"/>
      <c r="G32" s="292">
        <v>0</v>
      </c>
      <c r="H32" s="292">
        <v>0</v>
      </c>
      <c r="I32" s="292">
        <v>0</v>
      </c>
      <c r="J32" s="292">
        <v>0</v>
      </c>
      <c r="K32" s="292">
        <v>0</v>
      </c>
      <c r="L32" s="292">
        <v>0</v>
      </c>
      <c r="M32" s="292">
        <v>0</v>
      </c>
      <c r="N32" s="292">
        <v>0</v>
      </c>
      <c r="O32" s="292">
        <v>0</v>
      </c>
      <c r="P32" s="292">
        <v>0</v>
      </c>
      <c r="Q32" s="292">
        <v>0</v>
      </c>
      <c r="R32" s="292">
        <v>0</v>
      </c>
      <c r="S32" s="292">
        <v>0</v>
      </c>
      <c r="T32" s="410" t="e">
        <v>#DIV/0!</v>
      </c>
      <c r="U32" s="450">
        <v>0</v>
      </c>
      <c r="V32" s="450">
        <v>0</v>
      </c>
      <c r="W32" s="446"/>
      <c r="X32" s="446"/>
      <c r="Y32" s="446"/>
      <c r="Z32" s="446"/>
    </row>
    <row r="33" spans="1:26" x14ac:dyDescent="0.2">
      <c r="A33" s="409" t="s">
        <v>273</v>
      </c>
      <c r="B33" s="292">
        <v>0</v>
      </c>
      <c r="C33" s="292">
        <v>0</v>
      </c>
      <c r="D33" s="292">
        <v>0</v>
      </c>
      <c r="E33" s="446"/>
      <c r="F33" s="446"/>
      <c r="G33" s="292">
        <v>0</v>
      </c>
      <c r="H33" s="292">
        <v>0</v>
      </c>
      <c r="I33" s="292">
        <v>0</v>
      </c>
      <c r="J33" s="292">
        <v>0</v>
      </c>
      <c r="K33" s="292">
        <v>0</v>
      </c>
      <c r="L33" s="292">
        <v>0</v>
      </c>
      <c r="M33" s="292">
        <v>0</v>
      </c>
      <c r="N33" s="292">
        <v>0</v>
      </c>
      <c r="O33" s="292">
        <v>0</v>
      </c>
      <c r="P33" s="292">
        <v>0</v>
      </c>
      <c r="Q33" s="292">
        <v>0</v>
      </c>
      <c r="R33" s="292">
        <v>0</v>
      </c>
      <c r="S33" s="292">
        <v>0</v>
      </c>
      <c r="T33" s="410" t="e">
        <v>#DIV/0!</v>
      </c>
      <c r="U33" s="450">
        <v>0</v>
      </c>
      <c r="V33" s="450">
        <v>0</v>
      </c>
      <c r="W33" s="446"/>
      <c r="X33" s="446"/>
      <c r="Y33" s="446"/>
      <c r="Z33" s="446"/>
    </row>
    <row r="34" spans="1:26" x14ac:dyDescent="0.2">
      <c r="A34" s="409" t="s">
        <v>274</v>
      </c>
      <c r="B34" s="292">
        <v>0</v>
      </c>
      <c r="C34" s="292">
        <v>0</v>
      </c>
      <c r="D34" s="292">
        <v>0</v>
      </c>
      <c r="E34" s="446"/>
      <c r="F34" s="446"/>
      <c r="G34" s="292">
        <v>0</v>
      </c>
      <c r="H34" s="292">
        <v>0</v>
      </c>
      <c r="I34" s="292">
        <v>0</v>
      </c>
      <c r="J34" s="292">
        <v>0</v>
      </c>
      <c r="K34" s="292">
        <v>0</v>
      </c>
      <c r="L34" s="292">
        <v>0</v>
      </c>
      <c r="M34" s="292">
        <v>0</v>
      </c>
      <c r="N34" s="292">
        <v>0</v>
      </c>
      <c r="O34" s="292">
        <v>0</v>
      </c>
      <c r="P34" s="292">
        <v>0</v>
      </c>
      <c r="Q34" s="292">
        <v>0</v>
      </c>
      <c r="R34" s="292">
        <v>0</v>
      </c>
      <c r="S34" s="292">
        <v>0</v>
      </c>
      <c r="T34" s="410" t="e">
        <v>#DIV/0!</v>
      </c>
      <c r="U34" s="450">
        <v>0</v>
      </c>
      <c r="V34" s="450">
        <v>0</v>
      </c>
      <c r="W34" s="446"/>
      <c r="X34" s="446"/>
      <c r="Y34" s="446"/>
      <c r="Z34" s="446"/>
    </row>
    <row r="35" spans="1:26" x14ac:dyDescent="0.2">
      <c r="A35" s="409" t="s">
        <v>275</v>
      </c>
      <c r="B35" s="292">
        <v>0</v>
      </c>
      <c r="C35" s="292">
        <v>0</v>
      </c>
      <c r="D35" s="292">
        <v>0</v>
      </c>
      <c r="E35" s="446"/>
      <c r="F35" s="446"/>
      <c r="G35" s="292">
        <v>0</v>
      </c>
      <c r="H35" s="292">
        <v>0</v>
      </c>
      <c r="I35" s="292">
        <v>0</v>
      </c>
      <c r="J35" s="292">
        <v>0</v>
      </c>
      <c r="K35" s="292">
        <v>0</v>
      </c>
      <c r="L35" s="292">
        <v>0</v>
      </c>
      <c r="M35" s="292">
        <v>0</v>
      </c>
      <c r="N35" s="292">
        <v>0</v>
      </c>
      <c r="O35" s="292">
        <v>0</v>
      </c>
      <c r="P35" s="292">
        <v>0</v>
      </c>
      <c r="Q35" s="292">
        <v>0</v>
      </c>
      <c r="R35" s="292">
        <v>0</v>
      </c>
      <c r="S35" s="292">
        <v>0</v>
      </c>
      <c r="T35" s="410" t="e">
        <v>#DIV/0!</v>
      </c>
      <c r="U35" s="450">
        <v>0</v>
      </c>
      <c r="V35" s="450">
        <v>0</v>
      </c>
      <c r="W35" s="446"/>
      <c r="X35" s="446"/>
      <c r="Y35" s="446"/>
      <c r="Z35" s="446"/>
    </row>
    <row r="36" spans="1:26" x14ac:dyDescent="0.2">
      <c r="A36" s="409" t="s">
        <v>276</v>
      </c>
      <c r="B36" s="292">
        <v>0</v>
      </c>
      <c r="C36" s="292">
        <v>0</v>
      </c>
      <c r="D36" s="292">
        <v>0</v>
      </c>
      <c r="E36" s="446"/>
      <c r="F36" s="446"/>
      <c r="G36" s="292">
        <v>0</v>
      </c>
      <c r="H36" s="292">
        <v>0</v>
      </c>
      <c r="I36" s="292">
        <v>0</v>
      </c>
      <c r="J36" s="292">
        <v>0</v>
      </c>
      <c r="K36" s="292">
        <v>0</v>
      </c>
      <c r="L36" s="292">
        <v>0</v>
      </c>
      <c r="M36" s="292">
        <v>0</v>
      </c>
      <c r="N36" s="292">
        <v>0</v>
      </c>
      <c r="O36" s="292">
        <v>0</v>
      </c>
      <c r="P36" s="292">
        <v>0</v>
      </c>
      <c r="Q36" s="292">
        <v>0</v>
      </c>
      <c r="R36" s="292">
        <v>0</v>
      </c>
      <c r="S36" s="292">
        <v>0</v>
      </c>
      <c r="T36" s="410" t="e">
        <v>#DIV/0!</v>
      </c>
      <c r="U36" s="450">
        <v>0</v>
      </c>
      <c r="V36" s="450">
        <v>0</v>
      </c>
      <c r="W36" s="446"/>
      <c r="X36" s="446"/>
      <c r="Y36" s="446"/>
      <c r="Z36" s="446"/>
    </row>
    <row r="37" spans="1:26" x14ac:dyDescent="0.2">
      <c r="A37" s="409" t="s">
        <v>277</v>
      </c>
      <c r="B37" s="292">
        <v>0</v>
      </c>
      <c r="C37" s="292">
        <v>0</v>
      </c>
      <c r="D37" s="292">
        <v>0</v>
      </c>
      <c r="E37" s="446"/>
      <c r="F37" s="446"/>
      <c r="G37" s="292">
        <v>0</v>
      </c>
      <c r="H37" s="292">
        <v>0</v>
      </c>
      <c r="I37" s="292">
        <v>0</v>
      </c>
      <c r="J37" s="292">
        <v>0</v>
      </c>
      <c r="K37" s="292">
        <v>0</v>
      </c>
      <c r="L37" s="292">
        <v>0</v>
      </c>
      <c r="M37" s="292">
        <v>0</v>
      </c>
      <c r="N37" s="292">
        <v>0</v>
      </c>
      <c r="O37" s="292">
        <v>0</v>
      </c>
      <c r="P37" s="292">
        <v>0</v>
      </c>
      <c r="Q37" s="292">
        <v>0</v>
      </c>
      <c r="R37" s="292">
        <v>0</v>
      </c>
      <c r="S37" s="292">
        <v>0</v>
      </c>
      <c r="T37" s="410" t="e">
        <v>#DIV/0!</v>
      </c>
      <c r="U37" s="450">
        <v>0</v>
      </c>
      <c r="V37" s="450">
        <v>0</v>
      </c>
      <c r="W37" s="446"/>
      <c r="X37" s="446"/>
      <c r="Y37" s="446"/>
      <c r="Z37" s="446"/>
    </row>
    <row r="38" spans="1:26" x14ac:dyDescent="0.2">
      <c r="A38" s="409" t="s">
        <v>278</v>
      </c>
      <c r="B38" s="292">
        <v>0</v>
      </c>
      <c r="C38" s="292">
        <v>0</v>
      </c>
      <c r="D38" s="292">
        <v>0</v>
      </c>
      <c r="E38" s="446"/>
      <c r="F38" s="446"/>
      <c r="G38" s="292">
        <v>0</v>
      </c>
      <c r="H38" s="292">
        <v>0</v>
      </c>
      <c r="I38" s="292">
        <v>0</v>
      </c>
      <c r="J38" s="292">
        <v>0</v>
      </c>
      <c r="K38" s="292">
        <v>0</v>
      </c>
      <c r="L38" s="292">
        <v>0</v>
      </c>
      <c r="M38" s="292">
        <v>0</v>
      </c>
      <c r="N38" s="292">
        <v>0</v>
      </c>
      <c r="O38" s="292">
        <v>0</v>
      </c>
      <c r="P38" s="292">
        <v>0</v>
      </c>
      <c r="Q38" s="292">
        <v>0</v>
      </c>
      <c r="R38" s="292">
        <v>0</v>
      </c>
      <c r="S38" s="292">
        <v>0</v>
      </c>
      <c r="T38" s="410" t="e">
        <v>#DIV/0!</v>
      </c>
      <c r="U38" s="450">
        <v>0</v>
      </c>
      <c r="V38" s="450">
        <v>0</v>
      </c>
      <c r="W38" s="446"/>
      <c r="X38" s="446"/>
      <c r="Y38" s="446"/>
      <c r="Z38" s="446"/>
    </row>
    <row r="39" spans="1:26" x14ac:dyDescent="0.2">
      <c r="A39" s="409" t="s">
        <v>279</v>
      </c>
      <c r="B39" s="292">
        <v>0</v>
      </c>
      <c r="C39" s="292">
        <v>0</v>
      </c>
      <c r="D39" s="292">
        <v>0</v>
      </c>
      <c r="E39" s="446"/>
      <c r="F39" s="446"/>
      <c r="G39" s="292">
        <v>0</v>
      </c>
      <c r="H39" s="292">
        <v>0</v>
      </c>
      <c r="I39" s="292">
        <v>0</v>
      </c>
      <c r="J39" s="292">
        <v>0</v>
      </c>
      <c r="K39" s="292">
        <v>0</v>
      </c>
      <c r="L39" s="292">
        <v>0</v>
      </c>
      <c r="M39" s="292">
        <v>0</v>
      </c>
      <c r="N39" s="292">
        <v>0</v>
      </c>
      <c r="O39" s="292">
        <v>0</v>
      </c>
      <c r="P39" s="292">
        <v>0</v>
      </c>
      <c r="Q39" s="292">
        <v>0</v>
      </c>
      <c r="R39" s="292">
        <v>0</v>
      </c>
      <c r="S39" s="292">
        <v>0</v>
      </c>
      <c r="T39" s="410" t="e">
        <v>#DIV/0!</v>
      </c>
      <c r="U39" s="450">
        <v>0</v>
      </c>
      <c r="V39" s="450">
        <v>0</v>
      </c>
      <c r="W39" s="446"/>
      <c r="X39" s="446"/>
      <c r="Y39" s="446"/>
      <c r="Z39" s="446"/>
    </row>
    <row r="40" spans="1:26" x14ac:dyDescent="0.2">
      <c r="A40" s="409" t="s">
        <v>280</v>
      </c>
      <c r="B40" s="292">
        <v>0</v>
      </c>
      <c r="C40" s="292">
        <v>0</v>
      </c>
      <c r="D40" s="292">
        <v>0</v>
      </c>
      <c r="E40" s="446"/>
      <c r="F40" s="446"/>
      <c r="G40" s="292">
        <v>0</v>
      </c>
      <c r="H40" s="292">
        <v>0</v>
      </c>
      <c r="I40" s="292">
        <v>0</v>
      </c>
      <c r="J40" s="292">
        <v>0</v>
      </c>
      <c r="K40" s="292">
        <v>0</v>
      </c>
      <c r="L40" s="292">
        <v>0</v>
      </c>
      <c r="M40" s="292">
        <v>0</v>
      </c>
      <c r="N40" s="292">
        <v>0</v>
      </c>
      <c r="O40" s="292">
        <v>0</v>
      </c>
      <c r="P40" s="292">
        <v>0</v>
      </c>
      <c r="Q40" s="292">
        <v>0</v>
      </c>
      <c r="R40" s="292">
        <v>0</v>
      </c>
      <c r="S40" s="292">
        <v>0</v>
      </c>
      <c r="T40" s="410" t="e">
        <v>#DIV/0!</v>
      </c>
      <c r="U40" s="450">
        <v>0</v>
      </c>
      <c r="V40" s="450">
        <v>0</v>
      </c>
      <c r="W40" s="446"/>
      <c r="X40" s="446"/>
      <c r="Y40" s="446"/>
      <c r="Z40" s="446"/>
    </row>
    <row r="41" spans="1:26" x14ac:dyDescent="0.2">
      <c r="A41" s="409" t="s">
        <v>281</v>
      </c>
      <c r="B41" s="292">
        <v>0</v>
      </c>
      <c r="C41" s="292">
        <v>0</v>
      </c>
      <c r="D41" s="292">
        <v>0</v>
      </c>
      <c r="E41" s="446"/>
      <c r="F41" s="446"/>
      <c r="G41" s="292">
        <v>0</v>
      </c>
      <c r="H41" s="292">
        <v>0</v>
      </c>
      <c r="I41" s="292">
        <v>0</v>
      </c>
      <c r="J41" s="292">
        <v>0</v>
      </c>
      <c r="K41" s="292">
        <v>0</v>
      </c>
      <c r="L41" s="292">
        <v>0</v>
      </c>
      <c r="M41" s="292">
        <v>0</v>
      </c>
      <c r="N41" s="292">
        <v>0</v>
      </c>
      <c r="O41" s="292">
        <v>0</v>
      </c>
      <c r="P41" s="292">
        <v>0</v>
      </c>
      <c r="Q41" s="292">
        <v>0</v>
      </c>
      <c r="R41" s="292">
        <v>0</v>
      </c>
      <c r="S41" s="292">
        <v>0</v>
      </c>
      <c r="T41" s="410" t="e">
        <v>#DIV/0!</v>
      </c>
      <c r="U41" s="450">
        <v>0</v>
      </c>
      <c r="V41" s="450">
        <v>0</v>
      </c>
      <c r="W41" s="446"/>
      <c r="X41" s="446"/>
      <c r="Y41" s="446"/>
      <c r="Z41" s="446"/>
    </row>
    <row r="42" spans="1:26" x14ac:dyDescent="0.2">
      <c r="A42" s="409" t="s">
        <v>282</v>
      </c>
      <c r="B42" s="292">
        <v>0</v>
      </c>
      <c r="C42" s="292">
        <v>0</v>
      </c>
      <c r="D42" s="292">
        <v>0</v>
      </c>
      <c r="E42" s="446"/>
      <c r="F42" s="446"/>
      <c r="G42" s="292">
        <v>0</v>
      </c>
      <c r="H42" s="292">
        <v>0</v>
      </c>
      <c r="I42" s="292">
        <v>0</v>
      </c>
      <c r="J42" s="292">
        <v>0</v>
      </c>
      <c r="K42" s="292">
        <v>0</v>
      </c>
      <c r="L42" s="292">
        <v>0</v>
      </c>
      <c r="M42" s="292">
        <v>0</v>
      </c>
      <c r="N42" s="292">
        <v>0</v>
      </c>
      <c r="O42" s="292">
        <v>0</v>
      </c>
      <c r="P42" s="292">
        <v>0</v>
      </c>
      <c r="Q42" s="292">
        <v>0</v>
      </c>
      <c r="R42" s="292">
        <v>0</v>
      </c>
      <c r="S42" s="292">
        <v>0</v>
      </c>
      <c r="T42" s="410" t="e">
        <v>#DIV/0!</v>
      </c>
      <c r="U42" s="450">
        <v>0</v>
      </c>
      <c r="V42" s="450">
        <v>0</v>
      </c>
      <c r="W42" s="446"/>
      <c r="X42" s="446"/>
      <c r="Y42" s="446"/>
      <c r="Z42" s="446"/>
    </row>
    <row r="43" spans="1:26" x14ac:dyDescent="0.2">
      <c r="A43" s="409" t="s">
        <v>283</v>
      </c>
      <c r="B43" s="292">
        <v>0</v>
      </c>
      <c r="C43" s="292">
        <v>0</v>
      </c>
      <c r="D43" s="292">
        <v>0</v>
      </c>
      <c r="E43" s="446"/>
      <c r="F43" s="446"/>
      <c r="G43" s="292">
        <v>0</v>
      </c>
      <c r="H43" s="292">
        <v>0</v>
      </c>
      <c r="I43" s="292">
        <v>0</v>
      </c>
      <c r="J43" s="292">
        <v>0</v>
      </c>
      <c r="K43" s="292">
        <v>0</v>
      </c>
      <c r="L43" s="292">
        <v>0</v>
      </c>
      <c r="M43" s="292">
        <v>0</v>
      </c>
      <c r="N43" s="292">
        <v>0</v>
      </c>
      <c r="O43" s="292">
        <v>0</v>
      </c>
      <c r="P43" s="292">
        <v>0</v>
      </c>
      <c r="Q43" s="292">
        <v>0</v>
      </c>
      <c r="R43" s="292">
        <v>0</v>
      </c>
      <c r="S43" s="292">
        <v>0</v>
      </c>
      <c r="T43" s="410" t="e">
        <v>#DIV/0!</v>
      </c>
      <c r="U43" s="450">
        <v>0</v>
      </c>
      <c r="V43" s="450">
        <v>0</v>
      </c>
      <c r="W43" s="446"/>
      <c r="X43" s="446"/>
      <c r="Y43" s="446"/>
      <c r="Z43" s="446"/>
    </row>
    <row r="44" spans="1:26" x14ac:dyDescent="0.2">
      <c r="A44" s="409" t="s">
        <v>284</v>
      </c>
      <c r="B44" s="292">
        <v>0</v>
      </c>
      <c r="C44" s="292">
        <v>0</v>
      </c>
      <c r="D44" s="292">
        <v>0</v>
      </c>
      <c r="E44" s="446"/>
      <c r="F44" s="446"/>
      <c r="G44" s="292">
        <v>0</v>
      </c>
      <c r="H44" s="292">
        <v>0</v>
      </c>
      <c r="I44" s="292">
        <v>0</v>
      </c>
      <c r="J44" s="292">
        <v>0</v>
      </c>
      <c r="K44" s="292">
        <v>0</v>
      </c>
      <c r="L44" s="292">
        <v>0</v>
      </c>
      <c r="M44" s="292">
        <v>0</v>
      </c>
      <c r="N44" s="292">
        <v>0</v>
      </c>
      <c r="O44" s="292">
        <v>0</v>
      </c>
      <c r="P44" s="292">
        <v>0</v>
      </c>
      <c r="Q44" s="292">
        <v>0</v>
      </c>
      <c r="R44" s="292">
        <v>0</v>
      </c>
      <c r="S44" s="292">
        <v>0</v>
      </c>
      <c r="T44" s="410" t="e">
        <v>#DIV/0!</v>
      </c>
      <c r="U44" s="450">
        <v>0</v>
      </c>
      <c r="V44" s="450">
        <v>0</v>
      </c>
      <c r="W44" s="446"/>
      <c r="X44" s="446"/>
      <c r="Y44" s="446"/>
      <c r="Z44" s="446"/>
    </row>
    <row r="45" spans="1:26" x14ac:dyDescent="0.2">
      <c r="A45" s="409" t="s">
        <v>285</v>
      </c>
      <c r="B45" s="292">
        <v>0</v>
      </c>
      <c r="C45" s="292">
        <v>0</v>
      </c>
      <c r="D45" s="292">
        <v>0</v>
      </c>
      <c r="E45" s="446"/>
      <c r="F45" s="446"/>
      <c r="G45" s="292">
        <v>0</v>
      </c>
      <c r="H45" s="292">
        <v>0</v>
      </c>
      <c r="I45" s="292">
        <v>0</v>
      </c>
      <c r="J45" s="292">
        <v>0</v>
      </c>
      <c r="K45" s="292">
        <v>0</v>
      </c>
      <c r="L45" s="292">
        <v>0</v>
      </c>
      <c r="M45" s="292">
        <v>0</v>
      </c>
      <c r="N45" s="292">
        <v>0</v>
      </c>
      <c r="O45" s="292">
        <v>0</v>
      </c>
      <c r="P45" s="292">
        <v>0</v>
      </c>
      <c r="Q45" s="292">
        <v>0</v>
      </c>
      <c r="R45" s="292">
        <v>0</v>
      </c>
      <c r="S45" s="292">
        <v>0</v>
      </c>
      <c r="T45" s="410" t="e">
        <v>#DIV/0!</v>
      </c>
      <c r="U45" s="450">
        <v>0</v>
      </c>
      <c r="V45" s="450">
        <v>0</v>
      </c>
      <c r="W45" s="446"/>
      <c r="X45" s="446"/>
      <c r="Y45" s="446"/>
      <c r="Z45" s="446"/>
    </row>
    <row r="46" spans="1:26" x14ac:dyDescent="0.2">
      <c r="A46" s="409" t="s">
        <v>286</v>
      </c>
      <c r="B46" s="292">
        <v>0</v>
      </c>
      <c r="C46" s="292">
        <v>0</v>
      </c>
      <c r="D46" s="292">
        <v>0</v>
      </c>
      <c r="E46" s="446"/>
      <c r="F46" s="446"/>
      <c r="G46" s="292">
        <v>0</v>
      </c>
      <c r="H46" s="292">
        <v>0</v>
      </c>
      <c r="I46" s="292">
        <v>0</v>
      </c>
      <c r="J46" s="292">
        <v>0</v>
      </c>
      <c r="K46" s="292">
        <v>0</v>
      </c>
      <c r="L46" s="292">
        <v>0</v>
      </c>
      <c r="M46" s="292">
        <v>0</v>
      </c>
      <c r="N46" s="292">
        <v>0</v>
      </c>
      <c r="O46" s="292">
        <v>0</v>
      </c>
      <c r="P46" s="292">
        <v>0</v>
      </c>
      <c r="Q46" s="292">
        <v>0</v>
      </c>
      <c r="R46" s="292">
        <v>0</v>
      </c>
      <c r="S46" s="292">
        <v>0</v>
      </c>
      <c r="T46" s="410" t="e">
        <v>#DIV/0!</v>
      </c>
      <c r="U46" s="450">
        <v>0</v>
      </c>
      <c r="V46" s="450">
        <v>0</v>
      </c>
      <c r="W46" s="446"/>
      <c r="X46" s="446"/>
      <c r="Y46" s="446"/>
      <c r="Z46" s="446"/>
    </row>
    <row r="47" spans="1:26" x14ac:dyDescent="0.2">
      <c r="A47" s="409" t="s">
        <v>287</v>
      </c>
      <c r="B47" s="292">
        <v>0</v>
      </c>
      <c r="C47" s="292">
        <v>0</v>
      </c>
      <c r="D47" s="292">
        <v>0</v>
      </c>
      <c r="E47" s="446"/>
      <c r="F47" s="446"/>
      <c r="G47" s="292">
        <v>0</v>
      </c>
      <c r="H47" s="292">
        <v>0</v>
      </c>
      <c r="I47" s="292">
        <v>0</v>
      </c>
      <c r="J47" s="292">
        <v>0</v>
      </c>
      <c r="K47" s="292">
        <v>0</v>
      </c>
      <c r="L47" s="292">
        <v>0</v>
      </c>
      <c r="M47" s="292">
        <v>0</v>
      </c>
      <c r="N47" s="292">
        <v>0</v>
      </c>
      <c r="O47" s="292">
        <v>0</v>
      </c>
      <c r="P47" s="292">
        <v>0</v>
      </c>
      <c r="Q47" s="292">
        <v>0</v>
      </c>
      <c r="R47" s="292">
        <v>0</v>
      </c>
      <c r="S47" s="292">
        <v>0</v>
      </c>
      <c r="T47" s="410" t="e">
        <v>#DIV/0!</v>
      </c>
      <c r="U47" s="450">
        <v>0</v>
      </c>
      <c r="V47" s="450">
        <v>0</v>
      </c>
      <c r="W47" s="446"/>
      <c r="X47" s="446"/>
      <c r="Y47" s="446"/>
      <c r="Z47" s="446"/>
    </row>
    <row r="48" spans="1:26" x14ac:dyDescent="0.2">
      <c r="A48" s="409" t="s">
        <v>288</v>
      </c>
      <c r="B48" s="292">
        <v>0</v>
      </c>
      <c r="C48" s="292">
        <v>0</v>
      </c>
      <c r="D48" s="292">
        <v>0</v>
      </c>
      <c r="E48" s="446"/>
      <c r="F48" s="446"/>
      <c r="G48" s="292">
        <v>0</v>
      </c>
      <c r="H48" s="292">
        <v>0</v>
      </c>
      <c r="I48" s="292">
        <v>0</v>
      </c>
      <c r="J48" s="292">
        <v>0</v>
      </c>
      <c r="K48" s="292">
        <v>0</v>
      </c>
      <c r="L48" s="292">
        <v>0</v>
      </c>
      <c r="M48" s="292">
        <v>0</v>
      </c>
      <c r="N48" s="292">
        <v>0</v>
      </c>
      <c r="O48" s="292">
        <v>0</v>
      </c>
      <c r="P48" s="292">
        <v>0</v>
      </c>
      <c r="Q48" s="292">
        <v>0</v>
      </c>
      <c r="R48" s="292">
        <v>0</v>
      </c>
      <c r="S48" s="292">
        <v>0</v>
      </c>
      <c r="T48" s="410" t="e">
        <v>#DIV/0!</v>
      </c>
      <c r="U48" s="450">
        <v>0</v>
      </c>
      <c r="V48" s="450">
        <v>0</v>
      </c>
      <c r="W48" s="446"/>
      <c r="X48" s="446"/>
      <c r="Y48" s="446"/>
      <c r="Z48" s="446"/>
    </row>
    <row r="49" spans="1:26" x14ac:dyDescent="0.2">
      <c r="A49" s="404" t="s">
        <v>289</v>
      </c>
      <c r="B49" s="448">
        <v>0</v>
      </c>
      <c r="C49" s="448">
        <v>0</v>
      </c>
      <c r="D49" s="448">
        <v>0</v>
      </c>
      <c r="E49" s="443"/>
      <c r="F49" s="443"/>
      <c r="G49" s="448">
        <v>0</v>
      </c>
      <c r="H49" s="448">
        <v>0</v>
      </c>
      <c r="I49" s="448">
        <v>0</v>
      </c>
      <c r="J49" s="448">
        <v>0</v>
      </c>
      <c r="K49" s="448">
        <v>0</v>
      </c>
      <c r="L49" s="448">
        <v>0</v>
      </c>
      <c r="M49" s="448">
        <v>0</v>
      </c>
      <c r="N49" s="448">
        <v>0</v>
      </c>
      <c r="O49" s="448">
        <v>0</v>
      </c>
      <c r="P49" s="448">
        <v>0</v>
      </c>
      <c r="Q49" s="448">
        <v>0</v>
      </c>
      <c r="R49" s="448">
        <v>0</v>
      </c>
      <c r="S49" s="448">
        <v>0</v>
      </c>
      <c r="T49" s="407" t="e">
        <v>#DIV/0!</v>
      </c>
      <c r="U49" s="449">
        <v>0</v>
      </c>
      <c r="V49" s="449">
        <v>0</v>
      </c>
      <c r="W49" s="446"/>
      <c r="X49" s="446"/>
      <c r="Y49" s="446"/>
      <c r="Z49" s="446"/>
    </row>
    <row r="50" spans="1:26" x14ac:dyDescent="0.2">
      <c r="A50" s="409" t="s">
        <v>290</v>
      </c>
      <c r="B50" s="292">
        <v>0</v>
      </c>
      <c r="C50" s="292">
        <v>0</v>
      </c>
      <c r="D50" s="292">
        <v>0</v>
      </c>
      <c r="E50" s="446"/>
      <c r="F50" s="446"/>
      <c r="G50" s="292">
        <v>0</v>
      </c>
      <c r="H50" s="292">
        <v>0</v>
      </c>
      <c r="I50" s="292">
        <v>0</v>
      </c>
      <c r="J50" s="292">
        <v>0</v>
      </c>
      <c r="K50" s="292">
        <v>0</v>
      </c>
      <c r="L50" s="292">
        <v>0</v>
      </c>
      <c r="M50" s="292">
        <v>0</v>
      </c>
      <c r="N50" s="292">
        <v>0</v>
      </c>
      <c r="O50" s="292">
        <v>0</v>
      </c>
      <c r="P50" s="292">
        <v>0</v>
      </c>
      <c r="Q50" s="292">
        <v>0</v>
      </c>
      <c r="R50" s="292">
        <v>0</v>
      </c>
      <c r="S50" s="292">
        <v>0</v>
      </c>
      <c r="T50" s="410" t="e">
        <v>#DIV/0!</v>
      </c>
      <c r="U50" s="450">
        <v>0</v>
      </c>
      <c r="V50" s="450">
        <v>0</v>
      </c>
      <c r="W50" s="446"/>
      <c r="X50" s="446"/>
      <c r="Y50" s="446"/>
      <c r="Z50" s="446"/>
    </row>
    <row r="51" spans="1:26" x14ac:dyDescent="0.2">
      <c r="A51" s="409" t="s">
        <v>291</v>
      </c>
      <c r="B51" s="292">
        <v>0</v>
      </c>
      <c r="C51" s="292">
        <v>0</v>
      </c>
      <c r="D51" s="292">
        <v>0</v>
      </c>
      <c r="E51" s="446"/>
      <c r="F51" s="446"/>
      <c r="G51" s="292">
        <v>0</v>
      </c>
      <c r="H51" s="292">
        <v>0</v>
      </c>
      <c r="I51" s="292">
        <v>0</v>
      </c>
      <c r="J51" s="292">
        <v>0</v>
      </c>
      <c r="K51" s="292">
        <v>0</v>
      </c>
      <c r="L51" s="292">
        <v>0</v>
      </c>
      <c r="M51" s="292">
        <v>0</v>
      </c>
      <c r="N51" s="292">
        <v>0</v>
      </c>
      <c r="O51" s="292">
        <v>0</v>
      </c>
      <c r="P51" s="292">
        <v>0</v>
      </c>
      <c r="Q51" s="292">
        <v>0</v>
      </c>
      <c r="R51" s="292">
        <v>0</v>
      </c>
      <c r="S51" s="292">
        <v>0</v>
      </c>
      <c r="T51" s="410" t="e">
        <v>#DIV/0!</v>
      </c>
      <c r="U51" s="450">
        <v>0</v>
      </c>
      <c r="V51" s="450">
        <v>0</v>
      </c>
      <c r="W51" s="446"/>
      <c r="X51" s="446"/>
      <c r="Y51" s="446"/>
      <c r="Z51" s="446"/>
    </row>
    <row r="52" spans="1:26" x14ac:dyDescent="0.2">
      <c r="A52" s="409" t="s">
        <v>292</v>
      </c>
      <c r="B52" s="292">
        <v>0</v>
      </c>
      <c r="C52" s="292">
        <v>0</v>
      </c>
      <c r="D52" s="292">
        <v>0</v>
      </c>
      <c r="E52" s="446"/>
      <c r="F52" s="446"/>
      <c r="G52" s="292">
        <v>0</v>
      </c>
      <c r="H52" s="292">
        <v>0</v>
      </c>
      <c r="I52" s="292">
        <v>0</v>
      </c>
      <c r="J52" s="292">
        <v>0</v>
      </c>
      <c r="K52" s="292">
        <v>0</v>
      </c>
      <c r="L52" s="292">
        <v>0</v>
      </c>
      <c r="M52" s="292">
        <v>0</v>
      </c>
      <c r="N52" s="292">
        <v>0</v>
      </c>
      <c r="O52" s="292">
        <v>0</v>
      </c>
      <c r="P52" s="292">
        <v>0</v>
      </c>
      <c r="Q52" s="292">
        <v>0</v>
      </c>
      <c r="R52" s="292">
        <v>0</v>
      </c>
      <c r="S52" s="292">
        <v>0</v>
      </c>
      <c r="T52" s="410" t="e">
        <v>#DIV/0!</v>
      </c>
      <c r="U52" s="450">
        <v>0</v>
      </c>
      <c r="V52" s="450">
        <v>0</v>
      </c>
      <c r="W52" s="446"/>
      <c r="X52" s="446"/>
      <c r="Y52" s="446"/>
      <c r="Z52" s="446"/>
    </row>
    <row r="53" spans="1:26" x14ac:dyDescent="0.2">
      <c r="A53" s="409" t="s">
        <v>293</v>
      </c>
      <c r="B53" s="292">
        <v>0</v>
      </c>
      <c r="C53" s="292">
        <v>0</v>
      </c>
      <c r="D53" s="292">
        <v>0</v>
      </c>
      <c r="E53" s="446"/>
      <c r="F53" s="446"/>
      <c r="G53" s="292">
        <v>0</v>
      </c>
      <c r="H53" s="292">
        <v>0</v>
      </c>
      <c r="I53" s="292">
        <v>0</v>
      </c>
      <c r="J53" s="292">
        <v>0</v>
      </c>
      <c r="K53" s="292">
        <v>0</v>
      </c>
      <c r="L53" s="292">
        <v>0</v>
      </c>
      <c r="M53" s="292">
        <v>0</v>
      </c>
      <c r="N53" s="292">
        <v>0</v>
      </c>
      <c r="O53" s="292">
        <v>0</v>
      </c>
      <c r="P53" s="292">
        <v>0</v>
      </c>
      <c r="Q53" s="292">
        <v>0</v>
      </c>
      <c r="R53" s="292">
        <v>0</v>
      </c>
      <c r="S53" s="292">
        <v>0</v>
      </c>
      <c r="T53" s="410" t="e">
        <v>#DIV/0!</v>
      </c>
      <c r="U53" s="450">
        <v>0</v>
      </c>
      <c r="V53" s="450">
        <v>0</v>
      </c>
      <c r="W53" s="446"/>
      <c r="X53" s="446"/>
      <c r="Y53" s="446"/>
      <c r="Z53" s="446"/>
    </row>
    <row r="54" spans="1:26" x14ac:dyDescent="0.2">
      <c r="A54" s="409" t="s">
        <v>294</v>
      </c>
      <c r="B54" s="292">
        <v>0</v>
      </c>
      <c r="C54" s="292">
        <v>0</v>
      </c>
      <c r="D54" s="292">
        <v>0</v>
      </c>
      <c r="E54" s="446"/>
      <c r="F54" s="446"/>
      <c r="G54" s="292">
        <v>0</v>
      </c>
      <c r="H54" s="292">
        <v>0</v>
      </c>
      <c r="I54" s="292">
        <v>0</v>
      </c>
      <c r="J54" s="292">
        <v>0</v>
      </c>
      <c r="K54" s="292">
        <v>0</v>
      </c>
      <c r="L54" s="292">
        <v>0</v>
      </c>
      <c r="M54" s="292">
        <v>0</v>
      </c>
      <c r="N54" s="292">
        <v>0</v>
      </c>
      <c r="O54" s="292">
        <v>0</v>
      </c>
      <c r="P54" s="292">
        <v>0</v>
      </c>
      <c r="Q54" s="292">
        <v>0</v>
      </c>
      <c r="R54" s="292">
        <v>0</v>
      </c>
      <c r="S54" s="292">
        <v>0</v>
      </c>
      <c r="T54" s="410" t="e">
        <v>#DIV/0!</v>
      </c>
      <c r="U54" s="450">
        <v>0</v>
      </c>
      <c r="V54" s="450">
        <v>0</v>
      </c>
      <c r="W54" s="446"/>
      <c r="X54" s="446"/>
      <c r="Y54" s="446"/>
      <c r="Z54" s="446"/>
    </row>
    <row r="55" spans="1:26" x14ac:dyDescent="0.2">
      <c r="A55" s="409" t="s">
        <v>295</v>
      </c>
      <c r="B55" s="292">
        <v>0</v>
      </c>
      <c r="C55" s="292">
        <v>0</v>
      </c>
      <c r="D55" s="292">
        <v>0</v>
      </c>
      <c r="E55" s="446"/>
      <c r="F55" s="446"/>
      <c r="G55" s="292">
        <v>0</v>
      </c>
      <c r="H55" s="292">
        <v>0</v>
      </c>
      <c r="I55" s="292">
        <v>0</v>
      </c>
      <c r="J55" s="292">
        <v>0</v>
      </c>
      <c r="K55" s="292">
        <v>0</v>
      </c>
      <c r="L55" s="292">
        <v>0</v>
      </c>
      <c r="M55" s="292">
        <v>0</v>
      </c>
      <c r="N55" s="292">
        <v>0</v>
      </c>
      <c r="O55" s="292">
        <v>0</v>
      </c>
      <c r="P55" s="292">
        <v>0</v>
      </c>
      <c r="Q55" s="292">
        <v>0</v>
      </c>
      <c r="R55" s="292">
        <v>0</v>
      </c>
      <c r="S55" s="292">
        <v>0</v>
      </c>
      <c r="T55" s="410" t="e">
        <v>#DIV/0!</v>
      </c>
      <c r="U55" s="450">
        <v>0</v>
      </c>
      <c r="V55" s="450">
        <v>0</v>
      </c>
      <c r="W55" s="446"/>
      <c r="X55" s="446"/>
      <c r="Y55" s="446"/>
      <c r="Z55" s="446"/>
    </row>
    <row r="56" spans="1:26" x14ac:dyDescent="0.2">
      <c r="A56" s="409" t="s">
        <v>296</v>
      </c>
      <c r="B56" s="292">
        <v>0</v>
      </c>
      <c r="C56" s="292">
        <v>0</v>
      </c>
      <c r="D56" s="292">
        <v>0</v>
      </c>
      <c r="E56" s="446"/>
      <c r="F56" s="446"/>
      <c r="G56" s="292">
        <v>0</v>
      </c>
      <c r="H56" s="292">
        <v>0</v>
      </c>
      <c r="I56" s="292">
        <v>0</v>
      </c>
      <c r="J56" s="292">
        <v>0</v>
      </c>
      <c r="K56" s="292">
        <v>0</v>
      </c>
      <c r="L56" s="292">
        <v>0</v>
      </c>
      <c r="M56" s="292">
        <v>0</v>
      </c>
      <c r="N56" s="292">
        <v>0</v>
      </c>
      <c r="O56" s="292">
        <v>0</v>
      </c>
      <c r="P56" s="292">
        <v>0</v>
      </c>
      <c r="Q56" s="292">
        <v>0</v>
      </c>
      <c r="R56" s="292">
        <v>0</v>
      </c>
      <c r="S56" s="292">
        <v>0</v>
      </c>
      <c r="T56" s="410" t="e">
        <v>#DIV/0!</v>
      </c>
      <c r="U56" s="450">
        <v>0</v>
      </c>
      <c r="V56" s="450">
        <v>0</v>
      </c>
      <c r="W56" s="446"/>
      <c r="X56" s="446"/>
      <c r="Y56" s="446"/>
      <c r="Z56" s="446"/>
    </row>
    <row r="57" spans="1:26" x14ac:dyDescent="0.2">
      <c r="A57" s="441" t="s">
        <v>297</v>
      </c>
      <c r="B57" s="442">
        <v>0</v>
      </c>
      <c r="C57" s="442">
        <v>0</v>
      </c>
      <c r="D57" s="442">
        <v>0</v>
      </c>
      <c r="E57" s="443"/>
      <c r="F57" s="443"/>
      <c r="G57" s="442">
        <v>0</v>
      </c>
      <c r="H57" s="442">
        <v>0</v>
      </c>
      <c r="I57" s="442">
        <v>0</v>
      </c>
      <c r="J57" s="442">
        <v>0</v>
      </c>
      <c r="K57" s="442">
        <v>0</v>
      </c>
      <c r="L57" s="442">
        <v>0</v>
      </c>
      <c r="M57" s="442">
        <v>0</v>
      </c>
      <c r="N57" s="442">
        <v>0</v>
      </c>
      <c r="O57" s="442">
        <v>0</v>
      </c>
      <c r="P57" s="442">
        <v>0</v>
      </c>
      <c r="Q57" s="442">
        <v>0</v>
      </c>
      <c r="R57" s="442">
        <v>0</v>
      </c>
      <c r="S57" s="442">
        <v>0</v>
      </c>
      <c r="T57" s="444" t="e">
        <v>#DIV/0!</v>
      </c>
      <c r="U57" s="445">
        <v>0</v>
      </c>
      <c r="V57" s="445">
        <v>0</v>
      </c>
      <c r="W57" s="446"/>
      <c r="X57" s="446"/>
      <c r="Y57" s="446"/>
      <c r="Z57" s="446"/>
    </row>
    <row r="58" spans="1:26" x14ac:dyDescent="0.2">
      <c r="A58" s="454" t="s">
        <v>298</v>
      </c>
      <c r="B58" s="448">
        <v>0</v>
      </c>
      <c r="C58" s="448">
        <v>0</v>
      </c>
      <c r="D58" s="448">
        <v>0</v>
      </c>
      <c r="E58" s="443"/>
      <c r="F58" s="443"/>
      <c r="G58" s="448">
        <v>0</v>
      </c>
      <c r="H58" s="448">
        <v>0</v>
      </c>
      <c r="I58" s="448">
        <v>0</v>
      </c>
      <c r="J58" s="448">
        <v>0</v>
      </c>
      <c r="K58" s="448">
        <v>0</v>
      </c>
      <c r="L58" s="448">
        <v>0</v>
      </c>
      <c r="M58" s="448">
        <v>0</v>
      </c>
      <c r="N58" s="448">
        <v>0</v>
      </c>
      <c r="O58" s="448">
        <v>0</v>
      </c>
      <c r="P58" s="448">
        <v>0</v>
      </c>
      <c r="Q58" s="448">
        <v>0</v>
      </c>
      <c r="R58" s="448">
        <v>0</v>
      </c>
      <c r="S58" s="448">
        <v>0</v>
      </c>
      <c r="T58" s="407" t="e">
        <v>#DIV/0!</v>
      </c>
      <c r="U58" s="449">
        <v>0</v>
      </c>
      <c r="V58" s="449">
        <v>0</v>
      </c>
      <c r="W58" s="446"/>
      <c r="X58" s="446"/>
      <c r="Y58" s="446"/>
      <c r="Z58" s="446"/>
    </row>
    <row r="59" spans="1:26" ht="24" x14ac:dyDescent="0.2">
      <c r="A59" s="409" t="s">
        <v>299</v>
      </c>
      <c r="B59" s="292">
        <v>0</v>
      </c>
      <c r="C59" s="292">
        <v>0</v>
      </c>
      <c r="D59" s="292">
        <v>0</v>
      </c>
      <c r="E59" s="446"/>
      <c r="F59" s="446"/>
      <c r="G59" s="292">
        <v>0</v>
      </c>
      <c r="H59" s="292">
        <v>0</v>
      </c>
      <c r="I59" s="292">
        <v>0</v>
      </c>
      <c r="J59" s="292">
        <v>0</v>
      </c>
      <c r="K59" s="292">
        <v>0</v>
      </c>
      <c r="L59" s="292">
        <v>0</v>
      </c>
      <c r="M59" s="292">
        <v>0</v>
      </c>
      <c r="N59" s="292">
        <v>0</v>
      </c>
      <c r="O59" s="292">
        <v>0</v>
      </c>
      <c r="P59" s="292">
        <v>0</v>
      </c>
      <c r="Q59" s="292">
        <v>0</v>
      </c>
      <c r="R59" s="292">
        <v>0</v>
      </c>
      <c r="S59" s="292">
        <v>0</v>
      </c>
      <c r="T59" s="410" t="e">
        <v>#DIV/0!</v>
      </c>
      <c r="U59" s="450">
        <v>0</v>
      </c>
      <c r="V59" s="450">
        <v>0</v>
      </c>
      <c r="W59" s="446"/>
      <c r="X59" s="446"/>
      <c r="Y59" s="446"/>
      <c r="Z59" s="446"/>
    </row>
    <row r="60" spans="1:26" x14ac:dyDescent="0.2">
      <c r="A60" s="409" t="s">
        <v>300</v>
      </c>
      <c r="B60" s="292">
        <v>0</v>
      </c>
      <c r="C60" s="292">
        <v>0</v>
      </c>
      <c r="D60" s="292">
        <v>0</v>
      </c>
      <c r="E60" s="446"/>
      <c r="F60" s="446"/>
      <c r="G60" s="292">
        <v>0</v>
      </c>
      <c r="H60" s="292">
        <v>0</v>
      </c>
      <c r="I60" s="292">
        <v>0</v>
      </c>
      <c r="J60" s="292">
        <v>0</v>
      </c>
      <c r="K60" s="292">
        <v>0</v>
      </c>
      <c r="L60" s="292">
        <v>0</v>
      </c>
      <c r="M60" s="292">
        <v>0</v>
      </c>
      <c r="N60" s="292">
        <v>0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410" t="e">
        <v>#DIV/0!</v>
      </c>
      <c r="U60" s="450">
        <v>0</v>
      </c>
      <c r="V60" s="450">
        <v>0</v>
      </c>
      <c r="W60" s="446"/>
      <c r="X60" s="446"/>
      <c r="Y60" s="446"/>
      <c r="Z60" s="446"/>
    </row>
    <row r="61" spans="1:26" ht="24" x14ac:dyDescent="0.2">
      <c r="A61" s="409" t="s">
        <v>301</v>
      </c>
      <c r="B61" s="292">
        <v>0</v>
      </c>
      <c r="C61" s="292">
        <v>0</v>
      </c>
      <c r="D61" s="292">
        <v>0</v>
      </c>
      <c r="E61" s="446"/>
      <c r="F61" s="446"/>
      <c r="G61" s="292">
        <v>0</v>
      </c>
      <c r="H61" s="292">
        <v>0</v>
      </c>
      <c r="I61" s="292">
        <v>0</v>
      </c>
      <c r="J61" s="292">
        <v>0</v>
      </c>
      <c r="K61" s="292">
        <v>0</v>
      </c>
      <c r="L61" s="292">
        <v>0</v>
      </c>
      <c r="M61" s="292">
        <v>0</v>
      </c>
      <c r="N61" s="292">
        <v>0</v>
      </c>
      <c r="O61" s="292">
        <v>0</v>
      </c>
      <c r="P61" s="292">
        <v>0</v>
      </c>
      <c r="Q61" s="292">
        <v>0</v>
      </c>
      <c r="R61" s="292">
        <v>0</v>
      </c>
      <c r="S61" s="292">
        <v>0</v>
      </c>
      <c r="T61" s="410" t="e">
        <v>#DIV/0!</v>
      </c>
      <c r="U61" s="450">
        <v>0</v>
      </c>
      <c r="V61" s="450">
        <v>0</v>
      </c>
      <c r="W61" s="446"/>
      <c r="X61" s="446"/>
      <c r="Y61" s="446"/>
      <c r="Z61" s="446"/>
    </row>
    <row r="62" spans="1:26" x14ac:dyDescent="0.2">
      <c r="A62" s="409" t="s">
        <v>302</v>
      </c>
      <c r="B62" s="292">
        <v>0</v>
      </c>
      <c r="C62" s="292">
        <v>0</v>
      </c>
      <c r="D62" s="292">
        <v>0</v>
      </c>
      <c r="E62" s="446"/>
      <c r="F62" s="446"/>
      <c r="G62" s="292">
        <v>0</v>
      </c>
      <c r="H62" s="292">
        <v>0</v>
      </c>
      <c r="I62" s="292">
        <v>0</v>
      </c>
      <c r="J62" s="292">
        <v>0</v>
      </c>
      <c r="K62" s="292">
        <v>0</v>
      </c>
      <c r="L62" s="292">
        <v>0</v>
      </c>
      <c r="M62" s="292">
        <v>0</v>
      </c>
      <c r="N62" s="292">
        <v>0</v>
      </c>
      <c r="O62" s="292">
        <v>0</v>
      </c>
      <c r="P62" s="292">
        <v>0</v>
      </c>
      <c r="Q62" s="292">
        <v>0</v>
      </c>
      <c r="R62" s="292">
        <v>0</v>
      </c>
      <c r="S62" s="292">
        <v>0</v>
      </c>
      <c r="T62" s="410" t="e">
        <v>#DIV/0!</v>
      </c>
      <c r="U62" s="450">
        <v>0</v>
      </c>
      <c r="V62" s="450">
        <v>0</v>
      </c>
      <c r="W62" s="446"/>
      <c r="X62" s="446"/>
      <c r="Y62" s="446"/>
      <c r="Z62" s="446"/>
    </row>
    <row r="63" spans="1:26" x14ac:dyDescent="0.2">
      <c r="A63" s="409" t="s">
        <v>303</v>
      </c>
      <c r="B63" s="292">
        <v>0</v>
      </c>
      <c r="C63" s="292">
        <v>0</v>
      </c>
      <c r="D63" s="292">
        <v>0</v>
      </c>
      <c r="E63" s="446"/>
      <c r="F63" s="446"/>
      <c r="G63" s="292">
        <v>0</v>
      </c>
      <c r="H63" s="292">
        <v>0</v>
      </c>
      <c r="I63" s="292">
        <v>0</v>
      </c>
      <c r="J63" s="292">
        <v>0</v>
      </c>
      <c r="K63" s="292">
        <v>0</v>
      </c>
      <c r="L63" s="292">
        <v>0</v>
      </c>
      <c r="M63" s="292">
        <v>0</v>
      </c>
      <c r="N63" s="292">
        <v>0</v>
      </c>
      <c r="O63" s="292">
        <v>0</v>
      </c>
      <c r="P63" s="292">
        <v>0</v>
      </c>
      <c r="Q63" s="292">
        <v>0</v>
      </c>
      <c r="R63" s="292">
        <v>0</v>
      </c>
      <c r="S63" s="292">
        <v>0</v>
      </c>
      <c r="T63" s="410" t="e">
        <v>#DIV/0!</v>
      </c>
      <c r="U63" s="450">
        <v>0</v>
      </c>
      <c r="V63" s="450">
        <v>0</v>
      </c>
      <c r="W63" s="446"/>
      <c r="X63" s="446"/>
      <c r="Y63" s="446"/>
      <c r="Z63" s="446"/>
    </row>
    <row r="64" spans="1:26" x14ac:dyDescent="0.2">
      <c r="A64" s="454" t="s">
        <v>304</v>
      </c>
      <c r="B64" s="451">
        <v>0</v>
      </c>
      <c r="C64" s="451">
        <v>0</v>
      </c>
      <c r="D64" s="451">
        <v>0</v>
      </c>
      <c r="E64" s="452"/>
      <c r="F64" s="452"/>
      <c r="G64" s="451">
        <v>0</v>
      </c>
      <c r="H64" s="451">
        <v>0</v>
      </c>
      <c r="I64" s="451">
        <v>0</v>
      </c>
      <c r="J64" s="451">
        <v>0</v>
      </c>
      <c r="K64" s="451">
        <v>0</v>
      </c>
      <c r="L64" s="451">
        <v>0</v>
      </c>
      <c r="M64" s="451">
        <v>0</v>
      </c>
      <c r="N64" s="451">
        <v>0</v>
      </c>
      <c r="O64" s="451">
        <v>0</v>
      </c>
      <c r="P64" s="451">
        <v>0</v>
      </c>
      <c r="Q64" s="451">
        <v>0</v>
      </c>
      <c r="R64" s="451">
        <v>0</v>
      </c>
      <c r="S64" s="451">
        <v>0</v>
      </c>
      <c r="T64" s="407" t="e">
        <v>#DIV/0!</v>
      </c>
      <c r="U64" s="449">
        <v>0</v>
      </c>
      <c r="V64" s="449">
        <v>0</v>
      </c>
      <c r="W64" s="452"/>
      <c r="X64" s="452"/>
      <c r="Y64" s="446"/>
      <c r="Z64" s="446"/>
    </row>
    <row r="65" spans="1:26" x14ac:dyDescent="0.2">
      <c r="A65" s="454" t="s">
        <v>305</v>
      </c>
      <c r="B65" s="451">
        <v>0</v>
      </c>
      <c r="C65" s="451">
        <v>0</v>
      </c>
      <c r="D65" s="451">
        <v>0</v>
      </c>
      <c r="E65" s="452"/>
      <c r="F65" s="452"/>
      <c r="G65" s="451">
        <v>0</v>
      </c>
      <c r="H65" s="451">
        <v>0</v>
      </c>
      <c r="I65" s="451">
        <v>0</v>
      </c>
      <c r="J65" s="451">
        <v>0</v>
      </c>
      <c r="K65" s="451">
        <v>0</v>
      </c>
      <c r="L65" s="451">
        <v>0</v>
      </c>
      <c r="M65" s="451">
        <v>0</v>
      </c>
      <c r="N65" s="451">
        <v>0</v>
      </c>
      <c r="O65" s="451">
        <v>0</v>
      </c>
      <c r="P65" s="451">
        <v>0</v>
      </c>
      <c r="Q65" s="451">
        <v>0</v>
      </c>
      <c r="R65" s="451">
        <v>0</v>
      </c>
      <c r="S65" s="451">
        <v>0</v>
      </c>
      <c r="T65" s="407" t="e">
        <v>#DIV/0!</v>
      </c>
      <c r="U65" s="449">
        <v>0</v>
      </c>
      <c r="V65" s="449">
        <v>0</v>
      </c>
      <c r="W65" s="452"/>
      <c r="X65" s="452"/>
      <c r="Y65" s="446"/>
      <c r="Z65" s="446"/>
    </row>
    <row r="66" spans="1:26" x14ac:dyDescent="0.2">
      <c r="A66" s="454" t="s">
        <v>306</v>
      </c>
      <c r="B66" s="448">
        <v>0</v>
      </c>
      <c r="C66" s="448">
        <v>0</v>
      </c>
      <c r="D66" s="448">
        <v>0</v>
      </c>
      <c r="E66" s="443"/>
      <c r="F66" s="443"/>
      <c r="G66" s="448">
        <v>0</v>
      </c>
      <c r="H66" s="448">
        <v>0</v>
      </c>
      <c r="I66" s="448">
        <v>0</v>
      </c>
      <c r="J66" s="448">
        <v>0</v>
      </c>
      <c r="K66" s="448">
        <v>0</v>
      </c>
      <c r="L66" s="448">
        <v>0</v>
      </c>
      <c r="M66" s="448">
        <v>0</v>
      </c>
      <c r="N66" s="448">
        <v>0</v>
      </c>
      <c r="O66" s="448">
        <v>0</v>
      </c>
      <c r="P66" s="448">
        <v>0</v>
      </c>
      <c r="Q66" s="448">
        <v>0</v>
      </c>
      <c r="R66" s="448">
        <v>0</v>
      </c>
      <c r="S66" s="448">
        <v>0</v>
      </c>
      <c r="T66" s="407" t="e">
        <v>#DIV/0!</v>
      </c>
      <c r="U66" s="449">
        <v>0</v>
      </c>
      <c r="V66" s="449">
        <v>0</v>
      </c>
      <c r="W66" s="452"/>
      <c r="X66" s="452"/>
      <c r="Y66" s="446"/>
      <c r="Z66" s="446"/>
    </row>
    <row r="67" spans="1:26" x14ac:dyDescent="0.2">
      <c r="A67" s="409" t="s">
        <v>307</v>
      </c>
      <c r="B67" s="292">
        <v>0</v>
      </c>
      <c r="C67" s="292">
        <v>0</v>
      </c>
      <c r="D67" s="292">
        <v>0</v>
      </c>
      <c r="E67" s="446"/>
      <c r="F67" s="446"/>
      <c r="G67" s="292">
        <v>0</v>
      </c>
      <c r="H67" s="292">
        <v>0</v>
      </c>
      <c r="I67" s="292">
        <v>0</v>
      </c>
      <c r="J67" s="292">
        <v>0</v>
      </c>
      <c r="K67" s="292">
        <v>0</v>
      </c>
      <c r="L67" s="292">
        <v>0</v>
      </c>
      <c r="M67" s="292">
        <v>0</v>
      </c>
      <c r="N67" s="292">
        <v>0</v>
      </c>
      <c r="O67" s="292">
        <v>0</v>
      </c>
      <c r="P67" s="292">
        <v>0</v>
      </c>
      <c r="Q67" s="292">
        <v>0</v>
      </c>
      <c r="R67" s="292">
        <v>0</v>
      </c>
      <c r="S67" s="292">
        <v>0</v>
      </c>
      <c r="T67" s="410" t="e">
        <v>#DIV/0!</v>
      </c>
      <c r="U67" s="450">
        <v>0</v>
      </c>
      <c r="V67" s="450">
        <v>0</v>
      </c>
      <c r="W67" s="446"/>
      <c r="X67" s="446"/>
      <c r="Y67" s="446"/>
      <c r="Z67" s="446"/>
    </row>
    <row r="68" spans="1:26" ht="24" x14ac:dyDescent="0.2">
      <c r="A68" s="409" t="s">
        <v>308</v>
      </c>
      <c r="B68" s="292">
        <v>0</v>
      </c>
      <c r="C68" s="292">
        <v>0</v>
      </c>
      <c r="D68" s="292">
        <v>0</v>
      </c>
      <c r="E68" s="446"/>
      <c r="F68" s="446"/>
      <c r="G68" s="292">
        <v>0</v>
      </c>
      <c r="H68" s="292">
        <v>0</v>
      </c>
      <c r="I68" s="292">
        <v>0</v>
      </c>
      <c r="J68" s="292">
        <v>0</v>
      </c>
      <c r="K68" s="292">
        <v>0</v>
      </c>
      <c r="L68" s="292">
        <v>0</v>
      </c>
      <c r="M68" s="292">
        <v>0</v>
      </c>
      <c r="N68" s="292">
        <v>0</v>
      </c>
      <c r="O68" s="292">
        <v>0</v>
      </c>
      <c r="P68" s="292">
        <v>0</v>
      </c>
      <c r="Q68" s="292">
        <v>0</v>
      </c>
      <c r="R68" s="292">
        <v>0</v>
      </c>
      <c r="S68" s="292">
        <v>0</v>
      </c>
      <c r="T68" s="410" t="e">
        <v>#DIV/0!</v>
      </c>
      <c r="U68" s="450">
        <v>0</v>
      </c>
      <c r="V68" s="450">
        <v>0</v>
      </c>
      <c r="W68" s="446"/>
      <c r="X68" s="446"/>
      <c r="Y68" s="446"/>
      <c r="Z68" s="446"/>
    </row>
    <row r="69" spans="1:26" x14ac:dyDescent="0.2">
      <c r="A69" s="409" t="s">
        <v>309</v>
      </c>
      <c r="B69" s="292">
        <v>0</v>
      </c>
      <c r="C69" s="292">
        <v>0</v>
      </c>
      <c r="D69" s="292">
        <v>0</v>
      </c>
      <c r="E69" s="446"/>
      <c r="F69" s="446"/>
      <c r="G69" s="292">
        <v>0</v>
      </c>
      <c r="H69" s="292">
        <v>0</v>
      </c>
      <c r="I69" s="292">
        <v>0</v>
      </c>
      <c r="J69" s="292">
        <v>0</v>
      </c>
      <c r="K69" s="292">
        <v>0</v>
      </c>
      <c r="L69" s="292">
        <v>0</v>
      </c>
      <c r="M69" s="292">
        <v>0</v>
      </c>
      <c r="N69" s="292">
        <v>0</v>
      </c>
      <c r="O69" s="292">
        <v>0</v>
      </c>
      <c r="P69" s="292">
        <v>0</v>
      </c>
      <c r="Q69" s="292">
        <v>0</v>
      </c>
      <c r="R69" s="292">
        <v>0</v>
      </c>
      <c r="S69" s="292">
        <v>0</v>
      </c>
      <c r="T69" s="410" t="e">
        <v>#DIV/0!</v>
      </c>
      <c r="U69" s="450">
        <v>0</v>
      </c>
      <c r="V69" s="450">
        <v>0</v>
      </c>
      <c r="W69" s="446"/>
      <c r="X69" s="446"/>
      <c r="Y69" s="446"/>
      <c r="Z69" s="446"/>
    </row>
    <row r="70" spans="1:26" x14ac:dyDescent="0.2">
      <c r="A70" s="454" t="s">
        <v>310</v>
      </c>
      <c r="B70" s="451">
        <v>0</v>
      </c>
      <c r="C70" s="451">
        <v>0</v>
      </c>
      <c r="D70" s="451">
        <v>0</v>
      </c>
      <c r="E70" s="452"/>
      <c r="F70" s="452"/>
      <c r="G70" s="451">
        <v>0</v>
      </c>
      <c r="H70" s="451">
        <v>0</v>
      </c>
      <c r="I70" s="451">
        <v>0</v>
      </c>
      <c r="J70" s="451">
        <v>0</v>
      </c>
      <c r="K70" s="451">
        <v>0</v>
      </c>
      <c r="L70" s="451">
        <v>0</v>
      </c>
      <c r="M70" s="451">
        <v>0</v>
      </c>
      <c r="N70" s="451">
        <v>0</v>
      </c>
      <c r="O70" s="451">
        <v>0</v>
      </c>
      <c r="P70" s="451">
        <v>0</v>
      </c>
      <c r="Q70" s="451">
        <v>0</v>
      </c>
      <c r="R70" s="451">
        <v>0</v>
      </c>
      <c r="S70" s="451">
        <v>0</v>
      </c>
      <c r="T70" s="407" t="e">
        <v>#DIV/0!</v>
      </c>
      <c r="U70" s="449">
        <v>0</v>
      </c>
      <c r="V70" s="449">
        <v>0</v>
      </c>
      <c r="W70" s="452"/>
      <c r="X70" s="452"/>
      <c r="Y70" s="446"/>
      <c r="Z70" s="446"/>
    </row>
    <row r="71" spans="1:26" x14ac:dyDescent="0.2">
      <c r="A71" s="441" t="s">
        <v>311</v>
      </c>
      <c r="B71" s="442">
        <v>104250000</v>
      </c>
      <c r="C71" s="442">
        <v>98418327.620000005</v>
      </c>
      <c r="D71" s="442">
        <v>59901603.240000002</v>
      </c>
      <c r="E71" s="443"/>
      <c r="F71" s="443"/>
      <c r="G71" s="442">
        <v>0</v>
      </c>
      <c r="H71" s="442">
        <v>0</v>
      </c>
      <c r="I71" s="442">
        <v>46451969.830000006</v>
      </c>
      <c r="J71" s="442">
        <v>1000</v>
      </c>
      <c r="K71" s="442">
        <v>0</v>
      </c>
      <c r="L71" s="442">
        <v>10462</v>
      </c>
      <c r="M71" s="442">
        <v>13391990.6</v>
      </c>
      <c r="N71" s="442">
        <v>720</v>
      </c>
      <c r="O71" s="442">
        <v>17920.760000000002</v>
      </c>
      <c r="P71" s="442">
        <v>0</v>
      </c>
      <c r="Q71" s="442">
        <v>0</v>
      </c>
      <c r="R71" s="442">
        <v>0</v>
      </c>
      <c r="S71" s="442">
        <v>59874063.190000005</v>
      </c>
      <c r="T71" s="444">
        <v>0.60836294050004502</v>
      </c>
      <c r="U71" s="445">
        <v>38544264.43</v>
      </c>
      <c r="V71" s="445">
        <v>27540.04999999702</v>
      </c>
      <c r="W71" s="446"/>
      <c r="X71" s="446"/>
      <c r="Y71" s="446"/>
      <c r="Z71" s="446"/>
    </row>
    <row r="72" spans="1:26" ht="24" x14ac:dyDescent="0.2">
      <c r="A72" s="454" t="s">
        <v>312</v>
      </c>
      <c r="B72" s="451">
        <v>0</v>
      </c>
      <c r="C72" s="451">
        <v>0</v>
      </c>
      <c r="D72" s="451">
        <v>0</v>
      </c>
      <c r="E72" s="452"/>
      <c r="F72" s="452"/>
      <c r="G72" s="451">
        <v>0</v>
      </c>
      <c r="H72" s="451">
        <v>0</v>
      </c>
      <c r="I72" s="451">
        <v>0</v>
      </c>
      <c r="J72" s="451">
        <v>0</v>
      </c>
      <c r="K72" s="451">
        <v>0</v>
      </c>
      <c r="L72" s="451">
        <v>0</v>
      </c>
      <c r="M72" s="451">
        <v>0</v>
      </c>
      <c r="N72" s="451">
        <v>0</v>
      </c>
      <c r="O72" s="451">
        <v>0</v>
      </c>
      <c r="P72" s="451">
        <v>0</v>
      </c>
      <c r="Q72" s="451">
        <v>0</v>
      </c>
      <c r="R72" s="451">
        <v>0</v>
      </c>
      <c r="S72" s="451">
        <v>0</v>
      </c>
      <c r="T72" s="407" t="e">
        <v>#DIV/0!</v>
      </c>
      <c r="U72" s="449">
        <v>0</v>
      </c>
      <c r="V72" s="449">
        <v>0</v>
      </c>
      <c r="W72" s="452"/>
      <c r="X72" s="446"/>
      <c r="Y72" s="446"/>
      <c r="Z72" s="446"/>
    </row>
    <row r="73" spans="1:26" x14ac:dyDescent="0.2">
      <c r="A73" s="454" t="s">
        <v>313</v>
      </c>
      <c r="B73" s="448">
        <v>104250000</v>
      </c>
      <c r="C73" s="448">
        <v>98418327.620000005</v>
      </c>
      <c r="D73" s="448">
        <v>46293327.630000003</v>
      </c>
      <c r="E73" s="443"/>
      <c r="F73" s="443"/>
      <c r="G73" s="448">
        <v>0</v>
      </c>
      <c r="H73" s="448">
        <v>0</v>
      </c>
      <c r="I73" s="448">
        <v>46293327.630000003</v>
      </c>
      <c r="J73" s="448">
        <v>0</v>
      </c>
      <c r="K73" s="448">
        <v>0</v>
      </c>
      <c r="L73" s="448">
        <v>0</v>
      </c>
      <c r="M73" s="448">
        <v>0</v>
      </c>
      <c r="N73" s="448">
        <v>0</v>
      </c>
      <c r="O73" s="448">
        <v>0</v>
      </c>
      <c r="P73" s="448">
        <v>0</v>
      </c>
      <c r="Q73" s="448">
        <v>0</v>
      </c>
      <c r="R73" s="448">
        <v>0</v>
      </c>
      <c r="S73" s="448">
        <v>46293327.630000003</v>
      </c>
      <c r="T73" s="407">
        <v>0.47037303670452268</v>
      </c>
      <c r="U73" s="449">
        <v>52124999.990000002</v>
      </c>
      <c r="V73" s="449">
        <v>0</v>
      </c>
      <c r="W73" s="452"/>
      <c r="X73" s="446"/>
      <c r="Y73" s="446"/>
      <c r="Z73" s="446"/>
    </row>
    <row r="74" spans="1:26" x14ac:dyDescent="0.2">
      <c r="A74" s="409" t="s">
        <v>314</v>
      </c>
      <c r="B74" s="455">
        <v>104250000</v>
      </c>
      <c r="C74" s="455">
        <v>98418327.620000005</v>
      </c>
      <c r="D74" s="455">
        <v>46293327.630000003</v>
      </c>
      <c r="E74" s="456"/>
      <c r="F74" s="456"/>
      <c r="G74" s="455">
        <v>0</v>
      </c>
      <c r="H74" s="455">
        <v>0</v>
      </c>
      <c r="I74" s="455">
        <v>46293327.630000003</v>
      </c>
      <c r="J74" s="455">
        <v>0</v>
      </c>
      <c r="K74" s="455">
        <v>0</v>
      </c>
      <c r="L74" s="455">
        <v>0</v>
      </c>
      <c r="M74" s="455">
        <v>0</v>
      </c>
      <c r="N74" s="455">
        <v>0</v>
      </c>
      <c r="O74" s="455">
        <v>0</v>
      </c>
      <c r="P74" s="455">
        <v>0</v>
      </c>
      <c r="Q74" s="455">
        <v>0</v>
      </c>
      <c r="R74" s="455">
        <v>0</v>
      </c>
      <c r="S74" s="455">
        <v>46293327.630000003</v>
      </c>
      <c r="T74" s="410">
        <v>0.47037303670452268</v>
      </c>
      <c r="U74" s="450">
        <v>52124999.990000002</v>
      </c>
      <c r="V74" s="450">
        <v>0</v>
      </c>
      <c r="W74" s="446"/>
      <c r="X74" s="446"/>
      <c r="Y74" s="446"/>
      <c r="Z74" s="446"/>
    </row>
    <row r="75" spans="1:26" ht="24" x14ac:dyDescent="0.2">
      <c r="A75" s="414" t="s">
        <v>315</v>
      </c>
      <c r="B75" s="455">
        <v>104250000</v>
      </c>
      <c r="C75" s="455">
        <v>98418327.620000005</v>
      </c>
      <c r="D75" s="455">
        <v>46293327.630000003</v>
      </c>
      <c r="E75" s="456"/>
      <c r="F75" s="456"/>
      <c r="G75" s="455">
        <v>0</v>
      </c>
      <c r="H75" s="455">
        <v>0</v>
      </c>
      <c r="I75" s="455">
        <v>46293327.630000003</v>
      </c>
      <c r="J75" s="455">
        <v>0</v>
      </c>
      <c r="K75" s="455">
        <v>0</v>
      </c>
      <c r="L75" s="455">
        <v>0</v>
      </c>
      <c r="M75" s="455">
        <v>0</v>
      </c>
      <c r="N75" s="455">
        <v>0</v>
      </c>
      <c r="O75" s="455">
        <v>0</v>
      </c>
      <c r="P75" s="455">
        <v>0</v>
      </c>
      <c r="Q75" s="455">
        <v>0</v>
      </c>
      <c r="R75" s="455">
        <v>0</v>
      </c>
      <c r="S75" s="455">
        <v>46293327.630000003</v>
      </c>
      <c r="T75" s="410">
        <v>0.47037303670452268</v>
      </c>
      <c r="U75" s="450">
        <v>52124999.990000002</v>
      </c>
      <c r="V75" s="450">
        <v>0</v>
      </c>
      <c r="W75" s="446"/>
      <c r="X75" s="446"/>
      <c r="Y75" s="446"/>
      <c r="Z75" s="446"/>
    </row>
    <row r="76" spans="1:26" x14ac:dyDescent="0.2">
      <c r="A76" s="416" t="s">
        <v>316</v>
      </c>
      <c r="B76" s="292">
        <v>104250000</v>
      </c>
      <c r="C76" s="292">
        <v>98418327.620000005</v>
      </c>
      <c r="D76" s="292">
        <v>46293327.630000003</v>
      </c>
      <c r="E76" s="446"/>
      <c r="F76" s="446"/>
      <c r="G76" s="292">
        <v>0</v>
      </c>
      <c r="H76" s="292">
        <v>0</v>
      </c>
      <c r="I76" s="292">
        <v>46293327.630000003</v>
      </c>
      <c r="J76" s="292">
        <v>0</v>
      </c>
      <c r="K76" s="292">
        <v>0</v>
      </c>
      <c r="L76" s="292">
        <v>0</v>
      </c>
      <c r="M76" s="292">
        <v>0</v>
      </c>
      <c r="N76" s="292">
        <v>0</v>
      </c>
      <c r="O76" s="292">
        <v>0</v>
      </c>
      <c r="P76" s="292">
        <v>0</v>
      </c>
      <c r="Q76" s="292">
        <v>0</v>
      </c>
      <c r="R76" s="292">
        <v>0</v>
      </c>
      <c r="S76" s="292">
        <v>46293327.630000003</v>
      </c>
      <c r="T76" s="410">
        <v>0.47037303670452268</v>
      </c>
      <c r="U76" s="450">
        <v>52124999.990000002</v>
      </c>
      <c r="V76" s="450">
        <v>0</v>
      </c>
      <c r="W76" s="446"/>
      <c r="X76" s="446"/>
      <c r="Y76" s="446"/>
      <c r="Z76" s="446"/>
    </row>
    <row r="77" spans="1:26" x14ac:dyDescent="0.2">
      <c r="A77" s="416" t="s">
        <v>317</v>
      </c>
      <c r="B77" s="292">
        <v>0</v>
      </c>
      <c r="C77" s="292">
        <v>0</v>
      </c>
      <c r="D77" s="292">
        <v>0</v>
      </c>
      <c r="E77" s="446"/>
      <c r="F77" s="446"/>
      <c r="G77" s="292">
        <v>0</v>
      </c>
      <c r="H77" s="292">
        <v>0</v>
      </c>
      <c r="I77" s="292">
        <v>0</v>
      </c>
      <c r="J77" s="292">
        <v>0</v>
      </c>
      <c r="K77" s="292">
        <v>0</v>
      </c>
      <c r="L77" s="292">
        <v>0</v>
      </c>
      <c r="M77" s="292">
        <v>0</v>
      </c>
      <c r="N77" s="292">
        <v>0</v>
      </c>
      <c r="O77" s="292">
        <v>0</v>
      </c>
      <c r="P77" s="292">
        <v>0</v>
      </c>
      <c r="Q77" s="292">
        <v>0</v>
      </c>
      <c r="R77" s="292">
        <v>0</v>
      </c>
      <c r="S77" s="292">
        <v>0</v>
      </c>
      <c r="T77" s="410" t="e">
        <v>#DIV/0!</v>
      </c>
      <c r="U77" s="450">
        <v>0</v>
      </c>
      <c r="V77" s="450">
        <v>0</v>
      </c>
      <c r="W77" s="446"/>
      <c r="X77" s="446"/>
      <c r="Y77" s="446"/>
      <c r="Z77" s="446"/>
    </row>
    <row r="78" spans="1:26" ht="24" x14ac:dyDescent="0.2">
      <c r="A78" s="416" t="s">
        <v>318</v>
      </c>
      <c r="B78" s="292">
        <v>0</v>
      </c>
      <c r="C78" s="292">
        <v>0</v>
      </c>
      <c r="D78" s="292">
        <v>0</v>
      </c>
      <c r="E78" s="446"/>
      <c r="F78" s="446"/>
      <c r="G78" s="292">
        <v>0</v>
      </c>
      <c r="H78" s="292">
        <v>0</v>
      </c>
      <c r="I78" s="292">
        <v>0</v>
      </c>
      <c r="J78" s="292">
        <v>0</v>
      </c>
      <c r="K78" s="292">
        <v>0</v>
      </c>
      <c r="L78" s="292">
        <v>0</v>
      </c>
      <c r="M78" s="292">
        <v>0</v>
      </c>
      <c r="N78" s="292">
        <v>0</v>
      </c>
      <c r="O78" s="292">
        <v>0</v>
      </c>
      <c r="P78" s="292">
        <v>0</v>
      </c>
      <c r="Q78" s="292">
        <v>0</v>
      </c>
      <c r="R78" s="292">
        <v>0</v>
      </c>
      <c r="S78" s="292">
        <v>0</v>
      </c>
      <c r="T78" s="410" t="e">
        <v>#DIV/0!</v>
      </c>
      <c r="U78" s="450">
        <v>0</v>
      </c>
      <c r="V78" s="450">
        <v>0</v>
      </c>
      <c r="W78" s="446"/>
      <c r="X78" s="446"/>
      <c r="Y78" s="446"/>
      <c r="Z78" s="446"/>
    </row>
    <row r="79" spans="1:26" ht="24" x14ac:dyDescent="0.2">
      <c r="A79" s="416" t="s">
        <v>319</v>
      </c>
      <c r="B79" s="292">
        <v>0</v>
      </c>
      <c r="C79" s="292">
        <v>0</v>
      </c>
      <c r="D79" s="292">
        <v>0</v>
      </c>
      <c r="E79" s="446"/>
      <c r="F79" s="446"/>
      <c r="G79" s="292">
        <v>0</v>
      </c>
      <c r="H79" s="292">
        <v>0</v>
      </c>
      <c r="I79" s="292">
        <v>0</v>
      </c>
      <c r="J79" s="292">
        <v>0</v>
      </c>
      <c r="K79" s="292">
        <v>0</v>
      </c>
      <c r="L79" s="292">
        <v>0</v>
      </c>
      <c r="M79" s="292">
        <v>0</v>
      </c>
      <c r="N79" s="292">
        <v>0</v>
      </c>
      <c r="O79" s="292">
        <v>0</v>
      </c>
      <c r="P79" s="292">
        <v>0</v>
      </c>
      <c r="Q79" s="292">
        <v>0</v>
      </c>
      <c r="R79" s="292">
        <v>0</v>
      </c>
      <c r="S79" s="292">
        <v>0</v>
      </c>
      <c r="T79" s="410" t="e">
        <v>#DIV/0!</v>
      </c>
      <c r="U79" s="450">
        <v>0</v>
      </c>
      <c r="V79" s="450">
        <v>0</v>
      </c>
      <c r="W79" s="446"/>
      <c r="X79" s="446"/>
      <c r="Y79" s="446"/>
      <c r="Z79" s="446"/>
    </row>
    <row r="80" spans="1:26" ht="24" x14ac:dyDescent="0.2">
      <c r="A80" s="414" t="s">
        <v>320</v>
      </c>
      <c r="B80" s="292">
        <v>0</v>
      </c>
      <c r="C80" s="292">
        <v>0</v>
      </c>
      <c r="D80" s="292">
        <v>0</v>
      </c>
      <c r="E80" s="446"/>
      <c r="F80" s="446"/>
      <c r="G80" s="292">
        <v>0</v>
      </c>
      <c r="H80" s="292">
        <v>0</v>
      </c>
      <c r="I80" s="292">
        <v>0</v>
      </c>
      <c r="J80" s="292">
        <v>0</v>
      </c>
      <c r="K80" s="292">
        <v>0</v>
      </c>
      <c r="L80" s="292">
        <v>0</v>
      </c>
      <c r="M80" s="292">
        <v>0</v>
      </c>
      <c r="N80" s="292">
        <v>0</v>
      </c>
      <c r="O80" s="292">
        <v>0</v>
      </c>
      <c r="P80" s="292">
        <v>0</v>
      </c>
      <c r="Q80" s="292">
        <v>0</v>
      </c>
      <c r="R80" s="292">
        <v>0</v>
      </c>
      <c r="S80" s="292">
        <v>0</v>
      </c>
      <c r="T80" s="410" t="e">
        <v>#DIV/0!</v>
      </c>
      <c r="U80" s="450">
        <v>0</v>
      </c>
      <c r="V80" s="450">
        <v>0</v>
      </c>
      <c r="W80" s="446"/>
      <c r="X80" s="446"/>
      <c r="Y80" s="446"/>
      <c r="Z80" s="446"/>
    </row>
    <row r="81" spans="1:26" x14ac:dyDescent="0.2">
      <c r="A81" s="409" t="s">
        <v>1399</v>
      </c>
      <c r="B81" s="292">
        <v>0</v>
      </c>
      <c r="C81" s="292">
        <v>0</v>
      </c>
      <c r="D81" s="292">
        <v>0</v>
      </c>
      <c r="E81" s="446"/>
      <c r="F81" s="446"/>
      <c r="G81" s="292">
        <v>0</v>
      </c>
      <c r="H81" s="292">
        <v>0</v>
      </c>
      <c r="I81" s="292">
        <v>0</v>
      </c>
      <c r="J81" s="292">
        <v>0</v>
      </c>
      <c r="K81" s="292">
        <v>0</v>
      </c>
      <c r="L81" s="292">
        <v>0</v>
      </c>
      <c r="M81" s="292">
        <v>0</v>
      </c>
      <c r="N81" s="292">
        <v>0</v>
      </c>
      <c r="O81" s="292">
        <v>0</v>
      </c>
      <c r="P81" s="292">
        <v>0</v>
      </c>
      <c r="Q81" s="292">
        <v>0</v>
      </c>
      <c r="R81" s="292">
        <v>0</v>
      </c>
      <c r="S81" s="292">
        <v>0</v>
      </c>
      <c r="T81" s="410" t="e">
        <v>#DIV/0!</v>
      </c>
      <c r="U81" s="450">
        <v>0</v>
      </c>
      <c r="V81" s="450">
        <v>0</v>
      </c>
      <c r="W81" s="446"/>
      <c r="X81" s="446"/>
      <c r="Y81" s="446"/>
      <c r="Z81" s="446"/>
    </row>
    <row r="82" spans="1:26" x14ac:dyDescent="0.2">
      <c r="A82" s="414" t="s">
        <v>1400</v>
      </c>
      <c r="B82" s="292">
        <v>0</v>
      </c>
      <c r="C82" s="292">
        <v>0</v>
      </c>
      <c r="D82" s="292">
        <v>0</v>
      </c>
      <c r="E82" s="446"/>
      <c r="F82" s="446"/>
      <c r="G82" s="292">
        <v>0</v>
      </c>
      <c r="H82" s="292">
        <v>0</v>
      </c>
      <c r="I82" s="292">
        <v>0</v>
      </c>
      <c r="J82" s="292">
        <v>0</v>
      </c>
      <c r="K82" s="292">
        <v>0</v>
      </c>
      <c r="L82" s="292">
        <v>0</v>
      </c>
      <c r="M82" s="292">
        <v>0</v>
      </c>
      <c r="N82" s="292">
        <v>0</v>
      </c>
      <c r="O82" s="292">
        <v>0</v>
      </c>
      <c r="P82" s="292">
        <v>0</v>
      </c>
      <c r="Q82" s="292">
        <v>0</v>
      </c>
      <c r="R82" s="292">
        <v>0</v>
      </c>
      <c r="S82" s="292">
        <v>0</v>
      </c>
      <c r="T82" s="410" t="e">
        <v>#DIV/0!</v>
      </c>
      <c r="U82" s="450">
        <v>0</v>
      </c>
      <c r="V82" s="450">
        <v>0</v>
      </c>
      <c r="W82" s="446"/>
      <c r="X82" s="446"/>
      <c r="Y82" s="446"/>
      <c r="Z82" s="446"/>
    </row>
    <row r="83" spans="1:26" x14ac:dyDescent="0.2">
      <c r="A83" s="414" t="s">
        <v>1401</v>
      </c>
      <c r="B83" s="292">
        <v>0</v>
      </c>
      <c r="C83" s="292">
        <v>0</v>
      </c>
      <c r="D83" s="292">
        <v>0</v>
      </c>
      <c r="E83" s="446"/>
      <c r="F83" s="446"/>
      <c r="G83" s="292">
        <v>0</v>
      </c>
      <c r="H83" s="292">
        <v>0</v>
      </c>
      <c r="I83" s="292">
        <v>0</v>
      </c>
      <c r="J83" s="292">
        <v>0</v>
      </c>
      <c r="K83" s="292">
        <v>0</v>
      </c>
      <c r="L83" s="292">
        <v>0</v>
      </c>
      <c r="M83" s="292">
        <v>0</v>
      </c>
      <c r="N83" s="292">
        <v>0</v>
      </c>
      <c r="O83" s="292">
        <v>0</v>
      </c>
      <c r="P83" s="292">
        <v>0</v>
      </c>
      <c r="Q83" s="292">
        <v>0</v>
      </c>
      <c r="R83" s="292">
        <v>0</v>
      </c>
      <c r="S83" s="292">
        <v>0</v>
      </c>
      <c r="T83" s="410" t="e">
        <v>#DIV/0!</v>
      </c>
      <c r="U83" s="450">
        <v>0</v>
      </c>
      <c r="V83" s="450">
        <v>0</v>
      </c>
      <c r="W83" s="446"/>
      <c r="X83" s="446"/>
      <c r="Y83" s="446"/>
      <c r="Z83" s="446"/>
    </row>
    <row r="84" spans="1:26" x14ac:dyDescent="0.2">
      <c r="A84" s="409" t="s">
        <v>321</v>
      </c>
      <c r="B84" s="292">
        <v>0</v>
      </c>
      <c r="C84" s="292">
        <v>0</v>
      </c>
      <c r="D84" s="292">
        <v>0</v>
      </c>
      <c r="E84" s="446"/>
      <c r="F84" s="446"/>
      <c r="G84" s="292">
        <v>0</v>
      </c>
      <c r="H84" s="292">
        <v>0</v>
      </c>
      <c r="I84" s="292">
        <v>0</v>
      </c>
      <c r="J84" s="292">
        <v>0</v>
      </c>
      <c r="K84" s="292">
        <v>0</v>
      </c>
      <c r="L84" s="292">
        <v>0</v>
      </c>
      <c r="M84" s="292">
        <v>0</v>
      </c>
      <c r="N84" s="292">
        <v>0</v>
      </c>
      <c r="O84" s="292">
        <v>0</v>
      </c>
      <c r="P84" s="292">
        <v>0</v>
      </c>
      <c r="Q84" s="292">
        <v>0</v>
      </c>
      <c r="R84" s="292">
        <v>0</v>
      </c>
      <c r="S84" s="292">
        <v>0</v>
      </c>
      <c r="T84" s="410" t="e">
        <v>#DIV/0!</v>
      </c>
      <c r="U84" s="450">
        <v>0</v>
      </c>
      <c r="V84" s="450">
        <v>0</v>
      </c>
      <c r="W84" s="446"/>
      <c r="X84" s="446"/>
      <c r="Y84" s="446"/>
      <c r="Z84" s="446"/>
    </row>
    <row r="85" spans="1:26" x14ac:dyDescent="0.2">
      <c r="A85" s="409" t="s">
        <v>322</v>
      </c>
      <c r="B85" s="292">
        <v>0</v>
      </c>
      <c r="C85" s="292">
        <v>0</v>
      </c>
      <c r="D85" s="292">
        <v>0</v>
      </c>
      <c r="E85" s="446"/>
      <c r="F85" s="446"/>
      <c r="G85" s="292">
        <v>0</v>
      </c>
      <c r="H85" s="292">
        <v>0</v>
      </c>
      <c r="I85" s="292">
        <v>0</v>
      </c>
      <c r="J85" s="292">
        <v>0</v>
      </c>
      <c r="K85" s="292">
        <v>0</v>
      </c>
      <c r="L85" s="292">
        <v>0</v>
      </c>
      <c r="M85" s="292">
        <v>0</v>
      </c>
      <c r="N85" s="292">
        <v>0</v>
      </c>
      <c r="O85" s="292">
        <v>0</v>
      </c>
      <c r="P85" s="292">
        <v>0</v>
      </c>
      <c r="Q85" s="292">
        <v>0</v>
      </c>
      <c r="R85" s="292">
        <v>0</v>
      </c>
      <c r="S85" s="292">
        <v>0</v>
      </c>
      <c r="T85" s="410" t="e">
        <v>#DIV/0!</v>
      </c>
      <c r="U85" s="450">
        <v>0</v>
      </c>
      <c r="V85" s="450">
        <v>0</v>
      </c>
      <c r="W85" s="446"/>
      <c r="X85" s="446"/>
      <c r="Y85" s="446"/>
      <c r="Z85" s="446"/>
    </row>
    <row r="86" spans="1:26" x14ac:dyDescent="0.2">
      <c r="A86" s="454" t="s">
        <v>323</v>
      </c>
      <c r="B86" s="451">
        <v>0</v>
      </c>
      <c r="C86" s="451">
        <v>0</v>
      </c>
      <c r="D86" s="451">
        <v>0</v>
      </c>
      <c r="E86" s="452"/>
      <c r="F86" s="452"/>
      <c r="G86" s="451">
        <v>0</v>
      </c>
      <c r="H86" s="451">
        <v>0</v>
      </c>
      <c r="I86" s="451">
        <v>0</v>
      </c>
      <c r="J86" s="451">
        <v>0</v>
      </c>
      <c r="K86" s="451">
        <v>0</v>
      </c>
      <c r="L86" s="451">
        <v>0</v>
      </c>
      <c r="M86" s="451">
        <v>0</v>
      </c>
      <c r="N86" s="451">
        <v>0</v>
      </c>
      <c r="O86" s="451">
        <v>0</v>
      </c>
      <c r="P86" s="451">
        <v>0</v>
      </c>
      <c r="Q86" s="451">
        <v>0</v>
      </c>
      <c r="R86" s="451">
        <v>0</v>
      </c>
      <c r="S86" s="451">
        <v>0</v>
      </c>
      <c r="T86" s="407" t="e">
        <v>#DIV/0!</v>
      </c>
      <c r="U86" s="449">
        <v>0</v>
      </c>
      <c r="V86" s="449">
        <v>0</v>
      </c>
      <c r="W86" s="452"/>
      <c r="X86" s="446"/>
      <c r="Y86" s="446"/>
      <c r="Z86" s="446"/>
    </row>
    <row r="87" spans="1:26" x14ac:dyDescent="0.2">
      <c r="A87" s="454" t="s">
        <v>324</v>
      </c>
      <c r="B87" s="451">
        <v>0</v>
      </c>
      <c r="C87" s="451">
        <v>0</v>
      </c>
      <c r="D87" s="451">
        <v>13608275.609999999</v>
      </c>
      <c r="E87" s="452"/>
      <c r="F87" s="452"/>
      <c r="G87" s="451">
        <v>0</v>
      </c>
      <c r="H87" s="451">
        <v>0</v>
      </c>
      <c r="I87" s="451">
        <v>158642.20000000001</v>
      </c>
      <c r="J87" s="451">
        <v>1000</v>
      </c>
      <c r="K87" s="451">
        <v>0</v>
      </c>
      <c r="L87" s="451">
        <v>10462</v>
      </c>
      <c r="M87" s="451">
        <v>13391990.6</v>
      </c>
      <c r="N87" s="451">
        <v>720</v>
      </c>
      <c r="O87" s="451">
        <v>17920.760000000002</v>
      </c>
      <c r="P87" s="451">
        <v>0</v>
      </c>
      <c r="Q87" s="451">
        <v>0</v>
      </c>
      <c r="R87" s="451">
        <v>0</v>
      </c>
      <c r="S87" s="451">
        <v>13580735.559999999</v>
      </c>
      <c r="T87" s="407" t="e">
        <v>#DIV/0!</v>
      </c>
      <c r="U87" s="449">
        <v>-13580735.559999999</v>
      </c>
      <c r="V87" s="449">
        <v>27540.050000000745</v>
      </c>
      <c r="W87" s="452"/>
      <c r="X87" s="446"/>
      <c r="Y87" s="446"/>
      <c r="Z87" s="446"/>
    </row>
    <row r="88" spans="1:26" x14ac:dyDescent="0.2">
      <c r="A88" s="454" t="s">
        <v>325</v>
      </c>
      <c r="B88" s="448">
        <v>0</v>
      </c>
      <c r="C88" s="448">
        <v>0</v>
      </c>
      <c r="D88" s="448">
        <v>0</v>
      </c>
      <c r="E88" s="443"/>
      <c r="F88" s="443"/>
      <c r="G88" s="448">
        <v>0</v>
      </c>
      <c r="H88" s="448">
        <v>0</v>
      </c>
      <c r="I88" s="448">
        <v>0</v>
      </c>
      <c r="J88" s="448">
        <v>0</v>
      </c>
      <c r="K88" s="448">
        <v>0</v>
      </c>
      <c r="L88" s="448">
        <v>0</v>
      </c>
      <c r="M88" s="448">
        <v>0</v>
      </c>
      <c r="N88" s="448">
        <v>0</v>
      </c>
      <c r="O88" s="448">
        <v>0</v>
      </c>
      <c r="P88" s="448">
        <v>0</v>
      </c>
      <c r="Q88" s="448">
        <v>0</v>
      </c>
      <c r="R88" s="448">
        <v>0</v>
      </c>
      <c r="S88" s="448">
        <v>0</v>
      </c>
      <c r="T88" s="407" t="e">
        <v>#DIV/0!</v>
      </c>
      <c r="U88" s="449">
        <v>0</v>
      </c>
      <c r="V88" s="449">
        <v>0</v>
      </c>
      <c r="W88" s="452"/>
      <c r="X88" s="446"/>
      <c r="Y88" s="446"/>
      <c r="Z88" s="446"/>
    </row>
    <row r="89" spans="1:26" x14ac:dyDescent="0.2">
      <c r="A89" s="409" t="s">
        <v>326</v>
      </c>
      <c r="B89" s="292">
        <v>0</v>
      </c>
      <c r="C89" s="292">
        <v>0</v>
      </c>
      <c r="D89" s="292">
        <v>0</v>
      </c>
      <c r="E89" s="446"/>
      <c r="F89" s="446"/>
      <c r="G89" s="292">
        <v>0</v>
      </c>
      <c r="H89" s="292">
        <v>0</v>
      </c>
      <c r="I89" s="292">
        <v>0</v>
      </c>
      <c r="J89" s="292">
        <v>0</v>
      </c>
      <c r="K89" s="292">
        <v>0</v>
      </c>
      <c r="L89" s="292">
        <v>0</v>
      </c>
      <c r="M89" s="292">
        <v>0</v>
      </c>
      <c r="N89" s="292">
        <v>0</v>
      </c>
      <c r="O89" s="292">
        <v>0</v>
      </c>
      <c r="P89" s="292">
        <v>0</v>
      </c>
      <c r="Q89" s="292">
        <v>0</v>
      </c>
      <c r="R89" s="292">
        <v>0</v>
      </c>
      <c r="S89" s="292">
        <v>0</v>
      </c>
      <c r="T89" s="410" t="e">
        <v>#DIV/0!</v>
      </c>
      <c r="U89" s="450">
        <v>0</v>
      </c>
      <c r="V89" s="450">
        <v>0</v>
      </c>
      <c r="W89" s="446"/>
      <c r="X89" s="446"/>
      <c r="Y89" s="446"/>
      <c r="Z89" s="446"/>
    </row>
    <row r="90" spans="1:26" x14ac:dyDescent="0.2">
      <c r="A90" s="409" t="s">
        <v>327</v>
      </c>
      <c r="B90" s="292">
        <v>0</v>
      </c>
      <c r="C90" s="292">
        <v>0</v>
      </c>
      <c r="D90" s="292">
        <v>0</v>
      </c>
      <c r="E90" s="446"/>
      <c r="F90" s="446"/>
      <c r="G90" s="292">
        <v>0</v>
      </c>
      <c r="H90" s="292">
        <v>0</v>
      </c>
      <c r="I90" s="292">
        <v>0</v>
      </c>
      <c r="J90" s="292">
        <v>0</v>
      </c>
      <c r="K90" s="292">
        <v>0</v>
      </c>
      <c r="L90" s="292">
        <v>0</v>
      </c>
      <c r="M90" s="292">
        <v>0</v>
      </c>
      <c r="N90" s="292">
        <v>0</v>
      </c>
      <c r="O90" s="292">
        <v>0</v>
      </c>
      <c r="P90" s="292">
        <v>0</v>
      </c>
      <c r="Q90" s="292">
        <v>0</v>
      </c>
      <c r="R90" s="292">
        <v>0</v>
      </c>
      <c r="S90" s="292">
        <v>0</v>
      </c>
      <c r="T90" s="410" t="e">
        <v>#DIV/0!</v>
      </c>
      <c r="U90" s="450">
        <v>0</v>
      </c>
      <c r="V90" s="450">
        <v>0</v>
      </c>
      <c r="W90" s="446"/>
      <c r="X90" s="446"/>
      <c r="Y90" s="446"/>
      <c r="Z90" s="446"/>
    </row>
    <row r="91" spans="1:26" ht="24" x14ac:dyDescent="0.2">
      <c r="A91" s="409" t="s">
        <v>328</v>
      </c>
      <c r="B91" s="292">
        <v>0</v>
      </c>
      <c r="C91" s="292">
        <v>0</v>
      </c>
      <c r="D91" s="292">
        <v>0</v>
      </c>
      <c r="E91" s="446"/>
      <c r="F91" s="446"/>
      <c r="G91" s="292">
        <v>0</v>
      </c>
      <c r="H91" s="292">
        <v>0</v>
      </c>
      <c r="I91" s="292">
        <v>0</v>
      </c>
      <c r="J91" s="292">
        <v>0</v>
      </c>
      <c r="K91" s="292"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v>0</v>
      </c>
      <c r="R91" s="292">
        <v>0</v>
      </c>
      <c r="S91" s="292">
        <v>0</v>
      </c>
      <c r="T91" s="410" t="e">
        <v>#DIV/0!</v>
      </c>
      <c r="U91" s="450">
        <v>0</v>
      </c>
      <c r="V91" s="450">
        <v>0</v>
      </c>
      <c r="W91" s="446"/>
      <c r="X91" s="446"/>
      <c r="Y91" s="446"/>
      <c r="Z91" s="446"/>
    </row>
    <row r="92" spans="1:26" x14ac:dyDescent="0.2">
      <c r="A92" s="454" t="s">
        <v>329</v>
      </c>
      <c r="B92" s="448">
        <v>0</v>
      </c>
      <c r="C92" s="448">
        <v>0</v>
      </c>
      <c r="D92" s="448">
        <v>0</v>
      </c>
      <c r="E92" s="443"/>
      <c r="F92" s="443"/>
      <c r="G92" s="448">
        <v>0</v>
      </c>
      <c r="H92" s="448">
        <v>0</v>
      </c>
      <c r="I92" s="448">
        <v>0</v>
      </c>
      <c r="J92" s="448">
        <v>0</v>
      </c>
      <c r="K92" s="448">
        <v>0</v>
      </c>
      <c r="L92" s="448">
        <v>0</v>
      </c>
      <c r="M92" s="448">
        <v>0</v>
      </c>
      <c r="N92" s="448">
        <v>0</v>
      </c>
      <c r="O92" s="448">
        <v>0</v>
      </c>
      <c r="P92" s="448">
        <v>0</v>
      </c>
      <c r="Q92" s="448">
        <v>0</v>
      </c>
      <c r="R92" s="448">
        <v>0</v>
      </c>
      <c r="S92" s="448">
        <v>0</v>
      </c>
      <c r="T92" s="407" t="e">
        <v>#DIV/0!</v>
      </c>
      <c r="U92" s="449">
        <v>0</v>
      </c>
      <c r="V92" s="449">
        <v>0</v>
      </c>
      <c r="W92" s="452"/>
      <c r="X92" s="452"/>
      <c r="Y92" s="446"/>
      <c r="Z92" s="446"/>
    </row>
    <row r="93" spans="1:26" x14ac:dyDescent="0.2">
      <c r="A93" s="409" t="s">
        <v>330</v>
      </c>
      <c r="B93" s="292">
        <v>0</v>
      </c>
      <c r="C93" s="292">
        <v>0</v>
      </c>
      <c r="D93" s="292">
        <v>0</v>
      </c>
      <c r="E93" s="446"/>
      <c r="F93" s="446"/>
      <c r="G93" s="292">
        <v>0</v>
      </c>
      <c r="H93" s="292">
        <v>0</v>
      </c>
      <c r="I93" s="292">
        <v>0</v>
      </c>
      <c r="J93" s="292">
        <v>0</v>
      </c>
      <c r="K93" s="292">
        <v>0</v>
      </c>
      <c r="L93" s="292">
        <v>0</v>
      </c>
      <c r="M93" s="292">
        <v>0</v>
      </c>
      <c r="N93" s="292">
        <v>0</v>
      </c>
      <c r="O93" s="292">
        <v>0</v>
      </c>
      <c r="P93" s="292">
        <v>0</v>
      </c>
      <c r="Q93" s="292">
        <v>0</v>
      </c>
      <c r="R93" s="292">
        <v>0</v>
      </c>
      <c r="S93" s="292">
        <v>0</v>
      </c>
      <c r="T93" s="410" t="e">
        <v>#DIV/0!</v>
      </c>
      <c r="U93" s="450">
        <v>0</v>
      </c>
      <c r="V93" s="450">
        <v>0</v>
      </c>
      <c r="W93" s="446"/>
      <c r="X93" s="446"/>
      <c r="Y93" s="446"/>
      <c r="Z93" s="446"/>
    </row>
    <row r="94" spans="1:26" ht="24" x14ac:dyDescent="0.2">
      <c r="A94" s="409" t="s">
        <v>331</v>
      </c>
      <c r="B94" s="292">
        <v>0</v>
      </c>
      <c r="C94" s="292">
        <v>0</v>
      </c>
      <c r="D94" s="292">
        <v>0</v>
      </c>
      <c r="E94" s="446"/>
      <c r="F94" s="446"/>
      <c r="G94" s="292">
        <v>0</v>
      </c>
      <c r="H94" s="292">
        <v>0</v>
      </c>
      <c r="I94" s="292">
        <v>0</v>
      </c>
      <c r="J94" s="292">
        <v>0</v>
      </c>
      <c r="K94" s="292">
        <v>0</v>
      </c>
      <c r="L94" s="292">
        <v>0</v>
      </c>
      <c r="M94" s="292">
        <v>0</v>
      </c>
      <c r="N94" s="292">
        <v>0</v>
      </c>
      <c r="O94" s="292">
        <v>0</v>
      </c>
      <c r="P94" s="292">
        <v>0</v>
      </c>
      <c r="Q94" s="292">
        <v>0</v>
      </c>
      <c r="R94" s="292">
        <v>0</v>
      </c>
      <c r="S94" s="292">
        <v>0</v>
      </c>
      <c r="T94" s="410" t="e">
        <v>#DIV/0!</v>
      </c>
      <c r="U94" s="450">
        <v>0</v>
      </c>
      <c r="V94" s="450">
        <v>0</v>
      </c>
      <c r="W94" s="446"/>
      <c r="X94" s="446"/>
      <c r="Y94" s="446"/>
      <c r="Z94" s="446"/>
    </row>
    <row r="95" spans="1:26" x14ac:dyDescent="0.2">
      <c r="A95" s="409" t="s">
        <v>332</v>
      </c>
      <c r="B95" s="292">
        <v>0</v>
      </c>
      <c r="C95" s="292">
        <v>0</v>
      </c>
      <c r="D95" s="292">
        <v>0</v>
      </c>
      <c r="E95" s="446"/>
      <c r="F95" s="446"/>
      <c r="G95" s="292">
        <v>0</v>
      </c>
      <c r="H95" s="292">
        <v>0</v>
      </c>
      <c r="I95" s="292">
        <v>0</v>
      </c>
      <c r="J95" s="292">
        <v>0</v>
      </c>
      <c r="K95" s="292">
        <v>0</v>
      </c>
      <c r="L95" s="292">
        <v>0</v>
      </c>
      <c r="M95" s="292">
        <v>0</v>
      </c>
      <c r="N95" s="292">
        <v>0</v>
      </c>
      <c r="O95" s="292">
        <v>0</v>
      </c>
      <c r="P95" s="292">
        <v>0</v>
      </c>
      <c r="Q95" s="292">
        <v>0</v>
      </c>
      <c r="R95" s="292">
        <v>0</v>
      </c>
      <c r="S95" s="292">
        <v>0</v>
      </c>
      <c r="T95" s="410" t="e">
        <v>#DIV/0!</v>
      </c>
      <c r="U95" s="450">
        <v>0</v>
      </c>
      <c r="V95" s="450">
        <v>0</v>
      </c>
      <c r="W95" s="446"/>
      <c r="X95" s="446"/>
      <c r="Y95" s="446"/>
      <c r="Z95" s="446"/>
    </row>
    <row r="96" spans="1:26" x14ac:dyDescent="0.2">
      <c r="A96" s="454" t="s">
        <v>333</v>
      </c>
      <c r="B96" s="451">
        <v>0</v>
      </c>
      <c r="C96" s="451">
        <v>0</v>
      </c>
      <c r="D96" s="451">
        <v>0</v>
      </c>
      <c r="E96" s="452"/>
      <c r="F96" s="452"/>
      <c r="G96" s="451">
        <v>0</v>
      </c>
      <c r="H96" s="451">
        <v>0</v>
      </c>
      <c r="I96" s="451">
        <v>0</v>
      </c>
      <c r="J96" s="451">
        <v>0</v>
      </c>
      <c r="K96" s="451">
        <v>0</v>
      </c>
      <c r="L96" s="451">
        <v>0</v>
      </c>
      <c r="M96" s="451">
        <v>0</v>
      </c>
      <c r="N96" s="451">
        <v>0</v>
      </c>
      <c r="O96" s="451">
        <v>0</v>
      </c>
      <c r="P96" s="451">
        <v>0</v>
      </c>
      <c r="Q96" s="451">
        <v>0</v>
      </c>
      <c r="R96" s="451">
        <v>0</v>
      </c>
      <c r="S96" s="451">
        <v>0</v>
      </c>
      <c r="T96" s="407" t="e">
        <v>#DIV/0!</v>
      </c>
      <c r="U96" s="449">
        <v>0</v>
      </c>
      <c r="V96" s="449">
        <v>0</v>
      </c>
      <c r="W96" s="452"/>
      <c r="X96" s="452"/>
      <c r="Y96" s="446"/>
      <c r="Z96" s="446"/>
    </row>
    <row r="97" spans="1:26" ht="24" x14ac:dyDescent="0.2">
      <c r="A97" s="454" t="s">
        <v>334</v>
      </c>
      <c r="B97" s="451">
        <v>0</v>
      </c>
      <c r="C97" s="451">
        <v>0</v>
      </c>
      <c r="D97" s="451">
        <v>0</v>
      </c>
      <c r="E97" s="452"/>
      <c r="F97" s="452"/>
      <c r="G97" s="451">
        <v>0</v>
      </c>
      <c r="H97" s="451">
        <v>0</v>
      </c>
      <c r="I97" s="451">
        <v>0</v>
      </c>
      <c r="J97" s="451">
        <v>0</v>
      </c>
      <c r="K97" s="451">
        <v>0</v>
      </c>
      <c r="L97" s="451">
        <v>0</v>
      </c>
      <c r="M97" s="451">
        <v>0</v>
      </c>
      <c r="N97" s="451">
        <v>0</v>
      </c>
      <c r="O97" s="451">
        <v>0</v>
      </c>
      <c r="P97" s="451">
        <v>0</v>
      </c>
      <c r="Q97" s="451">
        <v>0</v>
      </c>
      <c r="R97" s="451">
        <v>0</v>
      </c>
      <c r="S97" s="451">
        <v>0</v>
      </c>
      <c r="T97" s="407" t="e">
        <v>#DIV/0!</v>
      </c>
      <c r="U97" s="449">
        <v>0</v>
      </c>
      <c r="V97" s="449">
        <v>0</v>
      </c>
      <c r="W97" s="452"/>
      <c r="X97" s="452"/>
      <c r="Y97" s="446"/>
      <c r="Z97" s="446"/>
    </row>
    <row r="98" spans="1:26" x14ac:dyDescent="0.2">
      <c r="A98" s="454" t="s">
        <v>335</v>
      </c>
      <c r="B98" s="448">
        <v>0</v>
      </c>
      <c r="C98" s="448">
        <v>0</v>
      </c>
      <c r="D98" s="448">
        <v>0</v>
      </c>
      <c r="E98" s="443"/>
      <c r="F98" s="443"/>
      <c r="G98" s="448">
        <v>0</v>
      </c>
      <c r="H98" s="448">
        <v>0</v>
      </c>
      <c r="I98" s="448">
        <v>0</v>
      </c>
      <c r="J98" s="448">
        <v>0</v>
      </c>
      <c r="K98" s="448">
        <v>0</v>
      </c>
      <c r="L98" s="448">
        <v>0</v>
      </c>
      <c r="M98" s="448">
        <v>0</v>
      </c>
      <c r="N98" s="448">
        <v>0</v>
      </c>
      <c r="O98" s="448">
        <v>0</v>
      </c>
      <c r="P98" s="448">
        <v>0</v>
      </c>
      <c r="Q98" s="448">
        <v>0</v>
      </c>
      <c r="R98" s="448">
        <v>0</v>
      </c>
      <c r="S98" s="448">
        <v>0</v>
      </c>
      <c r="T98" s="407" t="e">
        <v>#DIV/0!</v>
      </c>
      <c r="U98" s="449">
        <v>0</v>
      </c>
      <c r="V98" s="449">
        <v>0</v>
      </c>
      <c r="W98" s="452"/>
      <c r="X98" s="452"/>
      <c r="Y98" s="446"/>
      <c r="Z98" s="446"/>
    </row>
    <row r="99" spans="1:26" x14ac:dyDescent="0.2">
      <c r="A99" s="409" t="s">
        <v>336</v>
      </c>
      <c r="B99" s="292">
        <v>0</v>
      </c>
      <c r="C99" s="292">
        <v>0</v>
      </c>
      <c r="D99" s="292">
        <v>0</v>
      </c>
      <c r="E99" s="446"/>
      <c r="F99" s="446"/>
      <c r="G99" s="292">
        <v>0</v>
      </c>
      <c r="H99" s="292">
        <v>0</v>
      </c>
      <c r="I99" s="292">
        <v>0</v>
      </c>
      <c r="J99" s="292">
        <v>0</v>
      </c>
      <c r="K99" s="292">
        <v>0</v>
      </c>
      <c r="L99" s="292">
        <v>0</v>
      </c>
      <c r="M99" s="292">
        <v>0</v>
      </c>
      <c r="N99" s="292">
        <v>0</v>
      </c>
      <c r="O99" s="292">
        <v>0</v>
      </c>
      <c r="P99" s="292">
        <v>0</v>
      </c>
      <c r="Q99" s="292">
        <v>0</v>
      </c>
      <c r="R99" s="292">
        <v>0</v>
      </c>
      <c r="S99" s="292">
        <v>0</v>
      </c>
      <c r="T99" s="410" t="e">
        <v>#DIV/0!</v>
      </c>
      <c r="U99" s="450">
        <v>0</v>
      </c>
      <c r="V99" s="450">
        <v>0</v>
      </c>
      <c r="W99" s="446"/>
      <c r="X99" s="446"/>
      <c r="Y99" s="446"/>
      <c r="Z99" s="446"/>
    </row>
    <row r="100" spans="1:26" x14ac:dyDescent="0.2">
      <c r="A100" s="409" t="s">
        <v>1402</v>
      </c>
      <c r="B100" s="292">
        <v>0</v>
      </c>
      <c r="C100" s="292">
        <v>0</v>
      </c>
      <c r="D100" s="292">
        <v>0</v>
      </c>
      <c r="E100" s="446"/>
      <c r="F100" s="446"/>
      <c r="G100" s="292">
        <v>0</v>
      </c>
      <c r="H100" s="292">
        <v>0</v>
      </c>
      <c r="I100" s="292">
        <v>0</v>
      </c>
      <c r="J100" s="292">
        <v>0</v>
      </c>
      <c r="K100" s="292">
        <v>0</v>
      </c>
      <c r="L100" s="292">
        <v>0</v>
      </c>
      <c r="M100" s="292">
        <v>0</v>
      </c>
      <c r="N100" s="292">
        <v>0</v>
      </c>
      <c r="O100" s="292">
        <v>0</v>
      </c>
      <c r="P100" s="292">
        <v>0</v>
      </c>
      <c r="Q100" s="292">
        <v>0</v>
      </c>
      <c r="R100" s="292">
        <v>0</v>
      </c>
      <c r="S100" s="292">
        <v>0</v>
      </c>
      <c r="T100" s="410" t="e">
        <v>#DIV/0!</v>
      </c>
      <c r="U100" s="450">
        <v>0</v>
      </c>
      <c r="V100" s="450">
        <v>0</v>
      </c>
      <c r="W100" s="446"/>
      <c r="X100" s="446"/>
      <c r="Y100" s="446"/>
      <c r="Z100" s="446"/>
    </row>
    <row r="101" spans="1:26" x14ac:dyDescent="0.2">
      <c r="A101" s="414" t="s">
        <v>1403</v>
      </c>
      <c r="B101" s="292">
        <v>0</v>
      </c>
      <c r="C101" s="292">
        <v>0</v>
      </c>
      <c r="D101" s="292">
        <v>0</v>
      </c>
      <c r="E101" s="446"/>
      <c r="F101" s="446"/>
      <c r="G101" s="292">
        <v>0</v>
      </c>
      <c r="H101" s="292">
        <v>0</v>
      </c>
      <c r="I101" s="292">
        <v>0</v>
      </c>
      <c r="J101" s="292">
        <v>0</v>
      </c>
      <c r="K101" s="292">
        <v>0</v>
      </c>
      <c r="L101" s="292">
        <v>0</v>
      </c>
      <c r="M101" s="292">
        <v>0</v>
      </c>
      <c r="N101" s="292">
        <v>0</v>
      </c>
      <c r="O101" s="292">
        <v>0</v>
      </c>
      <c r="P101" s="292">
        <v>0</v>
      </c>
      <c r="Q101" s="292">
        <v>0</v>
      </c>
      <c r="R101" s="292">
        <v>0</v>
      </c>
      <c r="S101" s="292">
        <v>0</v>
      </c>
      <c r="T101" s="410" t="e">
        <v>#DIV/0!</v>
      </c>
      <c r="U101" s="450">
        <v>0</v>
      </c>
      <c r="V101" s="450">
        <v>0</v>
      </c>
      <c r="W101" s="446"/>
      <c r="X101" s="446"/>
      <c r="Y101" s="446"/>
      <c r="Z101" s="446"/>
    </row>
    <row r="102" spans="1:26" x14ac:dyDescent="0.2">
      <c r="A102" s="414" t="s">
        <v>1404</v>
      </c>
      <c r="B102" s="292">
        <v>0</v>
      </c>
      <c r="C102" s="292">
        <v>0</v>
      </c>
      <c r="D102" s="292">
        <v>0</v>
      </c>
      <c r="E102" s="446"/>
      <c r="F102" s="446"/>
      <c r="G102" s="292">
        <v>0</v>
      </c>
      <c r="H102" s="292">
        <v>0</v>
      </c>
      <c r="I102" s="292">
        <v>0</v>
      </c>
      <c r="J102" s="292">
        <v>0</v>
      </c>
      <c r="K102" s="292">
        <v>0</v>
      </c>
      <c r="L102" s="292">
        <v>0</v>
      </c>
      <c r="M102" s="292">
        <v>0</v>
      </c>
      <c r="N102" s="292">
        <v>0</v>
      </c>
      <c r="O102" s="292">
        <v>0</v>
      </c>
      <c r="P102" s="292">
        <v>0</v>
      </c>
      <c r="Q102" s="292">
        <v>0</v>
      </c>
      <c r="R102" s="292">
        <v>0</v>
      </c>
      <c r="S102" s="292">
        <v>0</v>
      </c>
      <c r="T102" s="410" t="e">
        <v>#DIV/0!</v>
      </c>
      <c r="U102" s="450">
        <v>0</v>
      </c>
      <c r="V102" s="450">
        <v>0</v>
      </c>
      <c r="W102" s="446"/>
      <c r="X102" s="446"/>
      <c r="Y102" s="446"/>
      <c r="Z102" s="446"/>
    </row>
    <row r="103" spans="1:26" x14ac:dyDescent="0.2">
      <c r="A103" s="409" t="s">
        <v>337</v>
      </c>
      <c r="B103" s="292">
        <v>0</v>
      </c>
      <c r="C103" s="292">
        <v>0</v>
      </c>
      <c r="D103" s="292">
        <v>0</v>
      </c>
      <c r="E103" s="446"/>
      <c r="F103" s="446"/>
      <c r="G103" s="292">
        <v>0</v>
      </c>
      <c r="H103" s="292">
        <v>0</v>
      </c>
      <c r="I103" s="292">
        <v>0</v>
      </c>
      <c r="J103" s="292">
        <v>0</v>
      </c>
      <c r="K103" s="292">
        <v>0</v>
      </c>
      <c r="L103" s="292">
        <v>0</v>
      </c>
      <c r="M103" s="292">
        <v>0</v>
      </c>
      <c r="N103" s="292">
        <v>0</v>
      </c>
      <c r="O103" s="292">
        <v>0</v>
      </c>
      <c r="P103" s="292">
        <v>0</v>
      </c>
      <c r="Q103" s="292">
        <v>0</v>
      </c>
      <c r="R103" s="292">
        <v>0</v>
      </c>
      <c r="S103" s="292">
        <v>0</v>
      </c>
      <c r="T103" s="410" t="e">
        <v>#DIV/0!</v>
      </c>
      <c r="U103" s="450">
        <v>0</v>
      </c>
      <c r="V103" s="450">
        <v>0</v>
      </c>
      <c r="W103" s="446"/>
      <c r="X103" s="446"/>
      <c r="Y103" s="446"/>
      <c r="Z103" s="446"/>
    </row>
    <row r="104" spans="1:26" x14ac:dyDescent="0.2">
      <c r="A104" s="409" t="s">
        <v>338</v>
      </c>
      <c r="B104" s="292">
        <v>0</v>
      </c>
      <c r="C104" s="292">
        <v>0</v>
      </c>
      <c r="D104" s="292">
        <v>0</v>
      </c>
      <c r="E104" s="446"/>
      <c r="F104" s="446"/>
      <c r="G104" s="292">
        <v>0</v>
      </c>
      <c r="H104" s="292">
        <v>0</v>
      </c>
      <c r="I104" s="292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292">
        <v>0</v>
      </c>
      <c r="R104" s="292">
        <v>0</v>
      </c>
      <c r="S104" s="292">
        <v>0</v>
      </c>
      <c r="T104" s="410" t="e">
        <v>#DIV/0!</v>
      </c>
      <c r="U104" s="450">
        <v>0</v>
      </c>
      <c r="V104" s="450">
        <v>0</v>
      </c>
      <c r="W104" s="446"/>
      <c r="X104" s="446"/>
      <c r="Y104" s="446"/>
      <c r="Z104" s="446"/>
    </row>
    <row r="105" spans="1:26" x14ac:dyDescent="0.2">
      <c r="A105" s="454" t="s">
        <v>339</v>
      </c>
      <c r="B105" s="451">
        <v>0</v>
      </c>
      <c r="C105" s="451">
        <v>0</v>
      </c>
      <c r="D105" s="451">
        <v>0</v>
      </c>
      <c r="E105" s="452"/>
      <c r="F105" s="452"/>
      <c r="G105" s="451">
        <v>0</v>
      </c>
      <c r="H105" s="451">
        <v>0</v>
      </c>
      <c r="I105" s="451">
        <v>0</v>
      </c>
      <c r="J105" s="451">
        <v>0</v>
      </c>
      <c r="K105" s="451">
        <v>0</v>
      </c>
      <c r="L105" s="451">
        <v>0</v>
      </c>
      <c r="M105" s="451">
        <v>0</v>
      </c>
      <c r="N105" s="451">
        <v>0</v>
      </c>
      <c r="O105" s="451">
        <v>0</v>
      </c>
      <c r="P105" s="451">
        <v>0</v>
      </c>
      <c r="Q105" s="451">
        <v>0</v>
      </c>
      <c r="R105" s="451">
        <v>0</v>
      </c>
      <c r="S105" s="451">
        <v>0</v>
      </c>
      <c r="T105" s="407" t="e">
        <v>#DIV/0!</v>
      </c>
      <c r="U105" s="449">
        <v>0</v>
      </c>
      <c r="V105" s="449">
        <v>0</v>
      </c>
      <c r="W105" s="452"/>
      <c r="X105" s="452"/>
      <c r="Y105" s="452"/>
      <c r="Z105" s="446"/>
    </row>
    <row r="106" spans="1:26" x14ac:dyDescent="0.2">
      <c r="A106" s="441" t="s">
        <v>340</v>
      </c>
      <c r="B106" s="442">
        <v>0</v>
      </c>
      <c r="C106" s="442">
        <v>0</v>
      </c>
      <c r="D106" s="442">
        <v>0</v>
      </c>
      <c r="E106" s="443"/>
      <c r="F106" s="443"/>
      <c r="G106" s="442">
        <v>0</v>
      </c>
      <c r="H106" s="442">
        <v>0</v>
      </c>
      <c r="I106" s="442">
        <v>0</v>
      </c>
      <c r="J106" s="442">
        <v>0</v>
      </c>
      <c r="K106" s="442">
        <v>0</v>
      </c>
      <c r="L106" s="442">
        <v>0</v>
      </c>
      <c r="M106" s="442">
        <v>0</v>
      </c>
      <c r="N106" s="442">
        <v>0</v>
      </c>
      <c r="O106" s="442">
        <v>0</v>
      </c>
      <c r="P106" s="442">
        <v>0</v>
      </c>
      <c r="Q106" s="442">
        <v>0</v>
      </c>
      <c r="R106" s="442">
        <v>0</v>
      </c>
      <c r="S106" s="442">
        <v>0</v>
      </c>
      <c r="T106" s="444" t="e">
        <v>#DIV/0!</v>
      </c>
      <c r="U106" s="445">
        <v>0</v>
      </c>
      <c r="V106" s="445">
        <v>0</v>
      </c>
      <c r="W106" s="446"/>
      <c r="X106" s="446"/>
      <c r="Y106" s="446"/>
      <c r="Z106" s="446"/>
    </row>
    <row r="107" spans="1:26" x14ac:dyDescent="0.2">
      <c r="A107" s="454" t="s">
        <v>341</v>
      </c>
      <c r="B107" s="448">
        <v>0</v>
      </c>
      <c r="C107" s="448">
        <v>0</v>
      </c>
      <c r="D107" s="448">
        <v>0</v>
      </c>
      <c r="E107" s="443"/>
      <c r="F107" s="443"/>
      <c r="G107" s="448">
        <v>0</v>
      </c>
      <c r="H107" s="448">
        <v>0</v>
      </c>
      <c r="I107" s="448">
        <v>0</v>
      </c>
      <c r="J107" s="448">
        <v>0</v>
      </c>
      <c r="K107" s="448">
        <v>0</v>
      </c>
      <c r="L107" s="448">
        <v>0</v>
      </c>
      <c r="M107" s="448">
        <v>0</v>
      </c>
      <c r="N107" s="448">
        <v>0</v>
      </c>
      <c r="O107" s="448">
        <v>0</v>
      </c>
      <c r="P107" s="448">
        <v>0</v>
      </c>
      <c r="Q107" s="448">
        <v>0</v>
      </c>
      <c r="R107" s="448">
        <v>0</v>
      </c>
      <c r="S107" s="448">
        <v>0</v>
      </c>
      <c r="T107" s="407" t="e">
        <v>#DIV/0!</v>
      </c>
      <c r="U107" s="449">
        <v>0</v>
      </c>
      <c r="V107" s="449">
        <v>0</v>
      </c>
      <c r="W107" s="446"/>
      <c r="X107" s="446"/>
      <c r="Y107" s="446"/>
      <c r="Z107" s="446"/>
    </row>
    <row r="108" spans="1:26" x14ac:dyDescent="0.2">
      <c r="A108" s="409" t="s">
        <v>342</v>
      </c>
      <c r="B108" s="292">
        <v>0</v>
      </c>
      <c r="C108" s="292">
        <v>0</v>
      </c>
      <c r="D108" s="292">
        <v>0</v>
      </c>
      <c r="E108" s="446"/>
      <c r="F108" s="446"/>
      <c r="G108" s="292">
        <v>0</v>
      </c>
      <c r="H108" s="292">
        <v>0</v>
      </c>
      <c r="I108" s="292">
        <v>0</v>
      </c>
      <c r="J108" s="292">
        <v>0</v>
      </c>
      <c r="K108" s="292">
        <v>0</v>
      </c>
      <c r="L108" s="292">
        <v>0</v>
      </c>
      <c r="M108" s="292">
        <v>0</v>
      </c>
      <c r="N108" s="292">
        <v>0</v>
      </c>
      <c r="O108" s="292">
        <v>0</v>
      </c>
      <c r="P108" s="292">
        <v>0</v>
      </c>
      <c r="Q108" s="292">
        <v>0</v>
      </c>
      <c r="R108" s="292">
        <v>0</v>
      </c>
      <c r="S108" s="292">
        <v>0</v>
      </c>
      <c r="T108" s="410" t="e">
        <v>#DIV/0!</v>
      </c>
      <c r="U108" s="450">
        <v>0</v>
      </c>
      <c r="V108" s="450">
        <v>0</v>
      </c>
      <c r="W108" s="446"/>
      <c r="X108" s="446"/>
      <c r="Y108" s="446"/>
      <c r="Z108" s="446"/>
    </row>
    <row r="109" spans="1:26" x14ac:dyDescent="0.2">
      <c r="A109" s="409" t="s">
        <v>343</v>
      </c>
      <c r="B109" s="292">
        <v>0</v>
      </c>
      <c r="C109" s="292">
        <v>0</v>
      </c>
      <c r="D109" s="292">
        <v>0</v>
      </c>
      <c r="E109" s="446"/>
      <c r="F109" s="446"/>
      <c r="G109" s="292">
        <v>0</v>
      </c>
      <c r="H109" s="292">
        <v>0</v>
      </c>
      <c r="I109" s="292">
        <v>0</v>
      </c>
      <c r="J109" s="292">
        <v>0</v>
      </c>
      <c r="K109" s="292">
        <v>0</v>
      </c>
      <c r="L109" s="292">
        <v>0</v>
      </c>
      <c r="M109" s="292">
        <v>0</v>
      </c>
      <c r="N109" s="292">
        <v>0</v>
      </c>
      <c r="O109" s="292">
        <v>0</v>
      </c>
      <c r="P109" s="292">
        <v>0</v>
      </c>
      <c r="Q109" s="292">
        <v>0</v>
      </c>
      <c r="R109" s="292">
        <v>0</v>
      </c>
      <c r="S109" s="292">
        <v>0</v>
      </c>
      <c r="T109" s="410" t="e">
        <v>#DIV/0!</v>
      </c>
      <c r="U109" s="450">
        <v>0</v>
      </c>
      <c r="V109" s="450">
        <v>0</v>
      </c>
      <c r="W109" s="446"/>
      <c r="X109" s="446"/>
      <c r="Y109" s="446"/>
      <c r="Z109" s="446"/>
    </row>
    <row r="110" spans="1:26" x14ac:dyDescent="0.2">
      <c r="A110" s="409" t="s">
        <v>344</v>
      </c>
      <c r="B110" s="292">
        <v>0</v>
      </c>
      <c r="C110" s="292">
        <v>0</v>
      </c>
      <c r="D110" s="292">
        <v>0</v>
      </c>
      <c r="E110" s="446"/>
      <c r="F110" s="446"/>
      <c r="G110" s="292">
        <v>0</v>
      </c>
      <c r="H110" s="292">
        <v>0</v>
      </c>
      <c r="I110" s="292">
        <v>0</v>
      </c>
      <c r="J110" s="292">
        <v>0</v>
      </c>
      <c r="K110" s="292">
        <v>0</v>
      </c>
      <c r="L110" s="292">
        <v>0</v>
      </c>
      <c r="M110" s="292">
        <v>0</v>
      </c>
      <c r="N110" s="292">
        <v>0</v>
      </c>
      <c r="O110" s="292">
        <v>0</v>
      </c>
      <c r="P110" s="292">
        <v>0</v>
      </c>
      <c r="Q110" s="292">
        <v>0</v>
      </c>
      <c r="R110" s="292">
        <v>0</v>
      </c>
      <c r="S110" s="292">
        <v>0</v>
      </c>
      <c r="T110" s="410" t="e">
        <v>#DIV/0!</v>
      </c>
      <c r="U110" s="450">
        <v>0</v>
      </c>
      <c r="V110" s="450">
        <v>0</v>
      </c>
      <c r="W110" s="446"/>
      <c r="X110" s="446"/>
      <c r="Y110" s="446"/>
      <c r="Z110" s="446"/>
    </row>
    <row r="111" spans="1:26" x14ac:dyDescent="0.2">
      <c r="A111" s="409" t="s">
        <v>345</v>
      </c>
      <c r="B111" s="292">
        <v>0</v>
      </c>
      <c r="C111" s="292">
        <v>0</v>
      </c>
      <c r="D111" s="292">
        <v>0</v>
      </c>
      <c r="E111" s="446"/>
      <c r="F111" s="446"/>
      <c r="G111" s="292">
        <v>0</v>
      </c>
      <c r="H111" s="292">
        <v>0</v>
      </c>
      <c r="I111" s="292">
        <v>0</v>
      </c>
      <c r="J111" s="292">
        <v>0</v>
      </c>
      <c r="K111" s="292">
        <v>0</v>
      </c>
      <c r="L111" s="292">
        <v>0</v>
      </c>
      <c r="M111" s="292">
        <v>0</v>
      </c>
      <c r="N111" s="292">
        <v>0</v>
      </c>
      <c r="O111" s="292">
        <v>0</v>
      </c>
      <c r="P111" s="292">
        <v>0</v>
      </c>
      <c r="Q111" s="292">
        <v>0</v>
      </c>
      <c r="R111" s="292">
        <v>0</v>
      </c>
      <c r="S111" s="292">
        <v>0</v>
      </c>
      <c r="T111" s="410" t="e">
        <v>#DIV/0!</v>
      </c>
      <c r="U111" s="450">
        <v>0</v>
      </c>
      <c r="V111" s="450">
        <v>0</v>
      </c>
      <c r="W111" s="446"/>
      <c r="X111" s="446"/>
      <c r="Y111" s="446"/>
      <c r="Z111" s="446"/>
    </row>
    <row r="112" spans="1:26" x14ac:dyDescent="0.2">
      <c r="A112" s="409" t="s">
        <v>346</v>
      </c>
      <c r="B112" s="292">
        <v>0</v>
      </c>
      <c r="C112" s="292">
        <v>0</v>
      </c>
      <c r="D112" s="292">
        <v>0</v>
      </c>
      <c r="E112" s="446"/>
      <c r="F112" s="446"/>
      <c r="G112" s="292">
        <v>0</v>
      </c>
      <c r="H112" s="292">
        <v>0</v>
      </c>
      <c r="I112" s="292">
        <v>0</v>
      </c>
      <c r="J112" s="292">
        <v>0</v>
      </c>
      <c r="K112" s="292">
        <v>0</v>
      </c>
      <c r="L112" s="292">
        <v>0</v>
      </c>
      <c r="M112" s="292">
        <v>0</v>
      </c>
      <c r="N112" s="292">
        <v>0</v>
      </c>
      <c r="O112" s="292">
        <v>0</v>
      </c>
      <c r="P112" s="292">
        <v>0</v>
      </c>
      <c r="Q112" s="292">
        <v>0</v>
      </c>
      <c r="R112" s="292">
        <v>0</v>
      </c>
      <c r="S112" s="292">
        <v>0</v>
      </c>
      <c r="T112" s="410" t="e">
        <v>#DIV/0!</v>
      </c>
      <c r="U112" s="450">
        <v>0</v>
      </c>
      <c r="V112" s="450">
        <v>0</v>
      </c>
      <c r="W112" s="446"/>
      <c r="X112" s="446"/>
      <c r="Y112" s="446"/>
      <c r="Z112" s="446"/>
    </row>
    <row r="113" spans="1:26" x14ac:dyDescent="0.2">
      <c r="A113" s="409" t="s">
        <v>347</v>
      </c>
      <c r="B113" s="292">
        <v>0</v>
      </c>
      <c r="C113" s="292">
        <v>0</v>
      </c>
      <c r="D113" s="292">
        <v>0</v>
      </c>
      <c r="E113" s="446"/>
      <c r="F113" s="446"/>
      <c r="G113" s="292">
        <v>0</v>
      </c>
      <c r="H113" s="292">
        <v>0</v>
      </c>
      <c r="I113" s="292">
        <v>0</v>
      </c>
      <c r="J113" s="292">
        <v>0</v>
      </c>
      <c r="K113" s="292">
        <v>0</v>
      </c>
      <c r="L113" s="292">
        <v>0</v>
      </c>
      <c r="M113" s="292">
        <v>0</v>
      </c>
      <c r="N113" s="292">
        <v>0</v>
      </c>
      <c r="O113" s="292">
        <v>0</v>
      </c>
      <c r="P113" s="292">
        <v>0</v>
      </c>
      <c r="Q113" s="292">
        <v>0</v>
      </c>
      <c r="R113" s="292">
        <v>0</v>
      </c>
      <c r="S113" s="292">
        <v>0</v>
      </c>
      <c r="T113" s="410" t="e">
        <v>#DIV/0!</v>
      </c>
      <c r="U113" s="450">
        <v>0</v>
      </c>
      <c r="V113" s="450">
        <v>0</v>
      </c>
      <c r="W113" s="446"/>
      <c r="X113" s="446"/>
      <c r="Y113" s="446"/>
      <c r="Z113" s="446"/>
    </row>
    <row r="114" spans="1:26" x14ac:dyDescent="0.2">
      <c r="A114" s="409" t="s">
        <v>348</v>
      </c>
      <c r="B114" s="292">
        <v>0</v>
      </c>
      <c r="C114" s="292">
        <v>0</v>
      </c>
      <c r="D114" s="292">
        <v>0</v>
      </c>
      <c r="E114" s="446"/>
      <c r="F114" s="446"/>
      <c r="G114" s="292">
        <v>0</v>
      </c>
      <c r="H114" s="292">
        <v>0</v>
      </c>
      <c r="I114" s="292">
        <v>0</v>
      </c>
      <c r="J114" s="292">
        <v>0</v>
      </c>
      <c r="K114" s="292">
        <v>0</v>
      </c>
      <c r="L114" s="292">
        <v>0</v>
      </c>
      <c r="M114" s="292">
        <v>0</v>
      </c>
      <c r="N114" s="292">
        <v>0</v>
      </c>
      <c r="O114" s="292">
        <v>0</v>
      </c>
      <c r="P114" s="292">
        <v>0</v>
      </c>
      <c r="Q114" s="292">
        <v>0</v>
      </c>
      <c r="R114" s="292">
        <v>0</v>
      </c>
      <c r="S114" s="292">
        <v>0</v>
      </c>
      <c r="T114" s="410" t="e">
        <v>#DIV/0!</v>
      </c>
      <c r="U114" s="450">
        <v>0</v>
      </c>
      <c r="V114" s="450">
        <v>0</v>
      </c>
      <c r="W114" s="446"/>
      <c r="X114" s="446"/>
      <c r="Y114" s="446"/>
      <c r="Z114" s="446"/>
    </row>
    <row r="115" spans="1:26" x14ac:dyDescent="0.2">
      <c r="A115" s="409" t="s">
        <v>349</v>
      </c>
      <c r="B115" s="292">
        <v>0</v>
      </c>
      <c r="C115" s="292">
        <v>0</v>
      </c>
      <c r="D115" s="292">
        <v>0</v>
      </c>
      <c r="E115" s="446"/>
      <c r="F115" s="446"/>
      <c r="G115" s="292">
        <v>0</v>
      </c>
      <c r="H115" s="292">
        <v>0</v>
      </c>
      <c r="I115" s="292">
        <v>0</v>
      </c>
      <c r="J115" s="292">
        <v>0</v>
      </c>
      <c r="K115" s="292">
        <v>0</v>
      </c>
      <c r="L115" s="292">
        <v>0</v>
      </c>
      <c r="M115" s="292">
        <v>0</v>
      </c>
      <c r="N115" s="292">
        <v>0</v>
      </c>
      <c r="O115" s="292">
        <v>0</v>
      </c>
      <c r="P115" s="292">
        <v>0</v>
      </c>
      <c r="Q115" s="292">
        <v>0</v>
      </c>
      <c r="R115" s="292">
        <v>0</v>
      </c>
      <c r="S115" s="292">
        <v>0</v>
      </c>
      <c r="T115" s="410" t="e">
        <v>#DIV/0!</v>
      </c>
      <c r="U115" s="450">
        <v>0</v>
      </c>
      <c r="V115" s="450">
        <v>0</v>
      </c>
      <c r="W115" s="446"/>
      <c r="X115" s="446"/>
      <c r="Y115" s="446"/>
      <c r="Z115" s="446"/>
    </row>
    <row r="116" spans="1:26" x14ac:dyDescent="0.2">
      <c r="A116" s="409" t="s">
        <v>350</v>
      </c>
      <c r="B116" s="292">
        <v>0</v>
      </c>
      <c r="C116" s="292">
        <v>0</v>
      </c>
      <c r="D116" s="292">
        <v>0</v>
      </c>
      <c r="E116" s="446"/>
      <c r="F116" s="446"/>
      <c r="G116" s="292">
        <v>0</v>
      </c>
      <c r="H116" s="292">
        <v>0</v>
      </c>
      <c r="I116" s="292">
        <v>0</v>
      </c>
      <c r="J116" s="292">
        <v>0</v>
      </c>
      <c r="K116" s="292">
        <v>0</v>
      </c>
      <c r="L116" s="292">
        <v>0</v>
      </c>
      <c r="M116" s="292">
        <v>0</v>
      </c>
      <c r="N116" s="292">
        <v>0</v>
      </c>
      <c r="O116" s="292">
        <v>0</v>
      </c>
      <c r="P116" s="292">
        <v>0</v>
      </c>
      <c r="Q116" s="292">
        <v>0</v>
      </c>
      <c r="R116" s="292">
        <v>0</v>
      </c>
      <c r="S116" s="292">
        <v>0</v>
      </c>
      <c r="T116" s="410" t="e">
        <v>#DIV/0!</v>
      </c>
      <c r="U116" s="450">
        <v>0</v>
      </c>
      <c r="V116" s="450">
        <v>0</v>
      </c>
      <c r="W116" s="446"/>
      <c r="X116" s="446"/>
      <c r="Y116" s="446"/>
      <c r="Z116" s="446"/>
    </row>
    <row r="117" spans="1:26" x14ac:dyDescent="0.2">
      <c r="A117" s="409" t="s">
        <v>351</v>
      </c>
      <c r="B117" s="292">
        <v>0</v>
      </c>
      <c r="C117" s="292">
        <v>0</v>
      </c>
      <c r="D117" s="292">
        <v>0</v>
      </c>
      <c r="E117" s="446"/>
      <c r="F117" s="446"/>
      <c r="G117" s="292">
        <v>0</v>
      </c>
      <c r="H117" s="292">
        <v>0</v>
      </c>
      <c r="I117" s="292">
        <v>0</v>
      </c>
      <c r="J117" s="292">
        <v>0</v>
      </c>
      <c r="K117" s="292">
        <v>0</v>
      </c>
      <c r="L117" s="292">
        <v>0</v>
      </c>
      <c r="M117" s="292">
        <v>0</v>
      </c>
      <c r="N117" s="292">
        <v>0</v>
      </c>
      <c r="O117" s="292">
        <v>0</v>
      </c>
      <c r="P117" s="292">
        <v>0</v>
      </c>
      <c r="Q117" s="292">
        <v>0</v>
      </c>
      <c r="R117" s="292">
        <v>0</v>
      </c>
      <c r="S117" s="292">
        <v>0</v>
      </c>
      <c r="T117" s="410" t="e">
        <v>#DIV/0!</v>
      </c>
      <c r="U117" s="450">
        <v>0</v>
      </c>
      <c r="V117" s="450">
        <v>0</v>
      </c>
      <c r="W117" s="446"/>
      <c r="X117" s="446"/>
      <c r="Y117" s="446"/>
      <c r="Z117" s="446"/>
    </row>
    <row r="118" spans="1:26" x14ac:dyDescent="0.2">
      <c r="A118" s="404" t="s">
        <v>352</v>
      </c>
      <c r="B118" s="448">
        <v>0</v>
      </c>
      <c r="C118" s="448">
        <v>0</v>
      </c>
      <c r="D118" s="448">
        <v>0</v>
      </c>
      <c r="E118" s="443"/>
      <c r="F118" s="443"/>
      <c r="G118" s="448">
        <v>0</v>
      </c>
      <c r="H118" s="448">
        <v>0</v>
      </c>
      <c r="I118" s="448">
        <v>0</v>
      </c>
      <c r="J118" s="448">
        <v>0</v>
      </c>
      <c r="K118" s="448">
        <v>0</v>
      </c>
      <c r="L118" s="448">
        <v>0</v>
      </c>
      <c r="M118" s="448">
        <v>0</v>
      </c>
      <c r="N118" s="448">
        <v>0</v>
      </c>
      <c r="O118" s="448">
        <v>0</v>
      </c>
      <c r="P118" s="448">
        <v>0</v>
      </c>
      <c r="Q118" s="448">
        <v>0</v>
      </c>
      <c r="R118" s="448">
        <v>0</v>
      </c>
      <c r="S118" s="448">
        <v>0</v>
      </c>
      <c r="T118" s="407" t="e">
        <v>#DIV/0!</v>
      </c>
      <c r="U118" s="449">
        <v>0</v>
      </c>
      <c r="V118" s="449">
        <v>0</v>
      </c>
      <c r="W118" s="446"/>
      <c r="X118" s="446"/>
      <c r="Y118" s="446"/>
      <c r="Z118" s="446"/>
    </row>
    <row r="119" spans="1:26" x14ac:dyDescent="0.2">
      <c r="A119" s="409" t="s">
        <v>353</v>
      </c>
      <c r="B119" s="292">
        <v>0</v>
      </c>
      <c r="C119" s="292">
        <v>0</v>
      </c>
      <c r="D119" s="292">
        <v>0</v>
      </c>
      <c r="E119" s="446"/>
      <c r="F119" s="446"/>
      <c r="G119" s="292">
        <v>0</v>
      </c>
      <c r="H119" s="292">
        <v>0</v>
      </c>
      <c r="I119" s="292">
        <v>0</v>
      </c>
      <c r="J119" s="292">
        <v>0</v>
      </c>
      <c r="K119" s="292">
        <v>0</v>
      </c>
      <c r="L119" s="292">
        <v>0</v>
      </c>
      <c r="M119" s="292">
        <v>0</v>
      </c>
      <c r="N119" s="292">
        <v>0</v>
      </c>
      <c r="O119" s="292">
        <v>0</v>
      </c>
      <c r="P119" s="292">
        <v>0</v>
      </c>
      <c r="Q119" s="292">
        <v>0</v>
      </c>
      <c r="R119" s="292">
        <v>0</v>
      </c>
      <c r="S119" s="292">
        <v>0</v>
      </c>
      <c r="T119" s="410" t="e">
        <v>#DIV/0!</v>
      </c>
      <c r="U119" s="450">
        <v>0</v>
      </c>
      <c r="V119" s="450">
        <v>0</v>
      </c>
      <c r="W119" s="446"/>
      <c r="X119" s="446"/>
      <c r="Y119" s="446"/>
      <c r="Z119" s="446"/>
    </row>
    <row r="120" spans="1:26" x14ac:dyDescent="0.2">
      <c r="A120" s="409" t="s">
        <v>354</v>
      </c>
      <c r="B120" s="292">
        <v>0</v>
      </c>
      <c r="C120" s="292">
        <v>0</v>
      </c>
      <c r="D120" s="292">
        <v>0</v>
      </c>
      <c r="E120" s="446"/>
      <c r="F120" s="446"/>
      <c r="G120" s="292">
        <v>0</v>
      </c>
      <c r="H120" s="292">
        <v>0</v>
      </c>
      <c r="I120" s="292">
        <v>0</v>
      </c>
      <c r="J120" s="292">
        <v>0</v>
      </c>
      <c r="K120" s="292">
        <v>0</v>
      </c>
      <c r="L120" s="292">
        <v>0</v>
      </c>
      <c r="M120" s="292">
        <v>0</v>
      </c>
      <c r="N120" s="292">
        <v>0</v>
      </c>
      <c r="O120" s="292">
        <v>0</v>
      </c>
      <c r="P120" s="292">
        <v>0</v>
      </c>
      <c r="Q120" s="292">
        <v>0</v>
      </c>
      <c r="R120" s="292">
        <v>0</v>
      </c>
      <c r="S120" s="292">
        <v>0</v>
      </c>
      <c r="T120" s="410" t="e">
        <v>#DIV/0!</v>
      </c>
      <c r="U120" s="450">
        <v>0</v>
      </c>
      <c r="V120" s="450">
        <v>0</v>
      </c>
      <c r="W120" s="446"/>
      <c r="X120" s="446"/>
      <c r="Y120" s="446"/>
      <c r="Z120" s="446"/>
    </row>
    <row r="121" spans="1:26" x14ac:dyDescent="0.2">
      <c r="A121" s="409" t="s">
        <v>355</v>
      </c>
      <c r="B121" s="292">
        <v>0</v>
      </c>
      <c r="C121" s="292">
        <v>0</v>
      </c>
      <c r="D121" s="292">
        <v>0</v>
      </c>
      <c r="E121" s="446"/>
      <c r="F121" s="446"/>
      <c r="G121" s="292">
        <v>0</v>
      </c>
      <c r="H121" s="292">
        <v>0</v>
      </c>
      <c r="I121" s="292">
        <v>0</v>
      </c>
      <c r="J121" s="292">
        <v>0</v>
      </c>
      <c r="K121" s="292">
        <v>0</v>
      </c>
      <c r="L121" s="292">
        <v>0</v>
      </c>
      <c r="M121" s="292">
        <v>0</v>
      </c>
      <c r="N121" s="292">
        <v>0</v>
      </c>
      <c r="O121" s="292">
        <v>0</v>
      </c>
      <c r="P121" s="292">
        <v>0</v>
      </c>
      <c r="Q121" s="292">
        <v>0</v>
      </c>
      <c r="R121" s="292">
        <v>0</v>
      </c>
      <c r="S121" s="292">
        <v>0</v>
      </c>
      <c r="T121" s="410" t="e">
        <v>#DIV/0!</v>
      </c>
      <c r="U121" s="450">
        <v>0</v>
      </c>
      <c r="V121" s="450">
        <v>0</v>
      </c>
      <c r="W121" s="446"/>
      <c r="X121" s="446"/>
      <c r="Y121" s="446"/>
      <c r="Z121" s="446"/>
    </row>
    <row r="122" spans="1:26" x14ac:dyDescent="0.2">
      <c r="A122" s="409" t="s">
        <v>356</v>
      </c>
      <c r="B122" s="292">
        <v>0</v>
      </c>
      <c r="C122" s="292">
        <v>0</v>
      </c>
      <c r="D122" s="292">
        <v>0</v>
      </c>
      <c r="E122" s="446"/>
      <c r="F122" s="446"/>
      <c r="G122" s="292">
        <v>0</v>
      </c>
      <c r="H122" s="292">
        <v>0</v>
      </c>
      <c r="I122" s="292">
        <v>0</v>
      </c>
      <c r="J122" s="292">
        <v>0</v>
      </c>
      <c r="K122" s="292">
        <v>0</v>
      </c>
      <c r="L122" s="292">
        <v>0</v>
      </c>
      <c r="M122" s="292">
        <v>0</v>
      </c>
      <c r="N122" s="292">
        <v>0</v>
      </c>
      <c r="O122" s="292">
        <v>0</v>
      </c>
      <c r="P122" s="292">
        <v>0</v>
      </c>
      <c r="Q122" s="292">
        <v>0</v>
      </c>
      <c r="R122" s="292">
        <v>0</v>
      </c>
      <c r="S122" s="292">
        <v>0</v>
      </c>
      <c r="T122" s="410" t="e">
        <v>#DIV/0!</v>
      </c>
      <c r="U122" s="450">
        <v>0</v>
      </c>
      <c r="V122" s="450">
        <v>0</v>
      </c>
      <c r="W122" s="446"/>
      <c r="X122" s="446"/>
      <c r="Y122" s="446"/>
      <c r="Z122" s="446"/>
    </row>
    <row r="123" spans="1:26" x14ac:dyDescent="0.2">
      <c r="A123" s="409" t="s">
        <v>357</v>
      </c>
      <c r="B123" s="292">
        <v>0</v>
      </c>
      <c r="C123" s="292">
        <v>0</v>
      </c>
      <c r="D123" s="292">
        <v>0</v>
      </c>
      <c r="E123" s="446"/>
      <c r="F123" s="446"/>
      <c r="G123" s="292">
        <v>0</v>
      </c>
      <c r="H123" s="292">
        <v>0</v>
      </c>
      <c r="I123" s="292">
        <v>0</v>
      </c>
      <c r="J123" s="292">
        <v>0</v>
      </c>
      <c r="K123" s="292">
        <v>0</v>
      </c>
      <c r="L123" s="292">
        <v>0</v>
      </c>
      <c r="M123" s="292">
        <v>0</v>
      </c>
      <c r="N123" s="292">
        <v>0</v>
      </c>
      <c r="O123" s="292">
        <v>0</v>
      </c>
      <c r="P123" s="292">
        <v>0</v>
      </c>
      <c r="Q123" s="292">
        <v>0</v>
      </c>
      <c r="R123" s="292">
        <v>0</v>
      </c>
      <c r="S123" s="292">
        <v>0</v>
      </c>
      <c r="T123" s="410" t="e">
        <v>#DIV/0!</v>
      </c>
      <c r="U123" s="450">
        <v>0</v>
      </c>
      <c r="V123" s="450">
        <v>0</v>
      </c>
      <c r="W123" s="446"/>
      <c r="X123" s="446"/>
      <c r="Y123" s="446"/>
      <c r="Z123" s="446"/>
    </row>
    <row r="124" spans="1:26" x14ac:dyDescent="0.2">
      <c r="A124" s="409" t="s">
        <v>358</v>
      </c>
      <c r="B124" s="292">
        <v>0</v>
      </c>
      <c r="C124" s="292">
        <v>0</v>
      </c>
      <c r="D124" s="292">
        <v>0</v>
      </c>
      <c r="E124" s="446"/>
      <c r="F124" s="446"/>
      <c r="G124" s="292">
        <v>0</v>
      </c>
      <c r="H124" s="292">
        <v>0</v>
      </c>
      <c r="I124" s="292">
        <v>0</v>
      </c>
      <c r="J124" s="292">
        <v>0</v>
      </c>
      <c r="K124" s="292">
        <v>0</v>
      </c>
      <c r="L124" s="292">
        <v>0</v>
      </c>
      <c r="M124" s="292">
        <v>0</v>
      </c>
      <c r="N124" s="292">
        <v>0</v>
      </c>
      <c r="O124" s="292">
        <v>0</v>
      </c>
      <c r="P124" s="292">
        <v>0</v>
      </c>
      <c r="Q124" s="292">
        <v>0</v>
      </c>
      <c r="R124" s="292">
        <v>0</v>
      </c>
      <c r="S124" s="292">
        <v>0</v>
      </c>
      <c r="T124" s="410" t="e">
        <v>#DIV/0!</v>
      </c>
      <c r="U124" s="450">
        <v>0</v>
      </c>
      <c r="V124" s="450">
        <v>0</v>
      </c>
      <c r="W124" s="446"/>
      <c r="X124" s="446"/>
      <c r="Y124" s="446"/>
      <c r="Z124" s="446"/>
    </row>
    <row r="125" spans="1:26" x14ac:dyDescent="0.2">
      <c r="A125" s="409" t="s">
        <v>359</v>
      </c>
      <c r="B125" s="292">
        <v>0</v>
      </c>
      <c r="C125" s="292">
        <v>0</v>
      </c>
      <c r="D125" s="292">
        <v>0</v>
      </c>
      <c r="E125" s="446"/>
      <c r="F125" s="446"/>
      <c r="G125" s="292">
        <v>0</v>
      </c>
      <c r="H125" s="292">
        <v>0</v>
      </c>
      <c r="I125" s="292">
        <v>0</v>
      </c>
      <c r="J125" s="292">
        <v>0</v>
      </c>
      <c r="K125" s="292">
        <v>0</v>
      </c>
      <c r="L125" s="292">
        <v>0</v>
      </c>
      <c r="M125" s="292">
        <v>0</v>
      </c>
      <c r="N125" s="292">
        <v>0</v>
      </c>
      <c r="O125" s="292">
        <v>0</v>
      </c>
      <c r="P125" s="292">
        <v>0</v>
      </c>
      <c r="Q125" s="292">
        <v>0</v>
      </c>
      <c r="R125" s="292">
        <v>0</v>
      </c>
      <c r="S125" s="292">
        <v>0</v>
      </c>
      <c r="T125" s="410" t="e">
        <v>#DIV/0!</v>
      </c>
      <c r="U125" s="450">
        <v>0</v>
      </c>
      <c r="V125" s="450">
        <v>0</v>
      </c>
      <c r="W125" s="446"/>
      <c r="X125" s="446"/>
      <c r="Y125" s="446"/>
      <c r="Z125" s="446"/>
    </row>
    <row r="126" spans="1:26" x14ac:dyDescent="0.2">
      <c r="A126" s="409" t="s">
        <v>360</v>
      </c>
      <c r="B126" s="292">
        <v>0</v>
      </c>
      <c r="C126" s="292">
        <v>0</v>
      </c>
      <c r="D126" s="292">
        <v>0</v>
      </c>
      <c r="E126" s="446"/>
      <c r="F126" s="446"/>
      <c r="G126" s="292">
        <v>0</v>
      </c>
      <c r="H126" s="292">
        <v>0</v>
      </c>
      <c r="I126" s="292">
        <v>0</v>
      </c>
      <c r="J126" s="292">
        <v>0</v>
      </c>
      <c r="K126" s="292">
        <v>0</v>
      </c>
      <c r="L126" s="292">
        <v>0</v>
      </c>
      <c r="M126" s="292">
        <v>0</v>
      </c>
      <c r="N126" s="292">
        <v>0</v>
      </c>
      <c r="O126" s="292">
        <v>0</v>
      </c>
      <c r="P126" s="292">
        <v>0</v>
      </c>
      <c r="Q126" s="292">
        <v>0</v>
      </c>
      <c r="R126" s="292">
        <v>0</v>
      </c>
      <c r="S126" s="292">
        <v>0</v>
      </c>
      <c r="T126" s="410" t="e">
        <v>#DIV/0!</v>
      </c>
      <c r="U126" s="450">
        <v>0</v>
      </c>
      <c r="V126" s="450">
        <v>0</v>
      </c>
      <c r="W126" s="446"/>
      <c r="X126" s="446"/>
      <c r="Y126" s="446"/>
      <c r="Z126" s="446"/>
    </row>
    <row r="127" spans="1:26" x14ac:dyDescent="0.2">
      <c r="A127" s="409" t="s">
        <v>361</v>
      </c>
      <c r="B127" s="292">
        <v>0</v>
      </c>
      <c r="C127" s="292">
        <v>0</v>
      </c>
      <c r="D127" s="292">
        <v>0</v>
      </c>
      <c r="E127" s="446"/>
      <c r="F127" s="446"/>
      <c r="G127" s="292">
        <v>0</v>
      </c>
      <c r="H127" s="292">
        <v>0</v>
      </c>
      <c r="I127" s="292">
        <v>0</v>
      </c>
      <c r="J127" s="292">
        <v>0</v>
      </c>
      <c r="K127" s="292">
        <v>0</v>
      </c>
      <c r="L127" s="292">
        <v>0</v>
      </c>
      <c r="M127" s="292">
        <v>0</v>
      </c>
      <c r="N127" s="292">
        <v>0</v>
      </c>
      <c r="O127" s="292">
        <v>0</v>
      </c>
      <c r="P127" s="292">
        <v>0</v>
      </c>
      <c r="Q127" s="292">
        <v>0</v>
      </c>
      <c r="R127" s="292">
        <v>0</v>
      </c>
      <c r="S127" s="292">
        <v>0</v>
      </c>
      <c r="T127" s="410" t="e">
        <v>#DIV/0!</v>
      </c>
      <c r="U127" s="450">
        <v>0</v>
      </c>
      <c r="V127" s="450">
        <v>0</v>
      </c>
      <c r="W127" s="446"/>
      <c r="X127" s="446"/>
      <c r="Y127" s="446"/>
      <c r="Z127" s="446"/>
    </row>
    <row r="128" spans="1:26" x14ac:dyDescent="0.2">
      <c r="A128" s="409" t="s">
        <v>362</v>
      </c>
      <c r="B128" s="292">
        <v>0</v>
      </c>
      <c r="C128" s="292">
        <v>0</v>
      </c>
      <c r="D128" s="292">
        <v>0</v>
      </c>
      <c r="E128" s="446"/>
      <c r="F128" s="446"/>
      <c r="G128" s="292">
        <v>0</v>
      </c>
      <c r="H128" s="292">
        <v>0</v>
      </c>
      <c r="I128" s="292">
        <v>0</v>
      </c>
      <c r="J128" s="292">
        <v>0</v>
      </c>
      <c r="K128" s="292">
        <v>0</v>
      </c>
      <c r="L128" s="292">
        <v>0</v>
      </c>
      <c r="M128" s="292">
        <v>0</v>
      </c>
      <c r="N128" s="292">
        <v>0</v>
      </c>
      <c r="O128" s="292">
        <v>0</v>
      </c>
      <c r="P128" s="292">
        <v>0</v>
      </c>
      <c r="Q128" s="292">
        <v>0</v>
      </c>
      <c r="R128" s="292">
        <v>0</v>
      </c>
      <c r="S128" s="292">
        <v>0</v>
      </c>
      <c r="T128" s="410" t="e">
        <v>#DIV/0!</v>
      </c>
      <c r="U128" s="450">
        <v>0</v>
      </c>
      <c r="V128" s="450">
        <v>0</v>
      </c>
      <c r="W128" s="446"/>
      <c r="X128" s="446"/>
      <c r="Y128" s="446"/>
      <c r="Z128" s="446"/>
    </row>
    <row r="129" spans="1:26" x14ac:dyDescent="0.2">
      <c r="A129" s="409" t="s">
        <v>363</v>
      </c>
      <c r="B129" s="292">
        <v>0</v>
      </c>
      <c r="C129" s="292">
        <v>0</v>
      </c>
      <c r="D129" s="292">
        <v>0</v>
      </c>
      <c r="E129" s="446"/>
      <c r="F129" s="446"/>
      <c r="G129" s="292">
        <v>0</v>
      </c>
      <c r="H129" s="292">
        <v>0</v>
      </c>
      <c r="I129" s="292">
        <v>0</v>
      </c>
      <c r="J129" s="292">
        <v>0</v>
      </c>
      <c r="K129" s="292">
        <v>0</v>
      </c>
      <c r="L129" s="292">
        <v>0</v>
      </c>
      <c r="M129" s="292">
        <v>0</v>
      </c>
      <c r="N129" s="292">
        <v>0</v>
      </c>
      <c r="O129" s="292">
        <v>0</v>
      </c>
      <c r="P129" s="292">
        <v>0</v>
      </c>
      <c r="Q129" s="292">
        <v>0</v>
      </c>
      <c r="R129" s="292">
        <v>0</v>
      </c>
      <c r="S129" s="292">
        <v>0</v>
      </c>
      <c r="T129" s="410" t="e">
        <v>#DIV/0!</v>
      </c>
      <c r="U129" s="450">
        <v>0</v>
      </c>
      <c r="V129" s="450">
        <v>0</v>
      </c>
      <c r="W129" s="446"/>
      <c r="X129" s="446"/>
      <c r="Y129" s="446"/>
      <c r="Z129" s="446"/>
    </row>
    <row r="130" spans="1:26" x14ac:dyDescent="0.2">
      <c r="A130" s="409" t="s">
        <v>364</v>
      </c>
      <c r="B130" s="292">
        <v>0</v>
      </c>
      <c r="C130" s="292">
        <v>0</v>
      </c>
      <c r="D130" s="292">
        <v>0</v>
      </c>
      <c r="E130" s="446"/>
      <c r="F130" s="446"/>
      <c r="G130" s="292">
        <v>0</v>
      </c>
      <c r="H130" s="292">
        <v>0</v>
      </c>
      <c r="I130" s="292">
        <v>0</v>
      </c>
      <c r="J130" s="292">
        <v>0</v>
      </c>
      <c r="K130" s="292">
        <v>0</v>
      </c>
      <c r="L130" s="292">
        <v>0</v>
      </c>
      <c r="M130" s="292">
        <v>0</v>
      </c>
      <c r="N130" s="292">
        <v>0</v>
      </c>
      <c r="O130" s="292">
        <v>0</v>
      </c>
      <c r="P130" s="292">
        <v>0</v>
      </c>
      <c r="Q130" s="292">
        <v>0</v>
      </c>
      <c r="R130" s="292">
        <v>0</v>
      </c>
      <c r="S130" s="292">
        <v>0</v>
      </c>
      <c r="T130" s="410" t="e">
        <v>#DIV/0!</v>
      </c>
      <c r="U130" s="450">
        <v>0</v>
      </c>
      <c r="V130" s="450">
        <v>0</v>
      </c>
      <c r="W130" s="446"/>
      <c r="X130" s="446"/>
      <c r="Y130" s="446"/>
      <c r="Z130" s="446"/>
    </row>
    <row r="131" spans="1:26" x14ac:dyDescent="0.2">
      <c r="A131" s="409" t="s">
        <v>365</v>
      </c>
      <c r="B131" s="292">
        <v>0</v>
      </c>
      <c r="C131" s="292">
        <v>0</v>
      </c>
      <c r="D131" s="292">
        <v>0</v>
      </c>
      <c r="E131" s="446"/>
      <c r="F131" s="446"/>
      <c r="G131" s="292">
        <v>0</v>
      </c>
      <c r="H131" s="292">
        <v>0</v>
      </c>
      <c r="I131" s="292">
        <v>0</v>
      </c>
      <c r="J131" s="292">
        <v>0</v>
      </c>
      <c r="K131" s="292">
        <v>0</v>
      </c>
      <c r="L131" s="292">
        <v>0</v>
      </c>
      <c r="M131" s="292">
        <v>0</v>
      </c>
      <c r="N131" s="292">
        <v>0</v>
      </c>
      <c r="O131" s="292">
        <v>0</v>
      </c>
      <c r="P131" s="292">
        <v>0</v>
      </c>
      <c r="Q131" s="292">
        <v>0</v>
      </c>
      <c r="R131" s="292">
        <v>0</v>
      </c>
      <c r="S131" s="292">
        <v>0</v>
      </c>
      <c r="T131" s="410" t="e">
        <v>#DIV/0!</v>
      </c>
      <c r="U131" s="450">
        <v>0</v>
      </c>
      <c r="V131" s="450">
        <v>0</v>
      </c>
      <c r="W131" s="446"/>
      <c r="X131" s="446"/>
      <c r="Y131" s="446"/>
      <c r="Z131" s="446"/>
    </row>
    <row r="132" spans="1:26" x14ac:dyDescent="0.2">
      <c r="A132" s="409" t="s">
        <v>366</v>
      </c>
      <c r="B132" s="292">
        <v>0</v>
      </c>
      <c r="C132" s="292">
        <v>0</v>
      </c>
      <c r="D132" s="292">
        <v>0</v>
      </c>
      <c r="E132" s="446"/>
      <c r="F132" s="446"/>
      <c r="G132" s="292">
        <v>0</v>
      </c>
      <c r="H132" s="292">
        <v>0</v>
      </c>
      <c r="I132" s="292">
        <v>0</v>
      </c>
      <c r="J132" s="292">
        <v>0</v>
      </c>
      <c r="K132" s="292">
        <v>0</v>
      </c>
      <c r="L132" s="292">
        <v>0</v>
      </c>
      <c r="M132" s="292">
        <v>0</v>
      </c>
      <c r="N132" s="292">
        <v>0</v>
      </c>
      <c r="O132" s="292">
        <v>0</v>
      </c>
      <c r="P132" s="292">
        <v>0</v>
      </c>
      <c r="Q132" s="292">
        <v>0</v>
      </c>
      <c r="R132" s="292">
        <v>0</v>
      </c>
      <c r="S132" s="292">
        <v>0</v>
      </c>
      <c r="T132" s="410" t="e">
        <v>#DIV/0!</v>
      </c>
      <c r="U132" s="450">
        <v>0</v>
      </c>
      <c r="V132" s="450">
        <v>0</v>
      </c>
      <c r="W132" s="446"/>
      <c r="X132" s="446"/>
      <c r="Y132" s="446"/>
      <c r="Z132" s="446"/>
    </row>
    <row r="133" spans="1:26" x14ac:dyDescent="0.2">
      <c r="A133" s="409" t="s">
        <v>367</v>
      </c>
      <c r="B133" s="292">
        <v>0</v>
      </c>
      <c r="C133" s="292">
        <v>0</v>
      </c>
      <c r="D133" s="292">
        <v>0</v>
      </c>
      <c r="E133" s="446"/>
      <c r="F133" s="446"/>
      <c r="G133" s="292">
        <v>0</v>
      </c>
      <c r="H133" s="292">
        <v>0</v>
      </c>
      <c r="I133" s="292">
        <v>0</v>
      </c>
      <c r="J133" s="292">
        <v>0</v>
      </c>
      <c r="K133" s="292">
        <v>0</v>
      </c>
      <c r="L133" s="292">
        <v>0</v>
      </c>
      <c r="M133" s="292">
        <v>0</v>
      </c>
      <c r="N133" s="292">
        <v>0</v>
      </c>
      <c r="O133" s="292">
        <v>0</v>
      </c>
      <c r="P133" s="292">
        <v>0</v>
      </c>
      <c r="Q133" s="292">
        <v>0</v>
      </c>
      <c r="R133" s="292">
        <v>0</v>
      </c>
      <c r="S133" s="292">
        <v>0</v>
      </c>
      <c r="T133" s="410" t="e">
        <v>#DIV/0!</v>
      </c>
      <c r="U133" s="450">
        <v>0</v>
      </c>
      <c r="V133" s="450">
        <v>0</v>
      </c>
      <c r="W133" s="446"/>
      <c r="X133" s="446"/>
      <c r="Y133" s="446"/>
      <c r="Z133" s="446"/>
    </row>
    <row r="134" spans="1:26" x14ac:dyDescent="0.2">
      <c r="A134" s="409" t="s">
        <v>368</v>
      </c>
      <c r="B134" s="292">
        <v>0</v>
      </c>
      <c r="C134" s="292">
        <v>0</v>
      </c>
      <c r="D134" s="292">
        <v>0</v>
      </c>
      <c r="E134" s="446"/>
      <c r="F134" s="446"/>
      <c r="G134" s="292">
        <v>0</v>
      </c>
      <c r="H134" s="292">
        <v>0</v>
      </c>
      <c r="I134" s="292">
        <v>0</v>
      </c>
      <c r="J134" s="292">
        <v>0</v>
      </c>
      <c r="K134" s="292">
        <v>0</v>
      </c>
      <c r="L134" s="292">
        <v>0</v>
      </c>
      <c r="M134" s="292">
        <v>0</v>
      </c>
      <c r="N134" s="292">
        <v>0</v>
      </c>
      <c r="O134" s="292">
        <v>0</v>
      </c>
      <c r="P134" s="292">
        <v>0</v>
      </c>
      <c r="Q134" s="292">
        <v>0</v>
      </c>
      <c r="R134" s="292">
        <v>0</v>
      </c>
      <c r="S134" s="292">
        <v>0</v>
      </c>
      <c r="T134" s="410" t="e">
        <v>#DIV/0!</v>
      </c>
      <c r="U134" s="450">
        <v>0</v>
      </c>
      <c r="V134" s="450">
        <v>0</v>
      </c>
      <c r="W134" s="446"/>
      <c r="X134" s="446"/>
      <c r="Y134" s="446"/>
      <c r="Z134" s="446"/>
    </row>
    <row r="135" spans="1:26" x14ac:dyDescent="0.2">
      <c r="A135" s="409" t="s">
        <v>369</v>
      </c>
      <c r="B135" s="292">
        <v>0</v>
      </c>
      <c r="C135" s="292">
        <v>0</v>
      </c>
      <c r="D135" s="292">
        <v>0</v>
      </c>
      <c r="E135" s="446"/>
      <c r="F135" s="446"/>
      <c r="G135" s="292">
        <v>0</v>
      </c>
      <c r="H135" s="292">
        <v>0</v>
      </c>
      <c r="I135" s="292">
        <v>0</v>
      </c>
      <c r="J135" s="292">
        <v>0</v>
      </c>
      <c r="K135" s="292">
        <v>0</v>
      </c>
      <c r="L135" s="292">
        <v>0</v>
      </c>
      <c r="M135" s="292">
        <v>0</v>
      </c>
      <c r="N135" s="292">
        <v>0</v>
      </c>
      <c r="O135" s="292">
        <v>0</v>
      </c>
      <c r="P135" s="292">
        <v>0</v>
      </c>
      <c r="Q135" s="292">
        <v>0</v>
      </c>
      <c r="R135" s="292">
        <v>0</v>
      </c>
      <c r="S135" s="292">
        <v>0</v>
      </c>
      <c r="T135" s="410" t="e">
        <v>#DIV/0!</v>
      </c>
      <c r="U135" s="450">
        <v>0</v>
      </c>
      <c r="V135" s="450">
        <v>0</v>
      </c>
      <c r="W135" s="446"/>
      <c r="X135" s="446"/>
      <c r="Y135" s="446"/>
      <c r="Z135" s="446"/>
    </row>
    <row r="136" spans="1:26" x14ac:dyDescent="0.2">
      <c r="A136" s="454" t="s">
        <v>370</v>
      </c>
      <c r="B136" s="448">
        <v>0</v>
      </c>
      <c r="C136" s="448">
        <v>0</v>
      </c>
      <c r="D136" s="448">
        <v>0</v>
      </c>
      <c r="E136" s="443"/>
      <c r="F136" s="443"/>
      <c r="G136" s="448">
        <v>0</v>
      </c>
      <c r="H136" s="448">
        <v>0</v>
      </c>
      <c r="I136" s="448">
        <v>0</v>
      </c>
      <c r="J136" s="448">
        <v>0</v>
      </c>
      <c r="K136" s="448">
        <v>0</v>
      </c>
      <c r="L136" s="448">
        <v>0</v>
      </c>
      <c r="M136" s="448">
        <v>0</v>
      </c>
      <c r="N136" s="448">
        <v>0</v>
      </c>
      <c r="O136" s="448">
        <v>0</v>
      </c>
      <c r="P136" s="448">
        <v>0</v>
      </c>
      <c r="Q136" s="448">
        <v>0</v>
      </c>
      <c r="R136" s="448">
        <v>0</v>
      </c>
      <c r="S136" s="448">
        <v>0</v>
      </c>
      <c r="T136" s="407" t="e">
        <v>#DIV/0!</v>
      </c>
      <c r="U136" s="449">
        <v>0</v>
      </c>
      <c r="V136" s="449">
        <v>0</v>
      </c>
      <c r="W136" s="446"/>
      <c r="X136" s="446"/>
      <c r="Y136" s="446"/>
      <c r="Z136" s="446"/>
    </row>
    <row r="137" spans="1:26" x14ac:dyDescent="0.2">
      <c r="A137" s="409" t="s">
        <v>371</v>
      </c>
      <c r="B137" s="292">
        <v>0</v>
      </c>
      <c r="C137" s="292">
        <v>0</v>
      </c>
      <c r="D137" s="292">
        <v>0</v>
      </c>
      <c r="E137" s="446"/>
      <c r="F137" s="446"/>
      <c r="G137" s="292">
        <v>0</v>
      </c>
      <c r="H137" s="292">
        <v>0</v>
      </c>
      <c r="I137" s="292">
        <v>0</v>
      </c>
      <c r="J137" s="292">
        <v>0</v>
      </c>
      <c r="K137" s="292">
        <v>0</v>
      </c>
      <c r="L137" s="292">
        <v>0</v>
      </c>
      <c r="M137" s="292">
        <v>0</v>
      </c>
      <c r="N137" s="292">
        <v>0</v>
      </c>
      <c r="O137" s="292">
        <v>0</v>
      </c>
      <c r="P137" s="292">
        <v>0</v>
      </c>
      <c r="Q137" s="292">
        <v>0</v>
      </c>
      <c r="R137" s="292">
        <v>0</v>
      </c>
      <c r="S137" s="292">
        <v>0</v>
      </c>
      <c r="T137" s="410" t="e">
        <v>#DIV/0!</v>
      </c>
      <c r="U137" s="450">
        <v>0</v>
      </c>
      <c r="V137" s="450">
        <v>0</v>
      </c>
      <c r="W137" s="446"/>
      <c r="X137" s="446"/>
      <c r="Y137" s="446"/>
      <c r="Z137" s="446"/>
    </row>
    <row r="138" spans="1:26" x14ac:dyDescent="0.2">
      <c r="A138" s="409" t="s">
        <v>372</v>
      </c>
      <c r="B138" s="292">
        <v>0</v>
      </c>
      <c r="C138" s="292">
        <v>0</v>
      </c>
      <c r="D138" s="292">
        <v>0</v>
      </c>
      <c r="E138" s="446"/>
      <c r="F138" s="446"/>
      <c r="G138" s="292">
        <v>0</v>
      </c>
      <c r="H138" s="292">
        <v>0</v>
      </c>
      <c r="I138" s="292">
        <v>0</v>
      </c>
      <c r="J138" s="292">
        <v>0</v>
      </c>
      <c r="K138" s="292">
        <v>0</v>
      </c>
      <c r="L138" s="292">
        <v>0</v>
      </c>
      <c r="M138" s="292">
        <v>0</v>
      </c>
      <c r="N138" s="292">
        <v>0</v>
      </c>
      <c r="O138" s="292">
        <v>0</v>
      </c>
      <c r="P138" s="292">
        <v>0</v>
      </c>
      <c r="Q138" s="292">
        <v>0</v>
      </c>
      <c r="R138" s="292">
        <v>0</v>
      </c>
      <c r="S138" s="292">
        <v>0</v>
      </c>
      <c r="T138" s="410" t="e">
        <v>#DIV/0!</v>
      </c>
      <c r="U138" s="450">
        <v>0</v>
      </c>
      <c r="V138" s="450">
        <v>0</v>
      </c>
      <c r="W138" s="446"/>
      <c r="X138" s="446"/>
      <c r="Y138" s="446"/>
      <c r="Z138" s="446"/>
    </row>
    <row r="139" spans="1:26" x14ac:dyDescent="0.2">
      <c r="A139" s="409" t="s">
        <v>373</v>
      </c>
      <c r="B139" s="292">
        <v>0</v>
      </c>
      <c r="C139" s="292">
        <v>0</v>
      </c>
      <c r="D139" s="292">
        <v>0</v>
      </c>
      <c r="E139" s="446"/>
      <c r="F139" s="446"/>
      <c r="G139" s="292">
        <v>0</v>
      </c>
      <c r="H139" s="292">
        <v>0</v>
      </c>
      <c r="I139" s="292">
        <v>0</v>
      </c>
      <c r="J139" s="292">
        <v>0</v>
      </c>
      <c r="K139" s="292">
        <v>0</v>
      </c>
      <c r="L139" s="292">
        <v>0</v>
      </c>
      <c r="M139" s="292">
        <v>0</v>
      </c>
      <c r="N139" s="292">
        <v>0</v>
      </c>
      <c r="O139" s="292">
        <v>0</v>
      </c>
      <c r="P139" s="292">
        <v>0</v>
      </c>
      <c r="Q139" s="292">
        <v>0</v>
      </c>
      <c r="R139" s="292">
        <v>0</v>
      </c>
      <c r="S139" s="292">
        <v>0</v>
      </c>
      <c r="T139" s="410" t="e">
        <v>#DIV/0!</v>
      </c>
      <c r="U139" s="450">
        <v>0</v>
      </c>
      <c r="V139" s="450">
        <v>0</v>
      </c>
      <c r="W139" s="446"/>
      <c r="X139" s="446"/>
      <c r="Y139" s="446"/>
      <c r="Z139" s="446"/>
    </row>
    <row r="140" spans="1:26" x14ac:dyDescent="0.2">
      <c r="A140" s="409" t="s">
        <v>374</v>
      </c>
      <c r="B140" s="292">
        <v>0</v>
      </c>
      <c r="C140" s="292">
        <v>0</v>
      </c>
      <c r="D140" s="292">
        <v>0</v>
      </c>
      <c r="E140" s="446"/>
      <c r="F140" s="446"/>
      <c r="G140" s="292">
        <v>0</v>
      </c>
      <c r="H140" s="292">
        <v>0</v>
      </c>
      <c r="I140" s="292">
        <v>0</v>
      </c>
      <c r="J140" s="292">
        <v>0</v>
      </c>
      <c r="K140" s="292">
        <v>0</v>
      </c>
      <c r="L140" s="292">
        <v>0</v>
      </c>
      <c r="M140" s="292">
        <v>0</v>
      </c>
      <c r="N140" s="292">
        <v>0</v>
      </c>
      <c r="O140" s="292">
        <v>0</v>
      </c>
      <c r="P140" s="292">
        <v>0</v>
      </c>
      <c r="Q140" s="292">
        <v>0</v>
      </c>
      <c r="R140" s="292">
        <v>0</v>
      </c>
      <c r="S140" s="292">
        <v>0</v>
      </c>
      <c r="T140" s="410" t="e">
        <v>#DIV/0!</v>
      </c>
      <c r="U140" s="450">
        <v>0</v>
      </c>
      <c r="V140" s="450">
        <v>0</v>
      </c>
      <c r="W140" s="446"/>
      <c r="X140" s="446"/>
      <c r="Y140" s="446"/>
      <c r="Z140" s="446"/>
    </row>
    <row r="141" spans="1:26" x14ac:dyDescent="0.2">
      <c r="A141" s="409" t="s">
        <v>375</v>
      </c>
      <c r="B141" s="292">
        <v>0</v>
      </c>
      <c r="C141" s="292">
        <v>0</v>
      </c>
      <c r="D141" s="292">
        <v>0</v>
      </c>
      <c r="E141" s="446"/>
      <c r="F141" s="446"/>
      <c r="G141" s="292">
        <v>0</v>
      </c>
      <c r="H141" s="292">
        <v>0</v>
      </c>
      <c r="I141" s="292">
        <v>0</v>
      </c>
      <c r="J141" s="292">
        <v>0</v>
      </c>
      <c r="K141" s="292">
        <v>0</v>
      </c>
      <c r="L141" s="292">
        <v>0</v>
      </c>
      <c r="M141" s="292">
        <v>0</v>
      </c>
      <c r="N141" s="292">
        <v>0</v>
      </c>
      <c r="O141" s="292">
        <v>0</v>
      </c>
      <c r="P141" s="292">
        <v>0</v>
      </c>
      <c r="Q141" s="292">
        <v>0</v>
      </c>
      <c r="R141" s="292">
        <v>0</v>
      </c>
      <c r="S141" s="292">
        <v>0</v>
      </c>
      <c r="T141" s="410" t="e">
        <v>#DIV/0!</v>
      </c>
      <c r="U141" s="450">
        <v>0</v>
      </c>
      <c r="V141" s="450">
        <v>0</v>
      </c>
      <c r="W141" s="446"/>
      <c r="X141" s="446"/>
      <c r="Y141" s="446"/>
      <c r="Z141" s="446"/>
    </row>
    <row r="142" spans="1:26" x14ac:dyDescent="0.2">
      <c r="A142" s="409" t="s">
        <v>376</v>
      </c>
      <c r="B142" s="292">
        <v>0</v>
      </c>
      <c r="C142" s="292">
        <v>0</v>
      </c>
      <c r="D142" s="292">
        <v>0</v>
      </c>
      <c r="E142" s="446"/>
      <c r="F142" s="446"/>
      <c r="G142" s="292">
        <v>0</v>
      </c>
      <c r="H142" s="292">
        <v>0</v>
      </c>
      <c r="I142" s="292">
        <v>0</v>
      </c>
      <c r="J142" s="292">
        <v>0</v>
      </c>
      <c r="K142" s="292">
        <v>0</v>
      </c>
      <c r="L142" s="292">
        <v>0</v>
      </c>
      <c r="M142" s="292">
        <v>0</v>
      </c>
      <c r="N142" s="292">
        <v>0</v>
      </c>
      <c r="O142" s="292">
        <v>0</v>
      </c>
      <c r="P142" s="292">
        <v>0</v>
      </c>
      <c r="Q142" s="292">
        <v>0</v>
      </c>
      <c r="R142" s="292">
        <v>0</v>
      </c>
      <c r="S142" s="292">
        <v>0</v>
      </c>
      <c r="T142" s="410" t="e">
        <v>#DIV/0!</v>
      </c>
      <c r="U142" s="450">
        <v>0</v>
      </c>
      <c r="V142" s="450">
        <v>0</v>
      </c>
      <c r="W142" s="446"/>
      <c r="X142" s="446"/>
      <c r="Y142" s="446"/>
      <c r="Z142" s="446"/>
    </row>
    <row r="143" spans="1:26" x14ac:dyDescent="0.2">
      <c r="A143" s="409" t="s">
        <v>377</v>
      </c>
      <c r="B143" s="292">
        <v>0</v>
      </c>
      <c r="C143" s="292">
        <v>0</v>
      </c>
      <c r="D143" s="292">
        <v>0</v>
      </c>
      <c r="E143" s="446"/>
      <c r="F143" s="446"/>
      <c r="G143" s="292">
        <v>0</v>
      </c>
      <c r="H143" s="292">
        <v>0</v>
      </c>
      <c r="I143" s="292">
        <v>0</v>
      </c>
      <c r="J143" s="292">
        <v>0</v>
      </c>
      <c r="K143" s="292">
        <v>0</v>
      </c>
      <c r="L143" s="292">
        <v>0</v>
      </c>
      <c r="M143" s="292">
        <v>0</v>
      </c>
      <c r="N143" s="292">
        <v>0</v>
      </c>
      <c r="O143" s="292">
        <v>0</v>
      </c>
      <c r="P143" s="292">
        <v>0</v>
      </c>
      <c r="Q143" s="292">
        <v>0</v>
      </c>
      <c r="R143" s="292">
        <v>0</v>
      </c>
      <c r="S143" s="292">
        <v>0</v>
      </c>
      <c r="T143" s="410" t="e">
        <v>#DIV/0!</v>
      </c>
      <c r="U143" s="450">
        <v>0</v>
      </c>
      <c r="V143" s="450">
        <v>0</v>
      </c>
      <c r="W143" s="446"/>
      <c r="X143" s="446"/>
      <c r="Y143" s="446"/>
      <c r="Z143" s="446"/>
    </row>
    <row r="144" spans="1:26" x14ac:dyDescent="0.2">
      <c r="A144" s="409" t="s">
        <v>378</v>
      </c>
      <c r="B144" s="292">
        <v>0</v>
      </c>
      <c r="C144" s="292">
        <v>0</v>
      </c>
      <c r="D144" s="292">
        <v>0</v>
      </c>
      <c r="E144" s="446"/>
      <c r="F144" s="446"/>
      <c r="G144" s="292">
        <v>0</v>
      </c>
      <c r="H144" s="292">
        <v>0</v>
      </c>
      <c r="I144" s="292">
        <v>0</v>
      </c>
      <c r="J144" s="292">
        <v>0</v>
      </c>
      <c r="K144" s="292">
        <v>0</v>
      </c>
      <c r="L144" s="292">
        <v>0</v>
      </c>
      <c r="M144" s="292">
        <v>0</v>
      </c>
      <c r="N144" s="292">
        <v>0</v>
      </c>
      <c r="O144" s="292">
        <v>0</v>
      </c>
      <c r="P144" s="292">
        <v>0</v>
      </c>
      <c r="Q144" s="292">
        <v>0</v>
      </c>
      <c r="R144" s="292">
        <v>0</v>
      </c>
      <c r="S144" s="292">
        <v>0</v>
      </c>
      <c r="T144" s="410" t="e">
        <v>#DIV/0!</v>
      </c>
      <c r="U144" s="450">
        <v>0</v>
      </c>
      <c r="V144" s="450">
        <v>0</v>
      </c>
      <c r="W144" s="446"/>
      <c r="X144" s="446"/>
      <c r="Y144" s="446"/>
      <c r="Z144" s="446"/>
    </row>
    <row r="145" spans="1:26" x14ac:dyDescent="0.2">
      <c r="A145" s="409" t="s">
        <v>379</v>
      </c>
      <c r="B145" s="292">
        <v>0</v>
      </c>
      <c r="C145" s="292">
        <v>0</v>
      </c>
      <c r="D145" s="292">
        <v>0</v>
      </c>
      <c r="E145" s="446"/>
      <c r="F145" s="446"/>
      <c r="G145" s="292">
        <v>0</v>
      </c>
      <c r="H145" s="292">
        <v>0</v>
      </c>
      <c r="I145" s="292">
        <v>0</v>
      </c>
      <c r="J145" s="292">
        <v>0</v>
      </c>
      <c r="K145" s="292">
        <v>0</v>
      </c>
      <c r="L145" s="292">
        <v>0</v>
      </c>
      <c r="M145" s="292">
        <v>0</v>
      </c>
      <c r="N145" s="292">
        <v>0</v>
      </c>
      <c r="O145" s="292">
        <v>0</v>
      </c>
      <c r="P145" s="292">
        <v>0</v>
      </c>
      <c r="Q145" s="292">
        <v>0</v>
      </c>
      <c r="R145" s="292">
        <v>0</v>
      </c>
      <c r="S145" s="292">
        <v>0</v>
      </c>
      <c r="T145" s="410" t="e">
        <v>#DIV/0!</v>
      </c>
      <c r="U145" s="450">
        <v>0</v>
      </c>
      <c r="V145" s="450">
        <v>0</v>
      </c>
      <c r="W145" s="446"/>
      <c r="X145" s="446"/>
      <c r="Y145" s="446"/>
      <c r="Z145" s="446"/>
    </row>
    <row r="146" spans="1:26" x14ac:dyDescent="0.2">
      <c r="A146" s="409" t="s">
        <v>380</v>
      </c>
      <c r="B146" s="292">
        <v>0</v>
      </c>
      <c r="C146" s="292">
        <v>0</v>
      </c>
      <c r="D146" s="292">
        <v>0</v>
      </c>
      <c r="E146" s="446"/>
      <c r="F146" s="446"/>
      <c r="G146" s="292">
        <v>0</v>
      </c>
      <c r="H146" s="292">
        <v>0</v>
      </c>
      <c r="I146" s="292">
        <v>0</v>
      </c>
      <c r="J146" s="292">
        <v>0</v>
      </c>
      <c r="K146" s="292">
        <v>0</v>
      </c>
      <c r="L146" s="292">
        <v>0</v>
      </c>
      <c r="M146" s="292">
        <v>0</v>
      </c>
      <c r="N146" s="292">
        <v>0</v>
      </c>
      <c r="O146" s="292">
        <v>0</v>
      </c>
      <c r="P146" s="292">
        <v>0</v>
      </c>
      <c r="Q146" s="292">
        <v>0</v>
      </c>
      <c r="R146" s="292">
        <v>0</v>
      </c>
      <c r="S146" s="292">
        <v>0</v>
      </c>
      <c r="T146" s="410" t="e">
        <v>#DIV/0!</v>
      </c>
      <c r="U146" s="450">
        <v>0</v>
      </c>
      <c r="V146" s="450">
        <v>0</v>
      </c>
      <c r="W146" s="446"/>
      <c r="X146" s="446"/>
      <c r="Y146" s="446"/>
      <c r="Z146" s="446"/>
    </row>
    <row r="147" spans="1:26" x14ac:dyDescent="0.2">
      <c r="A147" s="454" t="s">
        <v>381</v>
      </c>
      <c r="B147" s="451">
        <v>0</v>
      </c>
      <c r="C147" s="451">
        <v>0</v>
      </c>
      <c r="D147" s="451">
        <v>0</v>
      </c>
      <c r="E147" s="452"/>
      <c r="F147" s="452"/>
      <c r="G147" s="451">
        <v>0</v>
      </c>
      <c r="H147" s="451">
        <v>0</v>
      </c>
      <c r="I147" s="451">
        <v>0</v>
      </c>
      <c r="J147" s="451">
        <v>0</v>
      </c>
      <c r="K147" s="451">
        <v>0</v>
      </c>
      <c r="L147" s="451">
        <v>0</v>
      </c>
      <c r="M147" s="451">
        <v>0</v>
      </c>
      <c r="N147" s="451">
        <v>0</v>
      </c>
      <c r="O147" s="451">
        <v>0</v>
      </c>
      <c r="P147" s="451">
        <v>0</v>
      </c>
      <c r="Q147" s="451">
        <v>0</v>
      </c>
      <c r="R147" s="451">
        <v>0</v>
      </c>
      <c r="S147" s="451">
        <v>0</v>
      </c>
      <c r="T147" s="407" t="e">
        <v>#DIV/0!</v>
      </c>
      <c r="U147" s="449">
        <v>0</v>
      </c>
      <c r="V147" s="449">
        <v>0</v>
      </c>
      <c r="W147" s="452"/>
      <c r="X147" s="452"/>
      <c r="Y147" s="446"/>
      <c r="Z147" s="446"/>
    </row>
    <row r="148" spans="1:26" x14ac:dyDescent="0.2">
      <c r="A148" s="441" t="s">
        <v>382</v>
      </c>
      <c r="B148" s="442">
        <v>0</v>
      </c>
      <c r="C148" s="442">
        <v>0</v>
      </c>
      <c r="D148" s="442">
        <v>0</v>
      </c>
      <c r="E148" s="443"/>
      <c r="F148" s="443"/>
      <c r="G148" s="442">
        <v>0</v>
      </c>
      <c r="H148" s="442">
        <v>0</v>
      </c>
      <c r="I148" s="442">
        <v>0</v>
      </c>
      <c r="J148" s="442">
        <v>0</v>
      </c>
      <c r="K148" s="442">
        <v>0</v>
      </c>
      <c r="L148" s="442">
        <v>0</v>
      </c>
      <c r="M148" s="442">
        <v>0</v>
      </c>
      <c r="N148" s="442">
        <v>0</v>
      </c>
      <c r="O148" s="442">
        <v>0</v>
      </c>
      <c r="P148" s="442">
        <v>0</v>
      </c>
      <c r="Q148" s="442">
        <v>0</v>
      </c>
      <c r="R148" s="442">
        <v>0</v>
      </c>
      <c r="S148" s="442">
        <v>0</v>
      </c>
      <c r="T148" s="444" t="e">
        <v>#DIV/0!</v>
      </c>
      <c r="U148" s="445">
        <v>0</v>
      </c>
      <c r="V148" s="445">
        <v>0</v>
      </c>
      <c r="W148" s="446"/>
      <c r="X148" s="446"/>
      <c r="Y148" s="446"/>
      <c r="Z148" s="446"/>
    </row>
    <row r="149" spans="1:26" x14ac:dyDescent="0.2">
      <c r="A149" s="454" t="s">
        <v>383</v>
      </c>
      <c r="B149" s="448">
        <v>0</v>
      </c>
      <c r="C149" s="448">
        <v>0</v>
      </c>
      <c r="D149" s="448">
        <v>0</v>
      </c>
      <c r="E149" s="443"/>
      <c r="F149" s="443"/>
      <c r="G149" s="448">
        <v>0</v>
      </c>
      <c r="H149" s="448">
        <v>0</v>
      </c>
      <c r="I149" s="448">
        <v>0</v>
      </c>
      <c r="J149" s="448">
        <v>0</v>
      </c>
      <c r="K149" s="448">
        <v>0</v>
      </c>
      <c r="L149" s="448">
        <v>0</v>
      </c>
      <c r="M149" s="448">
        <v>0</v>
      </c>
      <c r="N149" s="448">
        <v>0</v>
      </c>
      <c r="O149" s="448">
        <v>0</v>
      </c>
      <c r="P149" s="448">
        <v>0</v>
      </c>
      <c r="Q149" s="448">
        <v>0</v>
      </c>
      <c r="R149" s="448">
        <v>0</v>
      </c>
      <c r="S149" s="448">
        <v>0</v>
      </c>
      <c r="T149" s="407" t="e">
        <v>#DIV/0!</v>
      </c>
      <c r="U149" s="449">
        <v>0</v>
      </c>
      <c r="V149" s="449">
        <v>0</v>
      </c>
      <c r="W149" s="446"/>
      <c r="X149" s="446"/>
      <c r="Y149" s="446"/>
      <c r="Z149" s="446"/>
    </row>
    <row r="150" spans="1:26" x14ac:dyDescent="0.2">
      <c r="A150" s="409" t="s">
        <v>384</v>
      </c>
      <c r="B150" s="292">
        <v>0</v>
      </c>
      <c r="C150" s="292">
        <v>0</v>
      </c>
      <c r="D150" s="292">
        <v>0</v>
      </c>
      <c r="E150" s="446"/>
      <c r="F150" s="446"/>
      <c r="G150" s="292">
        <v>0</v>
      </c>
      <c r="H150" s="292">
        <v>0</v>
      </c>
      <c r="I150" s="292">
        <v>0</v>
      </c>
      <c r="J150" s="292">
        <v>0</v>
      </c>
      <c r="K150" s="292">
        <v>0</v>
      </c>
      <c r="L150" s="292">
        <v>0</v>
      </c>
      <c r="M150" s="292">
        <v>0</v>
      </c>
      <c r="N150" s="292">
        <v>0</v>
      </c>
      <c r="O150" s="292">
        <v>0</v>
      </c>
      <c r="P150" s="292">
        <v>0</v>
      </c>
      <c r="Q150" s="292">
        <v>0</v>
      </c>
      <c r="R150" s="292">
        <v>0</v>
      </c>
      <c r="S150" s="292">
        <v>0</v>
      </c>
      <c r="T150" s="410" t="e">
        <v>#DIV/0!</v>
      </c>
      <c r="U150" s="450">
        <v>0</v>
      </c>
      <c r="V150" s="450">
        <v>0</v>
      </c>
      <c r="W150" s="446"/>
      <c r="X150" s="446"/>
      <c r="Y150" s="446"/>
      <c r="Z150" s="446"/>
    </row>
    <row r="151" spans="1:26" x14ac:dyDescent="0.2">
      <c r="A151" s="409" t="s">
        <v>385</v>
      </c>
      <c r="B151" s="292">
        <v>0</v>
      </c>
      <c r="C151" s="292">
        <v>0</v>
      </c>
      <c r="D151" s="292">
        <v>0</v>
      </c>
      <c r="E151" s="446"/>
      <c r="F151" s="446"/>
      <c r="G151" s="292">
        <v>0</v>
      </c>
      <c r="H151" s="292">
        <v>0</v>
      </c>
      <c r="I151" s="292">
        <v>0</v>
      </c>
      <c r="J151" s="292">
        <v>0</v>
      </c>
      <c r="K151" s="292">
        <v>0</v>
      </c>
      <c r="L151" s="292">
        <v>0</v>
      </c>
      <c r="M151" s="292">
        <v>0</v>
      </c>
      <c r="N151" s="292">
        <v>0</v>
      </c>
      <c r="O151" s="292">
        <v>0</v>
      </c>
      <c r="P151" s="292">
        <v>0</v>
      </c>
      <c r="Q151" s="292">
        <v>0</v>
      </c>
      <c r="R151" s="292">
        <v>0</v>
      </c>
      <c r="S151" s="292">
        <v>0</v>
      </c>
      <c r="T151" s="410" t="e">
        <v>#DIV/0!</v>
      </c>
      <c r="U151" s="450">
        <v>0</v>
      </c>
      <c r="V151" s="450">
        <v>0</v>
      </c>
      <c r="W151" s="446"/>
      <c r="X151" s="446"/>
      <c r="Y151" s="446"/>
      <c r="Z151" s="446"/>
    </row>
    <row r="152" spans="1:26" x14ac:dyDescent="0.2">
      <c r="A152" s="409" t="s">
        <v>386</v>
      </c>
      <c r="B152" s="292">
        <v>0</v>
      </c>
      <c r="C152" s="292">
        <v>0</v>
      </c>
      <c r="D152" s="292">
        <v>0</v>
      </c>
      <c r="E152" s="446"/>
      <c r="F152" s="446"/>
      <c r="G152" s="292">
        <v>0</v>
      </c>
      <c r="H152" s="292">
        <v>0</v>
      </c>
      <c r="I152" s="292">
        <v>0</v>
      </c>
      <c r="J152" s="292">
        <v>0</v>
      </c>
      <c r="K152" s="292">
        <v>0</v>
      </c>
      <c r="L152" s="292">
        <v>0</v>
      </c>
      <c r="M152" s="292">
        <v>0</v>
      </c>
      <c r="N152" s="292">
        <v>0</v>
      </c>
      <c r="O152" s="292">
        <v>0</v>
      </c>
      <c r="P152" s="292">
        <v>0</v>
      </c>
      <c r="Q152" s="292">
        <v>0</v>
      </c>
      <c r="R152" s="292">
        <v>0</v>
      </c>
      <c r="S152" s="292">
        <v>0</v>
      </c>
      <c r="T152" s="410" t="e">
        <v>#DIV/0!</v>
      </c>
      <c r="U152" s="450">
        <v>0</v>
      </c>
      <c r="V152" s="450">
        <v>0</v>
      </c>
      <c r="W152" s="446"/>
      <c r="X152" s="446"/>
      <c r="Y152" s="446"/>
      <c r="Z152" s="446"/>
    </row>
    <row r="153" spans="1:26" x14ac:dyDescent="0.2">
      <c r="A153" s="409" t="s">
        <v>387</v>
      </c>
      <c r="B153" s="292">
        <v>0</v>
      </c>
      <c r="C153" s="292">
        <v>0</v>
      </c>
      <c r="D153" s="292">
        <v>0</v>
      </c>
      <c r="E153" s="446"/>
      <c r="F153" s="446"/>
      <c r="G153" s="292">
        <v>0</v>
      </c>
      <c r="H153" s="292">
        <v>0</v>
      </c>
      <c r="I153" s="292">
        <v>0</v>
      </c>
      <c r="J153" s="292">
        <v>0</v>
      </c>
      <c r="K153" s="292">
        <v>0</v>
      </c>
      <c r="L153" s="292">
        <v>0</v>
      </c>
      <c r="M153" s="292">
        <v>0</v>
      </c>
      <c r="N153" s="292">
        <v>0</v>
      </c>
      <c r="O153" s="292">
        <v>0</v>
      </c>
      <c r="P153" s="292">
        <v>0</v>
      </c>
      <c r="Q153" s="292">
        <v>0</v>
      </c>
      <c r="R153" s="292">
        <v>0</v>
      </c>
      <c r="S153" s="292">
        <v>0</v>
      </c>
      <c r="T153" s="410" t="e">
        <v>#DIV/0!</v>
      </c>
      <c r="U153" s="450">
        <v>0</v>
      </c>
      <c r="V153" s="450">
        <v>0</v>
      </c>
      <c r="W153" s="446"/>
      <c r="X153" s="446"/>
      <c r="Y153" s="446"/>
      <c r="Z153" s="446"/>
    </row>
    <row r="154" spans="1:26" x14ac:dyDescent="0.2">
      <c r="A154" s="409" t="s">
        <v>388</v>
      </c>
      <c r="B154" s="292">
        <v>0</v>
      </c>
      <c r="C154" s="292">
        <v>0</v>
      </c>
      <c r="D154" s="292">
        <v>0</v>
      </c>
      <c r="E154" s="446"/>
      <c r="F154" s="446"/>
      <c r="G154" s="292">
        <v>0</v>
      </c>
      <c r="H154" s="292">
        <v>0</v>
      </c>
      <c r="I154" s="292">
        <v>0</v>
      </c>
      <c r="J154" s="292">
        <v>0</v>
      </c>
      <c r="K154" s="292">
        <v>0</v>
      </c>
      <c r="L154" s="292">
        <v>0</v>
      </c>
      <c r="M154" s="292">
        <v>0</v>
      </c>
      <c r="N154" s="292">
        <v>0</v>
      </c>
      <c r="O154" s="292">
        <v>0</v>
      </c>
      <c r="P154" s="292">
        <v>0</v>
      </c>
      <c r="Q154" s="292">
        <v>0</v>
      </c>
      <c r="R154" s="292">
        <v>0</v>
      </c>
      <c r="S154" s="292">
        <v>0</v>
      </c>
      <c r="T154" s="410" t="e">
        <v>#DIV/0!</v>
      </c>
      <c r="U154" s="450">
        <v>0</v>
      </c>
      <c r="V154" s="450">
        <v>0</v>
      </c>
      <c r="W154" s="446"/>
      <c r="X154" s="446"/>
      <c r="Y154" s="446"/>
      <c r="Z154" s="446"/>
    </row>
    <row r="155" spans="1:26" x14ac:dyDescent="0.2">
      <c r="A155" s="409" t="s">
        <v>389</v>
      </c>
      <c r="B155" s="292">
        <v>0</v>
      </c>
      <c r="C155" s="292">
        <v>0</v>
      </c>
      <c r="D155" s="292">
        <v>0</v>
      </c>
      <c r="E155" s="446"/>
      <c r="F155" s="446"/>
      <c r="G155" s="292">
        <v>0</v>
      </c>
      <c r="H155" s="292">
        <v>0</v>
      </c>
      <c r="I155" s="292">
        <v>0</v>
      </c>
      <c r="J155" s="292">
        <v>0</v>
      </c>
      <c r="K155" s="292">
        <v>0</v>
      </c>
      <c r="L155" s="292">
        <v>0</v>
      </c>
      <c r="M155" s="292">
        <v>0</v>
      </c>
      <c r="N155" s="292">
        <v>0</v>
      </c>
      <c r="O155" s="292">
        <v>0</v>
      </c>
      <c r="P155" s="292">
        <v>0</v>
      </c>
      <c r="Q155" s="292">
        <v>0</v>
      </c>
      <c r="R155" s="292">
        <v>0</v>
      </c>
      <c r="S155" s="292">
        <v>0</v>
      </c>
      <c r="T155" s="410" t="e">
        <v>#DIV/0!</v>
      </c>
      <c r="U155" s="450">
        <v>0</v>
      </c>
      <c r="V155" s="450">
        <v>0</v>
      </c>
      <c r="W155" s="446"/>
      <c r="X155" s="446"/>
      <c r="Y155" s="446"/>
      <c r="Z155" s="446"/>
    </row>
    <row r="156" spans="1:26" x14ac:dyDescent="0.2">
      <c r="A156" s="404" t="s">
        <v>390</v>
      </c>
      <c r="B156" s="448">
        <v>0</v>
      </c>
      <c r="C156" s="448">
        <v>0</v>
      </c>
      <c r="D156" s="448">
        <v>0</v>
      </c>
      <c r="E156" s="443"/>
      <c r="F156" s="443"/>
      <c r="G156" s="448">
        <v>0</v>
      </c>
      <c r="H156" s="448">
        <v>0</v>
      </c>
      <c r="I156" s="448">
        <v>0</v>
      </c>
      <c r="J156" s="448">
        <v>0</v>
      </c>
      <c r="K156" s="448">
        <v>0</v>
      </c>
      <c r="L156" s="448">
        <v>0</v>
      </c>
      <c r="M156" s="448">
        <v>0</v>
      </c>
      <c r="N156" s="448">
        <v>0</v>
      </c>
      <c r="O156" s="448">
        <v>0</v>
      </c>
      <c r="P156" s="448">
        <v>0</v>
      </c>
      <c r="Q156" s="448">
        <v>0</v>
      </c>
      <c r="R156" s="448">
        <v>0</v>
      </c>
      <c r="S156" s="448">
        <v>0</v>
      </c>
      <c r="T156" s="407" t="e">
        <v>#DIV/0!</v>
      </c>
      <c r="U156" s="449">
        <v>0</v>
      </c>
      <c r="V156" s="449">
        <v>0</v>
      </c>
      <c r="W156" s="446"/>
      <c r="X156" s="446"/>
      <c r="Y156" s="446"/>
      <c r="Z156" s="446"/>
    </row>
    <row r="157" spans="1:26" x14ac:dyDescent="0.2">
      <c r="A157" s="412" t="s">
        <v>391</v>
      </c>
      <c r="B157" s="292">
        <v>0</v>
      </c>
      <c r="C157" s="292">
        <v>0</v>
      </c>
      <c r="D157" s="292">
        <v>0</v>
      </c>
      <c r="E157" s="446"/>
      <c r="F157" s="446"/>
      <c r="G157" s="292">
        <v>0</v>
      </c>
      <c r="H157" s="292">
        <v>0</v>
      </c>
      <c r="I157" s="292">
        <v>0</v>
      </c>
      <c r="J157" s="292">
        <v>0</v>
      </c>
      <c r="K157" s="292">
        <v>0</v>
      </c>
      <c r="L157" s="292">
        <v>0</v>
      </c>
      <c r="M157" s="292">
        <v>0</v>
      </c>
      <c r="N157" s="292">
        <v>0</v>
      </c>
      <c r="O157" s="292">
        <v>0</v>
      </c>
      <c r="P157" s="292">
        <v>0</v>
      </c>
      <c r="Q157" s="292">
        <v>0</v>
      </c>
      <c r="R157" s="292">
        <v>0</v>
      </c>
      <c r="S157" s="292">
        <v>0</v>
      </c>
      <c r="T157" s="410" t="e">
        <v>#DIV/0!</v>
      </c>
      <c r="U157" s="450">
        <v>0</v>
      </c>
      <c r="V157" s="450">
        <v>0</v>
      </c>
      <c r="W157" s="446"/>
      <c r="X157" s="446"/>
      <c r="Y157" s="446"/>
      <c r="Z157" s="446"/>
    </row>
    <row r="158" spans="1:26" x14ac:dyDescent="0.2">
      <c r="A158" s="412" t="s">
        <v>392</v>
      </c>
      <c r="B158" s="292">
        <v>0</v>
      </c>
      <c r="C158" s="292">
        <v>0</v>
      </c>
      <c r="D158" s="292">
        <v>0</v>
      </c>
      <c r="E158" s="446"/>
      <c r="F158" s="446"/>
      <c r="G158" s="292">
        <v>0</v>
      </c>
      <c r="H158" s="292">
        <v>0</v>
      </c>
      <c r="I158" s="292">
        <v>0</v>
      </c>
      <c r="J158" s="292">
        <v>0</v>
      </c>
      <c r="K158" s="292">
        <v>0</v>
      </c>
      <c r="L158" s="292">
        <v>0</v>
      </c>
      <c r="M158" s="292">
        <v>0</v>
      </c>
      <c r="N158" s="292">
        <v>0</v>
      </c>
      <c r="O158" s="292">
        <v>0</v>
      </c>
      <c r="P158" s="292">
        <v>0</v>
      </c>
      <c r="Q158" s="292">
        <v>0</v>
      </c>
      <c r="R158" s="292">
        <v>0</v>
      </c>
      <c r="S158" s="292">
        <v>0</v>
      </c>
      <c r="T158" s="410" t="e">
        <v>#DIV/0!</v>
      </c>
      <c r="U158" s="450">
        <v>0</v>
      </c>
      <c r="V158" s="450">
        <v>0</v>
      </c>
      <c r="W158" s="446"/>
      <c r="X158" s="446"/>
      <c r="Y158" s="446"/>
      <c r="Z158" s="446"/>
    </row>
    <row r="159" spans="1:26" x14ac:dyDescent="0.2">
      <c r="A159" s="412" t="s">
        <v>393</v>
      </c>
      <c r="B159" s="292">
        <v>0</v>
      </c>
      <c r="C159" s="292">
        <v>0</v>
      </c>
      <c r="D159" s="292">
        <v>0</v>
      </c>
      <c r="E159" s="446"/>
      <c r="F159" s="446"/>
      <c r="G159" s="292">
        <v>0</v>
      </c>
      <c r="H159" s="292">
        <v>0</v>
      </c>
      <c r="I159" s="292">
        <v>0</v>
      </c>
      <c r="J159" s="292">
        <v>0</v>
      </c>
      <c r="K159" s="292">
        <v>0</v>
      </c>
      <c r="L159" s="292">
        <v>0</v>
      </c>
      <c r="M159" s="292">
        <v>0</v>
      </c>
      <c r="N159" s="292">
        <v>0</v>
      </c>
      <c r="O159" s="292">
        <v>0</v>
      </c>
      <c r="P159" s="292">
        <v>0</v>
      </c>
      <c r="Q159" s="292">
        <v>0</v>
      </c>
      <c r="R159" s="292">
        <v>0</v>
      </c>
      <c r="S159" s="292">
        <v>0</v>
      </c>
      <c r="T159" s="410" t="e">
        <v>#DIV/0!</v>
      </c>
      <c r="U159" s="450">
        <v>0</v>
      </c>
      <c r="V159" s="450">
        <v>0</v>
      </c>
      <c r="W159" s="446"/>
      <c r="X159" s="446"/>
      <c r="Y159" s="446"/>
      <c r="Z159" s="446"/>
    </row>
    <row r="160" spans="1:26" x14ac:dyDescent="0.2">
      <c r="A160" s="441" t="s">
        <v>394</v>
      </c>
      <c r="B160" s="458">
        <v>0</v>
      </c>
      <c r="C160" s="458">
        <v>0</v>
      </c>
      <c r="D160" s="458">
        <v>0</v>
      </c>
      <c r="E160" s="452"/>
      <c r="F160" s="452"/>
      <c r="G160" s="458">
        <v>0</v>
      </c>
      <c r="H160" s="458">
        <v>0</v>
      </c>
      <c r="I160" s="458">
        <v>0</v>
      </c>
      <c r="J160" s="458">
        <v>0</v>
      </c>
      <c r="K160" s="458">
        <v>0</v>
      </c>
      <c r="L160" s="458">
        <v>0</v>
      </c>
      <c r="M160" s="458">
        <v>0</v>
      </c>
      <c r="N160" s="458">
        <v>0</v>
      </c>
      <c r="O160" s="458">
        <v>0</v>
      </c>
      <c r="P160" s="458">
        <v>0</v>
      </c>
      <c r="Q160" s="458">
        <v>0</v>
      </c>
      <c r="R160" s="458">
        <v>0</v>
      </c>
      <c r="S160" s="458">
        <v>0</v>
      </c>
      <c r="T160" s="444" t="e">
        <v>#DIV/0!</v>
      </c>
      <c r="U160" s="445">
        <v>0</v>
      </c>
      <c r="V160" s="445">
        <v>0</v>
      </c>
      <c r="W160" s="446"/>
      <c r="X160" s="446"/>
      <c r="Y160" s="446"/>
      <c r="Z160" s="446"/>
    </row>
    <row r="161" spans="1:27" x14ac:dyDescent="0.2">
      <c r="A161" s="459" t="s">
        <v>395</v>
      </c>
      <c r="B161" s="458">
        <v>0</v>
      </c>
      <c r="C161" s="458">
        <v>5831672.3799999999</v>
      </c>
      <c r="D161" s="458">
        <v>5831672.3799999999</v>
      </c>
      <c r="E161" s="452"/>
      <c r="F161" s="452"/>
      <c r="G161" s="458">
        <v>5831672.3799999999</v>
      </c>
      <c r="H161" s="458">
        <v>0</v>
      </c>
      <c r="I161" s="458">
        <v>0</v>
      </c>
      <c r="J161" s="458">
        <v>0</v>
      </c>
      <c r="K161" s="458">
        <v>0</v>
      </c>
      <c r="L161" s="458">
        <v>0</v>
      </c>
      <c r="M161" s="458">
        <v>0</v>
      </c>
      <c r="N161" s="458">
        <v>0</v>
      </c>
      <c r="O161" s="458">
        <v>0</v>
      </c>
      <c r="P161" s="458">
        <v>0</v>
      </c>
      <c r="Q161" s="458">
        <v>0</v>
      </c>
      <c r="R161" s="458">
        <v>0</v>
      </c>
      <c r="S161" s="458">
        <v>5831672.3799999999</v>
      </c>
      <c r="T161" s="444">
        <v>1</v>
      </c>
      <c r="U161" s="445">
        <v>0</v>
      </c>
      <c r="V161" s="445">
        <v>0</v>
      </c>
      <c r="W161" s="446"/>
      <c r="X161" s="446"/>
      <c r="Y161" s="446"/>
      <c r="Z161" s="446"/>
    </row>
    <row r="162" spans="1:27" x14ac:dyDescent="0.2">
      <c r="A162" s="460" t="s">
        <v>396</v>
      </c>
      <c r="B162" s="461">
        <v>0</v>
      </c>
      <c r="C162" s="461">
        <v>0</v>
      </c>
      <c r="D162" s="461">
        <v>0</v>
      </c>
      <c r="E162" s="443"/>
      <c r="F162" s="443"/>
      <c r="G162" s="461">
        <v>0</v>
      </c>
      <c r="H162" s="461">
        <v>0</v>
      </c>
      <c r="I162" s="461">
        <v>0</v>
      </c>
      <c r="J162" s="461">
        <v>0</v>
      </c>
      <c r="K162" s="461">
        <v>0</v>
      </c>
      <c r="L162" s="461">
        <v>0</v>
      </c>
      <c r="M162" s="461">
        <v>0</v>
      </c>
      <c r="N162" s="461">
        <v>0</v>
      </c>
      <c r="O162" s="461">
        <v>0</v>
      </c>
      <c r="P162" s="461">
        <v>0</v>
      </c>
      <c r="Q162" s="461">
        <v>0</v>
      </c>
      <c r="R162" s="461">
        <v>0</v>
      </c>
      <c r="S162" s="461">
        <v>0</v>
      </c>
      <c r="T162" s="420" t="e">
        <v>#DIV/0!</v>
      </c>
      <c r="U162" s="462">
        <v>0</v>
      </c>
      <c r="V162" s="462">
        <v>0</v>
      </c>
      <c r="W162" s="446"/>
      <c r="X162" s="446"/>
      <c r="Y162" s="446"/>
      <c r="Z162" s="446"/>
    </row>
    <row r="163" spans="1:27" x14ac:dyDescent="0.2">
      <c r="A163" s="454" t="s">
        <v>397</v>
      </c>
      <c r="B163" s="451">
        <v>0</v>
      </c>
      <c r="C163" s="451">
        <v>0</v>
      </c>
      <c r="D163" s="451">
        <v>0</v>
      </c>
      <c r="E163" s="452"/>
      <c r="F163" s="452"/>
      <c r="G163" s="451">
        <v>0</v>
      </c>
      <c r="H163" s="451">
        <v>0</v>
      </c>
      <c r="I163" s="451">
        <v>0</v>
      </c>
      <c r="J163" s="451">
        <v>0</v>
      </c>
      <c r="K163" s="451">
        <v>0</v>
      </c>
      <c r="L163" s="451">
        <v>0</v>
      </c>
      <c r="M163" s="451">
        <v>0</v>
      </c>
      <c r="N163" s="451">
        <v>0</v>
      </c>
      <c r="O163" s="451">
        <v>0</v>
      </c>
      <c r="P163" s="451">
        <v>0</v>
      </c>
      <c r="Q163" s="451">
        <v>0</v>
      </c>
      <c r="R163" s="451">
        <v>0</v>
      </c>
      <c r="S163" s="451">
        <v>0</v>
      </c>
      <c r="T163" s="407" t="e">
        <v>#DIV/0!</v>
      </c>
      <c r="U163" s="449">
        <v>0</v>
      </c>
      <c r="V163" s="449">
        <v>0</v>
      </c>
      <c r="W163" s="452"/>
      <c r="X163" s="452"/>
      <c r="Y163" s="446"/>
      <c r="Z163" s="446"/>
    </row>
    <row r="164" spans="1:27" x14ac:dyDescent="0.2">
      <c r="A164" s="454" t="s">
        <v>398</v>
      </c>
      <c r="B164" s="451">
        <v>0</v>
      </c>
      <c r="C164" s="451">
        <v>0</v>
      </c>
      <c r="D164" s="451">
        <v>0</v>
      </c>
      <c r="E164" s="452"/>
      <c r="F164" s="452"/>
      <c r="G164" s="451">
        <v>0</v>
      </c>
      <c r="H164" s="451">
        <v>0</v>
      </c>
      <c r="I164" s="451">
        <v>0</v>
      </c>
      <c r="J164" s="451">
        <v>0</v>
      </c>
      <c r="K164" s="451">
        <v>0</v>
      </c>
      <c r="L164" s="451">
        <v>0</v>
      </c>
      <c r="M164" s="451">
        <v>0</v>
      </c>
      <c r="N164" s="451">
        <v>0</v>
      </c>
      <c r="O164" s="451">
        <v>0</v>
      </c>
      <c r="P164" s="451">
        <v>0</v>
      </c>
      <c r="Q164" s="451">
        <v>0</v>
      </c>
      <c r="R164" s="451">
        <v>0</v>
      </c>
      <c r="S164" s="451">
        <v>0</v>
      </c>
      <c r="T164" s="407" t="e">
        <v>#DIV/0!</v>
      </c>
      <c r="U164" s="449">
        <v>0</v>
      </c>
      <c r="V164" s="449">
        <v>0</v>
      </c>
      <c r="W164" s="452"/>
      <c r="X164" s="452"/>
      <c r="Y164" s="446"/>
      <c r="Z164" s="446"/>
    </row>
    <row r="165" spans="1:27" x14ac:dyDescent="0.2">
      <c r="A165" s="454" t="s">
        <v>399</v>
      </c>
      <c r="B165" s="448">
        <v>0</v>
      </c>
      <c r="C165" s="448">
        <v>0</v>
      </c>
      <c r="D165" s="448">
        <v>0</v>
      </c>
      <c r="E165" s="443"/>
      <c r="F165" s="443"/>
      <c r="G165" s="448">
        <v>0</v>
      </c>
      <c r="H165" s="448">
        <v>0</v>
      </c>
      <c r="I165" s="448">
        <v>0</v>
      </c>
      <c r="J165" s="448">
        <v>0</v>
      </c>
      <c r="K165" s="448">
        <v>0</v>
      </c>
      <c r="L165" s="448">
        <v>0</v>
      </c>
      <c r="M165" s="448">
        <v>0</v>
      </c>
      <c r="N165" s="448">
        <v>0</v>
      </c>
      <c r="O165" s="448">
        <v>0</v>
      </c>
      <c r="P165" s="448">
        <v>0</v>
      </c>
      <c r="Q165" s="448">
        <v>0</v>
      </c>
      <c r="R165" s="448">
        <v>0</v>
      </c>
      <c r="S165" s="448">
        <v>0</v>
      </c>
      <c r="T165" s="407" t="e">
        <v>#DIV/0!</v>
      </c>
      <c r="U165" s="449">
        <v>0</v>
      </c>
      <c r="V165" s="449">
        <v>0</v>
      </c>
      <c r="W165" s="452"/>
      <c r="X165" s="452"/>
      <c r="Y165" s="446"/>
      <c r="Z165" s="446"/>
    </row>
    <row r="166" spans="1:27" x14ac:dyDescent="0.2">
      <c r="A166" s="409" t="s">
        <v>400</v>
      </c>
      <c r="B166" s="292">
        <v>0</v>
      </c>
      <c r="C166" s="292">
        <v>0</v>
      </c>
      <c r="D166" s="292">
        <v>0</v>
      </c>
      <c r="E166" s="446"/>
      <c r="F166" s="446"/>
      <c r="G166" s="292">
        <v>0</v>
      </c>
      <c r="H166" s="292">
        <v>0</v>
      </c>
      <c r="I166" s="292">
        <v>0</v>
      </c>
      <c r="J166" s="292">
        <v>0</v>
      </c>
      <c r="K166" s="292">
        <v>0</v>
      </c>
      <c r="L166" s="292">
        <v>0</v>
      </c>
      <c r="M166" s="292">
        <v>0</v>
      </c>
      <c r="N166" s="292">
        <v>0</v>
      </c>
      <c r="O166" s="292">
        <v>0</v>
      </c>
      <c r="P166" s="292">
        <v>0</v>
      </c>
      <c r="Q166" s="292">
        <v>0</v>
      </c>
      <c r="R166" s="292">
        <v>0</v>
      </c>
      <c r="S166" s="292">
        <v>0</v>
      </c>
      <c r="T166" s="410" t="e">
        <v>#DIV/0!</v>
      </c>
      <c r="U166" s="450">
        <v>0</v>
      </c>
      <c r="V166" s="450">
        <v>0</v>
      </c>
      <c r="W166" s="446"/>
      <c r="X166" s="446"/>
      <c r="Y166" s="446"/>
      <c r="Z166" s="446"/>
    </row>
    <row r="167" spans="1:27" x14ac:dyDescent="0.2">
      <c r="A167" s="409" t="s">
        <v>401</v>
      </c>
      <c r="B167" s="292">
        <v>0</v>
      </c>
      <c r="C167" s="292">
        <v>0</v>
      </c>
      <c r="D167" s="292">
        <v>0</v>
      </c>
      <c r="E167" s="446"/>
      <c r="F167" s="446"/>
      <c r="G167" s="292">
        <v>0</v>
      </c>
      <c r="H167" s="292">
        <v>0</v>
      </c>
      <c r="I167" s="292">
        <v>0</v>
      </c>
      <c r="J167" s="292">
        <v>0</v>
      </c>
      <c r="K167" s="292">
        <v>0</v>
      </c>
      <c r="L167" s="292">
        <v>0</v>
      </c>
      <c r="M167" s="292">
        <v>0</v>
      </c>
      <c r="N167" s="292">
        <v>0</v>
      </c>
      <c r="O167" s="292">
        <v>0</v>
      </c>
      <c r="P167" s="292">
        <v>0</v>
      </c>
      <c r="Q167" s="292">
        <v>0</v>
      </c>
      <c r="R167" s="292">
        <v>0</v>
      </c>
      <c r="S167" s="292">
        <v>0</v>
      </c>
      <c r="T167" s="410" t="e">
        <v>#DIV/0!</v>
      </c>
      <c r="U167" s="450">
        <v>0</v>
      </c>
      <c r="V167" s="450">
        <v>0</v>
      </c>
      <c r="W167" s="446"/>
      <c r="X167" s="446"/>
      <c r="Y167" s="446"/>
      <c r="Z167" s="446"/>
    </row>
    <row r="168" spans="1:27" x14ac:dyDescent="0.2">
      <c r="A168" s="409" t="s">
        <v>402</v>
      </c>
      <c r="B168" s="292">
        <v>0</v>
      </c>
      <c r="C168" s="292">
        <v>0</v>
      </c>
      <c r="D168" s="292">
        <v>0</v>
      </c>
      <c r="E168" s="446"/>
      <c r="F168" s="446"/>
      <c r="G168" s="292">
        <v>0</v>
      </c>
      <c r="H168" s="292">
        <v>0</v>
      </c>
      <c r="I168" s="292">
        <v>0</v>
      </c>
      <c r="J168" s="292">
        <v>0</v>
      </c>
      <c r="K168" s="292">
        <v>0</v>
      </c>
      <c r="L168" s="292">
        <v>0</v>
      </c>
      <c r="M168" s="292">
        <v>0</v>
      </c>
      <c r="N168" s="292">
        <v>0</v>
      </c>
      <c r="O168" s="292">
        <v>0</v>
      </c>
      <c r="P168" s="292">
        <v>0</v>
      </c>
      <c r="Q168" s="292">
        <v>0</v>
      </c>
      <c r="R168" s="292">
        <v>0</v>
      </c>
      <c r="S168" s="292">
        <v>0</v>
      </c>
      <c r="T168" s="410" t="e">
        <v>#DIV/0!</v>
      </c>
      <c r="U168" s="450">
        <v>0</v>
      </c>
      <c r="V168" s="450">
        <v>0</v>
      </c>
      <c r="W168" s="446"/>
      <c r="X168" s="446"/>
      <c r="Y168" s="446"/>
      <c r="Z168" s="446"/>
    </row>
    <row r="169" spans="1:27" x14ac:dyDescent="0.2">
      <c r="A169" s="454" t="s">
        <v>403</v>
      </c>
      <c r="B169" s="451">
        <v>0</v>
      </c>
      <c r="C169" s="451">
        <v>0</v>
      </c>
      <c r="D169" s="451">
        <v>0</v>
      </c>
      <c r="E169" s="446"/>
      <c r="F169" s="446"/>
      <c r="G169" s="451">
        <v>0</v>
      </c>
      <c r="H169" s="451">
        <v>0</v>
      </c>
      <c r="I169" s="451">
        <v>0</v>
      </c>
      <c r="J169" s="451">
        <v>0</v>
      </c>
      <c r="K169" s="451">
        <v>0</v>
      </c>
      <c r="L169" s="451">
        <v>0</v>
      </c>
      <c r="M169" s="451">
        <v>0</v>
      </c>
      <c r="N169" s="451">
        <v>0</v>
      </c>
      <c r="O169" s="451">
        <v>0</v>
      </c>
      <c r="P169" s="451">
        <v>0</v>
      </c>
      <c r="Q169" s="451">
        <v>0</v>
      </c>
      <c r="R169" s="451">
        <v>0</v>
      </c>
      <c r="S169" s="451">
        <v>0</v>
      </c>
      <c r="T169" s="407" t="e">
        <v>#DIV/0!</v>
      </c>
      <c r="U169" s="449">
        <v>0</v>
      </c>
      <c r="V169" s="449">
        <v>0</v>
      </c>
      <c r="W169" s="452"/>
      <c r="X169" s="452"/>
      <c r="Y169" s="452"/>
      <c r="Z169" s="446"/>
    </row>
    <row r="170" spans="1:27" x14ac:dyDescent="0.2">
      <c r="A170" s="463" t="s">
        <v>53</v>
      </c>
      <c r="B170" s="464">
        <v>104250000</v>
      </c>
      <c r="C170" s="464">
        <v>104250000</v>
      </c>
      <c r="D170" s="464">
        <v>65733275.620000005</v>
      </c>
      <c r="E170" s="446"/>
      <c r="F170" s="446"/>
      <c r="G170" s="464">
        <v>5831672.3799999999</v>
      </c>
      <c r="H170" s="464">
        <v>0</v>
      </c>
      <c r="I170" s="464">
        <v>46451969.830000006</v>
      </c>
      <c r="J170" s="464">
        <v>1000</v>
      </c>
      <c r="K170" s="464">
        <v>0</v>
      </c>
      <c r="L170" s="464">
        <v>10462</v>
      </c>
      <c r="M170" s="464">
        <v>13391990.6</v>
      </c>
      <c r="N170" s="464">
        <v>720</v>
      </c>
      <c r="O170" s="464">
        <v>17920.760000000002</v>
      </c>
      <c r="P170" s="464">
        <v>0</v>
      </c>
      <c r="Q170" s="464">
        <v>0</v>
      </c>
      <c r="R170" s="464">
        <v>0</v>
      </c>
      <c r="S170" s="464">
        <v>65705735.570000008</v>
      </c>
      <c r="T170" s="465">
        <v>0.63027084479616313</v>
      </c>
      <c r="U170" s="466">
        <v>38544264.429999992</v>
      </c>
      <c r="V170" s="466">
        <v>27540.04999999702</v>
      </c>
      <c r="W170" s="452"/>
      <c r="X170" s="452"/>
      <c r="Y170" s="452"/>
      <c r="Z170" s="452"/>
      <c r="AA170" s="453"/>
    </row>
    <row r="171" spans="1:27" x14ac:dyDescent="0.2">
      <c r="A171" s="467" t="s">
        <v>54</v>
      </c>
      <c r="B171" s="468">
        <v>104250000</v>
      </c>
      <c r="C171" s="468">
        <v>104250000</v>
      </c>
      <c r="D171" s="468">
        <v>65733275.620000005</v>
      </c>
      <c r="E171" s="446"/>
      <c r="F171" s="446"/>
      <c r="G171" s="468">
        <v>5831672.3799999999</v>
      </c>
      <c r="H171" s="468">
        <v>0</v>
      </c>
      <c r="I171" s="468">
        <v>46451969.830000006</v>
      </c>
      <c r="J171" s="468">
        <v>1000</v>
      </c>
      <c r="K171" s="468">
        <v>0</v>
      </c>
      <c r="L171" s="468">
        <v>10462</v>
      </c>
      <c r="M171" s="468">
        <v>13391990.6</v>
      </c>
      <c r="N171" s="468">
        <v>720</v>
      </c>
      <c r="O171" s="468">
        <v>17920.760000000002</v>
      </c>
      <c r="P171" s="468">
        <v>0</v>
      </c>
      <c r="Q171" s="468">
        <v>0</v>
      </c>
      <c r="R171" s="468">
        <v>0</v>
      </c>
      <c r="S171" s="468">
        <v>65705735.570000008</v>
      </c>
      <c r="T171" s="469">
        <v>0.63027084479616313</v>
      </c>
      <c r="U171" s="470">
        <v>38544264.429999992</v>
      </c>
      <c r="V171" s="470">
        <v>27540.04999999702</v>
      </c>
      <c r="W171" s="452"/>
      <c r="X171" s="452"/>
      <c r="Y171" s="452"/>
      <c r="Z171" s="452"/>
      <c r="AA171" s="453"/>
    </row>
    <row r="172" spans="1:27" x14ac:dyDescent="0.2">
      <c r="A172" s="467" t="s">
        <v>55</v>
      </c>
      <c r="B172" s="468">
        <v>104250000</v>
      </c>
      <c r="C172" s="468">
        <v>98418327.620000005</v>
      </c>
      <c r="D172" s="468">
        <v>59901603.240000002</v>
      </c>
      <c r="E172" s="446"/>
      <c r="F172" s="446"/>
      <c r="G172" s="468">
        <v>0</v>
      </c>
      <c r="H172" s="468">
        <v>0</v>
      </c>
      <c r="I172" s="468">
        <v>46451969.830000006</v>
      </c>
      <c r="J172" s="468">
        <v>1000</v>
      </c>
      <c r="K172" s="468">
        <v>0</v>
      </c>
      <c r="L172" s="468">
        <v>10462</v>
      </c>
      <c r="M172" s="468">
        <v>13391990.6</v>
      </c>
      <c r="N172" s="468">
        <v>720</v>
      </c>
      <c r="O172" s="468">
        <v>17920.760000000002</v>
      </c>
      <c r="P172" s="468">
        <v>0</v>
      </c>
      <c r="Q172" s="468">
        <v>0</v>
      </c>
      <c r="R172" s="468">
        <v>0</v>
      </c>
      <c r="S172" s="468">
        <v>59874063.190000005</v>
      </c>
      <c r="T172" s="469">
        <v>0.60836294050004502</v>
      </c>
      <c r="U172" s="470">
        <v>38544264.43</v>
      </c>
      <c r="V172" s="470">
        <v>27540.04999999702</v>
      </c>
      <c r="W172" s="452"/>
      <c r="X172" s="452"/>
      <c r="Y172" s="452"/>
      <c r="Z172" s="452"/>
      <c r="AA172" s="453"/>
    </row>
    <row r="173" spans="1:27" x14ac:dyDescent="0.2">
      <c r="A173" s="467" t="s">
        <v>56</v>
      </c>
      <c r="B173" s="468">
        <v>104250000</v>
      </c>
      <c r="C173" s="468">
        <v>98418327.620000005</v>
      </c>
      <c r="D173" s="468">
        <v>59901603.240000002</v>
      </c>
      <c r="E173" s="446"/>
      <c r="F173" s="446"/>
      <c r="G173" s="468">
        <v>0</v>
      </c>
      <c r="H173" s="468">
        <v>0</v>
      </c>
      <c r="I173" s="468">
        <v>46451969.830000006</v>
      </c>
      <c r="J173" s="468">
        <v>1000</v>
      </c>
      <c r="K173" s="468">
        <v>0</v>
      </c>
      <c r="L173" s="468">
        <v>10462</v>
      </c>
      <c r="M173" s="468">
        <v>13391990.6</v>
      </c>
      <c r="N173" s="468">
        <v>720</v>
      </c>
      <c r="O173" s="468">
        <v>17920.760000000002</v>
      </c>
      <c r="P173" s="468">
        <v>0</v>
      </c>
      <c r="Q173" s="468">
        <v>0</v>
      </c>
      <c r="R173" s="468">
        <v>0</v>
      </c>
      <c r="S173" s="468">
        <v>59874063.190000005</v>
      </c>
      <c r="T173" s="469">
        <v>0.60836294050004502</v>
      </c>
      <c r="U173" s="470">
        <v>38544264.43</v>
      </c>
      <c r="V173" s="470">
        <v>27540.04999999702</v>
      </c>
      <c r="W173" s="452"/>
      <c r="X173" s="452"/>
      <c r="Y173" s="452"/>
      <c r="Z173" s="452"/>
      <c r="AA173" s="453"/>
    </row>
    <row r="174" spans="1:27" s="263" customFormat="1" x14ac:dyDescent="0.2">
      <c r="A174" s="551" t="s">
        <v>34</v>
      </c>
      <c r="B174" s="551"/>
      <c r="C174" s="551"/>
      <c r="D174" s="551"/>
      <c r="E174" s="551"/>
      <c r="F174" s="551"/>
      <c r="G174" s="551"/>
      <c r="H174" s="551"/>
      <c r="I174" s="551"/>
      <c r="J174" s="551"/>
      <c r="K174" s="551"/>
      <c r="L174" s="551"/>
      <c r="M174" s="551"/>
      <c r="N174" s="551"/>
      <c r="O174" s="551"/>
      <c r="P174" s="551"/>
      <c r="Q174" s="551"/>
      <c r="R174" s="551"/>
      <c r="S174" s="551"/>
      <c r="T174" s="551"/>
      <c r="U174" s="551"/>
      <c r="V174" s="551"/>
      <c r="W174" s="551"/>
      <c r="X174" s="551"/>
      <c r="Y174" s="551"/>
      <c r="Z174" s="551"/>
    </row>
    <row r="175" spans="1:27" s="263" customFormat="1" ht="24" x14ac:dyDescent="0.2">
      <c r="A175" s="553" t="s">
        <v>36</v>
      </c>
      <c r="B175" s="553" t="s">
        <v>2</v>
      </c>
      <c r="C175" s="553" t="s">
        <v>3</v>
      </c>
      <c r="D175" s="471" t="s">
        <v>57</v>
      </c>
      <c r="E175" s="471" t="s">
        <v>30</v>
      </c>
      <c r="F175" s="471" t="s">
        <v>58</v>
      </c>
      <c r="G175" s="552" t="s">
        <v>5</v>
      </c>
      <c r="H175" s="552" t="s">
        <v>6</v>
      </c>
      <c r="I175" s="552" t="s">
        <v>7</v>
      </c>
      <c r="J175" s="552" t="s">
        <v>8</v>
      </c>
      <c r="K175" s="552" t="s">
        <v>9</v>
      </c>
      <c r="L175" s="552" t="s">
        <v>10</v>
      </c>
      <c r="M175" s="552" t="s">
        <v>11</v>
      </c>
      <c r="N175" s="552" t="s">
        <v>12</v>
      </c>
      <c r="O175" s="552" t="s">
        <v>13</v>
      </c>
      <c r="P175" s="552" t="s">
        <v>14</v>
      </c>
      <c r="Q175" s="552" t="s">
        <v>15</v>
      </c>
      <c r="R175" s="552" t="s">
        <v>16</v>
      </c>
      <c r="S175" s="471" t="s">
        <v>17</v>
      </c>
      <c r="T175" s="471" t="s">
        <v>18</v>
      </c>
      <c r="U175" s="552" t="s">
        <v>59</v>
      </c>
      <c r="V175" s="552" t="s">
        <v>60</v>
      </c>
      <c r="W175" s="552" t="s">
        <v>32</v>
      </c>
      <c r="X175" s="552" t="s">
        <v>31</v>
      </c>
      <c r="Y175" s="552" t="s">
        <v>61</v>
      </c>
      <c r="Z175" s="552" t="s">
        <v>62</v>
      </c>
    </row>
    <row r="176" spans="1:27" s="263" customFormat="1" ht="24" x14ac:dyDescent="0.2">
      <c r="A176" s="553"/>
      <c r="B176" s="553"/>
      <c r="C176" s="553"/>
      <c r="D176" s="472" t="s">
        <v>1426</v>
      </c>
      <c r="E176" s="472" t="s">
        <v>1426</v>
      </c>
      <c r="F176" s="472" t="s">
        <v>1426</v>
      </c>
      <c r="G176" s="552"/>
      <c r="H176" s="552"/>
      <c r="I176" s="552"/>
      <c r="J176" s="552"/>
      <c r="K176" s="552"/>
      <c r="L176" s="552"/>
      <c r="M176" s="552"/>
      <c r="N176" s="552"/>
      <c r="O176" s="552"/>
      <c r="P176" s="552"/>
      <c r="Q176" s="552"/>
      <c r="R176" s="552"/>
      <c r="S176" s="472" t="s">
        <v>1426</v>
      </c>
      <c r="T176" s="472" t="s">
        <v>1426</v>
      </c>
      <c r="U176" s="552"/>
      <c r="V176" s="552"/>
      <c r="W176" s="552"/>
      <c r="X176" s="552"/>
      <c r="Y176" s="552"/>
      <c r="Z176" s="552"/>
    </row>
    <row r="177" spans="1:26" s="263" customFormat="1" x14ac:dyDescent="0.2">
      <c r="A177" s="553"/>
      <c r="B177" s="473" t="s">
        <v>20</v>
      </c>
      <c r="C177" s="473" t="s">
        <v>21</v>
      </c>
      <c r="D177" s="473" t="s">
        <v>22</v>
      </c>
      <c r="E177" s="473" t="s">
        <v>23</v>
      </c>
      <c r="F177" s="473" t="s">
        <v>24</v>
      </c>
      <c r="G177" s="473" t="s">
        <v>63</v>
      </c>
      <c r="H177" s="473" t="s">
        <v>63</v>
      </c>
      <c r="I177" s="473" t="s">
        <v>63</v>
      </c>
      <c r="J177" s="473" t="s">
        <v>63</v>
      </c>
      <c r="K177" s="473" t="s">
        <v>63</v>
      </c>
      <c r="L177" s="473" t="s">
        <v>63</v>
      </c>
      <c r="M177" s="473" t="s">
        <v>63</v>
      </c>
      <c r="N177" s="473" t="s">
        <v>63</v>
      </c>
      <c r="O177" s="473" t="s">
        <v>63</v>
      </c>
      <c r="P177" s="473" t="s">
        <v>63</v>
      </c>
      <c r="Q177" s="473" t="s">
        <v>63</v>
      </c>
      <c r="R177" s="473" t="s">
        <v>63</v>
      </c>
      <c r="S177" s="473" t="s">
        <v>64</v>
      </c>
      <c r="T177" s="473" t="s">
        <v>65</v>
      </c>
      <c r="U177" s="473" t="s">
        <v>66</v>
      </c>
      <c r="V177" s="473" t="s">
        <v>67</v>
      </c>
      <c r="W177" s="473" t="s">
        <v>68</v>
      </c>
      <c r="X177" s="473" t="s">
        <v>69</v>
      </c>
      <c r="Y177" s="473" t="s">
        <v>70</v>
      </c>
      <c r="Z177" s="473" t="s">
        <v>71</v>
      </c>
    </row>
    <row r="178" spans="1:26" x14ac:dyDescent="0.2">
      <c r="A178" s="399" t="s">
        <v>404</v>
      </c>
      <c r="B178" s="474">
        <v>0</v>
      </c>
      <c r="C178" s="474">
        <v>0</v>
      </c>
      <c r="D178" s="474">
        <v>0</v>
      </c>
      <c r="E178" s="474">
        <v>0</v>
      </c>
      <c r="F178" s="474">
        <v>0</v>
      </c>
      <c r="G178" s="474">
        <v>0</v>
      </c>
      <c r="H178" s="474">
        <v>0</v>
      </c>
      <c r="I178" s="474">
        <v>0</v>
      </c>
      <c r="J178" s="474">
        <v>0</v>
      </c>
      <c r="K178" s="474">
        <v>0</v>
      </c>
      <c r="L178" s="474">
        <v>0</v>
      </c>
      <c r="M178" s="474">
        <v>0</v>
      </c>
      <c r="N178" s="474">
        <v>0</v>
      </c>
      <c r="O178" s="474">
        <v>0</v>
      </c>
      <c r="P178" s="474">
        <v>0</v>
      </c>
      <c r="Q178" s="474">
        <v>0</v>
      </c>
      <c r="R178" s="474">
        <v>0</v>
      </c>
      <c r="S178" s="474">
        <v>0</v>
      </c>
      <c r="T178" s="402" t="e">
        <v>#DIV/0!</v>
      </c>
      <c r="U178" s="401">
        <v>0</v>
      </c>
      <c r="V178" s="401">
        <v>0</v>
      </c>
      <c r="W178" s="401">
        <v>0</v>
      </c>
      <c r="X178" s="401">
        <v>0</v>
      </c>
      <c r="Y178" s="401">
        <v>0</v>
      </c>
      <c r="Z178" s="401">
        <v>0</v>
      </c>
    </row>
    <row r="179" spans="1:26" x14ac:dyDescent="0.2">
      <c r="A179" s="404" t="s">
        <v>405</v>
      </c>
      <c r="B179" s="448">
        <v>0</v>
      </c>
      <c r="C179" s="448">
        <v>0</v>
      </c>
      <c r="D179" s="448">
        <v>0</v>
      </c>
      <c r="E179" s="448">
        <v>0</v>
      </c>
      <c r="F179" s="448">
        <v>0</v>
      </c>
      <c r="G179" s="448">
        <v>0</v>
      </c>
      <c r="H179" s="448">
        <v>0</v>
      </c>
      <c r="I179" s="448">
        <v>0</v>
      </c>
      <c r="J179" s="448">
        <v>0</v>
      </c>
      <c r="K179" s="448">
        <v>0</v>
      </c>
      <c r="L179" s="448">
        <v>0</v>
      </c>
      <c r="M179" s="448">
        <v>0</v>
      </c>
      <c r="N179" s="448">
        <v>0</v>
      </c>
      <c r="O179" s="448">
        <v>0</v>
      </c>
      <c r="P179" s="448">
        <v>0</v>
      </c>
      <c r="Q179" s="448">
        <v>0</v>
      </c>
      <c r="R179" s="448">
        <v>0</v>
      </c>
      <c r="S179" s="448">
        <v>0</v>
      </c>
      <c r="T179" s="407" t="e">
        <v>#DIV/0!</v>
      </c>
      <c r="U179" s="406">
        <v>0</v>
      </c>
      <c r="V179" s="406">
        <v>0</v>
      </c>
      <c r="W179" s="406">
        <v>0</v>
      </c>
      <c r="X179" s="406">
        <v>0</v>
      </c>
      <c r="Y179" s="406">
        <v>0</v>
      </c>
      <c r="Z179" s="406">
        <v>0</v>
      </c>
    </row>
    <row r="180" spans="1:26" x14ac:dyDescent="0.2">
      <c r="A180" s="409" t="s">
        <v>406</v>
      </c>
      <c r="B180" s="457">
        <v>0</v>
      </c>
      <c r="C180" s="457">
        <v>0</v>
      </c>
      <c r="D180" s="457">
        <v>0</v>
      </c>
      <c r="E180" s="457">
        <v>0</v>
      </c>
      <c r="F180" s="457">
        <v>0</v>
      </c>
      <c r="G180" s="457">
        <v>0</v>
      </c>
      <c r="H180" s="457">
        <v>0</v>
      </c>
      <c r="I180" s="457">
        <v>0</v>
      </c>
      <c r="J180" s="457">
        <v>0</v>
      </c>
      <c r="K180" s="457">
        <v>0</v>
      </c>
      <c r="L180" s="457">
        <v>0</v>
      </c>
      <c r="M180" s="457">
        <v>0</v>
      </c>
      <c r="N180" s="457">
        <v>0</v>
      </c>
      <c r="O180" s="457">
        <v>0</v>
      </c>
      <c r="P180" s="457">
        <v>0</v>
      </c>
      <c r="Q180" s="457">
        <v>0</v>
      </c>
      <c r="R180" s="457">
        <v>0</v>
      </c>
      <c r="S180" s="457">
        <v>0</v>
      </c>
      <c r="T180" s="410" t="e">
        <v>#DIV/0!</v>
      </c>
      <c r="U180" s="285">
        <v>0</v>
      </c>
      <c r="V180" s="285">
        <v>0</v>
      </c>
      <c r="W180" s="285">
        <v>0</v>
      </c>
      <c r="X180" s="285">
        <v>0</v>
      </c>
      <c r="Y180" s="285">
        <v>0</v>
      </c>
      <c r="Z180" s="285">
        <v>0</v>
      </c>
    </row>
    <row r="181" spans="1:26" x14ac:dyDescent="0.2">
      <c r="A181" s="409" t="s">
        <v>407</v>
      </c>
      <c r="B181" s="457">
        <v>0</v>
      </c>
      <c r="C181" s="457">
        <v>0</v>
      </c>
      <c r="D181" s="457">
        <v>0</v>
      </c>
      <c r="E181" s="457">
        <v>0</v>
      </c>
      <c r="F181" s="457">
        <v>0</v>
      </c>
      <c r="G181" s="457">
        <v>0</v>
      </c>
      <c r="H181" s="457">
        <v>0</v>
      </c>
      <c r="I181" s="457">
        <v>0</v>
      </c>
      <c r="J181" s="457">
        <v>0</v>
      </c>
      <c r="K181" s="457">
        <v>0</v>
      </c>
      <c r="L181" s="457">
        <v>0</v>
      </c>
      <c r="M181" s="457">
        <v>0</v>
      </c>
      <c r="N181" s="457">
        <v>0</v>
      </c>
      <c r="O181" s="457">
        <v>0</v>
      </c>
      <c r="P181" s="457">
        <v>0</v>
      </c>
      <c r="Q181" s="457">
        <v>0</v>
      </c>
      <c r="R181" s="457">
        <v>0</v>
      </c>
      <c r="S181" s="457">
        <v>0</v>
      </c>
      <c r="T181" s="410" t="e">
        <v>#DIV/0!</v>
      </c>
      <c r="U181" s="285">
        <v>0</v>
      </c>
      <c r="V181" s="285">
        <v>0</v>
      </c>
      <c r="W181" s="285">
        <v>0</v>
      </c>
      <c r="X181" s="285">
        <v>0</v>
      </c>
      <c r="Y181" s="285">
        <v>0</v>
      </c>
      <c r="Z181" s="285">
        <v>0</v>
      </c>
    </row>
    <row r="182" spans="1:26" x14ac:dyDescent="0.2">
      <c r="A182" s="409" t="s">
        <v>408</v>
      </c>
      <c r="B182" s="457">
        <v>0</v>
      </c>
      <c r="C182" s="457">
        <v>0</v>
      </c>
      <c r="D182" s="457">
        <v>0</v>
      </c>
      <c r="E182" s="457">
        <v>0</v>
      </c>
      <c r="F182" s="457">
        <v>0</v>
      </c>
      <c r="G182" s="457">
        <v>0</v>
      </c>
      <c r="H182" s="457">
        <v>0</v>
      </c>
      <c r="I182" s="457">
        <v>0</v>
      </c>
      <c r="J182" s="457">
        <v>0</v>
      </c>
      <c r="K182" s="457">
        <v>0</v>
      </c>
      <c r="L182" s="457">
        <v>0</v>
      </c>
      <c r="M182" s="457">
        <v>0</v>
      </c>
      <c r="N182" s="457">
        <v>0</v>
      </c>
      <c r="O182" s="457">
        <v>0</v>
      </c>
      <c r="P182" s="457">
        <v>0</v>
      </c>
      <c r="Q182" s="457">
        <v>0</v>
      </c>
      <c r="R182" s="457">
        <v>0</v>
      </c>
      <c r="S182" s="457">
        <v>0</v>
      </c>
      <c r="T182" s="410" t="e">
        <v>#DIV/0!</v>
      </c>
      <c r="U182" s="285">
        <v>0</v>
      </c>
      <c r="V182" s="285">
        <v>0</v>
      </c>
      <c r="W182" s="285">
        <v>0</v>
      </c>
      <c r="X182" s="285">
        <v>0</v>
      </c>
      <c r="Y182" s="285">
        <v>0</v>
      </c>
      <c r="Z182" s="285">
        <v>0</v>
      </c>
    </row>
    <row r="183" spans="1:26" x14ac:dyDescent="0.2">
      <c r="A183" s="409" t="s">
        <v>409</v>
      </c>
      <c r="B183" s="457">
        <v>0</v>
      </c>
      <c r="C183" s="457">
        <v>0</v>
      </c>
      <c r="D183" s="457">
        <v>0</v>
      </c>
      <c r="E183" s="457">
        <v>0</v>
      </c>
      <c r="F183" s="457">
        <v>0</v>
      </c>
      <c r="G183" s="457">
        <v>0</v>
      </c>
      <c r="H183" s="457">
        <v>0</v>
      </c>
      <c r="I183" s="457">
        <v>0</v>
      </c>
      <c r="J183" s="457">
        <v>0</v>
      </c>
      <c r="K183" s="457">
        <v>0</v>
      </c>
      <c r="L183" s="457">
        <v>0</v>
      </c>
      <c r="M183" s="457">
        <v>0</v>
      </c>
      <c r="N183" s="457">
        <v>0</v>
      </c>
      <c r="O183" s="457">
        <v>0</v>
      </c>
      <c r="P183" s="457">
        <v>0</v>
      </c>
      <c r="Q183" s="457">
        <v>0</v>
      </c>
      <c r="R183" s="457">
        <v>0</v>
      </c>
      <c r="S183" s="457">
        <v>0</v>
      </c>
      <c r="T183" s="410" t="e">
        <v>#DIV/0!</v>
      </c>
      <c r="U183" s="285">
        <v>0</v>
      </c>
      <c r="V183" s="285">
        <v>0</v>
      </c>
      <c r="W183" s="285">
        <v>0</v>
      </c>
      <c r="X183" s="285">
        <v>0</v>
      </c>
      <c r="Y183" s="285">
        <v>0</v>
      </c>
      <c r="Z183" s="285">
        <v>0</v>
      </c>
    </row>
    <row r="184" spans="1:26" x14ac:dyDescent="0.2">
      <c r="A184" s="409" t="s">
        <v>410</v>
      </c>
      <c r="B184" s="457">
        <v>0</v>
      </c>
      <c r="C184" s="457">
        <v>0</v>
      </c>
      <c r="D184" s="457">
        <v>0</v>
      </c>
      <c r="E184" s="457">
        <v>0</v>
      </c>
      <c r="F184" s="457">
        <v>0</v>
      </c>
      <c r="G184" s="457">
        <v>0</v>
      </c>
      <c r="H184" s="457">
        <v>0</v>
      </c>
      <c r="I184" s="457">
        <v>0</v>
      </c>
      <c r="J184" s="457">
        <v>0</v>
      </c>
      <c r="K184" s="457">
        <v>0</v>
      </c>
      <c r="L184" s="457">
        <v>0</v>
      </c>
      <c r="M184" s="457">
        <v>0</v>
      </c>
      <c r="N184" s="457">
        <v>0</v>
      </c>
      <c r="O184" s="457">
        <v>0</v>
      </c>
      <c r="P184" s="457">
        <v>0</v>
      </c>
      <c r="Q184" s="457">
        <v>0</v>
      </c>
      <c r="R184" s="457">
        <v>0</v>
      </c>
      <c r="S184" s="457">
        <v>0</v>
      </c>
      <c r="T184" s="410" t="e">
        <v>#DIV/0!</v>
      </c>
      <c r="U184" s="285">
        <v>0</v>
      </c>
      <c r="V184" s="285">
        <v>0</v>
      </c>
      <c r="W184" s="285">
        <v>0</v>
      </c>
      <c r="X184" s="285">
        <v>0</v>
      </c>
      <c r="Y184" s="285">
        <v>0</v>
      </c>
      <c r="Z184" s="285">
        <v>0</v>
      </c>
    </row>
    <row r="185" spans="1:26" x14ac:dyDescent="0.2">
      <c r="A185" s="409" t="s">
        <v>411</v>
      </c>
      <c r="B185" s="457">
        <v>0</v>
      </c>
      <c r="C185" s="457">
        <v>0</v>
      </c>
      <c r="D185" s="457">
        <v>0</v>
      </c>
      <c r="E185" s="457">
        <v>0</v>
      </c>
      <c r="F185" s="457">
        <v>0</v>
      </c>
      <c r="G185" s="457">
        <v>0</v>
      </c>
      <c r="H185" s="457">
        <v>0</v>
      </c>
      <c r="I185" s="457">
        <v>0</v>
      </c>
      <c r="J185" s="457">
        <v>0</v>
      </c>
      <c r="K185" s="457">
        <v>0</v>
      </c>
      <c r="L185" s="457">
        <v>0</v>
      </c>
      <c r="M185" s="457">
        <v>0</v>
      </c>
      <c r="N185" s="457">
        <v>0</v>
      </c>
      <c r="O185" s="457">
        <v>0</v>
      </c>
      <c r="P185" s="457">
        <v>0</v>
      </c>
      <c r="Q185" s="457">
        <v>0</v>
      </c>
      <c r="R185" s="457">
        <v>0</v>
      </c>
      <c r="S185" s="457">
        <v>0</v>
      </c>
      <c r="T185" s="410" t="e">
        <v>#DIV/0!</v>
      </c>
      <c r="U185" s="285">
        <v>0</v>
      </c>
      <c r="V185" s="285">
        <v>0</v>
      </c>
      <c r="W185" s="285">
        <v>0</v>
      </c>
      <c r="X185" s="285">
        <v>0</v>
      </c>
      <c r="Y185" s="285">
        <v>0</v>
      </c>
      <c r="Z185" s="285">
        <v>0</v>
      </c>
    </row>
    <row r="186" spans="1:26" ht="24" x14ac:dyDescent="0.2">
      <c r="A186" s="409" t="s">
        <v>412</v>
      </c>
      <c r="B186" s="457">
        <v>0</v>
      </c>
      <c r="C186" s="457">
        <v>0</v>
      </c>
      <c r="D186" s="457">
        <v>0</v>
      </c>
      <c r="E186" s="457">
        <v>0</v>
      </c>
      <c r="F186" s="457">
        <v>0</v>
      </c>
      <c r="G186" s="457">
        <v>0</v>
      </c>
      <c r="H186" s="457">
        <v>0</v>
      </c>
      <c r="I186" s="457">
        <v>0</v>
      </c>
      <c r="J186" s="457">
        <v>0</v>
      </c>
      <c r="K186" s="457">
        <v>0</v>
      </c>
      <c r="L186" s="457">
        <v>0</v>
      </c>
      <c r="M186" s="457">
        <v>0</v>
      </c>
      <c r="N186" s="457">
        <v>0</v>
      </c>
      <c r="O186" s="457">
        <v>0</v>
      </c>
      <c r="P186" s="457">
        <v>0</v>
      </c>
      <c r="Q186" s="457">
        <v>0</v>
      </c>
      <c r="R186" s="457">
        <v>0</v>
      </c>
      <c r="S186" s="457">
        <v>0</v>
      </c>
      <c r="T186" s="410" t="e">
        <v>#DIV/0!</v>
      </c>
      <c r="U186" s="285">
        <v>0</v>
      </c>
      <c r="V186" s="285">
        <v>0</v>
      </c>
      <c r="W186" s="285">
        <v>0</v>
      </c>
      <c r="X186" s="285">
        <v>0</v>
      </c>
      <c r="Y186" s="285">
        <v>0</v>
      </c>
      <c r="Z186" s="285">
        <v>0</v>
      </c>
    </row>
    <row r="187" spans="1:26" ht="24" x14ac:dyDescent="0.2">
      <c r="A187" s="409" t="s">
        <v>413</v>
      </c>
      <c r="B187" s="457">
        <v>0</v>
      </c>
      <c r="C187" s="457">
        <v>0</v>
      </c>
      <c r="D187" s="457">
        <v>0</v>
      </c>
      <c r="E187" s="457">
        <v>0</v>
      </c>
      <c r="F187" s="457">
        <v>0</v>
      </c>
      <c r="G187" s="457">
        <v>0</v>
      </c>
      <c r="H187" s="457">
        <v>0</v>
      </c>
      <c r="I187" s="457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10" t="e">
        <v>#DIV/0!</v>
      </c>
      <c r="U187" s="285">
        <v>0</v>
      </c>
      <c r="V187" s="285">
        <v>0</v>
      </c>
      <c r="W187" s="285">
        <v>0</v>
      </c>
      <c r="X187" s="285">
        <v>0</v>
      </c>
      <c r="Y187" s="285">
        <v>0</v>
      </c>
      <c r="Z187" s="285">
        <v>0</v>
      </c>
    </row>
    <row r="188" spans="1:26" x14ac:dyDescent="0.2">
      <c r="A188" s="409" t="s">
        <v>414</v>
      </c>
      <c r="B188" s="457">
        <v>0</v>
      </c>
      <c r="C188" s="457">
        <v>0</v>
      </c>
      <c r="D188" s="457">
        <v>0</v>
      </c>
      <c r="E188" s="457">
        <v>0</v>
      </c>
      <c r="F188" s="457">
        <v>0</v>
      </c>
      <c r="G188" s="457">
        <v>0</v>
      </c>
      <c r="H188" s="457">
        <v>0</v>
      </c>
      <c r="I188" s="457">
        <v>0</v>
      </c>
      <c r="J188" s="457">
        <v>0</v>
      </c>
      <c r="K188" s="457">
        <v>0</v>
      </c>
      <c r="L188" s="457">
        <v>0</v>
      </c>
      <c r="M188" s="457">
        <v>0</v>
      </c>
      <c r="N188" s="457">
        <v>0</v>
      </c>
      <c r="O188" s="457">
        <v>0</v>
      </c>
      <c r="P188" s="457">
        <v>0</v>
      </c>
      <c r="Q188" s="457">
        <v>0</v>
      </c>
      <c r="R188" s="457">
        <v>0</v>
      </c>
      <c r="S188" s="457">
        <v>0</v>
      </c>
      <c r="T188" s="410" t="e">
        <v>#DIV/0!</v>
      </c>
      <c r="U188" s="285">
        <v>0</v>
      </c>
      <c r="V188" s="285">
        <v>0</v>
      </c>
      <c r="W188" s="285">
        <v>0</v>
      </c>
      <c r="X188" s="285">
        <v>0</v>
      </c>
      <c r="Y188" s="285">
        <v>0</v>
      </c>
      <c r="Z188" s="285">
        <v>0</v>
      </c>
    </row>
    <row r="189" spans="1:26" x14ac:dyDescent="0.2">
      <c r="A189" s="409" t="s">
        <v>415</v>
      </c>
      <c r="B189" s="457">
        <v>0</v>
      </c>
      <c r="C189" s="457">
        <v>0</v>
      </c>
      <c r="D189" s="457">
        <v>0</v>
      </c>
      <c r="E189" s="457">
        <v>0</v>
      </c>
      <c r="F189" s="457">
        <v>0</v>
      </c>
      <c r="G189" s="457">
        <v>0</v>
      </c>
      <c r="H189" s="457">
        <v>0</v>
      </c>
      <c r="I189" s="457">
        <v>0</v>
      </c>
      <c r="J189" s="457">
        <v>0</v>
      </c>
      <c r="K189" s="457">
        <v>0</v>
      </c>
      <c r="L189" s="457">
        <v>0</v>
      </c>
      <c r="M189" s="457">
        <v>0</v>
      </c>
      <c r="N189" s="457">
        <v>0</v>
      </c>
      <c r="O189" s="457">
        <v>0</v>
      </c>
      <c r="P189" s="457">
        <v>0</v>
      </c>
      <c r="Q189" s="457">
        <v>0</v>
      </c>
      <c r="R189" s="457">
        <v>0</v>
      </c>
      <c r="S189" s="457">
        <v>0</v>
      </c>
      <c r="T189" s="410" t="e">
        <v>#DIV/0!</v>
      </c>
      <c r="U189" s="285">
        <v>0</v>
      </c>
      <c r="V189" s="285">
        <v>0</v>
      </c>
      <c r="W189" s="285">
        <v>0</v>
      </c>
      <c r="X189" s="285">
        <v>0</v>
      </c>
      <c r="Y189" s="285">
        <v>0</v>
      </c>
      <c r="Z189" s="285">
        <v>0</v>
      </c>
    </row>
    <row r="190" spans="1:26" x14ac:dyDescent="0.2">
      <c r="A190" s="409" t="s">
        <v>416</v>
      </c>
      <c r="B190" s="457">
        <v>0</v>
      </c>
      <c r="C190" s="457">
        <v>0</v>
      </c>
      <c r="D190" s="457">
        <v>0</v>
      </c>
      <c r="E190" s="457">
        <v>0</v>
      </c>
      <c r="F190" s="457">
        <v>0</v>
      </c>
      <c r="G190" s="457">
        <v>0</v>
      </c>
      <c r="H190" s="457">
        <v>0</v>
      </c>
      <c r="I190" s="457">
        <v>0</v>
      </c>
      <c r="J190" s="457">
        <v>0</v>
      </c>
      <c r="K190" s="457">
        <v>0</v>
      </c>
      <c r="L190" s="457">
        <v>0</v>
      </c>
      <c r="M190" s="457">
        <v>0</v>
      </c>
      <c r="N190" s="457">
        <v>0</v>
      </c>
      <c r="O190" s="457">
        <v>0</v>
      </c>
      <c r="P190" s="457">
        <v>0</v>
      </c>
      <c r="Q190" s="457">
        <v>0</v>
      </c>
      <c r="R190" s="457">
        <v>0</v>
      </c>
      <c r="S190" s="457">
        <v>0</v>
      </c>
      <c r="T190" s="410" t="e">
        <v>#DIV/0!</v>
      </c>
      <c r="U190" s="285">
        <v>0</v>
      </c>
      <c r="V190" s="285">
        <v>0</v>
      </c>
      <c r="W190" s="285">
        <v>0</v>
      </c>
      <c r="X190" s="285">
        <v>0</v>
      </c>
      <c r="Y190" s="285">
        <v>0</v>
      </c>
      <c r="Z190" s="285">
        <v>0</v>
      </c>
    </row>
    <row r="191" spans="1:26" x14ac:dyDescent="0.2">
      <c r="A191" s="409" t="s">
        <v>417</v>
      </c>
      <c r="B191" s="457">
        <v>0</v>
      </c>
      <c r="C191" s="457">
        <v>0</v>
      </c>
      <c r="D191" s="457">
        <v>0</v>
      </c>
      <c r="E191" s="457">
        <v>0</v>
      </c>
      <c r="F191" s="457">
        <v>0</v>
      </c>
      <c r="G191" s="457">
        <v>0</v>
      </c>
      <c r="H191" s="457">
        <v>0</v>
      </c>
      <c r="I191" s="457">
        <v>0</v>
      </c>
      <c r="J191" s="457">
        <v>0</v>
      </c>
      <c r="K191" s="457">
        <v>0</v>
      </c>
      <c r="L191" s="457">
        <v>0</v>
      </c>
      <c r="M191" s="457">
        <v>0</v>
      </c>
      <c r="N191" s="457">
        <v>0</v>
      </c>
      <c r="O191" s="457">
        <v>0</v>
      </c>
      <c r="P191" s="457">
        <v>0</v>
      </c>
      <c r="Q191" s="457">
        <v>0</v>
      </c>
      <c r="R191" s="457">
        <v>0</v>
      </c>
      <c r="S191" s="457">
        <v>0</v>
      </c>
      <c r="T191" s="410" t="e">
        <v>#DIV/0!</v>
      </c>
      <c r="U191" s="285">
        <v>0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</row>
    <row r="192" spans="1:26" x14ac:dyDescent="0.2">
      <c r="A192" s="404" t="s">
        <v>418</v>
      </c>
      <c r="B192" s="448">
        <v>0</v>
      </c>
      <c r="C192" s="448">
        <v>0</v>
      </c>
      <c r="D192" s="448">
        <v>0</v>
      </c>
      <c r="E192" s="448">
        <v>0</v>
      </c>
      <c r="F192" s="448">
        <v>0</v>
      </c>
      <c r="G192" s="448">
        <v>0</v>
      </c>
      <c r="H192" s="448">
        <v>0</v>
      </c>
      <c r="I192" s="448">
        <v>0</v>
      </c>
      <c r="J192" s="448">
        <v>0</v>
      </c>
      <c r="K192" s="448">
        <v>0</v>
      </c>
      <c r="L192" s="448">
        <v>0</v>
      </c>
      <c r="M192" s="448">
        <v>0</v>
      </c>
      <c r="N192" s="448">
        <v>0</v>
      </c>
      <c r="O192" s="448">
        <v>0</v>
      </c>
      <c r="P192" s="448">
        <v>0</v>
      </c>
      <c r="Q192" s="448">
        <v>0</v>
      </c>
      <c r="R192" s="448">
        <v>0</v>
      </c>
      <c r="S192" s="448">
        <v>0</v>
      </c>
      <c r="T192" s="407" t="e">
        <v>#DIV/0!</v>
      </c>
      <c r="U192" s="406">
        <v>0</v>
      </c>
      <c r="V192" s="406">
        <v>0</v>
      </c>
      <c r="W192" s="406">
        <v>0</v>
      </c>
      <c r="X192" s="406">
        <v>0</v>
      </c>
      <c r="Y192" s="406">
        <v>0</v>
      </c>
      <c r="Z192" s="406">
        <v>0</v>
      </c>
    </row>
    <row r="193" spans="1:26" x14ac:dyDescent="0.2">
      <c r="A193" s="409" t="s">
        <v>419</v>
      </c>
      <c r="B193" s="457">
        <v>0</v>
      </c>
      <c r="C193" s="457">
        <v>0</v>
      </c>
      <c r="D193" s="457">
        <v>0</v>
      </c>
      <c r="E193" s="457">
        <v>0</v>
      </c>
      <c r="F193" s="457">
        <v>0</v>
      </c>
      <c r="G193" s="457">
        <v>0</v>
      </c>
      <c r="H193" s="457">
        <v>0</v>
      </c>
      <c r="I193" s="457">
        <v>0</v>
      </c>
      <c r="J193" s="457">
        <v>0</v>
      </c>
      <c r="K193" s="457">
        <v>0</v>
      </c>
      <c r="L193" s="457">
        <v>0</v>
      </c>
      <c r="M193" s="457">
        <v>0</v>
      </c>
      <c r="N193" s="457">
        <v>0</v>
      </c>
      <c r="O193" s="457">
        <v>0</v>
      </c>
      <c r="P193" s="457">
        <v>0</v>
      </c>
      <c r="Q193" s="457">
        <v>0</v>
      </c>
      <c r="R193" s="457">
        <v>0</v>
      </c>
      <c r="S193" s="457">
        <v>0</v>
      </c>
      <c r="T193" s="410" t="e">
        <v>#DIV/0!</v>
      </c>
      <c r="U193" s="285">
        <v>0</v>
      </c>
      <c r="V193" s="285">
        <v>0</v>
      </c>
      <c r="W193" s="285">
        <v>0</v>
      </c>
      <c r="X193" s="285">
        <v>0</v>
      </c>
      <c r="Y193" s="285">
        <v>0</v>
      </c>
      <c r="Z193" s="285">
        <v>0</v>
      </c>
    </row>
    <row r="194" spans="1:26" x14ac:dyDescent="0.2">
      <c r="A194" s="409" t="s">
        <v>420</v>
      </c>
      <c r="B194" s="457">
        <v>0</v>
      </c>
      <c r="C194" s="457">
        <v>0</v>
      </c>
      <c r="D194" s="457">
        <v>0</v>
      </c>
      <c r="E194" s="457">
        <v>0</v>
      </c>
      <c r="F194" s="457">
        <v>0</v>
      </c>
      <c r="G194" s="457">
        <v>0</v>
      </c>
      <c r="H194" s="457">
        <v>0</v>
      </c>
      <c r="I194" s="457">
        <v>0</v>
      </c>
      <c r="J194" s="457">
        <v>0</v>
      </c>
      <c r="K194" s="457">
        <v>0</v>
      </c>
      <c r="L194" s="457">
        <v>0</v>
      </c>
      <c r="M194" s="457">
        <v>0</v>
      </c>
      <c r="N194" s="457">
        <v>0</v>
      </c>
      <c r="O194" s="457">
        <v>0</v>
      </c>
      <c r="P194" s="457">
        <v>0</v>
      </c>
      <c r="Q194" s="457">
        <v>0</v>
      </c>
      <c r="R194" s="457">
        <v>0</v>
      </c>
      <c r="S194" s="457">
        <v>0</v>
      </c>
      <c r="T194" s="410" t="e">
        <v>#DIV/0!</v>
      </c>
      <c r="U194" s="285">
        <v>0</v>
      </c>
      <c r="V194" s="285">
        <v>0</v>
      </c>
      <c r="W194" s="285">
        <v>0</v>
      </c>
      <c r="X194" s="285">
        <v>0</v>
      </c>
      <c r="Y194" s="285">
        <v>0</v>
      </c>
      <c r="Z194" s="285">
        <v>0</v>
      </c>
    </row>
    <row r="195" spans="1:26" x14ac:dyDescent="0.2">
      <c r="A195" s="409" t="s">
        <v>421</v>
      </c>
      <c r="B195" s="457">
        <v>0</v>
      </c>
      <c r="C195" s="457">
        <v>0</v>
      </c>
      <c r="D195" s="457">
        <v>0</v>
      </c>
      <c r="E195" s="457">
        <v>0</v>
      </c>
      <c r="F195" s="457">
        <v>0</v>
      </c>
      <c r="G195" s="457">
        <v>0</v>
      </c>
      <c r="H195" s="457">
        <v>0</v>
      </c>
      <c r="I195" s="457">
        <v>0</v>
      </c>
      <c r="J195" s="457">
        <v>0</v>
      </c>
      <c r="K195" s="457">
        <v>0</v>
      </c>
      <c r="L195" s="457">
        <v>0</v>
      </c>
      <c r="M195" s="457">
        <v>0</v>
      </c>
      <c r="N195" s="457">
        <v>0</v>
      </c>
      <c r="O195" s="457">
        <v>0</v>
      </c>
      <c r="P195" s="457">
        <v>0</v>
      </c>
      <c r="Q195" s="457">
        <v>0</v>
      </c>
      <c r="R195" s="457">
        <v>0</v>
      </c>
      <c r="S195" s="457">
        <v>0</v>
      </c>
      <c r="T195" s="410" t="e">
        <v>#DIV/0!</v>
      </c>
      <c r="U195" s="285">
        <v>0</v>
      </c>
      <c r="V195" s="285">
        <v>0</v>
      </c>
      <c r="W195" s="285">
        <v>0</v>
      </c>
      <c r="X195" s="285">
        <v>0</v>
      </c>
      <c r="Y195" s="285">
        <v>0</v>
      </c>
      <c r="Z195" s="285">
        <v>0</v>
      </c>
    </row>
    <row r="196" spans="1:26" x14ac:dyDescent="0.2">
      <c r="A196" s="409" t="s">
        <v>422</v>
      </c>
      <c r="B196" s="457">
        <v>0</v>
      </c>
      <c r="C196" s="457">
        <v>0</v>
      </c>
      <c r="D196" s="457">
        <v>0</v>
      </c>
      <c r="E196" s="457">
        <v>0</v>
      </c>
      <c r="F196" s="457">
        <v>0</v>
      </c>
      <c r="G196" s="457">
        <v>0</v>
      </c>
      <c r="H196" s="457">
        <v>0</v>
      </c>
      <c r="I196" s="457">
        <v>0</v>
      </c>
      <c r="J196" s="457">
        <v>0</v>
      </c>
      <c r="K196" s="457">
        <v>0</v>
      </c>
      <c r="L196" s="457">
        <v>0</v>
      </c>
      <c r="M196" s="457">
        <v>0</v>
      </c>
      <c r="N196" s="457">
        <v>0</v>
      </c>
      <c r="O196" s="457">
        <v>0</v>
      </c>
      <c r="P196" s="457">
        <v>0</v>
      </c>
      <c r="Q196" s="457">
        <v>0</v>
      </c>
      <c r="R196" s="457">
        <v>0</v>
      </c>
      <c r="S196" s="457">
        <v>0</v>
      </c>
      <c r="T196" s="410" t="e">
        <v>#DIV/0!</v>
      </c>
      <c r="U196" s="285">
        <v>0</v>
      </c>
      <c r="V196" s="285">
        <v>0</v>
      </c>
      <c r="W196" s="285">
        <v>0</v>
      </c>
      <c r="X196" s="285">
        <v>0</v>
      </c>
      <c r="Y196" s="285">
        <v>0</v>
      </c>
      <c r="Z196" s="285">
        <v>0</v>
      </c>
    </row>
    <row r="197" spans="1:26" ht="24" x14ac:dyDescent="0.2">
      <c r="A197" s="409" t="s">
        <v>423</v>
      </c>
      <c r="B197" s="457">
        <v>0</v>
      </c>
      <c r="C197" s="457">
        <v>0</v>
      </c>
      <c r="D197" s="457">
        <v>0</v>
      </c>
      <c r="E197" s="457">
        <v>0</v>
      </c>
      <c r="F197" s="457">
        <v>0</v>
      </c>
      <c r="G197" s="457">
        <v>0</v>
      </c>
      <c r="H197" s="457">
        <v>0</v>
      </c>
      <c r="I197" s="457">
        <v>0</v>
      </c>
      <c r="J197" s="457">
        <v>0</v>
      </c>
      <c r="K197" s="457">
        <v>0</v>
      </c>
      <c r="L197" s="457">
        <v>0</v>
      </c>
      <c r="M197" s="457">
        <v>0</v>
      </c>
      <c r="N197" s="457">
        <v>0</v>
      </c>
      <c r="O197" s="457">
        <v>0</v>
      </c>
      <c r="P197" s="457">
        <v>0</v>
      </c>
      <c r="Q197" s="457">
        <v>0</v>
      </c>
      <c r="R197" s="457">
        <v>0</v>
      </c>
      <c r="S197" s="457">
        <v>0</v>
      </c>
      <c r="T197" s="410" t="e">
        <v>#DIV/0!</v>
      </c>
      <c r="U197" s="285">
        <v>0</v>
      </c>
      <c r="V197" s="285">
        <v>0</v>
      </c>
      <c r="W197" s="285">
        <v>0</v>
      </c>
      <c r="X197" s="285">
        <v>0</v>
      </c>
      <c r="Y197" s="285">
        <v>0</v>
      </c>
      <c r="Z197" s="285">
        <v>0</v>
      </c>
    </row>
    <row r="198" spans="1:26" x14ac:dyDescent="0.2">
      <c r="A198" s="409" t="s">
        <v>424</v>
      </c>
      <c r="B198" s="457">
        <v>0</v>
      </c>
      <c r="C198" s="457">
        <v>0</v>
      </c>
      <c r="D198" s="457">
        <v>0</v>
      </c>
      <c r="E198" s="457">
        <v>0</v>
      </c>
      <c r="F198" s="457">
        <v>0</v>
      </c>
      <c r="G198" s="457">
        <v>0</v>
      </c>
      <c r="H198" s="457">
        <v>0</v>
      </c>
      <c r="I198" s="457">
        <v>0</v>
      </c>
      <c r="J198" s="457">
        <v>0</v>
      </c>
      <c r="K198" s="457">
        <v>0</v>
      </c>
      <c r="L198" s="457">
        <v>0</v>
      </c>
      <c r="M198" s="457">
        <v>0</v>
      </c>
      <c r="N198" s="457">
        <v>0</v>
      </c>
      <c r="O198" s="457">
        <v>0</v>
      </c>
      <c r="P198" s="457">
        <v>0</v>
      </c>
      <c r="Q198" s="457">
        <v>0</v>
      </c>
      <c r="R198" s="457">
        <v>0</v>
      </c>
      <c r="S198" s="457">
        <v>0</v>
      </c>
      <c r="T198" s="410" t="e">
        <v>#DIV/0!</v>
      </c>
      <c r="U198" s="285">
        <v>0</v>
      </c>
      <c r="V198" s="285">
        <v>0</v>
      </c>
      <c r="W198" s="285">
        <v>0</v>
      </c>
      <c r="X198" s="285">
        <v>0</v>
      </c>
      <c r="Y198" s="285">
        <v>0</v>
      </c>
      <c r="Z198" s="285">
        <v>0</v>
      </c>
    </row>
    <row r="199" spans="1:26" x14ac:dyDescent="0.2">
      <c r="A199" s="409" t="s">
        <v>425</v>
      </c>
      <c r="B199" s="457">
        <v>0</v>
      </c>
      <c r="C199" s="457">
        <v>0</v>
      </c>
      <c r="D199" s="457">
        <v>0</v>
      </c>
      <c r="E199" s="457">
        <v>0</v>
      </c>
      <c r="F199" s="457">
        <v>0</v>
      </c>
      <c r="G199" s="457">
        <v>0</v>
      </c>
      <c r="H199" s="457">
        <v>0</v>
      </c>
      <c r="I199" s="457">
        <v>0</v>
      </c>
      <c r="J199" s="457">
        <v>0</v>
      </c>
      <c r="K199" s="457">
        <v>0</v>
      </c>
      <c r="L199" s="457">
        <v>0</v>
      </c>
      <c r="M199" s="457">
        <v>0</v>
      </c>
      <c r="N199" s="457">
        <v>0</v>
      </c>
      <c r="O199" s="457">
        <v>0</v>
      </c>
      <c r="P199" s="457">
        <v>0</v>
      </c>
      <c r="Q199" s="457">
        <v>0</v>
      </c>
      <c r="R199" s="457">
        <v>0</v>
      </c>
      <c r="S199" s="457">
        <v>0</v>
      </c>
      <c r="T199" s="410" t="e">
        <v>#DIV/0!</v>
      </c>
      <c r="U199" s="285">
        <v>0</v>
      </c>
      <c r="V199" s="285">
        <v>0</v>
      </c>
      <c r="W199" s="285">
        <v>0</v>
      </c>
      <c r="X199" s="285">
        <v>0</v>
      </c>
      <c r="Y199" s="285">
        <v>0</v>
      </c>
      <c r="Z199" s="285">
        <v>0</v>
      </c>
    </row>
    <row r="200" spans="1:26" x14ac:dyDescent="0.2">
      <c r="A200" s="409" t="s">
        <v>426</v>
      </c>
      <c r="B200" s="457">
        <v>0</v>
      </c>
      <c r="C200" s="457">
        <v>0</v>
      </c>
      <c r="D200" s="457">
        <v>0</v>
      </c>
      <c r="E200" s="457">
        <v>0</v>
      </c>
      <c r="F200" s="457">
        <v>0</v>
      </c>
      <c r="G200" s="457">
        <v>0</v>
      </c>
      <c r="H200" s="457">
        <v>0</v>
      </c>
      <c r="I200" s="457">
        <v>0</v>
      </c>
      <c r="J200" s="457">
        <v>0</v>
      </c>
      <c r="K200" s="457">
        <v>0</v>
      </c>
      <c r="L200" s="457">
        <v>0</v>
      </c>
      <c r="M200" s="457">
        <v>0</v>
      </c>
      <c r="N200" s="457">
        <v>0</v>
      </c>
      <c r="O200" s="457">
        <v>0</v>
      </c>
      <c r="P200" s="457">
        <v>0</v>
      </c>
      <c r="Q200" s="457">
        <v>0</v>
      </c>
      <c r="R200" s="457">
        <v>0</v>
      </c>
      <c r="S200" s="457">
        <v>0</v>
      </c>
      <c r="T200" s="410" t="e">
        <v>#DIV/0!</v>
      </c>
      <c r="U200" s="285">
        <v>0</v>
      </c>
      <c r="V200" s="285">
        <v>0</v>
      </c>
      <c r="W200" s="285">
        <v>0</v>
      </c>
      <c r="X200" s="285">
        <v>0</v>
      </c>
      <c r="Y200" s="285">
        <v>0</v>
      </c>
      <c r="Z200" s="285">
        <v>0</v>
      </c>
    </row>
    <row r="201" spans="1:26" x14ac:dyDescent="0.2">
      <c r="A201" s="409" t="s">
        <v>427</v>
      </c>
      <c r="B201" s="457">
        <v>0</v>
      </c>
      <c r="C201" s="457">
        <v>0</v>
      </c>
      <c r="D201" s="457">
        <v>0</v>
      </c>
      <c r="E201" s="457">
        <v>0</v>
      </c>
      <c r="F201" s="457">
        <v>0</v>
      </c>
      <c r="G201" s="457">
        <v>0</v>
      </c>
      <c r="H201" s="457">
        <v>0</v>
      </c>
      <c r="I201" s="457">
        <v>0</v>
      </c>
      <c r="J201" s="457">
        <v>0</v>
      </c>
      <c r="K201" s="457">
        <v>0</v>
      </c>
      <c r="L201" s="457">
        <v>0</v>
      </c>
      <c r="M201" s="457">
        <v>0</v>
      </c>
      <c r="N201" s="457">
        <v>0</v>
      </c>
      <c r="O201" s="457">
        <v>0</v>
      </c>
      <c r="P201" s="457">
        <v>0</v>
      </c>
      <c r="Q201" s="457">
        <v>0</v>
      </c>
      <c r="R201" s="457">
        <v>0</v>
      </c>
      <c r="S201" s="457">
        <v>0</v>
      </c>
      <c r="T201" s="410" t="e">
        <v>#DIV/0!</v>
      </c>
      <c r="U201" s="285">
        <v>0</v>
      </c>
      <c r="V201" s="285">
        <v>0</v>
      </c>
      <c r="W201" s="285">
        <v>0</v>
      </c>
      <c r="X201" s="285">
        <v>0</v>
      </c>
      <c r="Y201" s="285">
        <v>0</v>
      </c>
      <c r="Z201" s="285">
        <v>0</v>
      </c>
    </row>
    <row r="202" spans="1:26" ht="24" x14ac:dyDescent="0.2">
      <c r="A202" s="404" t="s">
        <v>428</v>
      </c>
      <c r="B202" s="247">
        <v>0</v>
      </c>
      <c r="C202" s="247">
        <v>0</v>
      </c>
      <c r="D202" s="247">
        <v>0</v>
      </c>
      <c r="E202" s="247">
        <v>0</v>
      </c>
      <c r="F202" s="247">
        <v>0</v>
      </c>
      <c r="G202" s="247">
        <v>0</v>
      </c>
      <c r="H202" s="247">
        <v>0</v>
      </c>
      <c r="I202" s="247">
        <v>0</v>
      </c>
      <c r="J202" s="247">
        <v>0</v>
      </c>
      <c r="K202" s="247">
        <v>0</v>
      </c>
      <c r="L202" s="247">
        <v>0</v>
      </c>
      <c r="M202" s="247">
        <v>0</v>
      </c>
      <c r="N202" s="247">
        <v>0</v>
      </c>
      <c r="O202" s="247">
        <v>0</v>
      </c>
      <c r="P202" s="247">
        <v>0</v>
      </c>
      <c r="Q202" s="247">
        <v>0</v>
      </c>
      <c r="R202" s="247">
        <v>0</v>
      </c>
      <c r="S202" s="247">
        <v>0</v>
      </c>
      <c r="T202" s="407" t="e">
        <v>#DIV/0!</v>
      </c>
      <c r="U202" s="406">
        <v>0</v>
      </c>
      <c r="V202" s="406">
        <v>0</v>
      </c>
      <c r="W202" s="406">
        <v>0</v>
      </c>
      <c r="X202" s="406">
        <v>0</v>
      </c>
      <c r="Y202" s="406">
        <v>0</v>
      </c>
      <c r="Z202" s="406">
        <v>0</v>
      </c>
    </row>
    <row r="203" spans="1:26" x14ac:dyDescent="0.2">
      <c r="A203" s="404" t="s">
        <v>429</v>
      </c>
      <c r="B203" s="247">
        <v>0</v>
      </c>
      <c r="C203" s="247">
        <v>0</v>
      </c>
      <c r="D203" s="247">
        <v>0</v>
      </c>
      <c r="E203" s="247">
        <v>0</v>
      </c>
      <c r="F203" s="247">
        <v>0</v>
      </c>
      <c r="G203" s="247">
        <v>0</v>
      </c>
      <c r="H203" s="247">
        <v>0</v>
      </c>
      <c r="I203" s="247">
        <v>0</v>
      </c>
      <c r="J203" s="247">
        <v>0</v>
      </c>
      <c r="K203" s="247">
        <v>0</v>
      </c>
      <c r="L203" s="247">
        <v>0</v>
      </c>
      <c r="M203" s="247">
        <v>0</v>
      </c>
      <c r="N203" s="247">
        <v>0</v>
      </c>
      <c r="O203" s="247">
        <v>0</v>
      </c>
      <c r="P203" s="247">
        <v>0</v>
      </c>
      <c r="Q203" s="247">
        <v>0</v>
      </c>
      <c r="R203" s="247">
        <v>0</v>
      </c>
      <c r="S203" s="247">
        <v>0</v>
      </c>
      <c r="T203" s="407" t="e">
        <v>#DIV/0!</v>
      </c>
      <c r="U203" s="406">
        <v>0</v>
      </c>
      <c r="V203" s="406">
        <v>0</v>
      </c>
      <c r="W203" s="406">
        <v>0</v>
      </c>
      <c r="X203" s="406">
        <v>0</v>
      </c>
      <c r="Y203" s="406">
        <v>0</v>
      </c>
      <c r="Z203" s="406">
        <v>0</v>
      </c>
    </row>
    <row r="204" spans="1:26" x14ac:dyDescent="0.2">
      <c r="A204" s="399" t="s">
        <v>430</v>
      </c>
      <c r="B204" s="474">
        <v>0</v>
      </c>
      <c r="C204" s="474">
        <v>0</v>
      </c>
      <c r="D204" s="474">
        <v>0</v>
      </c>
      <c r="E204" s="474">
        <v>0</v>
      </c>
      <c r="F204" s="474">
        <v>0</v>
      </c>
      <c r="G204" s="474">
        <v>0</v>
      </c>
      <c r="H204" s="474">
        <v>0</v>
      </c>
      <c r="I204" s="474">
        <v>0</v>
      </c>
      <c r="J204" s="474">
        <v>0</v>
      </c>
      <c r="K204" s="474">
        <v>0</v>
      </c>
      <c r="L204" s="474">
        <v>0</v>
      </c>
      <c r="M204" s="474">
        <v>0</v>
      </c>
      <c r="N204" s="474">
        <v>0</v>
      </c>
      <c r="O204" s="474">
        <v>0</v>
      </c>
      <c r="P204" s="474">
        <v>0</v>
      </c>
      <c r="Q204" s="474">
        <v>0</v>
      </c>
      <c r="R204" s="474">
        <v>0</v>
      </c>
      <c r="S204" s="474">
        <v>0</v>
      </c>
      <c r="T204" s="402" t="e">
        <v>#DIV/0!</v>
      </c>
      <c r="U204" s="401">
        <v>0</v>
      </c>
      <c r="V204" s="401">
        <v>0</v>
      </c>
      <c r="W204" s="401">
        <v>0</v>
      </c>
      <c r="X204" s="401">
        <v>0</v>
      </c>
      <c r="Y204" s="401">
        <v>0</v>
      </c>
      <c r="Z204" s="401">
        <v>0</v>
      </c>
    </row>
    <row r="205" spans="1:26" x14ac:dyDescent="0.2">
      <c r="A205" s="404" t="s">
        <v>431</v>
      </c>
      <c r="B205" s="247">
        <v>0</v>
      </c>
      <c r="C205" s="247">
        <v>0</v>
      </c>
      <c r="D205" s="247">
        <v>0</v>
      </c>
      <c r="E205" s="247">
        <v>0</v>
      </c>
      <c r="F205" s="247">
        <v>0</v>
      </c>
      <c r="G205" s="247">
        <v>0</v>
      </c>
      <c r="H205" s="247">
        <v>0</v>
      </c>
      <c r="I205" s="247">
        <v>0</v>
      </c>
      <c r="J205" s="247">
        <v>0</v>
      </c>
      <c r="K205" s="247">
        <v>0</v>
      </c>
      <c r="L205" s="247">
        <v>0</v>
      </c>
      <c r="M205" s="247">
        <v>0</v>
      </c>
      <c r="N205" s="247">
        <v>0</v>
      </c>
      <c r="O205" s="247">
        <v>0</v>
      </c>
      <c r="P205" s="247">
        <v>0</v>
      </c>
      <c r="Q205" s="247">
        <v>0</v>
      </c>
      <c r="R205" s="247">
        <v>0</v>
      </c>
      <c r="S205" s="247">
        <v>0</v>
      </c>
      <c r="T205" s="407" t="e">
        <v>#DIV/0!</v>
      </c>
      <c r="U205" s="406">
        <v>0</v>
      </c>
      <c r="V205" s="406">
        <v>0</v>
      </c>
      <c r="W205" s="406">
        <v>0</v>
      </c>
      <c r="X205" s="406">
        <v>0</v>
      </c>
      <c r="Y205" s="406">
        <v>0</v>
      </c>
      <c r="Z205" s="406">
        <v>0</v>
      </c>
    </row>
    <row r="206" spans="1:26" x14ac:dyDescent="0.2">
      <c r="A206" s="404" t="s">
        <v>432</v>
      </c>
      <c r="B206" s="247">
        <v>0</v>
      </c>
      <c r="C206" s="247">
        <v>0</v>
      </c>
      <c r="D206" s="247">
        <v>0</v>
      </c>
      <c r="E206" s="247">
        <v>0</v>
      </c>
      <c r="F206" s="247">
        <v>0</v>
      </c>
      <c r="G206" s="247">
        <v>0</v>
      </c>
      <c r="H206" s="247">
        <v>0</v>
      </c>
      <c r="I206" s="247">
        <v>0</v>
      </c>
      <c r="J206" s="247">
        <v>0</v>
      </c>
      <c r="K206" s="247">
        <v>0</v>
      </c>
      <c r="L206" s="247">
        <v>0</v>
      </c>
      <c r="M206" s="247">
        <v>0</v>
      </c>
      <c r="N206" s="247">
        <v>0</v>
      </c>
      <c r="O206" s="247">
        <v>0</v>
      </c>
      <c r="P206" s="247">
        <v>0</v>
      </c>
      <c r="Q206" s="247">
        <v>0</v>
      </c>
      <c r="R206" s="247">
        <v>0</v>
      </c>
      <c r="S206" s="247">
        <v>0</v>
      </c>
      <c r="T206" s="407" t="e">
        <v>#DIV/0!</v>
      </c>
      <c r="U206" s="406">
        <v>0</v>
      </c>
      <c r="V206" s="406">
        <v>0</v>
      </c>
      <c r="W206" s="406">
        <v>0</v>
      </c>
      <c r="X206" s="406">
        <v>0</v>
      </c>
      <c r="Y206" s="406">
        <v>0</v>
      </c>
      <c r="Z206" s="406">
        <v>0</v>
      </c>
    </row>
    <row r="207" spans="1:26" x14ac:dyDescent="0.2">
      <c r="A207" s="404" t="s">
        <v>433</v>
      </c>
      <c r="B207" s="448">
        <v>0</v>
      </c>
      <c r="C207" s="448">
        <v>0</v>
      </c>
      <c r="D207" s="448">
        <v>0</v>
      </c>
      <c r="E207" s="448">
        <v>0</v>
      </c>
      <c r="F207" s="448">
        <v>0</v>
      </c>
      <c r="G207" s="448">
        <v>0</v>
      </c>
      <c r="H207" s="448">
        <v>0</v>
      </c>
      <c r="I207" s="448">
        <v>0</v>
      </c>
      <c r="J207" s="448">
        <v>0</v>
      </c>
      <c r="K207" s="448">
        <v>0</v>
      </c>
      <c r="L207" s="448">
        <v>0</v>
      </c>
      <c r="M207" s="448">
        <v>0</v>
      </c>
      <c r="N207" s="448">
        <v>0</v>
      </c>
      <c r="O207" s="448">
        <v>0</v>
      </c>
      <c r="P207" s="448">
        <v>0</v>
      </c>
      <c r="Q207" s="448">
        <v>0</v>
      </c>
      <c r="R207" s="448">
        <v>0</v>
      </c>
      <c r="S207" s="448">
        <v>0</v>
      </c>
      <c r="T207" s="407" t="e">
        <v>#DIV/0!</v>
      </c>
      <c r="U207" s="406">
        <v>0</v>
      </c>
      <c r="V207" s="406">
        <v>0</v>
      </c>
      <c r="W207" s="406">
        <v>0</v>
      </c>
      <c r="X207" s="406">
        <v>0</v>
      </c>
      <c r="Y207" s="406">
        <v>0</v>
      </c>
      <c r="Z207" s="406">
        <v>0</v>
      </c>
    </row>
    <row r="208" spans="1:26" x14ac:dyDescent="0.2">
      <c r="A208" s="409" t="s">
        <v>434</v>
      </c>
      <c r="B208" s="457">
        <v>0</v>
      </c>
      <c r="C208" s="457">
        <v>0</v>
      </c>
      <c r="D208" s="457">
        <v>0</v>
      </c>
      <c r="E208" s="457">
        <v>0</v>
      </c>
      <c r="F208" s="457">
        <v>0</v>
      </c>
      <c r="G208" s="457">
        <v>0</v>
      </c>
      <c r="H208" s="457">
        <v>0</v>
      </c>
      <c r="I208" s="457">
        <v>0</v>
      </c>
      <c r="J208" s="457">
        <v>0</v>
      </c>
      <c r="K208" s="457">
        <v>0</v>
      </c>
      <c r="L208" s="457">
        <v>0</v>
      </c>
      <c r="M208" s="457">
        <v>0</v>
      </c>
      <c r="N208" s="457">
        <v>0</v>
      </c>
      <c r="O208" s="457">
        <v>0</v>
      </c>
      <c r="P208" s="457">
        <v>0</v>
      </c>
      <c r="Q208" s="457">
        <v>0</v>
      </c>
      <c r="R208" s="457">
        <v>0</v>
      </c>
      <c r="S208" s="457">
        <v>0</v>
      </c>
      <c r="T208" s="410" t="e">
        <v>#DIV/0!</v>
      </c>
      <c r="U208" s="285">
        <v>0</v>
      </c>
      <c r="V208" s="285">
        <v>0</v>
      </c>
      <c r="W208" s="285">
        <v>0</v>
      </c>
      <c r="X208" s="285">
        <v>0</v>
      </c>
      <c r="Y208" s="285">
        <v>0</v>
      </c>
      <c r="Z208" s="285">
        <v>0</v>
      </c>
    </row>
    <row r="209" spans="1:26" x14ac:dyDescent="0.2">
      <c r="A209" s="409" t="s">
        <v>435</v>
      </c>
      <c r="B209" s="457">
        <v>0</v>
      </c>
      <c r="C209" s="457">
        <v>0</v>
      </c>
      <c r="D209" s="457">
        <v>0</v>
      </c>
      <c r="E209" s="457">
        <v>0</v>
      </c>
      <c r="F209" s="457">
        <v>0</v>
      </c>
      <c r="G209" s="457">
        <v>0</v>
      </c>
      <c r="H209" s="457">
        <v>0</v>
      </c>
      <c r="I209" s="457">
        <v>0</v>
      </c>
      <c r="J209" s="457">
        <v>0</v>
      </c>
      <c r="K209" s="457">
        <v>0</v>
      </c>
      <c r="L209" s="457">
        <v>0</v>
      </c>
      <c r="M209" s="457">
        <v>0</v>
      </c>
      <c r="N209" s="457">
        <v>0</v>
      </c>
      <c r="O209" s="457">
        <v>0</v>
      </c>
      <c r="P209" s="457">
        <v>0</v>
      </c>
      <c r="Q209" s="457">
        <v>0</v>
      </c>
      <c r="R209" s="457">
        <v>0</v>
      </c>
      <c r="S209" s="457">
        <v>0</v>
      </c>
      <c r="T209" s="410" t="e">
        <v>#DIV/0!</v>
      </c>
      <c r="U209" s="285">
        <v>0</v>
      </c>
      <c r="V209" s="285">
        <v>0</v>
      </c>
      <c r="W209" s="285">
        <v>0</v>
      </c>
      <c r="X209" s="285">
        <v>0</v>
      </c>
      <c r="Y209" s="285">
        <v>0</v>
      </c>
      <c r="Z209" s="285">
        <v>0</v>
      </c>
    </row>
    <row r="210" spans="1:26" x14ac:dyDescent="0.2">
      <c r="A210" s="404" t="s">
        <v>436</v>
      </c>
      <c r="B210" s="448">
        <v>0</v>
      </c>
      <c r="C210" s="448">
        <v>0</v>
      </c>
      <c r="D210" s="448">
        <v>0</v>
      </c>
      <c r="E210" s="448">
        <v>0</v>
      </c>
      <c r="F210" s="448">
        <v>0</v>
      </c>
      <c r="G210" s="448">
        <v>0</v>
      </c>
      <c r="H210" s="448">
        <v>0</v>
      </c>
      <c r="I210" s="448">
        <v>0</v>
      </c>
      <c r="J210" s="448">
        <v>0</v>
      </c>
      <c r="K210" s="448">
        <v>0</v>
      </c>
      <c r="L210" s="448">
        <v>0</v>
      </c>
      <c r="M210" s="448">
        <v>0</v>
      </c>
      <c r="N210" s="448">
        <v>0</v>
      </c>
      <c r="O210" s="448">
        <v>0</v>
      </c>
      <c r="P210" s="448">
        <v>0</v>
      </c>
      <c r="Q210" s="448">
        <v>0</v>
      </c>
      <c r="R210" s="448">
        <v>0</v>
      </c>
      <c r="S210" s="448">
        <v>0</v>
      </c>
      <c r="T210" s="407" t="e">
        <v>#DIV/0!</v>
      </c>
      <c r="U210" s="406">
        <v>0</v>
      </c>
      <c r="V210" s="406">
        <v>0</v>
      </c>
      <c r="W210" s="406">
        <v>0</v>
      </c>
      <c r="X210" s="406">
        <v>0</v>
      </c>
      <c r="Y210" s="406">
        <v>0</v>
      </c>
      <c r="Z210" s="406">
        <v>0</v>
      </c>
    </row>
    <row r="211" spans="1:26" x14ac:dyDescent="0.2">
      <c r="A211" s="409" t="s">
        <v>437</v>
      </c>
      <c r="B211" s="457">
        <v>0</v>
      </c>
      <c r="C211" s="457">
        <v>0</v>
      </c>
      <c r="D211" s="457">
        <v>0</v>
      </c>
      <c r="E211" s="457">
        <v>0</v>
      </c>
      <c r="F211" s="457">
        <v>0</v>
      </c>
      <c r="G211" s="457">
        <v>0</v>
      </c>
      <c r="H211" s="457">
        <v>0</v>
      </c>
      <c r="I211" s="457">
        <v>0</v>
      </c>
      <c r="J211" s="457">
        <v>0</v>
      </c>
      <c r="K211" s="457">
        <v>0</v>
      </c>
      <c r="L211" s="457">
        <v>0</v>
      </c>
      <c r="M211" s="457">
        <v>0</v>
      </c>
      <c r="N211" s="457">
        <v>0</v>
      </c>
      <c r="O211" s="457">
        <v>0</v>
      </c>
      <c r="P211" s="457">
        <v>0</v>
      </c>
      <c r="Q211" s="457">
        <v>0</v>
      </c>
      <c r="R211" s="457">
        <v>0</v>
      </c>
      <c r="S211" s="457">
        <v>0</v>
      </c>
      <c r="T211" s="410" t="e">
        <v>#DIV/0!</v>
      </c>
      <c r="U211" s="285">
        <v>0</v>
      </c>
      <c r="V211" s="285">
        <v>0</v>
      </c>
      <c r="W211" s="285">
        <v>0</v>
      </c>
      <c r="X211" s="285">
        <v>0</v>
      </c>
      <c r="Y211" s="285">
        <v>0</v>
      </c>
      <c r="Z211" s="285">
        <v>0</v>
      </c>
    </row>
    <row r="212" spans="1:26" x14ac:dyDescent="0.2">
      <c r="A212" s="409" t="s">
        <v>438</v>
      </c>
      <c r="B212" s="457">
        <v>0</v>
      </c>
      <c r="C212" s="457">
        <v>0</v>
      </c>
      <c r="D212" s="457">
        <v>0</v>
      </c>
      <c r="E212" s="457">
        <v>0</v>
      </c>
      <c r="F212" s="457">
        <v>0</v>
      </c>
      <c r="G212" s="457">
        <v>0</v>
      </c>
      <c r="H212" s="457">
        <v>0</v>
      </c>
      <c r="I212" s="457">
        <v>0</v>
      </c>
      <c r="J212" s="457">
        <v>0</v>
      </c>
      <c r="K212" s="457">
        <v>0</v>
      </c>
      <c r="L212" s="457">
        <v>0</v>
      </c>
      <c r="M212" s="457">
        <v>0</v>
      </c>
      <c r="N212" s="457">
        <v>0</v>
      </c>
      <c r="O212" s="457">
        <v>0</v>
      </c>
      <c r="P212" s="457">
        <v>0</v>
      </c>
      <c r="Q212" s="457">
        <v>0</v>
      </c>
      <c r="R212" s="457">
        <v>0</v>
      </c>
      <c r="S212" s="457">
        <v>0</v>
      </c>
      <c r="T212" s="410" t="e">
        <v>#DIV/0!</v>
      </c>
      <c r="U212" s="285">
        <v>0</v>
      </c>
      <c r="V212" s="285">
        <v>0</v>
      </c>
      <c r="W212" s="285">
        <v>0</v>
      </c>
      <c r="X212" s="285">
        <v>0</v>
      </c>
      <c r="Y212" s="285">
        <v>0</v>
      </c>
      <c r="Z212" s="285">
        <v>0</v>
      </c>
    </row>
    <row r="213" spans="1:26" x14ac:dyDescent="0.2">
      <c r="A213" s="409" t="s">
        <v>439</v>
      </c>
      <c r="B213" s="457">
        <v>0</v>
      </c>
      <c r="C213" s="457">
        <v>0</v>
      </c>
      <c r="D213" s="457">
        <v>0</v>
      </c>
      <c r="E213" s="457">
        <v>0</v>
      </c>
      <c r="F213" s="457">
        <v>0</v>
      </c>
      <c r="G213" s="457">
        <v>0</v>
      </c>
      <c r="H213" s="457">
        <v>0</v>
      </c>
      <c r="I213" s="457">
        <v>0</v>
      </c>
      <c r="J213" s="457">
        <v>0</v>
      </c>
      <c r="K213" s="457">
        <v>0</v>
      </c>
      <c r="L213" s="457">
        <v>0</v>
      </c>
      <c r="M213" s="457">
        <v>0</v>
      </c>
      <c r="N213" s="457">
        <v>0</v>
      </c>
      <c r="O213" s="457">
        <v>0</v>
      </c>
      <c r="P213" s="457">
        <v>0</v>
      </c>
      <c r="Q213" s="457">
        <v>0</v>
      </c>
      <c r="R213" s="457">
        <v>0</v>
      </c>
      <c r="S213" s="457">
        <v>0</v>
      </c>
      <c r="T213" s="410" t="e">
        <v>#DIV/0!</v>
      </c>
      <c r="U213" s="285">
        <v>0</v>
      </c>
      <c r="V213" s="285">
        <v>0</v>
      </c>
      <c r="W213" s="285">
        <v>0</v>
      </c>
      <c r="X213" s="285">
        <v>0</v>
      </c>
      <c r="Y213" s="285">
        <v>0</v>
      </c>
      <c r="Z213" s="285">
        <v>0</v>
      </c>
    </row>
    <row r="214" spans="1:26" x14ac:dyDescent="0.2">
      <c r="A214" s="409" t="s">
        <v>440</v>
      </c>
      <c r="B214" s="457">
        <v>0</v>
      </c>
      <c r="C214" s="457">
        <v>0</v>
      </c>
      <c r="D214" s="457">
        <v>0</v>
      </c>
      <c r="E214" s="457">
        <v>0</v>
      </c>
      <c r="F214" s="457">
        <v>0</v>
      </c>
      <c r="G214" s="457">
        <v>0</v>
      </c>
      <c r="H214" s="457">
        <v>0</v>
      </c>
      <c r="I214" s="457">
        <v>0</v>
      </c>
      <c r="J214" s="457">
        <v>0</v>
      </c>
      <c r="K214" s="457">
        <v>0</v>
      </c>
      <c r="L214" s="457">
        <v>0</v>
      </c>
      <c r="M214" s="457">
        <v>0</v>
      </c>
      <c r="N214" s="457">
        <v>0</v>
      </c>
      <c r="O214" s="457">
        <v>0</v>
      </c>
      <c r="P214" s="457">
        <v>0</v>
      </c>
      <c r="Q214" s="457">
        <v>0</v>
      </c>
      <c r="R214" s="457">
        <v>0</v>
      </c>
      <c r="S214" s="457">
        <v>0</v>
      </c>
      <c r="T214" s="410" t="e">
        <v>#DIV/0!</v>
      </c>
      <c r="U214" s="285">
        <v>0</v>
      </c>
      <c r="V214" s="285">
        <v>0</v>
      </c>
      <c r="W214" s="285">
        <v>0</v>
      </c>
      <c r="X214" s="285">
        <v>0</v>
      </c>
      <c r="Y214" s="285">
        <v>0</v>
      </c>
      <c r="Z214" s="285">
        <v>0</v>
      </c>
    </row>
    <row r="215" spans="1:26" x14ac:dyDescent="0.2">
      <c r="A215" s="404" t="s">
        <v>441</v>
      </c>
      <c r="B215" s="448">
        <v>0</v>
      </c>
      <c r="C215" s="448">
        <v>0</v>
      </c>
      <c r="D215" s="448">
        <v>0</v>
      </c>
      <c r="E215" s="448">
        <v>0</v>
      </c>
      <c r="F215" s="448">
        <v>0</v>
      </c>
      <c r="G215" s="448">
        <v>0</v>
      </c>
      <c r="H215" s="448">
        <v>0</v>
      </c>
      <c r="I215" s="448">
        <v>0</v>
      </c>
      <c r="J215" s="448">
        <v>0</v>
      </c>
      <c r="K215" s="448">
        <v>0</v>
      </c>
      <c r="L215" s="448">
        <v>0</v>
      </c>
      <c r="M215" s="448">
        <v>0</v>
      </c>
      <c r="N215" s="448">
        <v>0</v>
      </c>
      <c r="O215" s="448">
        <v>0</v>
      </c>
      <c r="P215" s="448">
        <v>0</v>
      </c>
      <c r="Q215" s="448">
        <v>0</v>
      </c>
      <c r="R215" s="448">
        <v>0</v>
      </c>
      <c r="S215" s="448">
        <v>0</v>
      </c>
      <c r="T215" s="407" t="e">
        <v>#DIV/0!</v>
      </c>
      <c r="U215" s="406">
        <v>0</v>
      </c>
      <c r="V215" s="406">
        <v>0</v>
      </c>
      <c r="W215" s="406">
        <v>0</v>
      </c>
      <c r="X215" s="406">
        <v>0</v>
      </c>
      <c r="Y215" s="406">
        <v>0</v>
      </c>
      <c r="Z215" s="406">
        <v>0</v>
      </c>
    </row>
    <row r="216" spans="1:26" x14ac:dyDescent="0.2">
      <c r="A216" s="409" t="s">
        <v>442</v>
      </c>
      <c r="B216" s="457">
        <v>0</v>
      </c>
      <c r="C216" s="457">
        <v>0</v>
      </c>
      <c r="D216" s="457">
        <v>0</v>
      </c>
      <c r="E216" s="457">
        <v>0</v>
      </c>
      <c r="F216" s="457">
        <v>0</v>
      </c>
      <c r="G216" s="457">
        <v>0</v>
      </c>
      <c r="H216" s="457">
        <v>0</v>
      </c>
      <c r="I216" s="457">
        <v>0</v>
      </c>
      <c r="J216" s="457">
        <v>0</v>
      </c>
      <c r="K216" s="457">
        <v>0</v>
      </c>
      <c r="L216" s="457">
        <v>0</v>
      </c>
      <c r="M216" s="457">
        <v>0</v>
      </c>
      <c r="N216" s="457">
        <v>0</v>
      </c>
      <c r="O216" s="457">
        <v>0</v>
      </c>
      <c r="P216" s="457">
        <v>0</v>
      </c>
      <c r="Q216" s="457">
        <v>0</v>
      </c>
      <c r="R216" s="457">
        <v>0</v>
      </c>
      <c r="S216" s="457">
        <v>0</v>
      </c>
      <c r="T216" s="410" t="e">
        <v>#DIV/0!</v>
      </c>
      <c r="U216" s="285">
        <v>0</v>
      </c>
      <c r="V216" s="285">
        <v>0</v>
      </c>
      <c r="W216" s="285">
        <v>0</v>
      </c>
      <c r="X216" s="285">
        <v>0</v>
      </c>
      <c r="Y216" s="285">
        <v>0</v>
      </c>
      <c r="Z216" s="285">
        <v>0</v>
      </c>
    </row>
    <row r="217" spans="1:26" x14ac:dyDescent="0.2">
      <c r="A217" s="409" t="s">
        <v>443</v>
      </c>
      <c r="B217" s="457">
        <v>0</v>
      </c>
      <c r="C217" s="457">
        <v>0</v>
      </c>
      <c r="D217" s="457">
        <v>0</v>
      </c>
      <c r="E217" s="457">
        <v>0</v>
      </c>
      <c r="F217" s="457">
        <v>0</v>
      </c>
      <c r="G217" s="457">
        <v>0</v>
      </c>
      <c r="H217" s="457">
        <v>0</v>
      </c>
      <c r="I217" s="457">
        <v>0</v>
      </c>
      <c r="J217" s="457">
        <v>0</v>
      </c>
      <c r="K217" s="457">
        <v>0</v>
      </c>
      <c r="L217" s="457">
        <v>0</v>
      </c>
      <c r="M217" s="457">
        <v>0</v>
      </c>
      <c r="N217" s="457">
        <v>0</v>
      </c>
      <c r="O217" s="457">
        <v>0</v>
      </c>
      <c r="P217" s="457">
        <v>0</v>
      </c>
      <c r="Q217" s="457">
        <v>0</v>
      </c>
      <c r="R217" s="457">
        <v>0</v>
      </c>
      <c r="S217" s="457">
        <v>0</v>
      </c>
      <c r="T217" s="410" t="e">
        <v>#DIV/0!</v>
      </c>
      <c r="U217" s="285">
        <v>0</v>
      </c>
      <c r="V217" s="285">
        <v>0</v>
      </c>
      <c r="W217" s="285">
        <v>0</v>
      </c>
      <c r="X217" s="285">
        <v>0</v>
      </c>
      <c r="Y217" s="285">
        <v>0</v>
      </c>
      <c r="Z217" s="285">
        <v>0</v>
      </c>
    </row>
    <row r="218" spans="1:26" x14ac:dyDescent="0.2">
      <c r="A218" s="409" t="s">
        <v>444</v>
      </c>
      <c r="B218" s="457">
        <v>0</v>
      </c>
      <c r="C218" s="457">
        <v>0</v>
      </c>
      <c r="D218" s="457">
        <v>0</v>
      </c>
      <c r="E218" s="457">
        <v>0</v>
      </c>
      <c r="F218" s="457">
        <v>0</v>
      </c>
      <c r="G218" s="457">
        <v>0</v>
      </c>
      <c r="H218" s="457">
        <v>0</v>
      </c>
      <c r="I218" s="457">
        <v>0</v>
      </c>
      <c r="J218" s="457">
        <v>0</v>
      </c>
      <c r="K218" s="457">
        <v>0</v>
      </c>
      <c r="L218" s="457">
        <v>0</v>
      </c>
      <c r="M218" s="457">
        <v>0</v>
      </c>
      <c r="N218" s="457">
        <v>0</v>
      </c>
      <c r="O218" s="457">
        <v>0</v>
      </c>
      <c r="P218" s="457">
        <v>0</v>
      </c>
      <c r="Q218" s="457">
        <v>0</v>
      </c>
      <c r="R218" s="457">
        <v>0</v>
      </c>
      <c r="S218" s="457">
        <v>0</v>
      </c>
      <c r="T218" s="410" t="e">
        <v>#DIV/0!</v>
      </c>
      <c r="U218" s="285">
        <v>0</v>
      </c>
      <c r="V218" s="285">
        <v>0</v>
      </c>
      <c r="W218" s="285">
        <v>0</v>
      </c>
      <c r="X218" s="285">
        <v>0</v>
      </c>
      <c r="Y218" s="285">
        <v>0</v>
      </c>
      <c r="Z218" s="285">
        <v>0</v>
      </c>
    </row>
    <row r="219" spans="1:26" x14ac:dyDescent="0.2">
      <c r="A219" s="409" t="s">
        <v>445</v>
      </c>
      <c r="B219" s="457">
        <v>0</v>
      </c>
      <c r="C219" s="457">
        <v>0</v>
      </c>
      <c r="D219" s="457">
        <v>0</v>
      </c>
      <c r="E219" s="457">
        <v>0</v>
      </c>
      <c r="F219" s="457">
        <v>0</v>
      </c>
      <c r="G219" s="457">
        <v>0</v>
      </c>
      <c r="H219" s="457">
        <v>0</v>
      </c>
      <c r="I219" s="457">
        <v>0</v>
      </c>
      <c r="J219" s="457">
        <v>0</v>
      </c>
      <c r="K219" s="457">
        <v>0</v>
      </c>
      <c r="L219" s="457">
        <v>0</v>
      </c>
      <c r="M219" s="457">
        <v>0</v>
      </c>
      <c r="N219" s="457">
        <v>0</v>
      </c>
      <c r="O219" s="457">
        <v>0</v>
      </c>
      <c r="P219" s="457">
        <v>0</v>
      </c>
      <c r="Q219" s="457">
        <v>0</v>
      </c>
      <c r="R219" s="457">
        <v>0</v>
      </c>
      <c r="S219" s="457">
        <v>0</v>
      </c>
      <c r="T219" s="410" t="e">
        <v>#DIV/0!</v>
      </c>
      <c r="U219" s="285">
        <v>0</v>
      </c>
      <c r="V219" s="285">
        <v>0</v>
      </c>
      <c r="W219" s="285">
        <v>0</v>
      </c>
      <c r="X219" s="285">
        <v>0</v>
      </c>
      <c r="Y219" s="285">
        <v>0</v>
      </c>
      <c r="Z219" s="285">
        <v>0</v>
      </c>
    </row>
    <row r="220" spans="1:26" x14ac:dyDescent="0.2">
      <c r="A220" s="404" t="s">
        <v>446</v>
      </c>
      <c r="B220" s="247">
        <v>0</v>
      </c>
      <c r="C220" s="247">
        <v>0</v>
      </c>
      <c r="D220" s="247">
        <v>0</v>
      </c>
      <c r="E220" s="247">
        <v>0</v>
      </c>
      <c r="F220" s="247">
        <v>0</v>
      </c>
      <c r="G220" s="247">
        <v>0</v>
      </c>
      <c r="H220" s="247">
        <v>0</v>
      </c>
      <c r="I220" s="247">
        <v>0</v>
      </c>
      <c r="J220" s="247">
        <v>0</v>
      </c>
      <c r="K220" s="247">
        <v>0</v>
      </c>
      <c r="L220" s="247">
        <v>0</v>
      </c>
      <c r="M220" s="247">
        <v>0</v>
      </c>
      <c r="N220" s="247">
        <v>0</v>
      </c>
      <c r="O220" s="247">
        <v>0</v>
      </c>
      <c r="P220" s="247">
        <v>0</v>
      </c>
      <c r="Q220" s="247">
        <v>0</v>
      </c>
      <c r="R220" s="247">
        <v>0</v>
      </c>
      <c r="S220" s="247">
        <v>0</v>
      </c>
      <c r="T220" s="407" t="e">
        <v>#DIV/0!</v>
      </c>
      <c r="U220" s="406">
        <v>0</v>
      </c>
      <c r="V220" s="406">
        <v>0</v>
      </c>
      <c r="W220" s="406">
        <v>0</v>
      </c>
      <c r="X220" s="406">
        <v>0</v>
      </c>
      <c r="Y220" s="406">
        <v>0</v>
      </c>
      <c r="Z220" s="406">
        <v>0</v>
      </c>
    </row>
    <row r="221" spans="1:26" x14ac:dyDescent="0.2">
      <c r="A221" s="404" t="s">
        <v>447</v>
      </c>
      <c r="B221" s="247">
        <v>0</v>
      </c>
      <c r="C221" s="247">
        <v>0</v>
      </c>
      <c r="D221" s="247">
        <v>0</v>
      </c>
      <c r="E221" s="247">
        <v>0</v>
      </c>
      <c r="F221" s="247">
        <v>0</v>
      </c>
      <c r="G221" s="247">
        <v>0</v>
      </c>
      <c r="H221" s="247">
        <v>0</v>
      </c>
      <c r="I221" s="247">
        <v>0</v>
      </c>
      <c r="J221" s="247">
        <v>0</v>
      </c>
      <c r="K221" s="247">
        <v>0</v>
      </c>
      <c r="L221" s="247">
        <v>0</v>
      </c>
      <c r="M221" s="247">
        <v>0</v>
      </c>
      <c r="N221" s="247">
        <v>0</v>
      </c>
      <c r="O221" s="247">
        <v>0</v>
      </c>
      <c r="P221" s="247">
        <v>0</v>
      </c>
      <c r="Q221" s="247">
        <v>0</v>
      </c>
      <c r="R221" s="247">
        <v>0</v>
      </c>
      <c r="S221" s="247">
        <v>0</v>
      </c>
      <c r="T221" s="407" t="e">
        <v>#DIV/0!</v>
      </c>
      <c r="U221" s="406">
        <v>0</v>
      </c>
      <c r="V221" s="406">
        <v>0</v>
      </c>
      <c r="W221" s="406">
        <v>0</v>
      </c>
      <c r="X221" s="406">
        <v>0</v>
      </c>
      <c r="Y221" s="406">
        <v>0</v>
      </c>
      <c r="Z221" s="406">
        <v>0</v>
      </c>
    </row>
    <row r="222" spans="1:26" x14ac:dyDescent="0.2">
      <c r="A222" s="404" t="s">
        <v>448</v>
      </c>
      <c r="B222" s="247">
        <v>0</v>
      </c>
      <c r="C222" s="247">
        <v>0</v>
      </c>
      <c r="D222" s="247">
        <v>0</v>
      </c>
      <c r="E222" s="247">
        <v>0</v>
      </c>
      <c r="F222" s="247">
        <v>0</v>
      </c>
      <c r="G222" s="247">
        <v>0</v>
      </c>
      <c r="H222" s="247">
        <v>0</v>
      </c>
      <c r="I222" s="247">
        <v>0</v>
      </c>
      <c r="J222" s="247">
        <v>0</v>
      </c>
      <c r="K222" s="247">
        <v>0</v>
      </c>
      <c r="L222" s="247">
        <v>0</v>
      </c>
      <c r="M222" s="247">
        <v>0</v>
      </c>
      <c r="N222" s="247">
        <v>0</v>
      </c>
      <c r="O222" s="247">
        <v>0</v>
      </c>
      <c r="P222" s="247">
        <v>0</v>
      </c>
      <c r="Q222" s="247">
        <v>0</v>
      </c>
      <c r="R222" s="247">
        <v>0</v>
      </c>
      <c r="S222" s="247">
        <v>0</v>
      </c>
      <c r="T222" s="407" t="e">
        <v>#DIV/0!</v>
      </c>
      <c r="U222" s="406">
        <v>0</v>
      </c>
      <c r="V222" s="406">
        <v>0</v>
      </c>
      <c r="W222" s="406">
        <v>0</v>
      </c>
      <c r="X222" s="406">
        <v>0</v>
      </c>
      <c r="Y222" s="406">
        <v>0</v>
      </c>
      <c r="Z222" s="406">
        <v>0</v>
      </c>
    </row>
    <row r="223" spans="1:26" x14ac:dyDescent="0.2">
      <c r="A223" s="404" t="s">
        <v>449</v>
      </c>
      <c r="B223" s="247">
        <v>0</v>
      </c>
      <c r="C223" s="247">
        <v>0</v>
      </c>
      <c r="D223" s="247">
        <v>0</v>
      </c>
      <c r="E223" s="247">
        <v>0</v>
      </c>
      <c r="F223" s="247">
        <v>0</v>
      </c>
      <c r="G223" s="247">
        <v>0</v>
      </c>
      <c r="H223" s="247">
        <v>0</v>
      </c>
      <c r="I223" s="247">
        <v>0</v>
      </c>
      <c r="J223" s="247">
        <v>0</v>
      </c>
      <c r="K223" s="247">
        <v>0</v>
      </c>
      <c r="L223" s="247">
        <v>0</v>
      </c>
      <c r="M223" s="247">
        <v>0</v>
      </c>
      <c r="N223" s="247">
        <v>0</v>
      </c>
      <c r="O223" s="247">
        <v>0</v>
      </c>
      <c r="P223" s="247">
        <v>0</v>
      </c>
      <c r="Q223" s="247">
        <v>0</v>
      </c>
      <c r="R223" s="247">
        <v>0</v>
      </c>
      <c r="S223" s="247">
        <v>0</v>
      </c>
      <c r="T223" s="407" t="e">
        <v>#DIV/0!</v>
      </c>
      <c r="U223" s="406">
        <v>0</v>
      </c>
      <c r="V223" s="406">
        <v>0</v>
      </c>
      <c r="W223" s="406">
        <v>0</v>
      </c>
      <c r="X223" s="406">
        <v>0</v>
      </c>
      <c r="Y223" s="406">
        <v>0</v>
      </c>
      <c r="Z223" s="406">
        <v>0</v>
      </c>
    </row>
    <row r="224" spans="1:26" x14ac:dyDescent="0.2">
      <c r="A224" s="404" t="s">
        <v>450</v>
      </c>
      <c r="B224" s="448">
        <v>0</v>
      </c>
      <c r="C224" s="448">
        <v>0</v>
      </c>
      <c r="D224" s="448">
        <v>0</v>
      </c>
      <c r="E224" s="448">
        <v>0</v>
      </c>
      <c r="F224" s="448">
        <v>0</v>
      </c>
      <c r="G224" s="448">
        <v>0</v>
      </c>
      <c r="H224" s="448">
        <v>0</v>
      </c>
      <c r="I224" s="448">
        <v>0</v>
      </c>
      <c r="J224" s="448">
        <v>0</v>
      </c>
      <c r="K224" s="448">
        <v>0</v>
      </c>
      <c r="L224" s="448">
        <v>0</v>
      </c>
      <c r="M224" s="448">
        <v>0</v>
      </c>
      <c r="N224" s="448">
        <v>0</v>
      </c>
      <c r="O224" s="448">
        <v>0</v>
      </c>
      <c r="P224" s="448">
        <v>0</v>
      </c>
      <c r="Q224" s="448">
        <v>0</v>
      </c>
      <c r="R224" s="448">
        <v>0</v>
      </c>
      <c r="S224" s="448">
        <v>0</v>
      </c>
      <c r="T224" s="407" t="e">
        <v>#DIV/0!</v>
      </c>
      <c r="U224" s="406">
        <v>0</v>
      </c>
      <c r="V224" s="406">
        <v>0</v>
      </c>
      <c r="W224" s="406">
        <v>0</v>
      </c>
      <c r="X224" s="406">
        <v>0</v>
      </c>
      <c r="Y224" s="406">
        <v>0</v>
      </c>
      <c r="Z224" s="406">
        <v>0</v>
      </c>
    </row>
    <row r="225" spans="1:26" x14ac:dyDescent="0.2">
      <c r="A225" s="409" t="s">
        <v>451</v>
      </c>
      <c r="B225" s="457">
        <v>0</v>
      </c>
      <c r="C225" s="457">
        <v>0</v>
      </c>
      <c r="D225" s="457">
        <v>0</v>
      </c>
      <c r="E225" s="457">
        <v>0</v>
      </c>
      <c r="F225" s="457">
        <v>0</v>
      </c>
      <c r="G225" s="457">
        <v>0</v>
      </c>
      <c r="H225" s="457">
        <v>0</v>
      </c>
      <c r="I225" s="457">
        <v>0</v>
      </c>
      <c r="J225" s="457">
        <v>0</v>
      </c>
      <c r="K225" s="457">
        <v>0</v>
      </c>
      <c r="L225" s="457">
        <v>0</v>
      </c>
      <c r="M225" s="457">
        <v>0</v>
      </c>
      <c r="N225" s="457">
        <v>0</v>
      </c>
      <c r="O225" s="457">
        <v>0</v>
      </c>
      <c r="P225" s="457">
        <v>0</v>
      </c>
      <c r="Q225" s="457">
        <v>0</v>
      </c>
      <c r="R225" s="457">
        <v>0</v>
      </c>
      <c r="S225" s="457">
        <v>0</v>
      </c>
      <c r="T225" s="410" t="e">
        <v>#DIV/0!</v>
      </c>
      <c r="U225" s="285">
        <v>0</v>
      </c>
      <c r="V225" s="285">
        <v>0</v>
      </c>
      <c r="W225" s="285">
        <v>0</v>
      </c>
      <c r="X225" s="285">
        <v>0</v>
      </c>
      <c r="Y225" s="285">
        <v>0</v>
      </c>
      <c r="Z225" s="285">
        <v>0</v>
      </c>
    </row>
    <row r="226" spans="1:26" x14ac:dyDescent="0.2">
      <c r="A226" s="409" t="s">
        <v>452</v>
      </c>
      <c r="B226" s="457">
        <v>0</v>
      </c>
      <c r="C226" s="457">
        <v>0</v>
      </c>
      <c r="D226" s="457">
        <v>0</v>
      </c>
      <c r="E226" s="457">
        <v>0</v>
      </c>
      <c r="F226" s="457">
        <v>0</v>
      </c>
      <c r="G226" s="457">
        <v>0</v>
      </c>
      <c r="H226" s="457">
        <v>0</v>
      </c>
      <c r="I226" s="457">
        <v>0</v>
      </c>
      <c r="J226" s="457">
        <v>0</v>
      </c>
      <c r="K226" s="457">
        <v>0</v>
      </c>
      <c r="L226" s="457">
        <v>0</v>
      </c>
      <c r="M226" s="457">
        <v>0</v>
      </c>
      <c r="N226" s="457">
        <v>0</v>
      </c>
      <c r="O226" s="457">
        <v>0</v>
      </c>
      <c r="P226" s="457">
        <v>0</v>
      </c>
      <c r="Q226" s="457">
        <v>0</v>
      </c>
      <c r="R226" s="457">
        <v>0</v>
      </c>
      <c r="S226" s="457">
        <v>0</v>
      </c>
      <c r="T226" s="410" t="e">
        <v>#DIV/0!</v>
      </c>
      <c r="U226" s="285">
        <v>0</v>
      </c>
      <c r="V226" s="285">
        <v>0</v>
      </c>
      <c r="W226" s="285">
        <v>0</v>
      </c>
      <c r="X226" s="285">
        <v>0</v>
      </c>
      <c r="Y226" s="285">
        <v>0</v>
      </c>
      <c r="Z226" s="285">
        <v>0</v>
      </c>
    </row>
    <row r="227" spans="1:26" x14ac:dyDescent="0.2">
      <c r="A227" s="409" t="s">
        <v>453</v>
      </c>
      <c r="B227" s="457">
        <v>0</v>
      </c>
      <c r="C227" s="457">
        <v>0</v>
      </c>
      <c r="D227" s="457">
        <v>0</v>
      </c>
      <c r="E227" s="457">
        <v>0</v>
      </c>
      <c r="F227" s="457">
        <v>0</v>
      </c>
      <c r="G227" s="457">
        <v>0</v>
      </c>
      <c r="H227" s="457">
        <v>0</v>
      </c>
      <c r="I227" s="457">
        <v>0</v>
      </c>
      <c r="J227" s="457">
        <v>0</v>
      </c>
      <c r="K227" s="457">
        <v>0</v>
      </c>
      <c r="L227" s="457">
        <v>0</v>
      </c>
      <c r="M227" s="457">
        <v>0</v>
      </c>
      <c r="N227" s="457">
        <v>0</v>
      </c>
      <c r="O227" s="457">
        <v>0</v>
      </c>
      <c r="P227" s="457">
        <v>0</v>
      </c>
      <c r="Q227" s="457">
        <v>0</v>
      </c>
      <c r="R227" s="457">
        <v>0</v>
      </c>
      <c r="S227" s="457">
        <v>0</v>
      </c>
      <c r="T227" s="410" t="e">
        <v>#DIV/0!</v>
      </c>
      <c r="U227" s="285">
        <v>0</v>
      </c>
      <c r="V227" s="285">
        <v>0</v>
      </c>
      <c r="W227" s="285">
        <v>0</v>
      </c>
      <c r="X227" s="285">
        <v>0</v>
      </c>
      <c r="Y227" s="285">
        <v>0</v>
      </c>
      <c r="Z227" s="285">
        <v>0</v>
      </c>
    </row>
    <row r="228" spans="1:26" x14ac:dyDescent="0.2">
      <c r="A228" s="409" t="s">
        <v>454</v>
      </c>
      <c r="B228" s="457">
        <v>0</v>
      </c>
      <c r="C228" s="457">
        <v>0</v>
      </c>
      <c r="D228" s="457">
        <v>0</v>
      </c>
      <c r="E228" s="457">
        <v>0</v>
      </c>
      <c r="F228" s="457">
        <v>0</v>
      </c>
      <c r="G228" s="457">
        <v>0</v>
      </c>
      <c r="H228" s="457">
        <v>0</v>
      </c>
      <c r="I228" s="457">
        <v>0</v>
      </c>
      <c r="J228" s="457">
        <v>0</v>
      </c>
      <c r="K228" s="457">
        <v>0</v>
      </c>
      <c r="L228" s="457">
        <v>0</v>
      </c>
      <c r="M228" s="457">
        <v>0</v>
      </c>
      <c r="N228" s="457">
        <v>0</v>
      </c>
      <c r="O228" s="457">
        <v>0</v>
      </c>
      <c r="P228" s="457">
        <v>0</v>
      </c>
      <c r="Q228" s="457">
        <v>0</v>
      </c>
      <c r="R228" s="457">
        <v>0</v>
      </c>
      <c r="S228" s="457">
        <v>0</v>
      </c>
      <c r="T228" s="410" t="e">
        <v>#DIV/0!</v>
      </c>
      <c r="U228" s="285">
        <v>0</v>
      </c>
      <c r="V228" s="285">
        <v>0</v>
      </c>
      <c r="W228" s="285">
        <v>0</v>
      </c>
      <c r="X228" s="285">
        <v>0</v>
      </c>
      <c r="Y228" s="285">
        <v>0</v>
      </c>
      <c r="Z228" s="285">
        <v>0</v>
      </c>
    </row>
    <row r="229" spans="1:26" x14ac:dyDescent="0.2">
      <c r="A229" s="409" t="s">
        <v>455</v>
      </c>
      <c r="B229" s="457">
        <v>0</v>
      </c>
      <c r="C229" s="457">
        <v>0</v>
      </c>
      <c r="D229" s="457">
        <v>0</v>
      </c>
      <c r="E229" s="457">
        <v>0</v>
      </c>
      <c r="F229" s="457">
        <v>0</v>
      </c>
      <c r="G229" s="457">
        <v>0</v>
      </c>
      <c r="H229" s="457">
        <v>0</v>
      </c>
      <c r="I229" s="457">
        <v>0</v>
      </c>
      <c r="J229" s="457">
        <v>0</v>
      </c>
      <c r="K229" s="457">
        <v>0</v>
      </c>
      <c r="L229" s="457">
        <v>0</v>
      </c>
      <c r="M229" s="457">
        <v>0</v>
      </c>
      <c r="N229" s="457">
        <v>0</v>
      </c>
      <c r="O229" s="457">
        <v>0</v>
      </c>
      <c r="P229" s="457">
        <v>0</v>
      </c>
      <c r="Q229" s="457">
        <v>0</v>
      </c>
      <c r="R229" s="457">
        <v>0</v>
      </c>
      <c r="S229" s="457">
        <v>0</v>
      </c>
      <c r="T229" s="410" t="e">
        <v>#DIV/0!</v>
      </c>
      <c r="U229" s="285">
        <v>0</v>
      </c>
      <c r="V229" s="285">
        <v>0</v>
      </c>
      <c r="W229" s="285">
        <v>0</v>
      </c>
      <c r="X229" s="285">
        <v>0</v>
      </c>
      <c r="Y229" s="285">
        <v>0</v>
      </c>
      <c r="Z229" s="285">
        <v>0</v>
      </c>
    </row>
    <row r="230" spans="1:26" x14ac:dyDescent="0.2">
      <c r="A230" s="404" t="s">
        <v>456</v>
      </c>
      <c r="B230" s="448">
        <v>0</v>
      </c>
      <c r="C230" s="448">
        <v>0</v>
      </c>
      <c r="D230" s="448">
        <v>0</v>
      </c>
      <c r="E230" s="448">
        <v>0</v>
      </c>
      <c r="F230" s="448">
        <v>0</v>
      </c>
      <c r="G230" s="448">
        <v>0</v>
      </c>
      <c r="H230" s="448">
        <v>0</v>
      </c>
      <c r="I230" s="448">
        <v>0</v>
      </c>
      <c r="J230" s="448">
        <v>0</v>
      </c>
      <c r="K230" s="448">
        <v>0</v>
      </c>
      <c r="L230" s="448">
        <v>0</v>
      </c>
      <c r="M230" s="448">
        <v>0</v>
      </c>
      <c r="N230" s="448">
        <v>0</v>
      </c>
      <c r="O230" s="448">
        <v>0</v>
      </c>
      <c r="P230" s="448">
        <v>0</v>
      </c>
      <c r="Q230" s="448">
        <v>0</v>
      </c>
      <c r="R230" s="448">
        <v>0</v>
      </c>
      <c r="S230" s="448">
        <v>0</v>
      </c>
      <c r="T230" s="407" t="e">
        <v>#DIV/0!</v>
      </c>
      <c r="U230" s="406">
        <v>0</v>
      </c>
      <c r="V230" s="406">
        <v>0</v>
      </c>
      <c r="W230" s="406">
        <v>0</v>
      </c>
      <c r="X230" s="406">
        <v>0</v>
      </c>
      <c r="Y230" s="406">
        <v>0</v>
      </c>
      <c r="Z230" s="406">
        <v>0</v>
      </c>
    </row>
    <row r="231" spans="1:26" x14ac:dyDescent="0.2">
      <c r="A231" s="409" t="s">
        <v>457</v>
      </c>
      <c r="B231" s="457">
        <v>0</v>
      </c>
      <c r="C231" s="457">
        <v>0</v>
      </c>
      <c r="D231" s="457">
        <v>0</v>
      </c>
      <c r="E231" s="457">
        <v>0</v>
      </c>
      <c r="F231" s="457">
        <v>0</v>
      </c>
      <c r="G231" s="457">
        <v>0</v>
      </c>
      <c r="H231" s="457">
        <v>0</v>
      </c>
      <c r="I231" s="457">
        <v>0</v>
      </c>
      <c r="J231" s="457">
        <v>0</v>
      </c>
      <c r="K231" s="457">
        <v>0</v>
      </c>
      <c r="L231" s="457">
        <v>0</v>
      </c>
      <c r="M231" s="457">
        <v>0</v>
      </c>
      <c r="N231" s="457">
        <v>0</v>
      </c>
      <c r="O231" s="457">
        <v>0</v>
      </c>
      <c r="P231" s="457">
        <v>0</v>
      </c>
      <c r="Q231" s="457">
        <v>0</v>
      </c>
      <c r="R231" s="457">
        <v>0</v>
      </c>
      <c r="S231" s="457">
        <v>0</v>
      </c>
      <c r="T231" s="410" t="e">
        <v>#DIV/0!</v>
      </c>
      <c r="U231" s="285">
        <v>0</v>
      </c>
      <c r="V231" s="285">
        <v>0</v>
      </c>
      <c r="W231" s="285">
        <v>0</v>
      </c>
      <c r="X231" s="285">
        <v>0</v>
      </c>
      <c r="Y231" s="285">
        <v>0</v>
      </c>
      <c r="Z231" s="285">
        <v>0</v>
      </c>
    </row>
    <row r="232" spans="1:26" x14ac:dyDescent="0.2">
      <c r="A232" s="409" t="s">
        <v>458</v>
      </c>
      <c r="B232" s="457">
        <v>0</v>
      </c>
      <c r="C232" s="457">
        <v>0</v>
      </c>
      <c r="D232" s="457">
        <v>0</v>
      </c>
      <c r="E232" s="457">
        <v>0</v>
      </c>
      <c r="F232" s="457">
        <v>0</v>
      </c>
      <c r="G232" s="457">
        <v>0</v>
      </c>
      <c r="H232" s="457">
        <v>0</v>
      </c>
      <c r="I232" s="457">
        <v>0</v>
      </c>
      <c r="J232" s="457">
        <v>0</v>
      </c>
      <c r="K232" s="457">
        <v>0</v>
      </c>
      <c r="L232" s="457">
        <v>0</v>
      </c>
      <c r="M232" s="457">
        <v>0</v>
      </c>
      <c r="N232" s="457">
        <v>0</v>
      </c>
      <c r="O232" s="457">
        <v>0</v>
      </c>
      <c r="P232" s="457">
        <v>0</v>
      </c>
      <c r="Q232" s="457">
        <v>0</v>
      </c>
      <c r="R232" s="457">
        <v>0</v>
      </c>
      <c r="S232" s="457">
        <v>0</v>
      </c>
      <c r="T232" s="410" t="e">
        <v>#DIV/0!</v>
      </c>
      <c r="U232" s="285">
        <v>0</v>
      </c>
      <c r="V232" s="285">
        <v>0</v>
      </c>
      <c r="W232" s="285">
        <v>0</v>
      </c>
      <c r="X232" s="285">
        <v>0</v>
      </c>
      <c r="Y232" s="285">
        <v>0</v>
      </c>
      <c r="Z232" s="285">
        <v>0</v>
      </c>
    </row>
    <row r="233" spans="1:26" x14ac:dyDescent="0.2">
      <c r="A233" s="409" t="s">
        <v>459</v>
      </c>
      <c r="B233" s="457">
        <v>0</v>
      </c>
      <c r="C233" s="457">
        <v>0</v>
      </c>
      <c r="D233" s="457">
        <v>0</v>
      </c>
      <c r="E233" s="457">
        <v>0</v>
      </c>
      <c r="F233" s="457">
        <v>0</v>
      </c>
      <c r="G233" s="457">
        <v>0</v>
      </c>
      <c r="H233" s="457">
        <v>0</v>
      </c>
      <c r="I233" s="457">
        <v>0</v>
      </c>
      <c r="J233" s="457">
        <v>0</v>
      </c>
      <c r="K233" s="457">
        <v>0</v>
      </c>
      <c r="L233" s="457">
        <v>0</v>
      </c>
      <c r="M233" s="457">
        <v>0</v>
      </c>
      <c r="N233" s="457">
        <v>0</v>
      </c>
      <c r="O233" s="457">
        <v>0</v>
      </c>
      <c r="P233" s="457">
        <v>0</v>
      </c>
      <c r="Q233" s="457">
        <v>0</v>
      </c>
      <c r="R233" s="457">
        <v>0</v>
      </c>
      <c r="S233" s="457">
        <v>0</v>
      </c>
      <c r="T233" s="410" t="e">
        <v>#DIV/0!</v>
      </c>
      <c r="U233" s="285">
        <v>0</v>
      </c>
      <c r="V233" s="285">
        <v>0</v>
      </c>
      <c r="W233" s="285">
        <v>0</v>
      </c>
      <c r="X233" s="285">
        <v>0</v>
      </c>
      <c r="Y233" s="285">
        <v>0</v>
      </c>
      <c r="Z233" s="285">
        <v>0</v>
      </c>
    </row>
    <row r="234" spans="1:26" x14ac:dyDescent="0.2">
      <c r="A234" s="409" t="s">
        <v>460</v>
      </c>
      <c r="B234" s="457">
        <v>0</v>
      </c>
      <c r="C234" s="457">
        <v>0</v>
      </c>
      <c r="D234" s="457">
        <v>0</v>
      </c>
      <c r="E234" s="457">
        <v>0</v>
      </c>
      <c r="F234" s="457">
        <v>0</v>
      </c>
      <c r="G234" s="457">
        <v>0</v>
      </c>
      <c r="H234" s="457">
        <v>0</v>
      </c>
      <c r="I234" s="457">
        <v>0</v>
      </c>
      <c r="J234" s="457">
        <v>0</v>
      </c>
      <c r="K234" s="457">
        <v>0</v>
      </c>
      <c r="L234" s="457">
        <v>0</v>
      </c>
      <c r="M234" s="457">
        <v>0</v>
      </c>
      <c r="N234" s="457">
        <v>0</v>
      </c>
      <c r="O234" s="457">
        <v>0</v>
      </c>
      <c r="P234" s="457">
        <v>0</v>
      </c>
      <c r="Q234" s="457">
        <v>0</v>
      </c>
      <c r="R234" s="457">
        <v>0</v>
      </c>
      <c r="S234" s="457">
        <v>0</v>
      </c>
      <c r="T234" s="410" t="e">
        <v>#DIV/0!</v>
      </c>
      <c r="U234" s="285">
        <v>0</v>
      </c>
      <c r="V234" s="285">
        <v>0</v>
      </c>
      <c r="W234" s="285">
        <v>0</v>
      </c>
      <c r="X234" s="285">
        <v>0</v>
      </c>
      <c r="Y234" s="285">
        <v>0</v>
      </c>
      <c r="Z234" s="285">
        <v>0</v>
      </c>
    </row>
    <row r="235" spans="1:26" x14ac:dyDescent="0.2">
      <c r="A235" s="409" t="s">
        <v>461</v>
      </c>
      <c r="B235" s="457">
        <v>0</v>
      </c>
      <c r="C235" s="457">
        <v>0</v>
      </c>
      <c r="D235" s="457">
        <v>0</v>
      </c>
      <c r="E235" s="457">
        <v>0</v>
      </c>
      <c r="F235" s="457">
        <v>0</v>
      </c>
      <c r="G235" s="457">
        <v>0</v>
      </c>
      <c r="H235" s="457">
        <v>0</v>
      </c>
      <c r="I235" s="457">
        <v>0</v>
      </c>
      <c r="J235" s="457">
        <v>0</v>
      </c>
      <c r="K235" s="457">
        <v>0</v>
      </c>
      <c r="L235" s="457">
        <v>0</v>
      </c>
      <c r="M235" s="457">
        <v>0</v>
      </c>
      <c r="N235" s="457">
        <v>0</v>
      </c>
      <c r="O235" s="457">
        <v>0</v>
      </c>
      <c r="P235" s="457">
        <v>0</v>
      </c>
      <c r="Q235" s="457">
        <v>0</v>
      </c>
      <c r="R235" s="457">
        <v>0</v>
      </c>
      <c r="S235" s="457">
        <v>0</v>
      </c>
      <c r="T235" s="410" t="e">
        <v>#DIV/0!</v>
      </c>
      <c r="U235" s="285">
        <v>0</v>
      </c>
      <c r="V235" s="285">
        <v>0</v>
      </c>
      <c r="W235" s="285">
        <v>0</v>
      </c>
      <c r="X235" s="285">
        <v>0</v>
      </c>
      <c r="Y235" s="285">
        <v>0</v>
      </c>
      <c r="Z235" s="285">
        <v>0</v>
      </c>
    </row>
    <row r="236" spans="1:26" x14ac:dyDescent="0.2">
      <c r="A236" s="409" t="s">
        <v>462</v>
      </c>
      <c r="B236" s="457">
        <v>0</v>
      </c>
      <c r="C236" s="457">
        <v>0</v>
      </c>
      <c r="D236" s="457">
        <v>0</v>
      </c>
      <c r="E236" s="457">
        <v>0</v>
      </c>
      <c r="F236" s="457">
        <v>0</v>
      </c>
      <c r="G236" s="457">
        <v>0</v>
      </c>
      <c r="H236" s="457">
        <v>0</v>
      </c>
      <c r="I236" s="457">
        <v>0</v>
      </c>
      <c r="J236" s="457">
        <v>0</v>
      </c>
      <c r="K236" s="457">
        <v>0</v>
      </c>
      <c r="L236" s="457">
        <v>0</v>
      </c>
      <c r="M236" s="457">
        <v>0</v>
      </c>
      <c r="N236" s="457">
        <v>0</v>
      </c>
      <c r="O236" s="457">
        <v>0</v>
      </c>
      <c r="P236" s="457">
        <v>0</v>
      </c>
      <c r="Q236" s="457">
        <v>0</v>
      </c>
      <c r="R236" s="457">
        <v>0</v>
      </c>
      <c r="S236" s="457">
        <v>0</v>
      </c>
      <c r="T236" s="410" t="e">
        <v>#DIV/0!</v>
      </c>
      <c r="U236" s="285">
        <v>0</v>
      </c>
      <c r="V236" s="285">
        <v>0</v>
      </c>
      <c r="W236" s="285">
        <v>0</v>
      </c>
      <c r="X236" s="285">
        <v>0</v>
      </c>
      <c r="Y236" s="285">
        <v>0</v>
      </c>
      <c r="Z236" s="285">
        <v>0</v>
      </c>
    </row>
    <row r="237" spans="1:26" x14ac:dyDescent="0.2">
      <c r="A237" s="404" t="s">
        <v>463</v>
      </c>
      <c r="B237" s="448">
        <v>0</v>
      </c>
      <c r="C237" s="448">
        <v>0</v>
      </c>
      <c r="D237" s="448">
        <v>0</v>
      </c>
      <c r="E237" s="448">
        <v>0</v>
      </c>
      <c r="F237" s="448">
        <v>0</v>
      </c>
      <c r="G237" s="448">
        <v>0</v>
      </c>
      <c r="H237" s="448">
        <v>0</v>
      </c>
      <c r="I237" s="448">
        <v>0</v>
      </c>
      <c r="J237" s="448">
        <v>0</v>
      </c>
      <c r="K237" s="448">
        <v>0</v>
      </c>
      <c r="L237" s="448">
        <v>0</v>
      </c>
      <c r="M237" s="448">
        <v>0</v>
      </c>
      <c r="N237" s="448">
        <v>0</v>
      </c>
      <c r="O237" s="448">
        <v>0</v>
      </c>
      <c r="P237" s="448">
        <v>0</v>
      </c>
      <c r="Q237" s="448">
        <v>0</v>
      </c>
      <c r="R237" s="448">
        <v>0</v>
      </c>
      <c r="S237" s="448">
        <v>0</v>
      </c>
      <c r="T237" s="407" t="e">
        <v>#DIV/0!</v>
      </c>
      <c r="U237" s="406">
        <v>0</v>
      </c>
      <c r="V237" s="406">
        <v>0</v>
      </c>
      <c r="W237" s="406">
        <v>0</v>
      </c>
      <c r="X237" s="406">
        <v>0</v>
      </c>
      <c r="Y237" s="406">
        <v>0</v>
      </c>
      <c r="Z237" s="406">
        <v>0</v>
      </c>
    </row>
    <row r="238" spans="1:26" x14ac:dyDescent="0.2">
      <c r="A238" s="409" t="s">
        <v>464</v>
      </c>
      <c r="B238" s="457">
        <v>0</v>
      </c>
      <c r="C238" s="457">
        <v>0</v>
      </c>
      <c r="D238" s="457">
        <v>0</v>
      </c>
      <c r="E238" s="457">
        <v>0</v>
      </c>
      <c r="F238" s="457">
        <v>0</v>
      </c>
      <c r="G238" s="457">
        <v>0</v>
      </c>
      <c r="H238" s="457">
        <v>0</v>
      </c>
      <c r="I238" s="457">
        <v>0</v>
      </c>
      <c r="J238" s="457">
        <v>0</v>
      </c>
      <c r="K238" s="457">
        <v>0</v>
      </c>
      <c r="L238" s="457">
        <v>0</v>
      </c>
      <c r="M238" s="457">
        <v>0</v>
      </c>
      <c r="N238" s="457">
        <v>0</v>
      </c>
      <c r="O238" s="457">
        <v>0</v>
      </c>
      <c r="P238" s="457">
        <v>0</v>
      </c>
      <c r="Q238" s="457">
        <v>0</v>
      </c>
      <c r="R238" s="457">
        <v>0</v>
      </c>
      <c r="S238" s="457">
        <v>0</v>
      </c>
      <c r="T238" s="410" t="e">
        <v>#DIV/0!</v>
      </c>
      <c r="U238" s="285">
        <v>0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</row>
    <row r="239" spans="1:26" x14ac:dyDescent="0.2">
      <c r="A239" s="409" t="s">
        <v>465</v>
      </c>
      <c r="B239" s="457">
        <v>0</v>
      </c>
      <c r="C239" s="457">
        <v>0</v>
      </c>
      <c r="D239" s="457">
        <v>0</v>
      </c>
      <c r="E239" s="457">
        <v>0</v>
      </c>
      <c r="F239" s="457">
        <v>0</v>
      </c>
      <c r="G239" s="457">
        <v>0</v>
      </c>
      <c r="H239" s="457">
        <v>0</v>
      </c>
      <c r="I239" s="457">
        <v>0</v>
      </c>
      <c r="J239" s="457">
        <v>0</v>
      </c>
      <c r="K239" s="457">
        <v>0</v>
      </c>
      <c r="L239" s="457">
        <v>0</v>
      </c>
      <c r="M239" s="457">
        <v>0</v>
      </c>
      <c r="N239" s="457">
        <v>0</v>
      </c>
      <c r="O239" s="457">
        <v>0</v>
      </c>
      <c r="P239" s="457">
        <v>0</v>
      </c>
      <c r="Q239" s="457">
        <v>0</v>
      </c>
      <c r="R239" s="457">
        <v>0</v>
      </c>
      <c r="S239" s="457">
        <v>0</v>
      </c>
      <c r="T239" s="410" t="e">
        <v>#DIV/0!</v>
      </c>
      <c r="U239" s="285">
        <v>0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</row>
    <row r="240" spans="1:26" x14ac:dyDescent="0.2">
      <c r="A240" s="404" t="s">
        <v>466</v>
      </c>
      <c r="B240" s="247">
        <v>0</v>
      </c>
      <c r="C240" s="247">
        <v>0</v>
      </c>
      <c r="D240" s="247">
        <v>0</v>
      </c>
      <c r="E240" s="247">
        <v>0</v>
      </c>
      <c r="F240" s="247">
        <v>0</v>
      </c>
      <c r="G240" s="247">
        <v>0</v>
      </c>
      <c r="H240" s="247">
        <v>0</v>
      </c>
      <c r="I240" s="247">
        <v>0</v>
      </c>
      <c r="J240" s="247">
        <v>0</v>
      </c>
      <c r="K240" s="247">
        <v>0</v>
      </c>
      <c r="L240" s="247">
        <v>0</v>
      </c>
      <c r="M240" s="247">
        <v>0</v>
      </c>
      <c r="N240" s="247">
        <v>0</v>
      </c>
      <c r="O240" s="247">
        <v>0</v>
      </c>
      <c r="P240" s="247">
        <v>0</v>
      </c>
      <c r="Q240" s="247">
        <v>0</v>
      </c>
      <c r="R240" s="247">
        <v>0</v>
      </c>
      <c r="S240" s="247">
        <v>0</v>
      </c>
      <c r="T240" s="407" t="e">
        <v>#DIV/0!</v>
      </c>
      <c r="U240" s="406">
        <v>0</v>
      </c>
      <c r="V240" s="406">
        <v>0</v>
      </c>
      <c r="W240" s="406">
        <v>0</v>
      </c>
      <c r="X240" s="406">
        <v>0</v>
      </c>
      <c r="Y240" s="406">
        <v>0</v>
      </c>
      <c r="Z240" s="406">
        <v>0</v>
      </c>
    </row>
    <row r="241" spans="1:26" x14ac:dyDescent="0.2">
      <c r="A241" s="404" t="s">
        <v>467</v>
      </c>
      <c r="B241" s="247">
        <v>0</v>
      </c>
      <c r="C241" s="247">
        <v>0</v>
      </c>
      <c r="D241" s="247">
        <v>0</v>
      </c>
      <c r="E241" s="247">
        <v>0</v>
      </c>
      <c r="F241" s="247">
        <v>0</v>
      </c>
      <c r="G241" s="247">
        <v>0</v>
      </c>
      <c r="H241" s="247">
        <v>0</v>
      </c>
      <c r="I241" s="247">
        <v>0</v>
      </c>
      <c r="J241" s="247">
        <v>0</v>
      </c>
      <c r="K241" s="247">
        <v>0</v>
      </c>
      <c r="L241" s="247">
        <v>0</v>
      </c>
      <c r="M241" s="247">
        <v>0</v>
      </c>
      <c r="N241" s="247">
        <v>0</v>
      </c>
      <c r="O241" s="247">
        <v>0</v>
      </c>
      <c r="P241" s="247">
        <v>0</v>
      </c>
      <c r="Q241" s="247">
        <v>0</v>
      </c>
      <c r="R241" s="247">
        <v>0</v>
      </c>
      <c r="S241" s="247">
        <v>0</v>
      </c>
      <c r="T241" s="407" t="e">
        <v>#DIV/0!</v>
      </c>
      <c r="U241" s="406">
        <v>0</v>
      </c>
      <c r="V241" s="406">
        <v>0</v>
      </c>
      <c r="W241" s="406">
        <v>0</v>
      </c>
      <c r="X241" s="406">
        <v>0</v>
      </c>
      <c r="Y241" s="406">
        <v>0</v>
      </c>
      <c r="Z241" s="406">
        <v>0</v>
      </c>
    </row>
    <row r="242" spans="1:26" x14ac:dyDescent="0.2">
      <c r="A242" s="404" t="s">
        <v>468</v>
      </c>
      <c r="B242" s="247">
        <v>0</v>
      </c>
      <c r="C242" s="247">
        <v>0</v>
      </c>
      <c r="D242" s="247">
        <v>0</v>
      </c>
      <c r="E242" s="247">
        <v>0</v>
      </c>
      <c r="F242" s="247">
        <v>0</v>
      </c>
      <c r="G242" s="247">
        <v>0</v>
      </c>
      <c r="H242" s="247">
        <v>0</v>
      </c>
      <c r="I242" s="247">
        <v>0</v>
      </c>
      <c r="J242" s="247">
        <v>0</v>
      </c>
      <c r="K242" s="247">
        <v>0</v>
      </c>
      <c r="L242" s="247">
        <v>0</v>
      </c>
      <c r="M242" s="247">
        <v>0</v>
      </c>
      <c r="N242" s="247">
        <v>0</v>
      </c>
      <c r="O242" s="247">
        <v>0</v>
      </c>
      <c r="P242" s="247">
        <v>0</v>
      </c>
      <c r="Q242" s="247">
        <v>0</v>
      </c>
      <c r="R242" s="247">
        <v>0</v>
      </c>
      <c r="S242" s="247">
        <v>0</v>
      </c>
      <c r="T242" s="407" t="e">
        <v>#DIV/0!</v>
      </c>
      <c r="U242" s="406">
        <v>0</v>
      </c>
      <c r="V242" s="406">
        <v>0</v>
      </c>
      <c r="W242" s="406">
        <v>0</v>
      </c>
      <c r="X242" s="406">
        <v>0</v>
      </c>
      <c r="Y242" s="406">
        <v>0</v>
      </c>
      <c r="Z242" s="406">
        <v>0</v>
      </c>
    </row>
    <row r="243" spans="1:26" x14ac:dyDescent="0.2">
      <c r="A243" s="404" t="s">
        <v>469</v>
      </c>
      <c r="B243" s="448">
        <v>0</v>
      </c>
      <c r="C243" s="448">
        <v>0</v>
      </c>
      <c r="D243" s="448">
        <v>0</v>
      </c>
      <c r="E243" s="448">
        <v>0</v>
      </c>
      <c r="F243" s="448">
        <v>0</v>
      </c>
      <c r="G243" s="448">
        <v>0</v>
      </c>
      <c r="H243" s="448">
        <v>0</v>
      </c>
      <c r="I243" s="448">
        <v>0</v>
      </c>
      <c r="J243" s="448">
        <v>0</v>
      </c>
      <c r="K243" s="448">
        <v>0</v>
      </c>
      <c r="L243" s="448">
        <v>0</v>
      </c>
      <c r="M243" s="448">
        <v>0</v>
      </c>
      <c r="N243" s="448">
        <v>0</v>
      </c>
      <c r="O243" s="448">
        <v>0</v>
      </c>
      <c r="P243" s="448">
        <v>0</v>
      </c>
      <c r="Q243" s="448">
        <v>0</v>
      </c>
      <c r="R243" s="448">
        <v>0</v>
      </c>
      <c r="S243" s="448">
        <v>0</v>
      </c>
      <c r="T243" s="407" t="e">
        <v>#DIV/0!</v>
      </c>
      <c r="U243" s="406">
        <v>0</v>
      </c>
      <c r="V243" s="406">
        <v>0</v>
      </c>
      <c r="W243" s="406">
        <v>0</v>
      </c>
      <c r="X243" s="406">
        <v>0</v>
      </c>
      <c r="Y243" s="406">
        <v>0</v>
      </c>
      <c r="Z243" s="406">
        <v>0</v>
      </c>
    </row>
    <row r="244" spans="1:26" x14ac:dyDescent="0.2">
      <c r="A244" s="409" t="s">
        <v>470</v>
      </c>
      <c r="B244" s="457">
        <v>0</v>
      </c>
      <c r="C244" s="457">
        <v>0</v>
      </c>
      <c r="D244" s="457">
        <v>0</v>
      </c>
      <c r="E244" s="457">
        <v>0</v>
      </c>
      <c r="F244" s="457">
        <v>0</v>
      </c>
      <c r="G244" s="457">
        <v>0</v>
      </c>
      <c r="H244" s="457">
        <v>0</v>
      </c>
      <c r="I244" s="457">
        <v>0</v>
      </c>
      <c r="J244" s="457">
        <v>0</v>
      </c>
      <c r="K244" s="457">
        <v>0</v>
      </c>
      <c r="L244" s="457">
        <v>0</v>
      </c>
      <c r="M244" s="457">
        <v>0</v>
      </c>
      <c r="N244" s="457">
        <v>0</v>
      </c>
      <c r="O244" s="457">
        <v>0</v>
      </c>
      <c r="P244" s="457">
        <v>0</v>
      </c>
      <c r="Q244" s="457">
        <v>0</v>
      </c>
      <c r="R244" s="457">
        <v>0</v>
      </c>
      <c r="S244" s="457">
        <v>0</v>
      </c>
      <c r="T244" s="410" t="e">
        <v>#DIV/0!</v>
      </c>
      <c r="U244" s="285">
        <v>0</v>
      </c>
      <c r="V244" s="285">
        <v>0</v>
      </c>
      <c r="W244" s="285">
        <v>0</v>
      </c>
      <c r="X244" s="285">
        <v>0</v>
      </c>
      <c r="Y244" s="285">
        <v>0</v>
      </c>
      <c r="Z244" s="285">
        <v>0</v>
      </c>
    </row>
    <row r="245" spans="1:26" x14ac:dyDescent="0.2">
      <c r="A245" s="409" t="s">
        <v>471</v>
      </c>
      <c r="B245" s="457">
        <v>0</v>
      </c>
      <c r="C245" s="457">
        <v>0</v>
      </c>
      <c r="D245" s="457">
        <v>0</v>
      </c>
      <c r="E245" s="457">
        <v>0</v>
      </c>
      <c r="F245" s="457">
        <v>0</v>
      </c>
      <c r="G245" s="457">
        <v>0</v>
      </c>
      <c r="H245" s="457">
        <v>0</v>
      </c>
      <c r="I245" s="457">
        <v>0</v>
      </c>
      <c r="J245" s="457">
        <v>0</v>
      </c>
      <c r="K245" s="457">
        <v>0</v>
      </c>
      <c r="L245" s="457">
        <v>0</v>
      </c>
      <c r="M245" s="457">
        <v>0</v>
      </c>
      <c r="N245" s="457">
        <v>0</v>
      </c>
      <c r="O245" s="457">
        <v>0</v>
      </c>
      <c r="P245" s="457">
        <v>0</v>
      </c>
      <c r="Q245" s="457">
        <v>0</v>
      </c>
      <c r="R245" s="457">
        <v>0</v>
      </c>
      <c r="S245" s="457">
        <v>0</v>
      </c>
      <c r="T245" s="410" t="e">
        <v>#DIV/0!</v>
      </c>
      <c r="U245" s="285">
        <v>0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</row>
    <row r="246" spans="1:26" x14ac:dyDescent="0.2">
      <c r="A246" s="404" t="s">
        <v>472</v>
      </c>
      <c r="B246" s="448">
        <v>0</v>
      </c>
      <c r="C246" s="448">
        <v>0</v>
      </c>
      <c r="D246" s="448">
        <v>0</v>
      </c>
      <c r="E246" s="448">
        <v>0</v>
      </c>
      <c r="F246" s="448">
        <v>0</v>
      </c>
      <c r="G246" s="448">
        <v>0</v>
      </c>
      <c r="H246" s="448">
        <v>0</v>
      </c>
      <c r="I246" s="448">
        <v>0</v>
      </c>
      <c r="J246" s="448">
        <v>0</v>
      </c>
      <c r="K246" s="448">
        <v>0</v>
      </c>
      <c r="L246" s="448">
        <v>0</v>
      </c>
      <c r="M246" s="448">
        <v>0</v>
      </c>
      <c r="N246" s="448">
        <v>0</v>
      </c>
      <c r="O246" s="448">
        <v>0</v>
      </c>
      <c r="P246" s="448">
        <v>0</v>
      </c>
      <c r="Q246" s="448">
        <v>0</v>
      </c>
      <c r="R246" s="448">
        <v>0</v>
      </c>
      <c r="S246" s="448">
        <v>0</v>
      </c>
      <c r="T246" s="407" t="e">
        <v>#DIV/0!</v>
      </c>
      <c r="U246" s="406">
        <v>0</v>
      </c>
      <c r="V246" s="406">
        <v>0</v>
      </c>
      <c r="W246" s="406">
        <v>0</v>
      </c>
      <c r="X246" s="406">
        <v>0</v>
      </c>
      <c r="Y246" s="406">
        <v>0</v>
      </c>
      <c r="Z246" s="406">
        <v>0</v>
      </c>
    </row>
    <row r="247" spans="1:26" x14ac:dyDescent="0.2">
      <c r="A247" s="412" t="s">
        <v>473</v>
      </c>
      <c r="B247" s="457">
        <v>0</v>
      </c>
      <c r="C247" s="457">
        <v>0</v>
      </c>
      <c r="D247" s="457">
        <v>0</v>
      </c>
      <c r="E247" s="457">
        <v>0</v>
      </c>
      <c r="F247" s="457">
        <v>0</v>
      </c>
      <c r="G247" s="457">
        <v>0</v>
      </c>
      <c r="H247" s="457">
        <v>0</v>
      </c>
      <c r="I247" s="457">
        <v>0</v>
      </c>
      <c r="J247" s="457">
        <v>0</v>
      </c>
      <c r="K247" s="457">
        <v>0</v>
      </c>
      <c r="L247" s="457">
        <v>0</v>
      </c>
      <c r="M247" s="457">
        <v>0</v>
      </c>
      <c r="N247" s="457">
        <v>0</v>
      </c>
      <c r="O247" s="457">
        <v>0</v>
      </c>
      <c r="P247" s="457">
        <v>0</v>
      </c>
      <c r="Q247" s="457">
        <v>0</v>
      </c>
      <c r="R247" s="457">
        <v>0</v>
      </c>
      <c r="S247" s="457">
        <v>0</v>
      </c>
      <c r="T247" s="410" t="e">
        <v>#DIV/0!</v>
      </c>
      <c r="U247" s="285">
        <v>0</v>
      </c>
      <c r="V247" s="285">
        <v>0</v>
      </c>
      <c r="W247" s="285">
        <v>0</v>
      </c>
      <c r="X247" s="285">
        <v>0</v>
      </c>
      <c r="Y247" s="285">
        <v>0</v>
      </c>
      <c r="Z247" s="285">
        <v>0</v>
      </c>
    </row>
    <row r="248" spans="1:26" x14ac:dyDescent="0.2">
      <c r="A248" s="412" t="s">
        <v>474</v>
      </c>
      <c r="B248" s="457">
        <v>0</v>
      </c>
      <c r="C248" s="457">
        <v>0</v>
      </c>
      <c r="D248" s="457">
        <v>0</v>
      </c>
      <c r="E248" s="457">
        <v>0</v>
      </c>
      <c r="F248" s="457">
        <v>0</v>
      </c>
      <c r="G248" s="457">
        <v>0</v>
      </c>
      <c r="H248" s="457">
        <v>0</v>
      </c>
      <c r="I248" s="457">
        <v>0</v>
      </c>
      <c r="J248" s="457">
        <v>0</v>
      </c>
      <c r="K248" s="457">
        <v>0</v>
      </c>
      <c r="L248" s="457">
        <v>0</v>
      </c>
      <c r="M248" s="457">
        <v>0</v>
      </c>
      <c r="N248" s="457">
        <v>0</v>
      </c>
      <c r="O248" s="457">
        <v>0</v>
      </c>
      <c r="P248" s="457">
        <v>0</v>
      </c>
      <c r="Q248" s="457">
        <v>0</v>
      </c>
      <c r="R248" s="457">
        <v>0</v>
      </c>
      <c r="S248" s="457">
        <v>0</v>
      </c>
      <c r="T248" s="410" t="e">
        <v>#DIV/0!</v>
      </c>
      <c r="U248" s="285">
        <v>0</v>
      </c>
      <c r="V248" s="285">
        <v>0</v>
      </c>
      <c r="W248" s="285">
        <v>0</v>
      </c>
      <c r="X248" s="285">
        <v>0</v>
      </c>
      <c r="Y248" s="285">
        <v>0</v>
      </c>
      <c r="Z248" s="285">
        <v>0</v>
      </c>
    </row>
    <row r="249" spans="1:26" x14ac:dyDescent="0.2">
      <c r="A249" s="412" t="s">
        <v>475</v>
      </c>
      <c r="B249" s="457">
        <v>0</v>
      </c>
      <c r="C249" s="457">
        <v>0</v>
      </c>
      <c r="D249" s="457">
        <v>0</v>
      </c>
      <c r="E249" s="457">
        <v>0</v>
      </c>
      <c r="F249" s="457">
        <v>0</v>
      </c>
      <c r="G249" s="457">
        <v>0</v>
      </c>
      <c r="H249" s="457">
        <v>0</v>
      </c>
      <c r="I249" s="457">
        <v>0</v>
      </c>
      <c r="J249" s="457">
        <v>0</v>
      </c>
      <c r="K249" s="457">
        <v>0</v>
      </c>
      <c r="L249" s="457">
        <v>0</v>
      </c>
      <c r="M249" s="457">
        <v>0</v>
      </c>
      <c r="N249" s="457">
        <v>0</v>
      </c>
      <c r="O249" s="457">
        <v>0</v>
      </c>
      <c r="P249" s="457">
        <v>0</v>
      </c>
      <c r="Q249" s="457">
        <v>0</v>
      </c>
      <c r="R249" s="457">
        <v>0</v>
      </c>
      <c r="S249" s="457">
        <v>0</v>
      </c>
      <c r="T249" s="410" t="e">
        <v>#DIV/0!</v>
      </c>
      <c r="U249" s="285">
        <v>0</v>
      </c>
      <c r="V249" s="285">
        <v>0</v>
      </c>
      <c r="W249" s="285">
        <v>0</v>
      </c>
      <c r="X249" s="285">
        <v>0</v>
      </c>
      <c r="Y249" s="285">
        <v>0</v>
      </c>
      <c r="Z249" s="285">
        <v>0</v>
      </c>
    </row>
    <row r="250" spans="1:26" x14ac:dyDescent="0.2">
      <c r="A250" s="412" t="s">
        <v>476</v>
      </c>
      <c r="B250" s="457">
        <v>0</v>
      </c>
      <c r="C250" s="457">
        <v>0</v>
      </c>
      <c r="D250" s="457">
        <v>0</v>
      </c>
      <c r="E250" s="457">
        <v>0</v>
      </c>
      <c r="F250" s="457">
        <v>0</v>
      </c>
      <c r="G250" s="457">
        <v>0</v>
      </c>
      <c r="H250" s="457">
        <v>0</v>
      </c>
      <c r="I250" s="457">
        <v>0</v>
      </c>
      <c r="J250" s="457">
        <v>0</v>
      </c>
      <c r="K250" s="457">
        <v>0</v>
      </c>
      <c r="L250" s="457">
        <v>0</v>
      </c>
      <c r="M250" s="457">
        <v>0</v>
      </c>
      <c r="N250" s="457">
        <v>0</v>
      </c>
      <c r="O250" s="457">
        <v>0</v>
      </c>
      <c r="P250" s="457">
        <v>0</v>
      </c>
      <c r="Q250" s="457">
        <v>0</v>
      </c>
      <c r="R250" s="457">
        <v>0</v>
      </c>
      <c r="S250" s="457">
        <v>0</v>
      </c>
      <c r="T250" s="410" t="e">
        <v>#DIV/0!</v>
      </c>
      <c r="U250" s="285">
        <v>0</v>
      </c>
      <c r="V250" s="285">
        <v>0</v>
      </c>
      <c r="W250" s="285">
        <v>0</v>
      </c>
      <c r="X250" s="285">
        <v>0</v>
      </c>
      <c r="Y250" s="285">
        <v>0</v>
      </c>
      <c r="Z250" s="285">
        <v>0</v>
      </c>
    </row>
    <row r="251" spans="1:26" x14ac:dyDescent="0.2">
      <c r="A251" s="412" t="s">
        <v>477</v>
      </c>
      <c r="B251" s="457">
        <v>0</v>
      </c>
      <c r="C251" s="457">
        <v>0</v>
      </c>
      <c r="D251" s="457">
        <v>0</v>
      </c>
      <c r="E251" s="457">
        <v>0</v>
      </c>
      <c r="F251" s="457">
        <v>0</v>
      </c>
      <c r="G251" s="457">
        <v>0</v>
      </c>
      <c r="H251" s="457">
        <v>0</v>
      </c>
      <c r="I251" s="457">
        <v>0</v>
      </c>
      <c r="J251" s="457">
        <v>0</v>
      </c>
      <c r="K251" s="457">
        <v>0</v>
      </c>
      <c r="L251" s="457">
        <v>0</v>
      </c>
      <c r="M251" s="457">
        <v>0</v>
      </c>
      <c r="N251" s="457">
        <v>0</v>
      </c>
      <c r="O251" s="457">
        <v>0</v>
      </c>
      <c r="P251" s="457">
        <v>0</v>
      </c>
      <c r="Q251" s="457">
        <v>0</v>
      </c>
      <c r="R251" s="457">
        <v>0</v>
      </c>
      <c r="S251" s="457">
        <v>0</v>
      </c>
      <c r="T251" s="410" t="e">
        <v>#DIV/0!</v>
      </c>
      <c r="U251" s="285">
        <v>0</v>
      </c>
      <c r="V251" s="285">
        <v>0</v>
      </c>
      <c r="W251" s="285">
        <v>0</v>
      </c>
      <c r="X251" s="285">
        <v>0</v>
      </c>
      <c r="Y251" s="285">
        <v>0</v>
      </c>
      <c r="Z251" s="285">
        <v>0</v>
      </c>
    </row>
    <row r="252" spans="1:26" x14ac:dyDescent="0.2">
      <c r="A252" s="412" t="s">
        <v>478</v>
      </c>
      <c r="B252" s="457">
        <v>0</v>
      </c>
      <c r="C252" s="457">
        <v>0</v>
      </c>
      <c r="D252" s="457">
        <v>0</v>
      </c>
      <c r="E252" s="457">
        <v>0</v>
      </c>
      <c r="F252" s="457">
        <v>0</v>
      </c>
      <c r="G252" s="457">
        <v>0</v>
      </c>
      <c r="H252" s="457">
        <v>0</v>
      </c>
      <c r="I252" s="457">
        <v>0</v>
      </c>
      <c r="J252" s="457">
        <v>0</v>
      </c>
      <c r="K252" s="457">
        <v>0</v>
      </c>
      <c r="L252" s="457">
        <v>0</v>
      </c>
      <c r="M252" s="457">
        <v>0</v>
      </c>
      <c r="N252" s="457">
        <v>0</v>
      </c>
      <c r="O252" s="457">
        <v>0</v>
      </c>
      <c r="P252" s="457">
        <v>0</v>
      </c>
      <c r="Q252" s="457">
        <v>0</v>
      </c>
      <c r="R252" s="457">
        <v>0</v>
      </c>
      <c r="S252" s="457">
        <v>0</v>
      </c>
      <c r="T252" s="410" t="e">
        <v>#DIV/0!</v>
      </c>
      <c r="U252" s="285">
        <v>0</v>
      </c>
      <c r="V252" s="285">
        <v>0</v>
      </c>
      <c r="W252" s="285">
        <v>0</v>
      </c>
      <c r="X252" s="285">
        <v>0</v>
      </c>
      <c r="Y252" s="285">
        <v>0</v>
      </c>
      <c r="Z252" s="285">
        <v>0</v>
      </c>
    </row>
    <row r="253" spans="1:26" x14ac:dyDescent="0.2">
      <c r="A253" s="412" t="s">
        <v>479</v>
      </c>
      <c r="B253" s="457">
        <v>0</v>
      </c>
      <c r="C253" s="457">
        <v>0</v>
      </c>
      <c r="D253" s="457">
        <v>0</v>
      </c>
      <c r="E253" s="457">
        <v>0</v>
      </c>
      <c r="F253" s="457">
        <v>0</v>
      </c>
      <c r="G253" s="457">
        <v>0</v>
      </c>
      <c r="H253" s="457">
        <v>0</v>
      </c>
      <c r="I253" s="457">
        <v>0</v>
      </c>
      <c r="J253" s="457">
        <v>0</v>
      </c>
      <c r="K253" s="457">
        <v>0</v>
      </c>
      <c r="L253" s="457">
        <v>0</v>
      </c>
      <c r="M253" s="457">
        <v>0</v>
      </c>
      <c r="N253" s="457">
        <v>0</v>
      </c>
      <c r="O253" s="457">
        <v>0</v>
      </c>
      <c r="P253" s="457">
        <v>0</v>
      </c>
      <c r="Q253" s="457">
        <v>0</v>
      </c>
      <c r="R253" s="457">
        <v>0</v>
      </c>
      <c r="S253" s="457">
        <v>0</v>
      </c>
      <c r="T253" s="410" t="e">
        <v>#DIV/0!</v>
      </c>
      <c r="U253" s="285">
        <v>0</v>
      </c>
      <c r="V253" s="285">
        <v>0</v>
      </c>
      <c r="W253" s="285">
        <v>0</v>
      </c>
      <c r="X253" s="285">
        <v>0</v>
      </c>
      <c r="Y253" s="285">
        <v>0</v>
      </c>
      <c r="Z253" s="285">
        <v>0</v>
      </c>
    </row>
    <row r="254" spans="1:26" x14ac:dyDescent="0.2">
      <c r="A254" s="412" t="s">
        <v>480</v>
      </c>
      <c r="B254" s="457">
        <v>0</v>
      </c>
      <c r="C254" s="457">
        <v>0</v>
      </c>
      <c r="D254" s="457">
        <v>0</v>
      </c>
      <c r="E254" s="457">
        <v>0</v>
      </c>
      <c r="F254" s="457">
        <v>0</v>
      </c>
      <c r="G254" s="457">
        <v>0</v>
      </c>
      <c r="H254" s="457">
        <v>0</v>
      </c>
      <c r="I254" s="457">
        <v>0</v>
      </c>
      <c r="J254" s="457">
        <v>0</v>
      </c>
      <c r="K254" s="457">
        <v>0</v>
      </c>
      <c r="L254" s="457">
        <v>0</v>
      </c>
      <c r="M254" s="457">
        <v>0</v>
      </c>
      <c r="N254" s="457">
        <v>0</v>
      </c>
      <c r="O254" s="457">
        <v>0</v>
      </c>
      <c r="P254" s="457">
        <v>0</v>
      </c>
      <c r="Q254" s="457">
        <v>0</v>
      </c>
      <c r="R254" s="457">
        <v>0</v>
      </c>
      <c r="S254" s="457">
        <v>0</v>
      </c>
      <c r="T254" s="410" t="e">
        <v>#DIV/0!</v>
      </c>
      <c r="U254" s="285">
        <v>0</v>
      </c>
      <c r="V254" s="285">
        <v>0</v>
      </c>
      <c r="W254" s="285">
        <v>0</v>
      </c>
      <c r="X254" s="285">
        <v>0</v>
      </c>
      <c r="Y254" s="285">
        <v>0</v>
      </c>
      <c r="Z254" s="285">
        <v>0</v>
      </c>
    </row>
    <row r="255" spans="1:26" x14ac:dyDescent="0.2">
      <c r="A255" s="412" t="s">
        <v>481</v>
      </c>
      <c r="B255" s="457">
        <v>0</v>
      </c>
      <c r="C255" s="457">
        <v>0</v>
      </c>
      <c r="D255" s="457">
        <v>0</v>
      </c>
      <c r="E255" s="457">
        <v>0</v>
      </c>
      <c r="F255" s="457">
        <v>0</v>
      </c>
      <c r="G255" s="457">
        <v>0</v>
      </c>
      <c r="H255" s="457">
        <v>0</v>
      </c>
      <c r="I255" s="457">
        <v>0</v>
      </c>
      <c r="J255" s="457">
        <v>0</v>
      </c>
      <c r="K255" s="457">
        <v>0</v>
      </c>
      <c r="L255" s="457">
        <v>0</v>
      </c>
      <c r="M255" s="457">
        <v>0</v>
      </c>
      <c r="N255" s="457">
        <v>0</v>
      </c>
      <c r="O255" s="457">
        <v>0</v>
      </c>
      <c r="P255" s="457">
        <v>0</v>
      </c>
      <c r="Q255" s="457">
        <v>0</v>
      </c>
      <c r="R255" s="457">
        <v>0</v>
      </c>
      <c r="S255" s="457">
        <v>0</v>
      </c>
      <c r="T255" s="410" t="e">
        <v>#DIV/0!</v>
      </c>
      <c r="U255" s="285">
        <v>0</v>
      </c>
      <c r="V255" s="285">
        <v>0</v>
      </c>
      <c r="W255" s="285">
        <v>0</v>
      </c>
      <c r="X255" s="285">
        <v>0</v>
      </c>
      <c r="Y255" s="285">
        <v>0</v>
      </c>
      <c r="Z255" s="285">
        <v>0</v>
      </c>
    </row>
    <row r="256" spans="1:26" x14ac:dyDescent="0.2">
      <c r="A256" s="412" t="s">
        <v>482</v>
      </c>
      <c r="B256" s="457">
        <v>0</v>
      </c>
      <c r="C256" s="457">
        <v>0</v>
      </c>
      <c r="D256" s="457">
        <v>0</v>
      </c>
      <c r="E256" s="457">
        <v>0</v>
      </c>
      <c r="F256" s="457">
        <v>0</v>
      </c>
      <c r="G256" s="457">
        <v>0</v>
      </c>
      <c r="H256" s="457">
        <v>0</v>
      </c>
      <c r="I256" s="457">
        <v>0</v>
      </c>
      <c r="J256" s="457">
        <v>0</v>
      </c>
      <c r="K256" s="457">
        <v>0</v>
      </c>
      <c r="L256" s="457">
        <v>0</v>
      </c>
      <c r="M256" s="457">
        <v>0</v>
      </c>
      <c r="N256" s="457">
        <v>0</v>
      </c>
      <c r="O256" s="457">
        <v>0</v>
      </c>
      <c r="P256" s="457">
        <v>0</v>
      </c>
      <c r="Q256" s="457">
        <v>0</v>
      </c>
      <c r="R256" s="457">
        <v>0</v>
      </c>
      <c r="S256" s="457">
        <v>0</v>
      </c>
      <c r="T256" s="410" t="e">
        <v>#DIV/0!</v>
      </c>
      <c r="U256" s="285">
        <v>0</v>
      </c>
      <c r="V256" s="285">
        <v>0</v>
      </c>
      <c r="W256" s="285">
        <v>0</v>
      </c>
      <c r="X256" s="285">
        <v>0</v>
      </c>
      <c r="Y256" s="285">
        <v>0</v>
      </c>
      <c r="Z256" s="285">
        <v>0</v>
      </c>
    </row>
    <row r="257" spans="1:26" x14ac:dyDescent="0.2">
      <c r="A257" s="412" t="s">
        <v>483</v>
      </c>
      <c r="B257" s="457">
        <v>0</v>
      </c>
      <c r="C257" s="457">
        <v>0</v>
      </c>
      <c r="D257" s="457">
        <v>0</v>
      </c>
      <c r="E257" s="457">
        <v>0</v>
      </c>
      <c r="F257" s="457">
        <v>0</v>
      </c>
      <c r="G257" s="457">
        <v>0</v>
      </c>
      <c r="H257" s="457">
        <v>0</v>
      </c>
      <c r="I257" s="457">
        <v>0</v>
      </c>
      <c r="J257" s="457">
        <v>0</v>
      </c>
      <c r="K257" s="457">
        <v>0</v>
      </c>
      <c r="L257" s="457">
        <v>0</v>
      </c>
      <c r="M257" s="457">
        <v>0</v>
      </c>
      <c r="N257" s="457">
        <v>0</v>
      </c>
      <c r="O257" s="457">
        <v>0</v>
      </c>
      <c r="P257" s="457">
        <v>0</v>
      </c>
      <c r="Q257" s="457">
        <v>0</v>
      </c>
      <c r="R257" s="457">
        <v>0</v>
      </c>
      <c r="S257" s="457">
        <v>0</v>
      </c>
      <c r="T257" s="410" t="e">
        <v>#DIV/0!</v>
      </c>
      <c r="U257" s="285">
        <v>0</v>
      </c>
      <c r="V257" s="285">
        <v>0</v>
      </c>
      <c r="W257" s="285">
        <v>0</v>
      </c>
      <c r="X257" s="285">
        <v>0</v>
      </c>
      <c r="Y257" s="285">
        <v>0</v>
      </c>
      <c r="Z257" s="285">
        <v>0</v>
      </c>
    </row>
    <row r="258" spans="1:26" x14ac:dyDescent="0.2">
      <c r="A258" s="412" t="s">
        <v>484</v>
      </c>
      <c r="B258" s="457">
        <v>0</v>
      </c>
      <c r="C258" s="457">
        <v>0</v>
      </c>
      <c r="D258" s="457">
        <v>0</v>
      </c>
      <c r="E258" s="457">
        <v>0</v>
      </c>
      <c r="F258" s="457">
        <v>0</v>
      </c>
      <c r="G258" s="457">
        <v>0</v>
      </c>
      <c r="H258" s="457">
        <v>0</v>
      </c>
      <c r="I258" s="457">
        <v>0</v>
      </c>
      <c r="J258" s="457">
        <v>0</v>
      </c>
      <c r="K258" s="457">
        <v>0</v>
      </c>
      <c r="L258" s="457">
        <v>0</v>
      </c>
      <c r="M258" s="457">
        <v>0</v>
      </c>
      <c r="N258" s="457">
        <v>0</v>
      </c>
      <c r="O258" s="457">
        <v>0</v>
      </c>
      <c r="P258" s="457">
        <v>0</v>
      </c>
      <c r="Q258" s="457">
        <v>0</v>
      </c>
      <c r="R258" s="457">
        <v>0</v>
      </c>
      <c r="S258" s="457">
        <v>0</v>
      </c>
      <c r="T258" s="410" t="e">
        <v>#DIV/0!</v>
      </c>
      <c r="U258" s="285">
        <v>0</v>
      </c>
      <c r="V258" s="285">
        <v>0</v>
      </c>
      <c r="W258" s="285">
        <v>0</v>
      </c>
      <c r="X258" s="285">
        <v>0</v>
      </c>
      <c r="Y258" s="285">
        <v>0</v>
      </c>
      <c r="Z258" s="285">
        <v>0</v>
      </c>
    </row>
    <row r="259" spans="1:26" x14ac:dyDescent="0.2">
      <c r="A259" s="412" t="s">
        <v>485</v>
      </c>
      <c r="B259" s="457">
        <v>0</v>
      </c>
      <c r="C259" s="457">
        <v>0</v>
      </c>
      <c r="D259" s="457">
        <v>0</v>
      </c>
      <c r="E259" s="457">
        <v>0</v>
      </c>
      <c r="F259" s="457">
        <v>0</v>
      </c>
      <c r="G259" s="457">
        <v>0</v>
      </c>
      <c r="H259" s="457">
        <v>0</v>
      </c>
      <c r="I259" s="457">
        <v>0</v>
      </c>
      <c r="J259" s="457">
        <v>0</v>
      </c>
      <c r="K259" s="457">
        <v>0</v>
      </c>
      <c r="L259" s="457">
        <v>0</v>
      </c>
      <c r="M259" s="457">
        <v>0</v>
      </c>
      <c r="N259" s="457">
        <v>0</v>
      </c>
      <c r="O259" s="457">
        <v>0</v>
      </c>
      <c r="P259" s="457">
        <v>0</v>
      </c>
      <c r="Q259" s="457">
        <v>0</v>
      </c>
      <c r="R259" s="457">
        <v>0</v>
      </c>
      <c r="S259" s="457">
        <v>0</v>
      </c>
      <c r="T259" s="410" t="e">
        <v>#DIV/0!</v>
      </c>
      <c r="U259" s="285">
        <v>0</v>
      </c>
      <c r="V259" s="285">
        <v>0</v>
      </c>
      <c r="W259" s="285">
        <v>0</v>
      </c>
      <c r="X259" s="285">
        <v>0</v>
      </c>
      <c r="Y259" s="285">
        <v>0</v>
      </c>
      <c r="Z259" s="285">
        <v>0</v>
      </c>
    </row>
    <row r="260" spans="1:26" x14ac:dyDescent="0.2">
      <c r="A260" s="412" t="s">
        <v>486</v>
      </c>
      <c r="B260" s="457">
        <v>0</v>
      </c>
      <c r="C260" s="457">
        <v>0</v>
      </c>
      <c r="D260" s="457">
        <v>0</v>
      </c>
      <c r="E260" s="457">
        <v>0</v>
      </c>
      <c r="F260" s="457">
        <v>0</v>
      </c>
      <c r="G260" s="457">
        <v>0</v>
      </c>
      <c r="H260" s="457">
        <v>0</v>
      </c>
      <c r="I260" s="457">
        <v>0</v>
      </c>
      <c r="J260" s="457">
        <v>0</v>
      </c>
      <c r="K260" s="457">
        <v>0</v>
      </c>
      <c r="L260" s="457">
        <v>0</v>
      </c>
      <c r="M260" s="457">
        <v>0</v>
      </c>
      <c r="N260" s="457">
        <v>0</v>
      </c>
      <c r="O260" s="457">
        <v>0</v>
      </c>
      <c r="P260" s="457">
        <v>0</v>
      </c>
      <c r="Q260" s="457">
        <v>0</v>
      </c>
      <c r="R260" s="457">
        <v>0</v>
      </c>
      <c r="S260" s="457">
        <v>0</v>
      </c>
      <c r="T260" s="410" t="e">
        <v>#DIV/0!</v>
      </c>
      <c r="U260" s="285">
        <v>0</v>
      </c>
      <c r="V260" s="285">
        <v>0</v>
      </c>
      <c r="W260" s="285">
        <v>0</v>
      </c>
      <c r="X260" s="285">
        <v>0</v>
      </c>
      <c r="Y260" s="285">
        <v>0</v>
      </c>
      <c r="Z260" s="285">
        <v>0</v>
      </c>
    </row>
    <row r="261" spans="1:26" x14ac:dyDescent="0.2">
      <c r="A261" s="412" t="s">
        <v>487</v>
      </c>
      <c r="B261" s="457">
        <v>0</v>
      </c>
      <c r="C261" s="457">
        <v>0</v>
      </c>
      <c r="D261" s="457">
        <v>0</v>
      </c>
      <c r="E261" s="457">
        <v>0</v>
      </c>
      <c r="F261" s="457">
        <v>0</v>
      </c>
      <c r="G261" s="457">
        <v>0</v>
      </c>
      <c r="H261" s="457">
        <v>0</v>
      </c>
      <c r="I261" s="457">
        <v>0</v>
      </c>
      <c r="J261" s="457">
        <v>0</v>
      </c>
      <c r="K261" s="457">
        <v>0</v>
      </c>
      <c r="L261" s="457">
        <v>0</v>
      </c>
      <c r="M261" s="457">
        <v>0</v>
      </c>
      <c r="N261" s="457">
        <v>0</v>
      </c>
      <c r="O261" s="457">
        <v>0</v>
      </c>
      <c r="P261" s="457">
        <v>0</v>
      </c>
      <c r="Q261" s="457">
        <v>0</v>
      </c>
      <c r="R261" s="457">
        <v>0</v>
      </c>
      <c r="S261" s="457">
        <v>0</v>
      </c>
      <c r="T261" s="410" t="e">
        <v>#DIV/0!</v>
      </c>
      <c r="U261" s="285">
        <v>0</v>
      </c>
      <c r="V261" s="285">
        <v>0</v>
      </c>
      <c r="W261" s="285">
        <v>0</v>
      </c>
      <c r="X261" s="285">
        <v>0</v>
      </c>
      <c r="Y261" s="285">
        <v>0</v>
      </c>
      <c r="Z261" s="285">
        <v>0</v>
      </c>
    </row>
    <row r="262" spans="1:26" x14ac:dyDescent="0.2">
      <c r="A262" s="412" t="s">
        <v>488</v>
      </c>
      <c r="B262" s="457">
        <v>0</v>
      </c>
      <c r="C262" s="457">
        <v>0</v>
      </c>
      <c r="D262" s="457">
        <v>0</v>
      </c>
      <c r="E262" s="457">
        <v>0</v>
      </c>
      <c r="F262" s="457">
        <v>0</v>
      </c>
      <c r="G262" s="457">
        <v>0</v>
      </c>
      <c r="H262" s="457">
        <v>0</v>
      </c>
      <c r="I262" s="457">
        <v>0</v>
      </c>
      <c r="J262" s="457">
        <v>0</v>
      </c>
      <c r="K262" s="457">
        <v>0</v>
      </c>
      <c r="L262" s="457">
        <v>0</v>
      </c>
      <c r="M262" s="457">
        <v>0</v>
      </c>
      <c r="N262" s="457">
        <v>0</v>
      </c>
      <c r="O262" s="457">
        <v>0</v>
      </c>
      <c r="P262" s="457">
        <v>0</v>
      </c>
      <c r="Q262" s="457">
        <v>0</v>
      </c>
      <c r="R262" s="457">
        <v>0</v>
      </c>
      <c r="S262" s="457">
        <v>0</v>
      </c>
      <c r="T262" s="410" t="e">
        <v>#DIV/0!</v>
      </c>
      <c r="U262" s="285">
        <v>0</v>
      </c>
      <c r="V262" s="285">
        <v>0</v>
      </c>
      <c r="W262" s="285">
        <v>0</v>
      </c>
      <c r="X262" s="285">
        <v>0</v>
      </c>
      <c r="Y262" s="285">
        <v>0</v>
      </c>
      <c r="Z262" s="285">
        <v>0</v>
      </c>
    </row>
    <row r="263" spans="1:26" x14ac:dyDescent="0.2">
      <c r="A263" s="412" t="s">
        <v>489</v>
      </c>
      <c r="B263" s="457">
        <v>0</v>
      </c>
      <c r="C263" s="457">
        <v>0</v>
      </c>
      <c r="D263" s="457">
        <v>0</v>
      </c>
      <c r="E263" s="457">
        <v>0</v>
      </c>
      <c r="F263" s="457">
        <v>0</v>
      </c>
      <c r="G263" s="457">
        <v>0</v>
      </c>
      <c r="H263" s="457">
        <v>0</v>
      </c>
      <c r="I263" s="457">
        <v>0</v>
      </c>
      <c r="J263" s="457">
        <v>0</v>
      </c>
      <c r="K263" s="457">
        <v>0</v>
      </c>
      <c r="L263" s="457">
        <v>0</v>
      </c>
      <c r="M263" s="457">
        <v>0</v>
      </c>
      <c r="N263" s="457">
        <v>0</v>
      </c>
      <c r="O263" s="457">
        <v>0</v>
      </c>
      <c r="P263" s="457">
        <v>0</v>
      </c>
      <c r="Q263" s="457">
        <v>0</v>
      </c>
      <c r="R263" s="457">
        <v>0</v>
      </c>
      <c r="S263" s="457">
        <v>0</v>
      </c>
      <c r="T263" s="410" t="e">
        <v>#DIV/0!</v>
      </c>
      <c r="U263" s="285">
        <v>0</v>
      </c>
      <c r="V263" s="285">
        <v>0</v>
      </c>
      <c r="W263" s="285">
        <v>0</v>
      </c>
      <c r="X263" s="285">
        <v>0</v>
      </c>
      <c r="Y263" s="285">
        <v>0</v>
      </c>
      <c r="Z263" s="285">
        <v>0</v>
      </c>
    </row>
    <row r="264" spans="1:26" x14ac:dyDescent="0.2">
      <c r="A264" s="412" t="s">
        <v>490</v>
      </c>
      <c r="B264" s="457">
        <v>0</v>
      </c>
      <c r="C264" s="457">
        <v>0</v>
      </c>
      <c r="D264" s="457">
        <v>0</v>
      </c>
      <c r="E264" s="457">
        <v>0</v>
      </c>
      <c r="F264" s="457">
        <v>0</v>
      </c>
      <c r="G264" s="457">
        <v>0</v>
      </c>
      <c r="H264" s="457">
        <v>0</v>
      </c>
      <c r="I264" s="457">
        <v>0</v>
      </c>
      <c r="J264" s="457">
        <v>0</v>
      </c>
      <c r="K264" s="457">
        <v>0</v>
      </c>
      <c r="L264" s="457">
        <v>0</v>
      </c>
      <c r="M264" s="457">
        <v>0</v>
      </c>
      <c r="N264" s="457">
        <v>0</v>
      </c>
      <c r="O264" s="457">
        <v>0</v>
      </c>
      <c r="P264" s="457">
        <v>0</v>
      </c>
      <c r="Q264" s="457">
        <v>0</v>
      </c>
      <c r="R264" s="457">
        <v>0</v>
      </c>
      <c r="S264" s="457">
        <v>0</v>
      </c>
      <c r="T264" s="410" t="e">
        <v>#DIV/0!</v>
      </c>
      <c r="U264" s="285">
        <v>0</v>
      </c>
      <c r="V264" s="285">
        <v>0</v>
      </c>
      <c r="W264" s="285">
        <v>0</v>
      </c>
      <c r="X264" s="285">
        <v>0</v>
      </c>
      <c r="Y264" s="285">
        <v>0</v>
      </c>
      <c r="Z264" s="285">
        <v>0</v>
      </c>
    </row>
    <row r="265" spans="1:26" ht="24" x14ac:dyDescent="0.2">
      <c r="A265" s="412" t="s">
        <v>491</v>
      </c>
      <c r="B265" s="457">
        <v>0</v>
      </c>
      <c r="C265" s="457">
        <v>0</v>
      </c>
      <c r="D265" s="457">
        <v>0</v>
      </c>
      <c r="E265" s="457">
        <v>0</v>
      </c>
      <c r="F265" s="457">
        <v>0</v>
      </c>
      <c r="G265" s="457">
        <v>0</v>
      </c>
      <c r="H265" s="457">
        <v>0</v>
      </c>
      <c r="I265" s="457">
        <v>0</v>
      </c>
      <c r="J265" s="457">
        <v>0</v>
      </c>
      <c r="K265" s="457">
        <v>0</v>
      </c>
      <c r="L265" s="457">
        <v>0</v>
      </c>
      <c r="M265" s="457">
        <v>0</v>
      </c>
      <c r="N265" s="457">
        <v>0</v>
      </c>
      <c r="O265" s="457">
        <v>0</v>
      </c>
      <c r="P265" s="457">
        <v>0</v>
      </c>
      <c r="Q265" s="457">
        <v>0</v>
      </c>
      <c r="R265" s="457">
        <v>0</v>
      </c>
      <c r="S265" s="457">
        <v>0</v>
      </c>
      <c r="T265" s="410" t="e">
        <v>#DIV/0!</v>
      </c>
      <c r="U265" s="285">
        <v>0</v>
      </c>
      <c r="V265" s="285">
        <v>0</v>
      </c>
      <c r="W265" s="285">
        <v>0</v>
      </c>
      <c r="X265" s="285">
        <v>0</v>
      </c>
      <c r="Y265" s="285">
        <v>0</v>
      </c>
      <c r="Z265" s="285">
        <v>0</v>
      </c>
    </row>
    <row r="266" spans="1:26" x14ac:dyDescent="0.2">
      <c r="A266" s="412" t="s">
        <v>492</v>
      </c>
      <c r="B266" s="457">
        <v>0</v>
      </c>
      <c r="C266" s="457">
        <v>0</v>
      </c>
      <c r="D266" s="457">
        <v>0</v>
      </c>
      <c r="E266" s="457">
        <v>0</v>
      </c>
      <c r="F266" s="457">
        <v>0</v>
      </c>
      <c r="G266" s="457">
        <v>0</v>
      </c>
      <c r="H266" s="457">
        <v>0</v>
      </c>
      <c r="I266" s="457">
        <v>0</v>
      </c>
      <c r="J266" s="457">
        <v>0</v>
      </c>
      <c r="K266" s="457">
        <v>0</v>
      </c>
      <c r="L266" s="457">
        <v>0</v>
      </c>
      <c r="M266" s="457">
        <v>0</v>
      </c>
      <c r="N266" s="457">
        <v>0</v>
      </c>
      <c r="O266" s="457">
        <v>0</v>
      </c>
      <c r="P266" s="457">
        <v>0</v>
      </c>
      <c r="Q266" s="457">
        <v>0</v>
      </c>
      <c r="R266" s="457">
        <v>0</v>
      </c>
      <c r="S266" s="457">
        <v>0</v>
      </c>
      <c r="T266" s="410" t="e">
        <v>#DIV/0!</v>
      </c>
      <c r="U266" s="285">
        <v>0</v>
      </c>
      <c r="V266" s="285">
        <v>0</v>
      </c>
      <c r="W266" s="285">
        <v>0</v>
      </c>
      <c r="X266" s="285">
        <v>0</v>
      </c>
      <c r="Y266" s="285">
        <v>0</v>
      </c>
      <c r="Z266" s="285">
        <v>0</v>
      </c>
    </row>
    <row r="267" spans="1:26" x14ac:dyDescent="0.2">
      <c r="A267" s="412" t="s">
        <v>493</v>
      </c>
      <c r="B267" s="457">
        <v>0</v>
      </c>
      <c r="C267" s="457">
        <v>0</v>
      </c>
      <c r="D267" s="457">
        <v>0</v>
      </c>
      <c r="E267" s="457">
        <v>0</v>
      </c>
      <c r="F267" s="457">
        <v>0</v>
      </c>
      <c r="G267" s="457">
        <v>0</v>
      </c>
      <c r="H267" s="457">
        <v>0</v>
      </c>
      <c r="I267" s="457">
        <v>0</v>
      </c>
      <c r="J267" s="457">
        <v>0</v>
      </c>
      <c r="K267" s="457">
        <v>0</v>
      </c>
      <c r="L267" s="457">
        <v>0</v>
      </c>
      <c r="M267" s="457">
        <v>0</v>
      </c>
      <c r="N267" s="457">
        <v>0</v>
      </c>
      <c r="O267" s="457">
        <v>0</v>
      </c>
      <c r="P267" s="457">
        <v>0</v>
      </c>
      <c r="Q267" s="457">
        <v>0</v>
      </c>
      <c r="R267" s="457">
        <v>0</v>
      </c>
      <c r="S267" s="457">
        <v>0</v>
      </c>
      <c r="T267" s="410" t="e">
        <v>#DIV/0!</v>
      </c>
      <c r="U267" s="285">
        <v>0</v>
      </c>
      <c r="V267" s="285">
        <v>0</v>
      </c>
      <c r="W267" s="285">
        <v>0</v>
      </c>
      <c r="X267" s="285">
        <v>0</v>
      </c>
      <c r="Y267" s="285">
        <v>0</v>
      </c>
      <c r="Z267" s="285">
        <v>0</v>
      </c>
    </row>
    <row r="268" spans="1:26" ht="24" x14ac:dyDescent="0.2">
      <c r="A268" s="412" t="s">
        <v>494</v>
      </c>
      <c r="B268" s="457">
        <v>0</v>
      </c>
      <c r="C268" s="457">
        <v>0</v>
      </c>
      <c r="D268" s="457">
        <v>0</v>
      </c>
      <c r="E268" s="457">
        <v>0</v>
      </c>
      <c r="F268" s="457">
        <v>0</v>
      </c>
      <c r="G268" s="457">
        <v>0</v>
      </c>
      <c r="H268" s="457">
        <v>0</v>
      </c>
      <c r="I268" s="457">
        <v>0</v>
      </c>
      <c r="J268" s="457">
        <v>0</v>
      </c>
      <c r="K268" s="457">
        <v>0</v>
      </c>
      <c r="L268" s="457">
        <v>0</v>
      </c>
      <c r="M268" s="457">
        <v>0</v>
      </c>
      <c r="N268" s="457">
        <v>0</v>
      </c>
      <c r="O268" s="457">
        <v>0</v>
      </c>
      <c r="P268" s="457">
        <v>0</v>
      </c>
      <c r="Q268" s="457">
        <v>0</v>
      </c>
      <c r="R268" s="457">
        <v>0</v>
      </c>
      <c r="S268" s="457">
        <v>0</v>
      </c>
      <c r="T268" s="410" t="e">
        <v>#DIV/0!</v>
      </c>
      <c r="U268" s="285">
        <v>0</v>
      </c>
      <c r="V268" s="285">
        <v>0</v>
      </c>
      <c r="W268" s="285">
        <v>0</v>
      </c>
      <c r="X268" s="285">
        <v>0</v>
      </c>
      <c r="Y268" s="285">
        <v>0</v>
      </c>
      <c r="Z268" s="285">
        <v>0</v>
      </c>
    </row>
    <row r="269" spans="1:26" ht="24" x14ac:dyDescent="0.2">
      <c r="A269" s="412" t="s">
        <v>495</v>
      </c>
      <c r="B269" s="457">
        <v>0</v>
      </c>
      <c r="C269" s="457">
        <v>0</v>
      </c>
      <c r="D269" s="457">
        <v>0</v>
      </c>
      <c r="E269" s="457">
        <v>0</v>
      </c>
      <c r="F269" s="457">
        <v>0</v>
      </c>
      <c r="G269" s="457">
        <v>0</v>
      </c>
      <c r="H269" s="457">
        <v>0</v>
      </c>
      <c r="I269" s="457">
        <v>0</v>
      </c>
      <c r="J269" s="457">
        <v>0</v>
      </c>
      <c r="K269" s="457">
        <v>0</v>
      </c>
      <c r="L269" s="457">
        <v>0</v>
      </c>
      <c r="M269" s="457">
        <v>0</v>
      </c>
      <c r="N269" s="457">
        <v>0</v>
      </c>
      <c r="O269" s="457">
        <v>0</v>
      </c>
      <c r="P269" s="457">
        <v>0</v>
      </c>
      <c r="Q269" s="457">
        <v>0</v>
      </c>
      <c r="R269" s="457">
        <v>0</v>
      </c>
      <c r="S269" s="457">
        <v>0</v>
      </c>
      <c r="T269" s="410" t="e">
        <v>#DIV/0!</v>
      </c>
      <c r="U269" s="285">
        <v>0</v>
      </c>
      <c r="V269" s="285">
        <v>0</v>
      </c>
      <c r="W269" s="285">
        <v>0</v>
      </c>
      <c r="X269" s="285">
        <v>0</v>
      </c>
      <c r="Y269" s="285">
        <v>0</v>
      </c>
      <c r="Z269" s="285">
        <v>0</v>
      </c>
    </row>
    <row r="270" spans="1:26" x14ac:dyDescent="0.2">
      <c r="A270" s="412" t="s">
        <v>496</v>
      </c>
      <c r="B270" s="457">
        <v>0</v>
      </c>
      <c r="C270" s="457">
        <v>0</v>
      </c>
      <c r="D270" s="457">
        <v>0</v>
      </c>
      <c r="E270" s="457">
        <v>0</v>
      </c>
      <c r="F270" s="457">
        <v>0</v>
      </c>
      <c r="G270" s="457">
        <v>0</v>
      </c>
      <c r="H270" s="457">
        <v>0</v>
      </c>
      <c r="I270" s="457">
        <v>0</v>
      </c>
      <c r="J270" s="457">
        <v>0</v>
      </c>
      <c r="K270" s="457">
        <v>0</v>
      </c>
      <c r="L270" s="457">
        <v>0</v>
      </c>
      <c r="M270" s="457">
        <v>0</v>
      </c>
      <c r="N270" s="457">
        <v>0</v>
      </c>
      <c r="O270" s="457">
        <v>0</v>
      </c>
      <c r="P270" s="457">
        <v>0</v>
      </c>
      <c r="Q270" s="457">
        <v>0</v>
      </c>
      <c r="R270" s="457">
        <v>0</v>
      </c>
      <c r="S270" s="457">
        <v>0</v>
      </c>
      <c r="T270" s="410" t="e">
        <v>#DIV/0!</v>
      </c>
      <c r="U270" s="285">
        <v>0</v>
      </c>
      <c r="V270" s="285">
        <v>0</v>
      </c>
      <c r="W270" s="285">
        <v>0</v>
      </c>
      <c r="X270" s="285">
        <v>0</v>
      </c>
      <c r="Y270" s="285">
        <v>0</v>
      </c>
      <c r="Z270" s="285">
        <v>0</v>
      </c>
    </row>
    <row r="271" spans="1:26" x14ac:dyDescent="0.2">
      <c r="A271" s="412" t="s">
        <v>497</v>
      </c>
      <c r="B271" s="457">
        <v>0</v>
      </c>
      <c r="C271" s="457">
        <v>0</v>
      </c>
      <c r="D271" s="457">
        <v>0</v>
      </c>
      <c r="E271" s="457">
        <v>0</v>
      </c>
      <c r="F271" s="457">
        <v>0</v>
      </c>
      <c r="G271" s="457">
        <v>0</v>
      </c>
      <c r="H271" s="457">
        <v>0</v>
      </c>
      <c r="I271" s="457">
        <v>0</v>
      </c>
      <c r="J271" s="457">
        <v>0</v>
      </c>
      <c r="K271" s="457">
        <v>0</v>
      </c>
      <c r="L271" s="457">
        <v>0</v>
      </c>
      <c r="M271" s="457">
        <v>0</v>
      </c>
      <c r="N271" s="457">
        <v>0</v>
      </c>
      <c r="O271" s="457">
        <v>0</v>
      </c>
      <c r="P271" s="457">
        <v>0</v>
      </c>
      <c r="Q271" s="457">
        <v>0</v>
      </c>
      <c r="R271" s="457">
        <v>0</v>
      </c>
      <c r="S271" s="457">
        <v>0</v>
      </c>
      <c r="T271" s="410" t="e">
        <v>#DIV/0!</v>
      </c>
      <c r="U271" s="285">
        <v>0</v>
      </c>
      <c r="V271" s="285">
        <v>0</v>
      </c>
      <c r="W271" s="285">
        <v>0</v>
      </c>
      <c r="X271" s="285">
        <v>0</v>
      </c>
      <c r="Y271" s="285">
        <v>0</v>
      </c>
      <c r="Z271" s="285">
        <v>0</v>
      </c>
    </row>
    <row r="272" spans="1:26" x14ac:dyDescent="0.2">
      <c r="A272" s="412" t="s">
        <v>498</v>
      </c>
      <c r="B272" s="457">
        <v>0</v>
      </c>
      <c r="C272" s="457">
        <v>0</v>
      </c>
      <c r="D272" s="457">
        <v>0</v>
      </c>
      <c r="E272" s="457">
        <v>0</v>
      </c>
      <c r="F272" s="457">
        <v>0</v>
      </c>
      <c r="G272" s="457">
        <v>0</v>
      </c>
      <c r="H272" s="457">
        <v>0</v>
      </c>
      <c r="I272" s="457">
        <v>0</v>
      </c>
      <c r="J272" s="457">
        <v>0</v>
      </c>
      <c r="K272" s="457">
        <v>0</v>
      </c>
      <c r="L272" s="457">
        <v>0</v>
      </c>
      <c r="M272" s="457">
        <v>0</v>
      </c>
      <c r="N272" s="457">
        <v>0</v>
      </c>
      <c r="O272" s="457">
        <v>0</v>
      </c>
      <c r="P272" s="457">
        <v>0</v>
      </c>
      <c r="Q272" s="457">
        <v>0</v>
      </c>
      <c r="R272" s="457">
        <v>0</v>
      </c>
      <c r="S272" s="457">
        <v>0</v>
      </c>
      <c r="T272" s="410" t="e">
        <v>#DIV/0!</v>
      </c>
      <c r="U272" s="285">
        <v>0</v>
      </c>
      <c r="V272" s="285">
        <v>0</v>
      </c>
      <c r="W272" s="285">
        <v>0</v>
      </c>
      <c r="X272" s="285">
        <v>0</v>
      </c>
      <c r="Y272" s="285">
        <v>0</v>
      </c>
      <c r="Z272" s="285">
        <v>0</v>
      </c>
    </row>
    <row r="273" spans="1:26" x14ac:dyDescent="0.2">
      <c r="A273" s="404" t="s">
        <v>499</v>
      </c>
      <c r="B273" s="448">
        <v>0</v>
      </c>
      <c r="C273" s="448">
        <v>0</v>
      </c>
      <c r="D273" s="448">
        <v>0</v>
      </c>
      <c r="E273" s="448">
        <v>0</v>
      </c>
      <c r="F273" s="448">
        <v>0</v>
      </c>
      <c r="G273" s="448">
        <v>0</v>
      </c>
      <c r="H273" s="448">
        <v>0</v>
      </c>
      <c r="I273" s="448">
        <v>0</v>
      </c>
      <c r="J273" s="448">
        <v>0</v>
      </c>
      <c r="K273" s="448">
        <v>0</v>
      </c>
      <c r="L273" s="448">
        <v>0</v>
      </c>
      <c r="M273" s="448">
        <v>0</v>
      </c>
      <c r="N273" s="448">
        <v>0</v>
      </c>
      <c r="O273" s="448">
        <v>0</v>
      </c>
      <c r="P273" s="448">
        <v>0</v>
      </c>
      <c r="Q273" s="448">
        <v>0</v>
      </c>
      <c r="R273" s="448">
        <v>0</v>
      </c>
      <c r="S273" s="448">
        <v>0</v>
      </c>
      <c r="T273" s="407" t="e">
        <v>#DIV/0!</v>
      </c>
      <c r="U273" s="406">
        <v>0</v>
      </c>
      <c r="V273" s="406">
        <v>0</v>
      </c>
      <c r="W273" s="406">
        <v>0</v>
      </c>
      <c r="X273" s="406">
        <v>0</v>
      </c>
      <c r="Y273" s="406">
        <v>0</v>
      </c>
      <c r="Z273" s="406">
        <v>0</v>
      </c>
    </row>
    <row r="274" spans="1:26" x14ac:dyDescent="0.2">
      <c r="A274" s="412" t="s">
        <v>500</v>
      </c>
      <c r="B274" s="457">
        <v>0</v>
      </c>
      <c r="C274" s="457">
        <v>0</v>
      </c>
      <c r="D274" s="457">
        <v>0</v>
      </c>
      <c r="E274" s="457">
        <v>0</v>
      </c>
      <c r="F274" s="457">
        <v>0</v>
      </c>
      <c r="G274" s="457">
        <v>0</v>
      </c>
      <c r="H274" s="457">
        <v>0</v>
      </c>
      <c r="I274" s="457">
        <v>0</v>
      </c>
      <c r="J274" s="457">
        <v>0</v>
      </c>
      <c r="K274" s="457">
        <v>0</v>
      </c>
      <c r="L274" s="457">
        <v>0</v>
      </c>
      <c r="M274" s="457">
        <v>0</v>
      </c>
      <c r="N274" s="457">
        <v>0</v>
      </c>
      <c r="O274" s="457">
        <v>0</v>
      </c>
      <c r="P274" s="457">
        <v>0</v>
      </c>
      <c r="Q274" s="457">
        <v>0</v>
      </c>
      <c r="R274" s="457">
        <v>0</v>
      </c>
      <c r="S274" s="457">
        <v>0</v>
      </c>
      <c r="T274" s="410" t="e">
        <v>#DIV/0!</v>
      </c>
      <c r="U274" s="285">
        <v>0</v>
      </c>
      <c r="V274" s="285">
        <v>0</v>
      </c>
      <c r="W274" s="285">
        <v>0</v>
      </c>
      <c r="X274" s="285">
        <v>0</v>
      </c>
      <c r="Y274" s="285">
        <v>0</v>
      </c>
      <c r="Z274" s="285">
        <v>0</v>
      </c>
    </row>
    <row r="275" spans="1:26" x14ac:dyDescent="0.2">
      <c r="A275" s="412" t="s">
        <v>501</v>
      </c>
      <c r="B275" s="457">
        <v>0</v>
      </c>
      <c r="C275" s="457">
        <v>0</v>
      </c>
      <c r="D275" s="457">
        <v>0</v>
      </c>
      <c r="E275" s="457">
        <v>0</v>
      </c>
      <c r="F275" s="457">
        <v>0</v>
      </c>
      <c r="G275" s="457">
        <v>0</v>
      </c>
      <c r="H275" s="457">
        <v>0</v>
      </c>
      <c r="I275" s="457">
        <v>0</v>
      </c>
      <c r="J275" s="457">
        <v>0</v>
      </c>
      <c r="K275" s="457">
        <v>0</v>
      </c>
      <c r="L275" s="457">
        <v>0</v>
      </c>
      <c r="M275" s="457">
        <v>0</v>
      </c>
      <c r="N275" s="457">
        <v>0</v>
      </c>
      <c r="O275" s="457">
        <v>0</v>
      </c>
      <c r="P275" s="457">
        <v>0</v>
      </c>
      <c r="Q275" s="457">
        <v>0</v>
      </c>
      <c r="R275" s="457">
        <v>0</v>
      </c>
      <c r="S275" s="457">
        <v>0</v>
      </c>
      <c r="T275" s="410" t="e">
        <v>#DIV/0!</v>
      </c>
      <c r="U275" s="285">
        <v>0</v>
      </c>
      <c r="V275" s="285">
        <v>0</v>
      </c>
      <c r="W275" s="285">
        <v>0</v>
      </c>
      <c r="X275" s="285">
        <v>0</v>
      </c>
      <c r="Y275" s="285">
        <v>0</v>
      </c>
      <c r="Z275" s="285">
        <v>0</v>
      </c>
    </row>
    <row r="276" spans="1:26" x14ac:dyDescent="0.2">
      <c r="A276" s="412" t="s">
        <v>502</v>
      </c>
      <c r="B276" s="457">
        <v>0</v>
      </c>
      <c r="C276" s="457">
        <v>0</v>
      </c>
      <c r="D276" s="457">
        <v>0</v>
      </c>
      <c r="E276" s="457">
        <v>0</v>
      </c>
      <c r="F276" s="457">
        <v>0</v>
      </c>
      <c r="G276" s="457">
        <v>0</v>
      </c>
      <c r="H276" s="457">
        <v>0</v>
      </c>
      <c r="I276" s="457">
        <v>0</v>
      </c>
      <c r="J276" s="457">
        <v>0</v>
      </c>
      <c r="K276" s="457">
        <v>0</v>
      </c>
      <c r="L276" s="457">
        <v>0</v>
      </c>
      <c r="M276" s="457">
        <v>0</v>
      </c>
      <c r="N276" s="457">
        <v>0</v>
      </c>
      <c r="O276" s="457">
        <v>0</v>
      </c>
      <c r="P276" s="457">
        <v>0</v>
      </c>
      <c r="Q276" s="457">
        <v>0</v>
      </c>
      <c r="R276" s="457">
        <v>0</v>
      </c>
      <c r="S276" s="457">
        <v>0</v>
      </c>
      <c r="T276" s="410" t="e">
        <v>#DIV/0!</v>
      </c>
      <c r="U276" s="285">
        <v>0</v>
      </c>
      <c r="V276" s="285">
        <v>0</v>
      </c>
      <c r="W276" s="285">
        <v>0</v>
      </c>
      <c r="X276" s="285">
        <v>0</v>
      </c>
      <c r="Y276" s="285">
        <v>0</v>
      </c>
      <c r="Z276" s="285">
        <v>0</v>
      </c>
    </row>
    <row r="277" spans="1:26" x14ac:dyDescent="0.2">
      <c r="A277" s="412" t="s">
        <v>503</v>
      </c>
      <c r="B277" s="457">
        <v>0</v>
      </c>
      <c r="C277" s="457">
        <v>0</v>
      </c>
      <c r="D277" s="457">
        <v>0</v>
      </c>
      <c r="E277" s="457">
        <v>0</v>
      </c>
      <c r="F277" s="457">
        <v>0</v>
      </c>
      <c r="G277" s="457">
        <v>0</v>
      </c>
      <c r="H277" s="457">
        <v>0</v>
      </c>
      <c r="I277" s="457">
        <v>0</v>
      </c>
      <c r="J277" s="457">
        <v>0</v>
      </c>
      <c r="K277" s="457">
        <v>0</v>
      </c>
      <c r="L277" s="457">
        <v>0</v>
      </c>
      <c r="M277" s="457">
        <v>0</v>
      </c>
      <c r="N277" s="457">
        <v>0</v>
      </c>
      <c r="O277" s="457">
        <v>0</v>
      </c>
      <c r="P277" s="457">
        <v>0</v>
      </c>
      <c r="Q277" s="457">
        <v>0</v>
      </c>
      <c r="R277" s="457">
        <v>0</v>
      </c>
      <c r="S277" s="457">
        <v>0</v>
      </c>
      <c r="T277" s="410" t="e">
        <v>#DIV/0!</v>
      </c>
      <c r="U277" s="285">
        <v>0</v>
      </c>
      <c r="V277" s="285">
        <v>0</v>
      </c>
      <c r="W277" s="285">
        <v>0</v>
      </c>
      <c r="X277" s="285">
        <v>0</v>
      </c>
      <c r="Y277" s="285">
        <v>0</v>
      </c>
      <c r="Z277" s="285">
        <v>0</v>
      </c>
    </row>
    <row r="278" spans="1:26" x14ac:dyDescent="0.2">
      <c r="A278" s="404" t="s">
        <v>504</v>
      </c>
      <c r="B278" s="448">
        <v>0</v>
      </c>
      <c r="C278" s="448">
        <v>0</v>
      </c>
      <c r="D278" s="448">
        <v>0</v>
      </c>
      <c r="E278" s="448">
        <v>0</v>
      </c>
      <c r="F278" s="448">
        <v>0</v>
      </c>
      <c r="G278" s="448">
        <v>0</v>
      </c>
      <c r="H278" s="448">
        <v>0</v>
      </c>
      <c r="I278" s="448">
        <v>0</v>
      </c>
      <c r="J278" s="448">
        <v>0</v>
      </c>
      <c r="K278" s="448">
        <v>0</v>
      </c>
      <c r="L278" s="448">
        <v>0</v>
      </c>
      <c r="M278" s="448">
        <v>0</v>
      </c>
      <c r="N278" s="448">
        <v>0</v>
      </c>
      <c r="O278" s="448">
        <v>0</v>
      </c>
      <c r="P278" s="448">
        <v>0</v>
      </c>
      <c r="Q278" s="448">
        <v>0</v>
      </c>
      <c r="R278" s="448">
        <v>0</v>
      </c>
      <c r="S278" s="448">
        <v>0</v>
      </c>
      <c r="T278" s="407" t="e">
        <v>#DIV/0!</v>
      </c>
      <c r="U278" s="406">
        <v>0</v>
      </c>
      <c r="V278" s="406">
        <v>0</v>
      </c>
      <c r="W278" s="406">
        <v>0</v>
      </c>
      <c r="X278" s="406">
        <v>0</v>
      </c>
      <c r="Y278" s="406">
        <v>0</v>
      </c>
      <c r="Z278" s="406">
        <v>0</v>
      </c>
    </row>
    <row r="279" spans="1:26" x14ac:dyDescent="0.2">
      <c r="A279" s="412" t="s">
        <v>505</v>
      </c>
      <c r="B279" s="457">
        <v>0</v>
      </c>
      <c r="C279" s="457">
        <v>0</v>
      </c>
      <c r="D279" s="457">
        <v>0</v>
      </c>
      <c r="E279" s="457">
        <v>0</v>
      </c>
      <c r="F279" s="457">
        <v>0</v>
      </c>
      <c r="G279" s="457">
        <v>0</v>
      </c>
      <c r="H279" s="457">
        <v>0</v>
      </c>
      <c r="I279" s="457">
        <v>0</v>
      </c>
      <c r="J279" s="457">
        <v>0</v>
      </c>
      <c r="K279" s="457">
        <v>0</v>
      </c>
      <c r="L279" s="457">
        <v>0</v>
      </c>
      <c r="M279" s="457">
        <v>0</v>
      </c>
      <c r="N279" s="457">
        <v>0</v>
      </c>
      <c r="O279" s="457">
        <v>0</v>
      </c>
      <c r="P279" s="457">
        <v>0</v>
      </c>
      <c r="Q279" s="457">
        <v>0</v>
      </c>
      <c r="R279" s="457">
        <v>0</v>
      </c>
      <c r="S279" s="457">
        <v>0</v>
      </c>
      <c r="T279" s="410" t="e">
        <v>#DIV/0!</v>
      </c>
      <c r="U279" s="285">
        <v>0</v>
      </c>
      <c r="V279" s="285">
        <v>0</v>
      </c>
      <c r="W279" s="285">
        <v>0</v>
      </c>
      <c r="X279" s="285">
        <v>0</v>
      </c>
      <c r="Y279" s="285">
        <v>0</v>
      </c>
      <c r="Z279" s="285">
        <v>0</v>
      </c>
    </row>
    <row r="280" spans="1:26" x14ac:dyDescent="0.2">
      <c r="A280" s="412" t="s">
        <v>506</v>
      </c>
      <c r="B280" s="457">
        <v>0</v>
      </c>
      <c r="C280" s="457">
        <v>0</v>
      </c>
      <c r="D280" s="457">
        <v>0</v>
      </c>
      <c r="E280" s="457">
        <v>0</v>
      </c>
      <c r="F280" s="457">
        <v>0</v>
      </c>
      <c r="G280" s="457">
        <v>0</v>
      </c>
      <c r="H280" s="457">
        <v>0</v>
      </c>
      <c r="I280" s="457">
        <v>0</v>
      </c>
      <c r="J280" s="457">
        <v>0</v>
      </c>
      <c r="K280" s="457">
        <v>0</v>
      </c>
      <c r="L280" s="457">
        <v>0</v>
      </c>
      <c r="M280" s="457">
        <v>0</v>
      </c>
      <c r="N280" s="457">
        <v>0</v>
      </c>
      <c r="O280" s="457">
        <v>0</v>
      </c>
      <c r="P280" s="457">
        <v>0</v>
      </c>
      <c r="Q280" s="457">
        <v>0</v>
      </c>
      <c r="R280" s="457">
        <v>0</v>
      </c>
      <c r="S280" s="457">
        <v>0</v>
      </c>
      <c r="T280" s="410" t="e">
        <v>#DIV/0!</v>
      </c>
      <c r="U280" s="285">
        <v>0</v>
      </c>
      <c r="V280" s="285">
        <v>0</v>
      </c>
      <c r="W280" s="285">
        <v>0</v>
      </c>
      <c r="X280" s="285">
        <v>0</v>
      </c>
      <c r="Y280" s="285">
        <v>0</v>
      </c>
      <c r="Z280" s="285">
        <v>0</v>
      </c>
    </row>
    <row r="281" spans="1:26" x14ac:dyDescent="0.2">
      <c r="A281" s="412" t="s">
        <v>507</v>
      </c>
      <c r="B281" s="457">
        <v>0</v>
      </c>
      <c r="C281" s="457">
        <v>0</v>
      </c>
      <c r="D281" s="457">
        <v>0</v>
      </c>
      <c r="E281" s="457">
        <v>0</v>
      </c>
      <c r="F281" s="457">
        <v>0</v>
      </c>
      <c r="G281" s="457">
        <v>0</v>
      </c>
      <c r="H281" s="457">
        <v>0</v>
      </c>
      <c r="I281" s="457">
        <v>0</v>
      </c>
      <c r="J281" s="457">
        <v>0</v>
      </c>
      <c r="K281" s="457">
        <v>0</v>
      </c>
      <c r="L281" s="457">
        <v>0</v>
      </c>
      <c r="M281" s="457">
        <v>0</v>
      </c>
      <c r="N281" s="457">
        <v>0</v>
      </c>
      <c r="O281" s="457">
        <v>0</v>
      </c>
      <c r="P281" s="457">
        <v>0</v>
      </c>
      <c r="Q281" s="457">
        <v>0</v>
      </c>
      <c r="R281" s="457">
        <v>0</v>
      </c>
      <c r="S281" s="457">
        <v>0</v>
      </c>
      <c r="T281" s="410" t="e">
        <v>#DIV/0!</v>
      </c>
      <c r="U281" s="285">
        <v>0</v>
      </c>
      <c r="V281" s="285">
        <v>0</v>
      </c>
      <c r="W281" s="285">
        <v>0</v>
      </c>
      <c r="X281" s="285">
        <v>0</v>
      </c>
      <c r="Y281" s="285">
        <v>0</v>
      </c>
      <c r="Z281" s="285">
        <v>0</v>
      </c>
    </row>
    <row r="282" spans="1:26" x14ac:dyDescent="0.2">
      <c r="A282" s="412" t="s">
        <v>508</v>
      </c>
      <c r="B282" s="457">
        <v>0</v>
      </c>
      <c r="C282" s="457">
        <v>0</v>
      </c>
      <c r="D282" s="457">
        <v>0</v>
      </c>
      <c r="E282" s="457">
        <v>0</v>
      </c>
      <c r="F282" s="457">
        <v>0</v>
      </c>
      <c r="G282" s="457">
        <v>0</v>
      </c>
      <c r="H282" s="457">
        <v>0</v>
      </c>
      <c r="I282" s="457">
        <v>0</v>
      </c>
      <c r="J282" s="457">
        <v>0</v>
      </c>
      <c r="K282" s="457">
        <v>0</v>
      </c>
      <c r="L282" s="457">
        <v>0</v>
      </c>
      <c r="M282" s="457">
        <v>0</v>
      </c>
      <c r="N282" s="457">
        <v>0</v>
      </c>
      <c r="O282" s="457">
        <v>0</v>
      </c>
      <c r="P282" s="457">
        <v>0</v>
      </c>
      <c r="Q282" s="457">
        <v>0</v>
      </c>
      <c r="R282" s="457">
        <v>0</v>
      </c>
      <c r="S282" s="457">
        <v>0</v>
      </c>
      <c r="T282" s="410" t="e">
        <v>#DIV/0!</v>
      </c>
      <c r="U282" s="285">
        <v>0</v>
      </c>
      <c r="V282" s="285">
        <v>0</v>
      </c>
      <c r="W282" s="285">
        <v>0</v>
      </c>
      <c r="X282" s="285">
        <v>0</v>
      </c>
      <c r="Y282" s="285">
        <v>0</v>
      </c>
      <c r="Z282" s="285">
        <v>0</v>
      </c>
    </row>
    <row r="283" spans="1:26" x14ac:dyDescent="0.2">
      <c r="A283" s="412" t="s">
        <v>509</v>
      </c>
      <c r="B283" s="457">
        <v>0</v>
      </c>
      <c r="C283" s="457">
        <v>0</v>
      </c>
      <c r="D283" s="457">
        <v>0</v>
      </c>
      <c r="E283" s="457">
        <v>0</v>
      </c>
      <c r="F283" s="457">
        <v>0</v>
      </c>
      <c r="G283" s="457">
        <v>0</v>
      </c>
      <c r="H283" s="457">
        <v>0</v>
      </c>
      <c r="I283" s="457">
        <v>0</v>
      </c>
      <c r="J283" s="457">
        <v>0</v>
      </c>
      <c r="K283" s="457">
        <v>0</v>
      </c>
      <c r="L283" s="457">
        <v>0</v>
      </c>
      <c r="M283" s="457">
        <v>0</v>
      </c>
      <c r="N283" s="457">
        <v>0</v>
      </c>
      <c r="O283" s="457">
        <v>0</v>
      </c>
      <c r="P283" s="457">
        <v>0</v>
      </c>
      <c r="Q283" s="457">
        <v>0</v>
      </c>
      <c r="R283" s="457">
        <v>0</v>
      </c>
      <c r="S283" s="457">
        <v>0</v>
      </c>
      <c r="T283" s="410" t="e">
        <v>#DIV/0!</v>
      </c>
      <c r="U283" s="285">
        <v>0</v>
      </c>
      <c r="V283" s="285">
        <v>0</v>
      </c>
      <c r="W283" s="285">
        <v>0</v>
      </c>
      <c r="X283" s="285">
        <v>0</v>
      </c>
      <c r="Y283" s="285">
        <v>0</v>
      </c>
      <c r="Z283" s="285">
        <v>0</v>
      </c>
    </row>
    <row r="284" spans="1:26" x14ac:dyDescent="0.2">
      <c r="A284" s="412" t="s">
        <v>510</v>
      </c>
      <c r="B284" s="457">
        <v>0</v>
      </c>
      <c r="C284" s="457">
        <v>0</v>
      </c>
      <c r="D284" s="457">
        <v>0</v>
      </c>
      <c r="E284" s="457">
        <v>0</v>
      </c>
      <c r="F284" s="457">
        <v>0</v>
      </c>
      <c r="G284" s="457">
        <v>0</v>
      </c>
      <c r="H284" s="457">
        <v>0</v>
      </c>
      <c r="I284" s="457">
        <v>0</v>
      </c>
      <c r="J284" s="457">
        <v>0</v>
      </c>
      <c r="K284" s="457">
        <v>0</v>
      </c>
      <c r="L284" s="457">
        <v>0</v>
      </c>
      <c r="M284" s="457">
        <v>0</v>
      </c>
      <c r="N284" s="457">
        <v>0</v>
      </c>
      <c r="O284" s="457">
        <v>0</v>
      </c>
      <c r="P284" s="457">
        <v>0</v>
      </c>
      <c r="Q284" s="457">
        <v>0</v>
      </c>
      <c r="R284" s="457">
        <v>0</v>
      </c>
      <c r="S284" s="457">
        <v>0</v>
      </c>
      <c r="T284" s="410" t="e">
        <v>#DIV/0!</v>
      </c>
      <c r="U284" s="285">
        <v>0</v>
      </c>
      <c r="V284" s="285">
        <v>0</v>
      </c>
      <c r="W284" s="285">
        <v>0</v>
      </c>
      <c r="X284" s="285">
        <v>0</v>
      </c>
      <c r="Y284" s="285">
        <v>0</v>
      </c>
      <c r="Z284" s="285">
        <v>0</v>
      </c>
    </row>
    <row r="285" spans="1:26" x14ac:dyDescent="0.2">
      <c r="A285" s="404" t="s">
        <v>511</v>
      </c>
      <c r="B285" s="448">
        <v>0</v>
      </c>
      <c r="C285" s="448">
        <v>0</v>
      </c>
      <c r="D285" s="448">
        <v>0</v>
      </c>
      <c r="E285" s="448">
        <v>0</v>
      </c>
      <c r="F285" s="448">
        <v>0</v>
      </c>
      <c r="G285" s="448">
        <v>0</v>
      </c>
      <c r="H285" s="448">
        <v>0</v>
      </c>
      <c r="I285" s="448">
        <v>0</v>
      </c>
      <c r="J285" s="448">
        <v>0</v>
      </c>
      <c r="K285" s="448">
        <v>0</v>
      </c>
      <c r="L285" s="448">
        <v>0</v>
      </c>
      <c r="M285" s="448">
        <v>0</v>
      </c>
      <c r="N285" s="448">
        <v>0</v>
      </c>
      <c r="O285" s="448">
        <v>0</v>
      </c>
      <c r="P285" s="448">
        <v>0</v>
      </c>
      <c r="Q285" s="448">
        <v>0</v>
      </c>
      <c r="R285" s="448">
        <v>0</v>
      </c>
      <c r="S285" s="448">
        <v>0</v>
      </c>
      <c r="T285" s="407" t="e">
        <v>#DIV/0!</v>
      </c>
      <c r="U285" s="406">
        <v>0</v>
      </c>
      <c r="V285" s="406">
        <v>0</v>
      </c>
      <c r="W285" s="406">
        <v>0</v>
      </c>
      <c r="X285" s="406">
        <v>0</v>
      </c>
      <c r="Y285" s="406">
        <v>0</v>
      </c>
      <c r="Z285" s="406">
        <v>0</v>
      </c>
    </row>
    <row r="286" spans="1:26" x14ac:dyDescent="0.2">
      <c r="A286" s="412" t="s">
        <v>512</v>
      </c>
      <c r="B286" s="457">
        <v>0</v>
      </c>
      <c r="C286" s="457">
        <v>0</v>
      </c>
      <c r="D286" s="457">
        <v>0</v>
      </c>
      <c r="E286" s="457">
        <v>0</v>
      </c>
      <c r="F286" s="457">
        <v>0</v>
      </c>
      <c r="G286" s="457">
        <v>0</v>
      </c>
      <c r="H286" s="457">
        <v>0</v>
      </c>
      <c r="I286" s="457">
        <v>0</v>
      </c>
      <c r="J286" s="457">
        <v>0</v>
      </c>
      <c r="K286" s="457">
        <v>0</v>
      </c>
      <c r="L286" s="457">
        <v>0</v>
      </c>
      <c r="M286" s="457">
        <v>0</v>
      </c>
      <c r="N286" s="457">
        <v>0</v>
      </c>
      <c r="O286" s="457">
        <v>0</v>
      </c>
      <c r="P286" s="457">
        <v>0</v>
      </c>
      <c r="Q286" s="457">
        <v>0</v>
      </c>
      <c r="R286" s="457">
        <v>0</v>
      </c>
      <c r="S286" s="457">
        <v>0</v>
      </c>
      <c r="T286" s="410" t="e">
        <v>#DIV/0!</v>
      </c>
      <c r="U286" s="285">
        <v>0</v>
      </c>
      <c r="V286" s="285">
        <v>0</v>
      </c>
      <c r="W286" s="285">
        <v>0</v>
      </c>
      <c r="X286" s="285">
        <v>0</v>
      </c>
      <c r="Y286" s="285">
        <v>0</v>
      </c>
      <c r="Z286" s="285">
        <v>0</v>
      </c>
    </row>
    <row r="287" spans="1:26" x14ac:dyDescent="0.2">
      <c r="A287" s="412" t="s">
        <v>513</v>
      </c>
      <c r="B287" s="457">
        <v>0</v>
      </c>
      <c r="C287" s="457">
        <v>0</v>
      </c>
      <c r="D287" s="457">
        <v>0</v>
      </c>
      <c r="E287" s="457">
        <v>0</v>
      </c>
      <c r="F287" s="457">
        <v>0</v>
      </c>
      <c r="G287" s="457">
        <v>0</v>
      </c>
      <c r="H287" s="457">
        <v>0</v>
      </c>
      <c r="I287" s="457">
        <v>0</v>
      </c>
      <c r="J287" s="457">
        <v>0</v>
      </c>
      <c r="K287" s="457">
        <v>0</v>
      </c>
      <c r="L287" s="457">
        <v>0</v>
      </c>
      <c r="M287" s="457">
        <v>0</v>
      </c>
      <c r="N287" s="457">
        <v>0</v>
      </c>
      <c r="O287" s="457">
        <v>0</v>
      </c>
      <c r="P287" s="457">
        <v>0</v>
      </c>
      <c r="Q287" s="457">
        <v>0</v>
      </c>
      <c r="R287" s="457">
        <v>0</v>
      </c>
      <c r="S287" s="457">
        <v>0</v>
      </c>
      <c r="T287" s="410" t="e">
        <v>#DIV/0!</v>
      </c>
      <c r="U287" s="285">
        <v>0</v>
      </c>
      <c r="V287" s="285">
        <v>0</v>
      </c>
      <c r="W287" s="285">
        <v>0</v>
      </c>
      <c r="X287" s="285">
        <v>0</v>
      </c>
      <c r="Y287" s="285">
        <v>0</v>
      </c>
      <c r="Z287" s="285">
        <v>0</v>
      </c>
    </row>
    <row r="288" spans="1:26" x14ac:dyDescent="0.2">
      <c r="A288" s="404" t="s">
        <v>514</v>
      </c>
      <c r="B288" s="247">
        <v>0</v>
      </c>
      <c r="C288" s="247">
        <v>0</v>
      </c>
      <c r="D288" s="247">
        <v>0</v>
      </c>
      <c r="E288" s="247">
        <v>0</v>
      </c>
      <c r="F288" s="247">
        <v>0</v>
      </c>
      <c r="G288" s="247">
        <v>0</v>
      </c>
      <c r="H288" s="247">
        <v>0</v>
      </c>
      <c r="I288" s="247">
        <v>0</v>
      </c>
      <c r="J288" s="247">
        <v>0</v>
      </c>
      <c r="K288" s="247">
        <v>0</v>
      </c>
      <c r="L288" s="247">
        <v>0</v>
      </c>
      <c r="M288" s="247">
        <v>0</v>
      </c>
      <c r="N288" s="247">
        <v>0</v>
      </c>
      <c r="O288" s="247">
        <v>0</v>
      </c>
      <c r="P288" s="247">
        <v>0</v>
      </c>
      <c r="Q288" s="247">
        <v>0</v>
      </c>
      <c r="R288" s="247">
        <v>0</v>
      </c>
      <c r="S288" s="247">
        <v>0</v>
      </c>
      <c r="T288" s="407" t="e">
        <v>#DIV/0!</v>
      </c>
      <c r="U288" s="406">
        <v>0</v>
      </c>
      <c r="V288" s="406">
        <v>0</v>
      </c>
      <c r="W288" s="406">
        <v>0</v>
      </c>
      <c r="X288" s="406">
        <v>0</v>
      </c>
      <c r="Y288" s="406">
        <v>0</v>
      </c>
      <c r="Z288" s="406">
        <v>0</v>
      </c>
    </row>
    <row r="289" spans="1:26" x14ac:dyDescent="0.2">
      <c r="A289" s="404" t="s">
        <v>515</v>
      </c>
      <c r="B289" s="448">
        <v>0</v>
      </c>
      <c r="C289" s="448">
        <v>0</v>
      </c>
      <c r="D289" s="448">
        <v>0</v>
      </c>
      <c r="E289" s="448">
        <v>0</v>
      </c>
      <c r="F289" s="448">
        <v>0</v>
      </c>
      <c r="G289" s="448">
        <v>0</v>
      </c>
      <c r="H289" s="448">
        <v>0</v>
      </c>
      <c r="I289" s="448">
        <v>0</v>
      </c>
      <c r="J289" s="448">
        <v>0</v>
      </c>
      <c r="K289" s="448">
        <v>0</v>
      </c>
      <c r="L289" s="448">
        <v>0</v>
      </c>
      <c r="M289" s="448">
        <v>0</v>
      </c>
      <c r="N289" s="448">
        <v>0</v>
      </c>
      <c r="O289" s="448">
        <v>0</v>
      </c>
      <c r="P289" s="448">
        <v>0</v>
      </c>
      <c r="Q289" s="448">
        <v>0</v>
      </c>
      <c r="R289" s="448">
        <v>0</v>
      </c>
      <c r="S289" s="448">
        <v>0</v>
      </c>
      <c r="T289" s="407" t="e">
        <v>#DIV/0!</v>
      </c>
      <c r="U289" s="406">
        <v>0</v>
      </c>
      <c r="V289" s="406">
        <v>0</v>
      </c>
      <c r="W289" s="406">
        <v>0</v>
      </c>
      <c r="X289" s="406">
        <v>0</v>
      </c>
      <c r="Y289" s="406">
        <v>0</v>
      </c>
      <c r="Z289" s="406">
        <v>0</v>
      </c>
    </row>
    <row r="290" spans="1:26" x14ac:dyDescent="0.2">
      <c r="A290" s="412" t="s">
        <v>516</v>
      </c>
      <c r="B290" s="457">
        <v>0</v>
      </c>
      <c r="C290" s="457">
        <v>0</v>
      </c>
      <c r="D290" s="457">
        <v>0</v>
      </c>
      <c r="E290" s="457">
        <v>0</v>
      </c>
      <c r="F290" s="457">
        <v>0</v>
      </c>
      <c r="G290" s="457">
        <v>0</v>
      </c>
      <c r="H290" s="457">
        <v>0</v>
      </c>
      <c r="I290" s="457">
        <v>0</v>
      </c>
      <c r="J290" s="457">
        <v>0</v>
      </c>
      <c r="K290" s="457">
        <v>0</v>
      </c>
      <c r="L290" s="457">
        <v>0</v>
      </c>
      <c r="M290" s="457">
        <v>0</v>
      </c>
      <c r="N290" s="457">
        <v>0</v>
      </c>
      <c r="O290" s="457">
        <v>0</v>
      </c>
      <c r="P290" s="457">
        <v>0</v>
      </c>
      <c r="Q290" s="457">
        <v>0</v>
      </c>
      <c r="R290" s="457">
        <v>0</v>
      </c>
      <c r="S290" s="457">
        <v>0</v>
      </c>
      <c r="T290" s="410" t="e">
        <v>#DIV/0!</v>
      </c>
      <c r="U290" s="285">
        <v>0</v>
      </c>
      <c r="V290" s="285">
        <v>0</v>
      </c>
      <c r="W290" s="285">
        <v>0</v>
      </c>
      <c r="X290" s="285">
        <v>0</v>
      </c>
      <c r="Y290" s="285">
        <v>0</v>
      </c>
      <c r="Z290" s="285">
        <v>0</v>
      </c>
    </row>
    <row r="291" spans="1:26" x14ac:dyDescent="0.2">
      <c r="A291" s="412" t="s">
        <v>517</v>
      </c>
      <c r="B291" s="457">
        <v>0</v>
      </c>
      <c r="C291" s="457">
        <v>0</v>
      </c>
      <c r="D291" s="457">
        <v>0</v>
      </c>
      <c r="E291" s="457">
        <v>0</v>
      </c>
      <c r="F291" s="457">
        <v>0</v>
      </c>
      <c r="G291" s="457">
        <v>0</v>
      </c>
      <c r="H291" s="457">
        <v>0</v>
      </c>
      <c r="I291" s="457">
        <v>0</v>
      </c>
      <c r="J291" s="457">
        <v>0</v>
      </c>
      <c r="K291" s="457">
        <v>0</v>
      </c>
      <c r="L291" s="457">
        <v>0</v>
      </c>
      <c r="M291" s="457">
        <v>0</v>
      </c>
      <c r="N291" s="457">
        <v>0</v>
      </c>
      <c r="O291" s="457">
        <v>0</v>
      </c>
      <c r="P291" s="457">
        <v>0</v>
      </c>
      <c r="Q291" s="457">
        <v>0</v>
      </c>
      <c r="R291" s="457">
        <v>0</v>
      </c>
      <c r="S291" s="457">
        <v>0</v>
      </c>
      <c r="T291" s="410" t="e">
        <v>#DIV/0!</v>
      </c>
      <c r="U291" s="285">
        <v>0</v>
      </c>
      <c r="V291" s="285">
        <v>0</v>
      </c>
      <c r="W291" s="285">
        <v>0</v>
      </c>
      <c r="X291" s="285">
        <v>0</v>
      </c>
      <c r="Y291" s="285">
        <v>0</v>
      </c>
      <c r="Z291" s="285">
        <v>0</v>
      </c>
    </row>
    <row r="292" spans="1:26" x14ac:dyDescent="0.2">
      <c r="A292" s="404" t="s">
        <v>518</v>
      </c>
      <c r="B292" s="448">
        <v>0</v>
      </c>
      <c r="C292" s="448">
        <v>0</v>
      </c>
      <c r="D292" s="448">
        <v>0</v>
      </c>
      <c r="E292" s="448">
        <v>0</v>
      </c>
      <c r="F292" s="448">
        <v>0</v>
      </c>
      <c r="G292" s="448">
        <v>0</v>
      </c>
      <c r="H292" s="448">
        <v>0</v>
      </c>
      <c r="I292" s="448">
        <v>0</v>
      </c>
      <c r="J292" s="448">
        <v>0</v>
      </c>
      <c r="K292" s="448">
        <v>0</v>
      </c>
      <c r="L292" s="448">
        <v>0</v>
      </c>
      <c r="M292" s="448">
        <v>0</v>
      </c>
      <c r="N292" s="448">
        <v>0</v>
      </c>
      <c r="O292" s="448">
        <v>0</v>
      </c>
      <c r="P292" s="448">
        <v>0</v>
      </c>
      <c r="Q292" s="448">
        <v>0</v>
      </c>
      <c r="R292" s="448">
        <v>0</v>
      </c>
      <c r="S292" s="448">
        <v>0</v>
      </c>
      <c r="T292" s="407" t="e">
        <v>#DIV/0!</v>
      </c>
      <c r="U292" s="406">
        <v>0</v>
      </c>
      <c r="V292" s="406">
        <v>0</v>
      </c>
      <c r="W292" s="406">
        <v>0</v>
      </c>
      <c r="X292" s="406">
        <v>0</v>
      </c>
      <c r="Y292" s="406">
        <v>0</v>
      </c>
      <c r="Z292" s="406">
        <v>0</v>
      </c>
    </row>
    <row r="293" spans="1:26" x14ac:dyDescent="0.2">
      <c r="A293" s="412" t="s">
        <v>519</v>
      </c>
      <c r="B293" s="457">
        <v>0</v>
      </c>
      <c r="C293" s="457">
        <v>0</v>
      </c>
      <c r="D293" s="457">
        <v>0</v>
      </c>
      <c r="E293" s="457">
        <v>0</v>
      </c>
      <c r="F293" s="457">
        <v>0</v>
      </c>
      <c r="G293" s="457">
        <v>0</v>
      </c>
      <c r="H293" s="457">
        <v>0</v>
      </c>
      <c r="I293" s="457">
        <v>0</v>
      </c>
      <c r="J293" s="457">
        <v>0</v>
      </c>
      <c r="K293" s="457">
        <v>0</v>
      </c>
      <c r="L293" s="457">
        <v>0</v>
      </c>
      <c r="M293" s="457">
        <v>0</v>
      </c>
      <c r="N293" s="457">
        <v>0</v>
      </c>
      <c r="O293" s="457">
        <v>0</v>
      </c>
      <c r="P293" s="457">
        <v>0</v>
      </c>
      <c r="Q293" s="457">
        <v>0</v>
      </c>
      <c r="R293" s="457">
        <v>0</v>
      </c>
      <c r="S293" s="457">
        <v>0</v>
      </c>
      <c r="T293" s="410" t="e">
        <v>#DIV/0!</v>
      </c>
      <c r="U293" s="285">
        <v>0</v>
      </c>
      <c r="V293" s="285">
        <v>0</v>
      </c>
      <c r="W293" s="285">
        <v>0</v>
      </c>
      <c r="X293" s="285">
        <v>0</v>
      </c>
      <c r="Y293" s="285">
        <v>0</v>
      </c>
      <c r="Z293" s="285">
        <v>0</v>
      </c>
    </row>
    <row r="294" spans="1:26" x14ac:dyDescent="0.2">
      <c r="A294" s="412" t="s">
        <v>520</v>
      </c>
      <c r="B294" s="457">
        <v>0</v>
      </c>
      <c r="C294" s="457">
        <v>0</v>
      </c>
      <c r="D294" s="457">
        <v>0</v>
      </c>
      <c r="E294" s="457">
        <v>0</v>
      </c>
      <c r="F294" s="457">
        <v>0</v>
      </c>
      <c r="G294" s="457">
        <v>0</v>
      </c>
      <c r="H294" s="457">
        <v>0</v>
      </c>
      <c r="I294" s="457">
        <v>0</v>
      </c>
      <c r="J294" s="457">
        <v>0</v>
      </c>
      <c r="K294" s="457">
        <v>0</v>
      </c>
      <c r="L294" s="457">
        <v>0</v>
      </c>
      <c r="M294" s="457">
        <v>0</v>
      </c>
      <c r="N294" s="457">
        <v>0</v>
      </c>
      <c r="O294" s="457">
        <v>0</v>
      </c>
      <c r="P294" s="457">
        <v>0</v>
      </c>
      <c r="Q294" s="457">
        <v>0</v>
      </c>
      <c r="R294" s="457">
        <v>0</v>
      </c>
      <c r="S294" s="457">
        <v>0</v>
      </c>
      <c r="T294" s="410" t="e">
        <v>#DIV/0!</v>
      </c>
      <c r="U294" s="285">
        <v>0</v>
      </c>
      <c r="V294" s="285">
        <v>0</v>
      </c>
      <c r="W294" s="285">
        <v>0</v>
      </c>
      <c r="X294" s="285">
        <v>0</v>
      </c>
      <c r="Y294" s="285">
        <v>0</v>
      </c>
      <c r="Z294" s="285">
        <v>0</v>
      </c>
    </row>
    <row r="295" spans="1:26" x14ac:dyDescent="0.2">
      <c r="A295" s="404" t="s">
        <v>521</v>
      </c>
      <c r="B295" s="448">
        <v>0</v>
      </c>
      <c r="C295" s="448">
        <v>0</v>
      </c>
      <c r="D295" s="448">
        <v>0</v>
      </c>
      <c r="E295" s="448">
        <v>0</v>
      </c>
      <c r="F295" s="448">
        <v>0</v>
      </c>
      <c r="G295" s="448">
        <v>0</v>
      </c>
      <c r="H295" s="448">
        <v>0</v>
      </c>
      <c r="I295" s="448">
        <v>0</v>
      </c>
      <c r="J295" s="448">
        <v>0</v>
      </c>
      <c r="K295" s="448">
        <v>0</v>
      </c>
      <c r="L295" s="448">
        <v>0</v>
      </c>
      <c r="M295" s="448">
        <v>0</v>
      </c>
      <c r="N295" s="448">
        <v>0</v>
      </c>
      <c r="O295" s="448">
        <v>0</v>
      </c>
      <c r="P295" s="448">
        <v>0</v>
      </c>
      <c r="Q295" s="448">
        <v>0</v>
      </c>
      <c r="R295" s="448">
        <v>0</v>
      </c>
      <c r="S295" s="448">
        <v>0</v>
      </c>
      <c r="T295" s="407" t="e">
        <v>#DIV/0!</v>
      </c>
      <c r="U295" s="406">
        <v>0</v>
      </c>
      <c r="V295" s="406">
        <v>0</v>
      </c>
      <c r="W295" s="406">
        <v>0</v>
      </c>
      <c r="X295" s="406">
        <v>0</v>
      </c>
      <c r="Y295" s="406">
        <v>0</v>
      </c>
      <c r="Z295" s="406">
        <v>0</v>
      </c>
    </row>
    <row r="296" spans="1:26" x14ac:dyDescent="0.2">
      <c r="A296" s="409" t="s">
        <v>522</v>
      </c>
      <c r="B296" s="457">
        <v>0</v>
      </c>
      <c r="C296" s="457">
        <v>0</v>
      </c>
      <c r="D296" s="457">
        <v>0</v>
      </c>
      <c r="E296" s="457">
        <v>0</v>
      </c>
      <c r="F296" s="457">
        <v>0</v>
      </c>
      <c r="G296" s="457">
        <v>0</v>
      </c>
      <c r="H296" s="457">
        <v>0</v>
      </c>
      <c r="I296" s="457">
        <v>0</v>
      </c>
      <c r="J296" s="457">
        <v>0</v>
      </c>
      <c r="K296" s="457">
        <v>0</v>
      </c>
      <c r="L296" s="457">
        <v>0</v>
      </c>
      <c r="M296" s="457">
        <v>0</v>
      </c>
      <c r="N296" s="457">
        <v>0</v>
      </c>
      <c r="O296" s="457">
        <v>0</v>
      </c>
      <c r="P296" s="457">
        <v>0</v>
      </c>
      <c r="Q296" s="457">
        <v>0</v>
      </c>
      <c r="R296" s="457">
        <v>0</v>
      </c>
      <c r="S296" s="457">
        <v>0</v>
      </c>
      <c r="T296" s="410" t="e">
        <v>#DIV/0!</v>
      </c>
      <c r="U296" s="285">
        <v>0</v>
      </c>
      <c r="V296" s="285">
        <v>0</v>
      </c>
      <c r="W296" s="285">
        <v>0</v>
      </c>
      <c r="X296" s="285">
        <v>0</v>
      </c>
      <c r="Y296" s="285">
        <v>0</v>
      </c>
      <c r="Z296" s="285">
        <v>0</v>
      </c>
    </row>
    <row r="297" spans="1:26" ht="24" x14ac:dyDescent="0.2">
      <c r="A297" s="409" t="s">
        <v>523</v>
      </c>
      <c r="B297" s="457">
        <v>0</v>
      </c>
      <c r="C297" s="457">
        <v>0</v>
      </c>
      <c r="D297" s="457">
        <v>0</v>
      </c>
      <c r="E297" s="457">
        <v>0</v>
      </c>
      <c r="F297" s="457">
        <v>0</v>
      </c>
      <c r="G297" s="457">
        <v>0</v>
      </c>
      <c r="H297" s="457">
        <v>0</v>
      </c>
      <c r="I297" s="457">
        <v>0</v>
      </c>
      <c r="J297" s="457">
        <v>0</v>
      </c>
      <c r="K297" s="457">
        <v>0</v>
      </c>
      <c r="L297" s="457">
        <v>0</v>
      </c>
      <c r="M297" s="457">
        <v>0</v>
      </c>
      <c r="N297" s="457">
        <v>0</v>
      </c>
      <c r="O297" s="457">
        <v>0</v>
      </c>
      <c r="P297" s="457">
        <v>0</v>
      </c>
      <c r="Q297" s="457">
        <v>0</v>
      </c>
      <c r="R297" s="457">
        <v>0</v>
      </c>
      <c r="S297" s="457">
        <v>0</v>
      </c>
      <c r="T297" s="410" t="e">
        <v>#DIV/0!</v>
      </c>
      <c r="U297" s="285">
        <v>0</v>
      </c>
      <c r="V297" s="285">
        <v>0</v>
      </c>
      <c r="W297" s="285">
        <v>0</v>
      </c>
      <c r="X297" s="285">
        <v>0</v>
      </c>
      <c r="Y297" s="285">
        <v>0</v>
      </c>
      <c r="Z297" s="285">
        <v>0</v>
      </c>
    </row>
    <row r="298" spans="1:26" ht="24" x14ac:dyDescent="0.2">
      <c r="A298" s="409" t="s">
        <v>524</v>
      </c>
      <c r="B298" s="457">
        <v>0</v>
      </c>
      <c r="C298" s="457">
        <v>0</v>
      </c>
      <c r="D298" s="457">
        <v>0</v>
      </c>
      <c r="E298" s="457">
        <v>0</v>
      </c>
      <c r="F298" s="457">
        <v>0</v>
      </c>
      <c r="G298" s="457">
        <v>0</v>
      </c>
      <c r="H298" s="457">
        <v>0</v>
      </c>
      <c r="I298" s="457">
        <v>0</v>
      </c>
      <c r="J298" s="457">
        <v>0</v>
      </c>
      <c r="K298" s="457">
        <v>0</v>
      </c>
      <c r="L298" s="457">
        <v>0</v>
      </c>
      <c r="M298" s="457">
        <v>0</v>
      </c>
      <c r="N298" s="457">
        <v>0</v>
      </c>
      <c r="O298" s="457">
        <v>0</v>
      </c>
      <c r="P298" s="457">
        <v>0</v>
      </c>
      <c r="Q298" s="457">
        <v>0</v>
      </c>
      <c r="R298" s="457">
        <v>0</v>
      </c>
      <c r="S298" s="457">
        <v>0</v>
      </c>
      <c r="T298" s="410" t="e">
        <v>#DIV/0!</v>
      </c>
      <c r="U298" s="285">
        <v>0</v>
      </c>
      <c r="V298" s="285">
        <v>0</v>
      </c>
      <c r="W298" s="285">
        <v>0</v>
      </c>
      <c r="X298" s="285">
        <v>0</v>
      </c>
      <c r="Y298" s="285">
        <v>0</v>
      </c>
      <c r="Z298" s="285">
        <v>0</v>
      </c>
    </row>
    <row r="299" spans="1:26" x14ac:dyDescent="0.2">
      <c r="A299" s="404" t="s">
        <v>525</v>
      </c>
      <c r="B299" s="448">
        <v>0</v>
      </c>
      <c r="C299" s="448">
        <v>0</v>
      </c>
      <c r="D299" s="448">
        <v>0</v>
      </c>
      <c r="E299" s="448">
        <v>0</v>
      </c>
      <c r="F299" s="448">
        <v>0</v>
      </c>
      <c r="G299" s="448">
        <v>0</v>
      </c>
      <c r="H299" s="448">
        <v>0</v>
      </c>
      <c r="I299" s="448">
        <v>0</v>
      </c>
      <c r="J299" s="448">
        <v>0</v>
      </c>
      <c r="K299" s="448">
        <v>0</v>
      </c>
      <c r="L299" s="448">
        <v>0</v>
      </c>
      <c r="M299" s="448">
        <v>0</v>
      </c>
      <c r="N299" s="448">
        <v>0</v>
      </c>
      <c r="O299" s="448">
        <v>0</v>
      </c>
      <c r="P299" s="448">
        <v>0</v>
      </c>
      <c r="Q299" s="448">
        <v>0</v>
      </c>
      <c r="R299" s="448">
        <v>0</v>
      </c>
      <c r="S299" s="448">
        <v>0</v>
      </c>
      <c r="T299" s="407" t="e">
        <v>#DIV/0!</v>
      </c>
      <c r="U299" s="406">
        <v>0</v>
      </c>
      <c r="V299" s="406">
        <v>0</v>
      </c>
      <c r="W299" s="406">
        <v>0</v>
      </c>
      <c r="X299" s="406">
        <v>0</v>
      </c>
      <c r="Y299" s="406">
        <v>0</v>
      </c>
      <c r="Z299" s="406">
        <v>0</v>
      </c>
    </row>
    <row r="300" spans="1:26" x14ac:dyDescent="0.2">
      <c r="A300" s="412" t="s">
        <v>526</v>
      </c>
      <c r="B300" s="457">
        <v>0</v>
      </c>
      <c r="C300" s="457">
        <v>0</v>
      </c>
      <c r="D300" s="457">
        <v>0</v>
      </c>
      <c r="E300" s="457">
        <v>0</v>
      </c>
      <c r="F300" s="457">
        <v>0</v>
      </c>
      <c r="G300" s="457">
        <v>0</v>
      </c>
      <c r="H300" s="457">
        <v>0</v>
      </c>
      <c r="I300" s="457">
        <v>0</v>
      </c>
      <c r="J300" s="457">
        <v>0</v>
      </c>
      <c r="K300" s="457">
        <v>0</v>
      </c>
      <c r="L300" s="457">
        <v>0</v>
      </c>
      <c r="M300" s="457">
        <v>0</v>
      </c>
      <c r="N300" s="457">
        <v>0</v>
      </c>
      <c r="O300" s="457">
        <v>0</v>
      </c>
      <c r="P300" s="457">
        <v>0</v>
      </c>
      <c r="Q300" s="457">
        <v>0</v>
      </c>
      <c r="R300" s="457">
        <v>0</v>
      </c>
      <c r="S300" s="457">
        <v>0</v>
      </c>
      <c r="T300" s="410" t="e">
        <v>#DIV/0!</v>
      </c>
      <c r="U300" s="285">
        <v>0</v>
      </c>
      <c r="V300" s="285">
        <v>0</v>
      </c>
      <c r="W300" s="285">
        <v>0</v>
      </c>
      <c r="X300" s="285">
        <v>0</v>
      </c>
      <c r="Y300" s="285">
        <v>0</v>
      </c>
      <c r="Z300" s="285">
        <v>0</v>
      </c>
    </row>
    <row r="301" spans="1:26" x14ac:dyDescent="0.2">
      <c r="A301" s="412" t="s">
        <v>527</v>
      </c>
      <c r="B301" s="457">
        <v>0</v>
      </c>
      <c r="C301" s="457">
        <v>0</v>
      </c>
      <c r="D301" s="457">
        <v>0</v>
      </c>
      <c r="E301" s="457">
        <v>0</v>
      </c>
      <c r="F301" s="457">
        <v>0</v>
      </c>
      <c r="G301" s="457">
        <v>0</v>
      </c>
      <c r="H301" s="457">
        <v>0</v>
      </c>
      <c r="I301" s="457">
        <v>0</v>
      </c>
      <c r="J301" s="457">
        <v>0</v>
      </c>
      <c r="K301" s="457">
        <v>0</v>
      </c>
      <c r="L301" s="457">
        <v>0</v>
      </c>
      <c r="M301" s="457">
        <v>0</v>
      </c>
      <c r="N301" s="457">
        <v>0</v>
      </c>
      <c r="O301" s="457">
        <v>0</v>
      </c>
      <c r="P301" s="457">
        <v>0</v>
      </c>
      <c r="Q301" s="457">
        <v>0</v>
      </c>
      <c r="R301" s="457">
        <v>0</v>
      </c>
      <c r="S301" s="457">
        <v>0</v>
      </c>
      <c r="T301" s="410" t="e">
        <v>#DIV/0!</v>
      </c>
      <c r="U301" s="285">
        <v>0</v>
      </c>
      <c r="V301" s="285">
        <v>0</v>
      </c>
      <c r="W301" s="285">
        <v>0</v>
      </c>
      <c r="X301" s="285">
        <v>0</v>
      </c>
      <c r="Y301" s="285">
        <v>0</v>
      </c>
      <c r="Z301" s="285">
        <v>0</v>
      </c>
    </row>
    <row r="302" spans="1:26" x14ac:dyDescent="0.2">
      <c r="A302" s="412" t="s">
        <v>528</v>
      </c>
      <c r="B302" s="457">
        <v>0</v>
      </c>
      <c r="C302" s="457">
        <v>0</v>
      </c>
      <c r="D302" s="457">
        <v>0</v>
      </c>
      <c r="E302" s="457">
        <v>0</v>
      </c>
      <c r="F302" s="457">
        <v>0</v>
      </c>
      <c r="G302" s="457">
        <v>0</v>
      </c>
      <c r="H302" s="457">
        <v>0</v>
      </c>
      <c r="I302" s="457">
        <v>0</v>
      </c>
      <c r="J302" s="457">
        <v>0</v>
      </c>
      <c r="K302" s="457">
        <v>0</v>
      </c>
      <c r="L302" s="457">
        <v>0</v>
      </c>
      <c r="M302" s="457">
        <v>0</v>
      </c>
      <c r="N302" s="457">
        <v>0</v>
      </c>
      <c r="O302" s="457">
        <v>0</v>
      </c>
      <c r="P302" s="457">
        <v>0</v>
      </c>
      <c r="Q302" s="457">
        <v>0</v>
      </c>
      <c r="R302" s="457">
        <v>0</v>
      </c>
      <c r="S302" s="457">
        <v>0</v>
      </c>
      <c r="T302" s="410" t="e">
        <v>#DIV/0!</v>
      </c>
      <c r="U302" s="285">
        <v>0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</row>
    <row r="303" spans="1:26" x14ac:dyDescent="0.2">
      <c r="A303" s="412" t="s">
        <v>529</v>
      </c>
      <c r="B303" s="457">
        <v>0</v>
      </c>
      <c r="C303" s="457">
        <v>0</v>
      </c>
      <c r="D303" s="457">
        <v>0</v>
      </c>
      <c r="E303" s="457">
        <v>0</v>
      </c>
      <c r="F303" s="457">
        <v>0</v>
      </c>
      <c r="G303" s="457">
        <v>0</v>
      </c>
      <c r="H303" s="457">
        <v>0</v>
      </c>
      <c r="I303" s="457">
        <v>0</v>
      </c>
      <c r="J303" s="457">
        <v>0</v>
      </c>
      <c r="K303" s="457">
        <v>0</v>
      </c>
      <c r="L303" s="457">
        <v>0</v>
      </c>
      <c r="M303" s="457">
        <v>0</v>
      </c>
      <c r="N303" s="457">
        <v>0</v>
      </c>
      <c r="O303" s="457">
        <v>0</v>
      </c>
      <c r="P303" s="457">
        <v>0</v>
      </c>
      <c r="Q303" s="457">
        <v>0</v>
      </c>
      <c r="R303" s="457">
        <v>0</v>
      </c>
      <c r="S303" s="457">
        <v>0</v>
      </c>
      <c r="T303" s="410" t="e">
        <v>#DIV/0!</v>
      </c>
      <c r="U303" s="285">
        <v>0</v>
      </c>
      <c r="V303" s="285">
        <v>0</v>
      </c>
      <c r="W303" s="285">
        <v>0</v>
      </c>
      <c r="X303" s="285">
        <v>0</v>
      </c>
      <c r="Y303" s="285">
        <v>0</v>
      </c>
      <c r="Z303" s="285">
        <v>0</v>
      </c>
    </row>
    <row r="304" spans="1:26" x14ac:dyDescent="0.2">
      <c r="A304" s="412" t="s">
        <v>530</v>
      </c>
      <c r="B304" s="457">
        <v>0</v>
      </c>
      <c r="C304" s="457">
        <v>0</v>
      </c>
      <c r="D304" s="457">
        <v>0</v>
      </c>
      <c r="E304" s="457">
        <v>0</v>
      </c>
      <c r="F304" s="457">
        <v>0</v>
      </c>
      <c r="G304" s="457">
        <v>0</v>
      </c>
      <c r="H304" s="457">
        <v>0</v>
      </c>
      <c r="I304" s="457">
        <v>0</v>
      </c>
      <c r="J304" s="457">
        <v>0</v>
      </c>
      <c r="K304" s="457">
        <v>0</v>
      </c>
      <c r="L304" s="457">
        <v>0</v>
      </c>
      <c r="M304" s="457">
        <v>0</v>
      </c>
      <c r="N304" s="457">
        <v>0</v>
      </c>
      <c r="O304" s="457">
        <v>0</v>
      </c>
      <c r="P304" s="457">
        <v>0</v>
      </c>
      <c r="Q304" s="457">
        <v>0</v>
      </c>
      <c r="R304" s="457">
        <v>0</v>
      </c>
      <c r="S304" s="457">
        <v>0</v>
      </c>
      <c r="T304" s="410" t="e">
        <v>#DIV/0!</v>
      </c>
      <c r="U304" s="285">
        <v>0</v>
      </c>
      <c r="V304" s="285">
        <v>0</v>
      </c>
      <c r="W304" s="285">
        <v>0</v>
      </c>
      <c r="X304" s="285">
        <v>0</v>
      </c>
      <c r="Y304" s="285">
        <v>0</v>
      </c>
      <c r="Z304" s="285">
        <v>0</v>
      </c>
    </row>
    <row r="305" spans="1:26" x14ac:dyDescent="0.2">
      <c r="A305" s="412" t="s">
        <v>531</v>
      </c>
      <c r="B305" s="457">
        <v>0</v>
      </c>
      <c r="C305" s="457">
        <v>0</v>
      </c>
      <c r="D305" s="457">
        <v>0</v>
      </c>
      <c r="E305" s="457">
        <v>0</v>
      </c>
      <c r="F305" s="457">
        <v>0</v>
      </c>
      <c r="G305" s="457">
        <v>0</v>
      </c>
      <c r="H305" s="457">
        <v>0</v>
      </c>
      <c r="I305" s="457">
        <v>0</v>
      </c>
      <c r="J305" s="457">
        <v>0</v>
      </c>
      <c r="K305" s="457">
        <v>0</v>
      </c>
      <c r="L305" s="457">
        <v>0</v>
      </c>
      <c r="M305" s="457">
        <v>0</v>
      </c>
      <c r="N305" s="457">
        <v>0</v>
      </c>
      <c r="O305" s="457">
        <v>0</v>
      </c>
      <c r="P305" s="457">
        <v>0</v>
      </c>
      <c r="Q305" s="457">
        <v>0</v>
      </c>
      <c r="R305" s="457">
        <v>0</v>
      </c>
      <c r="S305" s="457">
        <v>0</v>
      </c>
      <c r="T305" s="410" t="e">
        <v>#DIV/0!</v>
      </c>
      <c r="U305" s="285">
        <v>0</v>
      </c>
      <c r="V305" s="285">
        <v>0</v>
      </c>
      <c r="W305" s="285">
        <v>0</v>
      </c>
      <c r="X305" s="285">
        <v>0</v>
      </c>
      <c r="Y305" s="285">
        <v>0</v>
      </c>
      <c r="Z305" s="285">
        <v>0</v>
      </c>
    </row>
    <row r="306" spans="1:26" x14ac:dyDescent="0.2">
      <c r="A306" s="412" t="s">
        <v>532</v>
      </c>
      <c r="B306" s="457">
        <v>0</v>
      </c>
      <c r="C306" s="457">
        <v>0</v>
      </c>
      <c r="D306" s="457">
        <v>0</v>
      </c>
      <c r="E306" s="457">
        <v>0</v>
      </c>
      <c r="F306" s="457">
        <v>0</v>
      </c>
      <c r="G306" s="457">
        <v>0</v>
      </c>
      <c r="H306" s="457">
        <v>0</v>
      </c>
      <c r="I306" s="457">
        <v>0</v>
      </c>
      <c r="J306" s="457">
        <v>0</v>
      </c>
      <c r="K306" s="457">
        <v>0</v>
      </c>
      <c r="L306" s="457">
        <v>0</v>
      </c>
      <c r="M306" s="457">
        <v>0</v>
      </c>
      <c r="N306" s="457">
        <v>0</v>
      </c>
      <c r="O306" s="457">
        <v>0</v>
      </c>
      <c r="P306" s="457">
        <v>0</v>
      </c>
      <c r="Q306" s="457">
        <v>0</v>
      </c>
      <c r="R306" s="457">
        <v>0</v>
      </c>
      <c r="S306" s="457">
        <v>0</v>
      </c>
      <c r="T306" s="410" t="e">
        <v>#DIV/0!</v>
      </c>
      <c r="U306" s="285">
        <v>0</v>
      </c>
      <c r="V306" s="285">
        <v>0</v>
      </c>
      <c r="W306" s="285">
        <v>0</v>
      </c>
      <c r="X306" s="285">
        <v>0</v>
      </c>
      <c r="Y306" s="285">
        <v>0</v>
      </c>
      <c r="Z306" s="285">
        <v>0</v>
      </c>
    </row>
    <row r="307" spans="1:26" x14ac:dyDescent="0.2">
      <c r="A307" s="404" t="s">
        <v>533</v>
      </c>
      <c r="B307" s="247">
        <v>0</v>
      </c>
      <c r="C307" s="247">
        <v>0</v>
      </c>
      <c r="D307" s="247">
        <v>0</v>
      </c>
      <c r="E307" s="247">
        <v>0</v>
      </c>
      <c r="F307" s="247">
        <v>0</v>
      </c>
      <c r="G307" s="247">
        <v>0</v>
      </c>
      <c r="H307" s="247">
        <v>0</v>
      </c>
      <c r="I307" s="247">
        <v>0</v>
      </c>
      <c r="J307" s="247">
        <v>0</v>
      </c>
      <c r="K307" s="247">
        <v>0</v>
      </c>
      <c r="L307" s="247">
        <v>0</v>
      </c>
      <c r="M307" s="247">
        <v>0</v>
      </c>
      <c r="N307" s="247">
        <v>0</v>
      </c>
      <c r="O307" s="247">
        <v>0</v>
      </c>
      <c r="P307" s="247">
        <v>0</v>
      </c>
      <c r="Q307" s="247">
        <v>0</v>
      </c>
      <c r="R307" s="247">
        <v>0</v>
      </c>
      <c r="S307" s="247">
        <v>0</v>
      </c>
      <c r="T307" s="407" t="e">
        <v>#DIV/0!</v>
      </c>
      <c r="U307" s="406">
        <v>0</v>
      </c>
      <c r="V307" s="406">
        <v>0</v>
      </c>
      <c r="W307" s="406">
        <v>0</v>
      </c>
      <c r="X307" s="406">
        <v>0</v>
      </c>
      <c r="Y307" s="406">
        <v>0</v>
      </c>
      <c r="Z307" s="406">
        <v>0</v>
      </c>
    </row>
    <row r="308" spans="1:26" x14ac:dyDescent="0.2">
      <c r="A308" s="404" t="s">
        <v>534</v>
      </c>
      <c r="B308" s="247">
        <v>0</v>
      </c>
      <c r="C308" s="247">
        <v>0</v>
      </c>
      <c r="D308" s="247">
        <v>0</v>
      </c>
      <c r="E308" s="247">
        <v>0</v>
      </c>
      <c r="F308" s="247">
        <v>0</v>
      </c>
      <c r="G308" s="247">
        <v>0</v>
      </c>
      <c r="H308" s="247">
        <v>0</v>
      </c>
      <c r="I308" s="247">
        <v>0</v>
      </c>
      <c r="J308" s="247">
        <v>0</v>
      </c>
      <c r="K308" s="247">
        <v>0</v>
      </c>
      <c r="L308" s="247">
        <v>0</v>
      </c>
      <c r="M308" s="247">
        <v>0</v>
      </c>
      <c r="N308" s="247">
        <v>0</v>
      </c>
      <c r="O308" s="247">
        <v>0</v>
      </c>
      <c r="P308" s="247">
        <v>0</v>
      </c>
      <c r="Q308" s="247">
        <v>0</v>
      </c>
      <c r="R308" s="247">
        <v>0</v>
      </c>
      <c r="S308" s="247">
        <v>0</v>
      </c>
      <c r="T308" s="407" t="e">
        <v>#DIV/0!</v>
      </c>
      <c r="U308" s="406">
        <v>0</v>
      </c>
      <c r="V308" s="406">
        <v>0</v>
      </c>
      <c r="W308" s="406">
        <v>0</v>
      </c>
      <c r="X308" s="406">
        <v>0</v>
      </c>
      <c r="Y308" s="406">
        <v>0</v>
      </c>
      <c r="Z308" s="406">
        <v>0</v>
      </c>
    </row>
    <row r="309" spans="1:26" x14ac:dyDescent="0.2">
      <c r="A309" s="404" t="s">
        <v>535</v>
      </c>
      <c r="B309" s="448">
        <v>0</v>
      </c>
      <c r="C309" s="448">
        <v>0</v>
      </c>
      <c r="D309" s="448">
        <v>0</v>
      </c>
      <c r="E309" s="448">
        <v>0</v>
      </c>
      <c r="F309" s="448">
        <v>0</v>
      </c>
      <c r="G309" s="448">
        <v>0</v>
      </c>
      <c r="H309" s="448">
        <v>0</v>
      </c>
      <c r="I309" s="448">
        <v>0</v>
      </c>
      <c r="J309" s="448">
        <v>0</v>
      </c>
      <c r="K309" s="448">
        <v>0</v>
      </c>
      <c r="L309" s="448">
        <v>0</v>
      </c>
      <c r="M309" s="448">
        <v>0</v>
      </c>
      <c r="N309" s="448">
        <v>0</v>
      </c>
      <c r="O309" s="448">
        <v>0</v>
      </c>
      <c r="P309" s="448">
        <v>0</v>
      </c>
      <c r="Q309" s="448">
        <v>0</v>
      </c>
      <c r="R309" s="448">
        <v>0</v>
      </c>
      <c r="S309" s="448">
        <v>0</v>
      </c>
      <c r="T309" s="407" t="e">
        <v>#DIV/0!</v>
      </c>
      <c r="U309" s="406">
        <v>0</v>
      </c>
      <c r="V309" s="406">
        <v>0</v>
      </c>
      <c r="W309" s="406">
        <v>0</v>
      </c>
      <c r="X309" s="406">
        <v>0</v>
      </c>
      <c r="Y309" s="406">
        <v>0</v>
      </c>
      <c r="Z309" s="406">
        <v>0</v>
      </c>
    </row>
    <row r="310" spans="1:26" x14ac:dyDescent="0.2">
      <c r="A310" s="412" t="s">
        <v>536</v>
      </c>
      <c r="B310" s="457">
        <v>0</v>
      </c>
      <c r="C310" s="457">
        <v>0</v>
      </c>
      <c r="D310" s="457">
        <v>0</v>
      </c>
      <c r="E310" s="457">
        <v>0</v>
      </c>
      <c r="F310" s="457">
        <v>0</v>
      </c>
      <c r="G310" s="457">
        <v>0</v>
      </c>
      <c r="H310" s="457">
        <v>0</v>
      </c>
      <c r="I310" s="457">
        <v>0</v>
      </c>
      <c r="J310" s="457">
        <v>0</v>
      </c>
      <c r="K310" s="457">
        <v>0</v>
      </c>
      <c r="L310" s="457">
        <v>0</v>
      </c>
      <c r="M310" s="457">
        <v>0</v>
      </c>
      <c r="N310" s="457">
        <v>0</v>
      </c>
      <c r="O310" s="457">
        <v>0</v>
      </c>
      <c r="P310" s="457">
        <v>0</v>
      </c>
      <c r="Q310" s="457">
        <v>0</v>
      </c>
      <c r="R310" s="457">
        <v>0</v>
      </c>
      <c r="S310" s="457">
        <v>0</v>
      </c>
      <c r="T310" s="410" t="e">
        <v>#DIV/0!</v>
      </c>
      <c r="U310" s="285">
        <v>0</v>
      </c>
      <c r="V310" s="285">
        <v>0</v>
      </c>
      <c r="W310" s="285">
        <v>0</v>
      </c>
      <c r="X310" s="285">
        <v>0</v>
      </c>
      <c r="Y310" s="285">
        <v>0</v>
      </c>
      <c r="Z310" s="285">
        <v>0</v>
      </c>
    </row>
    <row r="311" spans="1:26" x14ac:dyDescent="0.2">
      <c r="A311" s="412" t="s">
        <v>537</v>
      </c>
      <c r="B311" s="457">
        <v>0</v>
      </c>
      <c r="C311" s="457">
        <v>0</v>
      </c>
      <c r="D311" s="457">
        <v>0</v>
      </c>
      <c r="E311" s="457">
        <v>0</v>
      </c>
      <c r="F311" s="457">
        <v>0</v>
      </c>
      <c r="G311" s="457">
        <v>0</v>
      </c>
      <c r="H311" s="457">
        <v>0</v>
      </c>
      <c r="I311" s="457">
        <v>0</v>
      </c>
      <c r="J311" s="457">
        <v>0</v>
      </c>
      <c r="K311" s="457">
        <v>0</v>
      </c>
      <c r="L311" s="457">
        <v>0</v>
      </c>
      <c r="M311" s="457">
        <v>0</v>
      </c>
      <c r="N311" s="457">
        <v>0</v>
      </c>
      <c r="O311" s="457">
        <v>0</v>
      </c>
      <c r="P311" s="457">
        <v>0</v>
      </c>
      <c r="Q311" s="457">
        <v>0</v>
      </c>
      <c r="R311" s="457">
        <v>0</v>
      </c>
      <c r="S311" s="457">
        <v>0</v>
      </c>
      <c r="T311" s="410" t="e">
        <v>#DIV/0!</v>
      </c>
      <c r="U311" s="285">
        <v>0</v>
      </c>
      <c r="V311" s="285">
        <v>0</v>
      </c>
      <c r="W311" s="285">
        <v>0</v>
      </c>
      <c r="X311" s="285">
        <v>0</v>
      </c>
      <c r="Y311" s="285">
        <v>0</v>
      </c>
      <c r="Z311" s="285">
        <v>0</v>
      </c>
    </row>
    <row r="312" spans="1:26" x14ac:dyDescent="0.2">
      <c r="A312" s="412" t="s">
        <v>538</v>
      </c>
      <c r="B312" s="457">
        <v>0</v>
      </c>
      <c r="C312" s="457">
        <v>0</v>
      </c>
      <c r="D312" s="457">
        <v>0</v>
      </c>
      <c r="E312" s="457">
        <v>0</v>
      </c>
      <c r="F312" s="457">
        <v>0</v>
      </c>
      <c r="G312" s="457">
        <v>0</v>
      </c>
      <c r="H312" s="457">
        <v>0</v>
      </c>
      <c r="I312" s="457">
        <v>0</v>
      </c>
      <c r="J312" s="457">
        <v>0</v>
      </c>
      <c r="K312" s="457">
        <v>0</v>
      </c>
      <c r="L312" s="457">
        <v>0</v>
      </c>
      <c r="M312" s="457">
        <v>0</v>
      </c>
      <c r="N312" s="457">
        <v>0</v>
      </c>
      <c r="O312" s="457">
        <v>0</v>
      </c>
      <c r="P312" s="457">
        <v>0</v>
      </c>
      <c r="Q312" s="457">
        <v>0</v>
      </c>
      <c r="R312" s="457">
        <v>0</v>
      </c>
      <c r="S312" s="457">
        <v>0</v>
      </c>
      <c r="T312" s="410" t="e">
        <v>#DIV/0!</v>
      </c>
      <c r="U312" s="285">
        <v>0</v>
      </c>
      <c r="V312" s="285">
        <v>0</v>
      </c>
      <c r="W312" s="285">
        <v>0</v>
      </c>
      <c r="X312" s="285">
        <v>0</v>
      </c>
      <c r="Y312" s="285">
        <v>0</v>
      </c>
      <c r="Z312" s="285">
        <v>0</v>
      </c>
    </row>
    <row r="313" spans="1:26" x14ac:dyDescent="0.2">
      <c r="A313" s="412" t="s">
        <v>539</v>
      </c>
      <c r="B313" s="457">
        <v>0</v>
      </c>
      <c r="C313" s="457">
        <v>0</v>
      </c>
      <c r="D313" s="457">
        <v>0</v>
      </c>
      <c r="E313" s="457">
        <v>0</v>
      </c>
      <c r="F313" s="457">
        <v>0</v>
      </c>
      <c r="G313" s="457">
        <v>0</v>
      </c>
      <c r="H313" s="457">
        <v>0</v>
      </c>
      <c r="I313" s="457">
        <v>0</v>
      </c>
      <c r="J313" s="457">
        <v>0</v>
      </c>
      <c r="K313" s="457">
        <v>0</v>
      </c>
      <c r="L313" s="457">
        <v>0</v>
      </c>
      <c r="M313" s="457">
        <v>0</v>
      </c>
      <c r="N313" s="457">
        <v>0</v>
      </c>
      <c r="O313" s="457">
        <v>0</v>
      </c>
      <c r="P313" s="457">
        <v>0</v>
      </c>
      <c r="Q313" s="457">
        <v>0</v>
      </c>
      <c r="R313" s="457">
        <v>0</v>
      </c>
      <c r="S313" s="457">
        <v>0</v>
      </c>
      <c r="T313" s="410" t="e">
        <v>#DIV/0!</v>
      </c>
      <c r="U313" s="285">
        <v>0</v>
      </c>
      <c r="V313" s="285">
        <v>0</v>
      </c>
      <c r="W313" s="285">
        <v>0</v>
      </c>
      <c r="X313" s="285">
        <v>0</v>
      </c>
      <c r="Y313" s="285">
        <v>0</v>
      </c>
      <c r="Z313" s="285">
        <v>0</v>
      </c>
    </row>
    <row r="314" spans="1:26" x14ac:dyDescent="0.2">
      <c r="A314" s="412" t="s">
        <v>540</v>
      </c>
      <c r="B314" s="457">
        <v>0</v>
      </c>
      <c r="C314" s="457">
        <v>0</v>
      </c>
      <c r="D314" s="457">
        <v>0</v>
      </c>
      <c r="E314" s="457">
        <v>0</v>
      </c>
      <c r="F314" s="457">
        <v>0</v>
      </c>
      <c r="G314" s="457">
        <v>0</v>
      </c>
      <c r="H314" s="457">
        <v>0</v>
      </c>
      <c r="I314" s="457">
        <v>0</v>
      </c>
      <c r="J314" s="457">
        <v>0</v>
      </c>
      <c r="K314" s="457">
        <v>0</v>
      </c>
      <c r="L314" s="457">
        <v>0</v>
      </c>
      <c r="M314" s="457">
        <v>0</v>
      </c>
      <c r="N314" s="457">
        <v>0</v>
      </c>
      <c r="O314" s="457">
        <v>0</v>
      </c>
      <c r="P314" s="457">
        <v>0</v>
      </c>
      <c r="Q314" s="457">
        <v>0</v>
      </c>
      <c r="R314" s="457">
        <v>0</v>
      </c>
      <c r="S314" s="457">
        <v>0</v>
      </c>
      <c r="T314" s="410" t="e">
        <v>#DIV/0!</v>
      </c>
      <c r="U314" s="285">
        <v>0</v>
      </c>
      <c r="V314" s="285">
        <v>0</v>
      </c>
      <c r="W314" s="285">
        <v>0</v>
      </c>
      <c r="X314" s="285">
        <v>0</v>
      </c>
      <c r="Y314" s="285">
        <v>0</v>
      </c>
      <c r="Z314" s="285">
        <v>0</v>
      </c>
    </row>
    <row r="315" spans="1:26" x14ac:dyDescent="0.2">
      <c r="A315" s="412" t="s">
        <v>541</v>
      </c>
      <c r="B315" s="457">
        <v>0</v>
      </c>
      <c r="C315" s="457">
        <v>0</v>
      </c>
      <c r="D315" s="457">
        <v>0</v>
      </c>
      <c r="E315" s="457">
        <v>0</v>
      </c>
      <c r="F315" s="457">
        <v>0</v>
      </c>
      <c r="G315" s="457">
        <v>0</v>
      </c>
      <c r="H315" s="457">
        <v>0</v>
      </c>
      <c r="I315" s="457">
        <v>0</v>
      </c>
      <c r="J315" s="457">
        <v>0</v>
      </c>
      <c r="K315" s="457">
        <v>0</v>
      </c>
      <c r="L315" s="457">
        <v>0</v>
      </c>
      <c r="M315" s="457">
        <v>0</v>
      </c>
      <c r="N315" s="457">
        <v>0</v>
      </c>
      <c r="O315" s="457">
        <v>0</v>
      </c>
      <c r="P315" s="457">
        <v>0</v>
      </c>
      <c r="Q315" s="457">
        <v>0</v>
      </c>
      <c r="R315" s="457">
        <v>0</v>
      </c>
      <c r="S315" s="457">
        <v>0</v>
      </c>
      <c r="T315" s="410" t="e">
        <v>#DIV/0!</v>
      </c>
      <c r="U315" s="285">
        <v>0</v>
      </c>
      <c r="V315" s="285">
        <v>0</v>
      </c>
      <c r="W315" s="285">
        <v>0</v>
      </c>
      <c r="X315" s="285">
        <v>0</v>
      </c>
      <c r="Y315" s="285">
        <v>0</v>
      </c>
      <c r="Z315" s="285">
        <v>0</v>
      </c>
    </row>
    <row r="316" spans="1:26" x14ac:dyDescent="0.2">
      <c r="A316" s="404" t="s">
        <v>542</v>
      </c>
      <c r="B316" s="247">
        <v>0</v>
      </c>
      <c r="C316" s="247">
        <v>0</v>
      </c>
      <c r="D316" s="247">
        <v>0</v>
      </c>
      <c r="E316" s="247">
        <v>0</v>
      </c>
      <c r="F316" s="247">
        <v>0</v>
      </c>
      <c r="G316" s="247">
        <v>0</v>
      </c>
      <c r="H316" s="247">
        <v>0</v>
      </c>
      <c r="I316" s="247">
        <v>0</v>
      </c>
      <c r="J316" s="247">
        <v>0</v>
      </c>
      <c r="K316" s="247">
        <v>0</v>
      </c>
      <c r="L316" s="247">
        <v>0</v>
      </c>
      <c r="M316" s="247">
        <v>0</v>
      </c>
      <c r="N316" s="247">
        <v>0</v>
      </c>
      <c r="O316" s="247">
        <v>0</v>
      </c>
      <c r="P316" s="247">
        <v>0</v>
      </c>
      <c r="Q316" s="247">
        <v>0</v>
      </c>
      <c r="R316" s="247">
        <v>0</v>
      </c>
      <c r="S316" s="247">
        <v>0</v>
      </c>
      <c r="T316" s="407" t="e">
        <v>#DIV/0!</v>
      </c>
      <c r="U316" s="406">
        <v>0</v>
      </c>
      <c r="V316" s="406">
        <v>0</v>
      </c>
      <c r="W316" s="406">
        <v>0</v>
      </c>
      <c r="X316" s="406">
        <v>0</v>
      </c>
      <c r="Y316" s="406">
        <v>0</v>
      </c>
      <c r="Z316" s="406">
        <v>0</v>
      </c>
    </row>
    <row r="317" spans="1:26" x14ac:dyDescent="0.2">
      <c r="A317" s="404" t="s">
        <v>543</v>
      </c>
      <c r="B317" s="247">
        <v>0</v>
      </c>
      <c r="C317" s="247">
        <v>0</v>
      </c>
      <c r="D317" s="247">
        <v>0</v>
      </c>
      <c r="E317" s="247">
        <v>0</v>
      </c>
      <c r="F317" s="247">
        <v>0</v>
      </c>
      <c r="G317" s="247">
        <v>0</v>
      </c>
      <c r="H317" s="247">
        <v>0</v>
      </c>
      <c r="I317" s="247">
        <v>0</v>
      </c>
      <c r="J317" s="247">
        <v>0</v>
      </c>
      <c r="K317" s="247">
        <v>0</v>
      </c>
      <c r="L317" s="247">
        <v>0</v>
      </c>
      <c r="M317" s="247">
        <v>0</v>
      </c>
      <c r="N317" s="247">
        <v>0</v>
      </c>
      <c r="O317" s="247">
        <v>0</v>
      </c>
      <c r="P317" s="247">
        <v>0</v>
      </c>
      <c r="Q317" s="247">
        <v>0</v>
      </c>
      <c r="R317" s="247">
        <v>0</v>
      </c>
      <c r="S317" s="247">
        <v>0</v>
      </c>
      <c r="T317" s="407" t="e">
        <v>#DIV/0!</v>
      </c>
      <c r="U317" s="406">
        <v>0</v>
      </c>
      <c r="V317" s="406">
        <v>0</v>
      </c>
      <c r="W317" s="406">
        <v>0</v>
      </c>
      <c r="X317" s="406">
        <v>0</v>
      </c>
      <c r="Y317" s="406">
        <v>0</v>
      </c>
      <c r="Z317" s="406">
        <v>0</v>
      </c>
    </row>
    <row r="318" spans="1:26" x14ac:dyDescent="0.2">
      <c r="A318" s="404" t="s">
        <v>544</v>
      </c>
      <c r="B318" s="448">
        <v>0</v>
      </c>
      <c r="C318" s="448">
        <v>0</v>
      </c>
      <c r="D318" s="448">
        <v>0</v>
      </c>
      <c r="E318" s="448">
        <v>0</v>
      </c>
      <c r="F318" s="448">
        <v>0</v>
      </c>
      <c r="G318" s="448">
        <v>0</v>
      </c>
      <c r="H318" s="448">
        <v>0</v>
      </c>
      <c r="I318" s="448">
        <v>0</v>
      </c>
      <c r="J318" s="448">
        <v>0</v>
      </c>
      <c r="K318" s="448">
        <v>0</v>
      </c>
      <c r="L318" s="448">
        <v>0</v>
      </c>
      <c r="M318" s="448">
        <v>0</v>
      </c>
      <c r="N318" s="448">
        <v>0</v>
      </c>
      <c r="O318" s="448">
        <v>0</v>
      </c>
      <c r="P318" s="448">
        <v>0</v>
      </c>
      <c r="Q318" s="448">
        <v>0</v>
      </c>
      <c r="R318" s="448">
        <v>0</v>
      </c>
      <c r="S318" s="448">
        <v>0</v>
      </c>
      <c r="T318" s="407" t="e">
        <v>#DIV/0!</v>
      </c>
      <c r="U318" s="406">
        <v>0</v>
      </c>
      <c r="V318" s="406">
        <v>0</v>
      </c>
      <c r="W318" s="406">
        <v>0</v>
      </c>
      <c r="X318" s="406">
        <v>0</v>
      </c>
      <c r="Y318" s="406">
        <v>0</v>
      </c>
      <c r="Z318" s="406">
        <v>0</v>
      </c>
    </row>
    <row r="319" spans="1:26" ht="24" x14ac:dyDescent="0.2">
      <c r="A319" s="412" t="s">
        <v>545</v>
      </c>
      <c r="B319" s="457">
        <v>0</v>
      </c>
      <c r="C319" s="457">
        <v>0</v>
      </c>
      <c r="D319" s="457">
        <v>0</v>
      </c>
      <c r="E319" s="457">
        <v>0</v>
      </c>
      <c r="F319" s="457">
        <v>0</v>
      </c>
      <c r="G319" s="457">
        <v>0</v>
      </c>
      <c r="H319" s="457">
        <v>0</v>
      </c>
      <c r="I319" s="457">
        <v>0</v>
      </c>
      <c r="J319" s="457">
        <v>0</v>
      </c>
      <c r="K319" s="457">
        <v>0</v>
      </c>
      <c r="L319" s="457">
        <v>0</v>
      </c>
      <c r="M319" s="457">
        <v>0</v>
      </c>
      <c r="N319" s="457">
        <v>0</v>
      </c>
      <c r="O319" s="457">
        <v>0</v>
      </c>
      <c r="P319" s="457">
        <v>0</v>
      </c>
      <c r="Q319" s="457">
        <v>0</v>
      </c>
      <c r="R319" s="457">
        <v>0</v>
      </c>
      <c r="S319" s="457">
        <v>0</v>
      </c>
      <c r="T319" s="410" t="e">
        <v>#DIV/0!</v>
      </c>
      <c r="U319" s="285">
        <v>0</v>
      </c>
      <c r="V319" s="285">
        <v>0</v>
      </c>
      <c r="W319" s="285">
        <v>0</v>
      </c>
      <c r="X319" s="285">
        <v>0</v>
      </c>
      <c r="Y319" s="285">
        <v>0</v>
      </c>
      <c r="Z319" s="285">
        <v>0</v>
      </c>
    </row>
    <row r="320" spans="1:26" x14ac:dyDescent="0.2">
      <c r="A320" s="412" t="s">
        <v>546</v>
      </c>
      <c r="B320" s="457">
        <v>0</v>
      </c>
      <c r="C320" s="457">
        <v>0</v>
      </c>
      <c r="D320" s="457">
        <v>0</v>
      </c>
      <c r="E320" s="457">
        <v>0</v>
      </c>
      <c r="F320" s="457">
        <v>0</v>
      </c>
      <c r="G320" s="457">
        <v>0</v>
      </c>
      <c r="H320" s="457">
        <v>0</v>
      </c>
      <c r="I320" s="457">
        <v>0</v>
      </c>
      <c r="J320" s="457">
        <v>0</v>
      </c>
      <c r="K320" s="457">
        <v>0</v>
      </c>
      <c r="L320" s="457">
        <v>0</v>
      </c>
      <c r="M320" s="457">
        <v>0</v>
      </c>
      <c r="N320" s="457">
        <v>0</v>
      </c>
      <c r="O320" s="457">
        <v>0</v>
      </c>
      <c r="P320" s="457">
        <v>0</v>
      </c>
      <c r="Q320" s="457">
        <v>0</v>
      </c>
      <c r="R320" s="457">
        <v>0</v>
      </c>
      <c r="S320" s="457">
        <v>0</v>
      </c>
      <c r="T320" s="410" t="e">
        <v>#DIV/0!</v>
      </c>
      <c r="U320" s="285">
        <v>0</v>
      </c>
      <c r="V320" s="285">
        <v>0</v>
      </c>
      <c r="W320" s="285">
        <v>0</v>
      </c>
      <c r="X320" s="285">
        <v>0</v>
      </c>
      <c r="Y320" s="285">
        <v>0</v>
      </c>
      <c r="Z320" s="285">
        <v>0</v>
      </c>
    </row>
    <row r="321" spans="1:26" x14ac:dyDescent="0.2">
      <c r="A321" s="412" t="s">
        <v>547</v>
      </c>
      <c r="B321" s="457">
        <v>0</v>
      </c>
      <c r="C321" s="457">
        <v>0</v>
      </c>
      <c r="D321" s="457">
        <v>0</v>
      </c>
      <c r="E321" s="457">
        <v>0</v>
      </c>
      <c r="F321" s="457">
        <v>0</v>
      </c>
      <c r="G321" s="457">
        <v>0</v>
      </c>
      <c r="H321" s="457">
        <v>0</v>
      </c>
      <c r="I321" s="457">
        <v>0</v>
      </c>
      <c r="J321" s="457">
        <v>0</v>
      </c>
      <c r="K321" s="457">
        <v>0</v>
      </c>
      <c r="L321" s="457">
        <v>0</v>
      </c>
      <c r="M321" s="457">
        <v>0</v>
      </c>
      <c r="N321" s="457">
        <v>0</v>
      </c>
      <c r="O321" s="457">
        <v>0</v>
      </c>
      <c r="P321" s="457">
        <v>0</v>
      </c>
      <c r="Q321" s="457">
        <v>0</v>
      </c>
      <c r="R321" s="457">
        <v>0</v>
      </c>
      <c r="S321" s="457">
        <v>0</v>
      </c>
      <c r="T321" s="410" t="e">
        <v>#DIV/0!</v>
      </c>
      <c r="U321" s="285">
        <v>0</v>
      </c>
      <c r="V321" s="285">
        <v>0</v>
      </c>
      <c r="W321" s="285">
        <v>0</v>
      </c>
      <c r="X321" s="285">
        <v>0</v>
      </c>
      <c r="Y321" s="285">
        <v>0</v>
      </c>
      <c r="Z321" s="285">
        <v>0</v>
      </c>
    </row>
    <row r="322" spans="1:26" x14ac:dyDescent="0.2">
      <c r="A322" s="412" t="s">
        <v>548</v>
      </c>
      <c r="B322" s="457">
        <v>0</v>
      </c>
      <c r="C322" s="457">
        <v>0</v>
      </c>
      <c r="D322" s="457">
        <v>0</v>
      </c>
      <c r="E322" s="457">
        <v>0</v>
      </c>
      <c r="F322" s="457">
        <v>0</v>
      </c>
      <c r="G322" s="457">
        <v>0</v>
      </c>
      <c r="H322" s="457">
        <v>0</v>
      </c>
      <c r="I322" s="457">
        <v>0</v>
      </c>
      <c r="J322" s="457">
        <v>0</v>
      </c>
      <c r="K322" s="457">
        <v>0</v>
      </c>
      <c r="L322" s="457">
        <v>0</v>
      </c>
      <c r="M322" s="457">
        <v>0</v>
      </c>
      <c r="N322" s="457">
        <v>0</v>
      </c>
      <c r="O322" s="457">
        <v>0</v>
      </c>
      <c r="P322" s="457">
        <v>0</v>
      </c>
      <c r="Q322" s="457">
        <v>0</v>
      </c>
      <c r="R322" s="457">
        <v>0</v>
      </c>
      <c r="S322" s="457">
        <v>0</v>
      </c>
      <c r="T322" s="410" t="e">
        <v>#DIV/0!</v>
      </c>
      <c r="U322" s="285">
        <v>0</v>
      </c>
      <c r="V322" s="285">
        <v>0</v>
      </c>
      <c r="W322" s="285">
        <v>0</v>
      </c>
      <c r="X322" s="285">
        <v>0</v>
      </c>
      <c r="Y322" s="285">
        <v>0</v>
      </c>
      <c r="Z322" s="285">
        <v>0</v>
      </c>
    </row>
    <row r="323" spans="1:26" x14ac:dyDescent="0.2">
      <c r="A323" s="412" t="s">
        <v>549</v>
      </c>
      <c r="B323" s="457">
        <v>0</v>
      </c>
      <c r="C323" s="457">
        <v>0</v>
      </c>
      <c r="D323" s="457">
        <v>0</v>
      </c>
      <c r="E323" s="457">
        <v>0</v>
      </c>
      <c r="F323" s="457">
        <v>0</v>
      </c>
      <c r="G323" s="457">
        <v>0</v>
      </c>
      <c r="H323" s="457">
        <v>0</v>
      </c>
      <c r="I323" s="457">
        <v>0</v>
      </c>
      <c r="J323" s="457">
        <v>0</v>
      </c>
      <c r="K323" s="457">
        <v>0</v>
      </c>
      <c r="L323" s="457">
        <v>0</v>
      </c>
      <c r="M323" s="457">
        <v>0</v>
      </c>
      <c r="N323" s="457">
        <v>0</v>
      </c>
      <c r="O323" s="457">
        <v>0</v>
      </c>
      <c r="P323" s="457">
        <v>0</v>
      </c>
      <c r="Q323" s="457">
        <v>0</v>
      </c>
      <c r="R323" s="457">
        <v>0</v>
      </c>
      <c r="S323" s="457">
        <v>0</v>
      </c>
      <c r="T323" s="410" t="e">
        <v>#DIV/0!</v>
      </c>
      <c r="U323" s="285">
        <v>0</v>
      </c>
      <c r="V323" s="285">
        <v>0</v>
      </c>
      <c r="W323" s="285">
        <v>0</v>
      </c>
      <c r="X323" s="285">
        <v>0</v>
      </c>
      <c r="Y323" s="285">
        <v>0</v>
      </c>
      <c r="Z323" s="285">
        <v>0</v>
      </c>
    </row>
    <row r="324" spans="1:26" x14ac:dyDescent="0.2">
      <c r="A324" s="412" t="s">
        <v>550</v>
      </c>
      <c r="B324" s="457">
        <v>0</v>
      </c>
      <c r="C324" s="457">
        <v>0</v>
      </c>
      <c r="D324" s="457">
        <v>0</v>
      </c>
      <c r="E324" s="457">
        <v>0</v>
      </c>
      <c r="F324" s="457">
        <v>0</v>
      </c>
      <c r="G324" s="457">
        <v>0</v>
      </c>
      <c r="H324" s="457">
        <v>0</v>
      </c>
      <c r="I324" s="457">
        <v>0</v>
      </c>
      <c r="J324" s="457">
        <v>0</v>
      </c>
      <c r="K324" s="457">
        <v>0</v>
      </c>
      <c r="L324" s="457">
        <v>0</v>
      </c>
      <c r="M324" s="457">
        <v>0</v>
      </c>
      <c r="N324" s="457">
        <v>0</v>
      </c>
      <c r="O324" s="457">
        <v>0</v>
      </c>
      <c r="P324" s="457">
        <v>0</v>
      </c>
      <c r="Q324" s="457">
        <v>0</v>
      </c>
      <c r="R324" s="457">
        <v>0</v>
      </c>
      <c r="S324" s="457">
        <v>0</v>
      </c>
      <c r="T324" s="410" t="e">
        <v>#DIV/0!</v>
      </c>
      <c r="U324" s="285">
        <v>0</v>
      </c>
      <c r="V324" s="285">
        <v>0</v>
      </c>
      <c r="W324" s="285">
        <v>0</v>
      </c>
      <c r="X324" s="285">
        <v>0</v>
      </c>
      <c r="Y324" s="285">
        <v>0</v>
      </c>
      <c r="Z324" s="285">
        <v>0</v>
      </c>
    </row>
    <row r="325" spans="1:26" x14ac:dyDescent="0.2">
      <c r="A325" s="412" t="s">
        <v>551</v>
      </c>
      <c r="B325" s="457">
        <v>0</v>
      </c>
      <c r="C325" s="457">
        <v>0</v>
      </c>
      <c r="D325" s="457">
        <v>0</v>
      </c>
      <c r="E325" s="457">
        <v>0</v>
      </c>
      <c r="F325" s="457">
        <v>0</v>
      </c>
      <c r="G325" s="457">
        <v>0</v>
      </c>
      <c r="H325" s="457">
        <v>0</v>
      </c>
      <c r="I325" s="457">
        <v>0</v>
      </c>
      <c r="J325" s="457">
        <v>0</v>
      </c>
      <c r="K325" s="457">
        <v>0</v>
      </c>
      <c r="L325" s="457">
        <v>0</v>
      </c>
      <c r="M325" s="457">
        <v>0</v>
      </c>
      <c r="N325" s="457">
        <v>0</v>
      </c>
      <c r="O325" s="457">
        <v>0</v>
      </c>
      <c r="P325" s="457">
        <v>0</v>
      </c>
      <c r="Q325" s="457">
        <v>0</v>
      </c>
      <c r="R325" s="457">
        <v>0</v>
      </c>
      <c r="S325" s="457">
        <v>0</v>
      </c>
      <c r="T325" s="410" t="e">
        <v>#DIV/0!</v>
      </c>
      <c r="U325" s="285">
        <v>0</v>
      </c>
      <c r="V325" s="285">
        <v>0</v>
      </c>
      <c r="W325" s="285">
        <v>0</v>
      </c>
      <c r="X325" s="285">
        <v>0</v>
      </c>
      <c r="Y325" s="285">
        <v>0</v>
      </c>
      <c r="Z325" s="285">
        <v>0</v>
      </c>
    </row>
    <row r="326" spans="1:26" x14ac:dyDescent="0.2">
      <c r="A326" s="412" t="s">
        <v>552</v>
      </c>
      <c r="B326" s="457">
        <v>0</v>
      </c>
      <c r="C326" s="457">
        <v>0</v>
      </c>
      <c r="D326" s="457">
        <v>0</v>
      </c>
      <c r="E326" s="457">
        <v>0</v>
      </c>
      <c r="F326" s="457">
        <v>0</v>
      </c>
      <c r="G326" s="457">
        <v>0</v>
      </c>
      <c r="H326" s="457">
        <v>0</v>
      </c>
      <c r="I326" s="457">
        <v>0</v>
      </c>
      <c r="J326" s="457">
        <v>0</v>
      </c>
      <c r="K326" s="457">
        <v>0</v>
      </c>
      <c r="L326" s="457">
        <v>0</v>
      </c>
      <c r="M326" s="457">
        <v>0</v>
      </c>
      <c r="N326" s="457">
        <v>0</v>
      </c>
      <c r="O326" s="457">
        <v>0</v>
      </c>
      <c r="P326" s="457">
        <v>0</v>
      </c>
      <c r="Q326" s="457">
        <v>0</v>
      </c>
      <c r="R326" s="457">
        <v>0</v>
      </c>
      <c r="S326" s="457">
        <v>0</v>
      </c>
      <c r="T326" s="410" t="e">
        <v>#DIV/0!</v>
      </c>
      <c r="U326" s="285">
        <v>0</v>
      </c>
      <c r="V326" s="285">
        <v>0</v>
      </c>
      <c r="W326" s="285">
        <v>0</v>
      </c>
      <c r="X326" s="285">
        <v>0</v>
      </c>
      <c r="Y326" s="285">
        <v>0</v>
      </c>
      <c r="Z326" s="285">
        <v>0</v>
      </c>
    </row>
    <row r="327" spans="1:26" x14ac:dyDescent="0.2">
      <c r="A327" s="412" t="s">
        <v>553</v>
      </c>
      <c r="B327" s="457">
        <v>0</v>
      </c>
      <c r="C327" s="457">
        <v>0</v>
      </c>
      <c r="D327" s="457">
        <v>0</v>
      </c>
      <c r="E327" s="457">
        <v>0</v>
      </c>
      <c r="F327" s="457">
        <v>0</v>
      </c>
      <c r="G327" s="457">
        <v>0</v>
      </c>
      <c r="H327" s="457">
        <v>0</v>
      </c>
      <c r="I327" s="457">
        <v>0</v>
      </c>
      <c r="J327" s="457">
        <v>0</v>
      </c>
      <c r="K327" s="457">
        <v>0</v>
      </c>
      <c r="L327" s="457">
        <v>0</v>
      </c>
      <c r="M327" s="457">
        <v>0</v>
      </c>
      <c r="N327" s="457">
        <v>0</v>
      </c>
      <c r="O327" s="457">
        <v>0</v>
      </c>
      <c r="P327" s="457">
        <v>0</v>
      </c>
      <c r="Q327" s="457">
        <v>0</v>
      </c>
      <c r="R327" s="457">
        <v>0</v>
      </c>
      <c r="S327" s="457">
        <v>0</v>
      </c>
      <c r="T327" s="410" t="e">
        <v>#DIV/0!</v>
      </c>
      <c r="U327" s="285">
        <v>0</v>
      </c>
      <c r="V327" s="285">
        <v>0</v>
      </c>
      <c r="W327" s="285">
        <v>0</v>
      </c>
      <c r="X327" s="285">
        <v>0</v>
      </c>
      <c r="Y327" s="285">
        <v>0</v>
      </c>
      <c r="Z327" s="285">
        <v>0</v>
      </c>
    </row>
    <row r="328" spans="1:26" x14ac:dyDescent="0.2">
      <c r="A328" s="412" t="s">
        <v>554</v>
      </c>
      <c r="B328" s="457">
        <v>0</v>
      </c>
      <c r="C328" s="457">
        <v>0</v>
      </c>
      <c r="D328" s="457">
        <v>0</v>
      </c>
      <c r="E328" s="457">
        <v>0</v>
      </c>
      <c r="F328" s="457">
        <v>0</v>
      </c>
      <c r="G328" s="457">
        <v>0</v>
      </c>
      <c r="H328" s="457">
        <v>0</v>
      </c>
      <c r="I328" s="457">
        <v>0</v>
      </c>
      <c r="J328" s="457">
        <v>0</v>
      </c>
      <c r="K328" s="457">
        <v>0</v>
      </c>
      <c r="L328" s="457">
        <v>0</v>
      </c>
      <c r="M328" s="457">
        <v>0</v>
      </c>
      <c r="N328" s="457">
        <v>0</v>
      </c>
      <c r="O328" s="457">
        <v>0</v>
      </c>
      <c r="P328" s="457">
        <v>0</v>
      </c>
      <c r="Q328" s="457">
        <v>0</v>
      </c>
      <c r="R328" s="457">
        <v>0</v>
      </c>
      <c r="S328" s="457">
        <v>0</v>
      </c>
      <c r="T328" s="410" t="e">
        <v>#DIV/0!</v>
      </c>
      <c r="U328" s="285">
        <v>0</v>
      </c>
      <c r="V328" s="285">
        <v>0</v>
      </c>
      <c r="W328" s="285">
        <v>0</v>
      </c>
      <c r="X328" s="285">
        <v>0</v>
      </c>
      <c r="Y328" s="285">
        <v>0</v>
      </c>
      <c r="Z328" s="285">
        <v>0</v>
      </c>
    </row>
    <row r="329" spans="1:26" x14ac:dyDescent="0.2">
      <c r="A329" s="412" t="s">
        <v>555</v>
      </c>
      <c r="B329" s="457">
        <v>0</v>
      </c>
      <c r="C329" s="457">
        <v>0</v>
      </c>
      <c r="D329" s="457">
        <v>0</v>
      </c>
      <c r="E329" s="457">
        <v>0</v>
      </c>
      <c r="F329" s="457">
        <v>0</v>
      </c>
      <c r="G329" s="457">
        <v>0</v>
      </c>
      <c r="H329" s="457">
        <v>0</v>
      </c>
      <c r="I329" s="457">
        <v>0</v>
      </c>
      <c r="J329" s="457">
        <v>0</v>
      </c>
      <c r="K329" s="457">
        <v>0</v>
      </c>
      <c r="L329" s="457">
        <v>0</v>
      </c>
      <c r="M329" s="457">
        <v>0</v>
      </c>
      <c r="N329" s="457">
        <v>0</v>
      </c>
      <c r="O329" s="457">
        <v>0</v>
      </c>
      <c r="P329" s="457">
        <v>0</v>
      </c>
      <c r="Q329" s="457">
        <v>0</v>
      </c>
      <c r="R329" s="457">
        <v>0</v>
      </c>
      <c r="S329" s="457">
        <v>0</v>
      </c>
      <c r="T329" s="410" t="e">
        <v>#DIV/0!</v>
      </c>
      <c r="U329" s="285">
        <v>0</v>
      </c>
      <c r="V329" s="285">
        <v>0</v>
      </c>
      <c r="W329" s="285">
        <v>0</v>
      </c>
      <c r="X329" s="285">
        <v>0</v>
      </c>
      <c r="Y329" s="285">
        <v>0</v>
      </c>
      <c r="Z329" s="285">
        <v>0</v>
      </c>
    </row>
    <row r="330" spans="1:26" x14ac:dyDescent="0.2">
      <c r="A330" s="412" t="s">
        <v>556</v>
      </c>
      <c r="B330" s="457">
        <v>0</v>
      </c>
      <c r="C330" s="457">
        <v>0</v>
      </c>
      <c r="D330" s="457">
        <v>0</v>
      </c>
      <c r="E330" s="457">
        <v>0</v>
      </c>
      <c r="F330" s="457">
        <v>0</v>
      </c>
      <c r="G330" s="457">
        <v>0</v>
      </c>
      <c r="H330" s="457">
        <v>0</v>
      </c>
      <c r="I330" s="457">
        <v>0</v>
      </c>
      <c r="J330" s="457">
        <v>0</v>
      </c>
      <c r="K330" s="457">
        <v>0</v>
      </c>
      <c r="L330" s="457">
        <v>0</v>
      </c>
      <c r="M330" s="457">
        <v>0</v>
      </c>
      <c r="N330" s="457">
        <v>0</v>
      </c>
      <c r="O330" s="457">
        <v>0</v>
      </c>
      <c r="P330" s="457">
        <v>0</v>
      </c>
      <c r="Q330" s="457">
        <v>0</v>
      </c>
      <c r="R330" s="457">
        <v>0</v>
      </c>
      <c r="S330" s="457">
        <v>0</v>
      </c>
      <c r="T330" s="410" t="e">
        <v>#DIV/0!</v>
      </c>
      <c r="U330" s="285">
        <v>0</v>
      </c>
      <c r="V330" s="285">
        <v>0</v>
      </c>
      <c r="W330" s="285">
        <v>0</v>
      </c>
      <c r="X330" s="285">
        <v>0</v>
      </c>
      <c r="Y330" s="285">
        <v>0</v>
      </c>
      <c r="Z330" s="285">
        <v>0</v>
      </c>
    </row>
    <row r="331" spans="1:26" x14ac:dyDescent="0.2">
      <c r="A331" s="404" t="s">
        <v>557</v>
      </c>
      <c r="B331" s="448">
        <v>0</v>
      </c>
      <c r="C331" s="448">
        <v>0</v>
      </c>
      <c r="D331" s="448">
        <v>0</v>
      </c>
      <c r="E331" s="448">
        <v>0</v>
      </c>
      <c r="F331" s="448">
        <v>0</v>
      </c>
      <c r="G331" s="448">
        <v>0</v>
      </c>
      <c r="H331" s="448">
        <v>0</v>
      </c>
      <c r="I331" s="448">
        <v>0</v>
      </c>
      <c r="J331" s="448">
        <v>0</v>
      </c>
      <c r="K331" s="448">
        <v>0</v>
      </c>
      <c r="L331" s="448">
        <v>0</v>
      </c>
      <c r="M331" s="448">
        <v>0</v>
      </c>
      <c r="N331" s="448">
        <v>0</v>
      </c>
      <c r="O331" s="448">
        <v>0</v>
      </c>
      <c r="P331" s="448">
        <v>0</v>
      </c>
      <c r="Q331" s="448">
        <v>0</v>
      </c>
      <c r="R331" s="448">
        <v>0</v>
      </c>
      <c r="S331" s="448">
        <v>0</v>
      </c>
      <c r="T331" s="407" t="e">
        <v>#DIV/0!</v>
      </c>
      <c r="U331" s="406">
        <v>0</v>
      </c>
      <c r="V331" s="406">
        <v>0</v>
      </c>
      <c r="W331" s="406">
        <v>0</v>
      </c>
      <c r="X331" s="406">
        <v>0</v>
      </c>
      <c r="Y331" s="406">
        <v>0</v>
      </c>
      <c r="Z331" s="406">
        <v>0</v>
      </c>
    </row>
    <row r="332" spans="1:26" x14ac:dyDescent="0.2">
      <c r="A332" s="412" t="s">
        <v>558</v>
      </c>
      <c r="B332" s="457">
        <v>0</v>
      </c>
      <c r="C332" s="457">
        <v>0</v>
      </c>
      <c r="D332" s="457">
        <v>0</v>
      </c>
      <c r="E332" s="457">
        <v>0</v>
      </c>
      <c r="F332" s="457">
        <v>0</v>
      </c>
      <c r="G332" s="457">
        <v>0</v>
      </c>
      <c r="H332" s="457">
        <v>0</v>
      </c>
      <c r="I332" s="457">
        <v>0</v>
      </c>
      <c r="J332" s="457">
        <v>0</v>
      </c>
      <c r="K332" s="457">
        <v>0</v>
      </c>
      <c r="L332" s="457">
        <v>0</v>
      </c>
      <c r="M332" s="457">
        <v>0</v>
      </c>
      <c r="N332" s="457">
        <v>0</v>
      </c>
      <c r="O332" s="457">
        <v>0</v>
      </c>
      <c r="P332" s="457">
        <v>0</v>
      </c>
      <c r="Q332" s="457">
        <v>0</v>
      </c>
      <c r="R332" s="457">
        <v>0</v>
      </c>
      <c r="S332" s="457">
        <v>0</v>
      </c>
      <c r="T332" s="410" t="e">
        <v>#DIV/0!</v>
      </c>
      <c r="U332" s="285">
        <v>0</v>
      </c>
      <c r="V332" s="285">
        <v>0</v>
      </c>
      <c r="W332" s="285">
        <v>0</v>
      </c>
      <c r="X332" s="285">
        <v>0</v>
      </c>
      <c r="Y332" s="285">
        <v>0</v>
      </c>
      <c r="Z332" s="285">
        <v>0</v>
      </c>
    </row>
    <row r="333" spans="1:26" x14ac:dyDescent="0.2">
      <c r="A333" s="412" t="s">
        <v>559</v>
      </c>
      <c r="B333" s="457">
        <v>0</v>
      </c>
      <c r="C333" s="457">
        <v>0</v>
      </c>
      <c r="D333" s="457">
        <v>0</v>
      </c>
      <c r="E333" s="457">
        <v>0</v>
      </c>
      <c r="F333" s="457">
        <v>0</v>
      </c>
      <c r="G333" s="457">
        <v>0</v>
      </c>
      <c r="H333" s="457">
        <v>0</v>
      </c>
      <c r="I333" s="457">
        <v>0</v>
      </c>
      <c r="J333" s="457">
        <v>0</v>
      </c>
      <c r="K333" s="457">
        <v>0</v>
      </c>
      <c r="L333" s="457">
        <v>0</v>
      </c>
      <c r="M333" s="457">
        <v>0</v>
      </c>
      <c r="N333" s="457">
        <v>0</v>
      </c>
      <c r="O333" s="457">
        <v>0</v>
      </c>
      <c r="P333" s="457">
        <v>0</v>
      </c>
      <c r="Q333" s="457">
        <v>0</v>
      </c>
      <c r="R333" s="457">
        <v>0</v>
      </c>
      <c r="S333" s="457">
        <v>0</v>
      </c>
      <c r="T333" s="410" t="e">
        <v>#DIV/0!</v>
      </c>
      <c r="U333" s="285">
        <v>0</v>
      </c>
      <c r="V333" s="285">
        <v>0</v>
      </c>
      <c r="W333" s="285">
        <v>0</v>
      </c>
      <c r="X333" s="285">
        <v>0</v>
      </c>
      <c r="Y333" s="285">
        <v>0</v>
      </c>
      <c r="Z333" s="285">
        <v>0</v>
      </c>
    </row>
    <row r="334" spans="1:26" x14ac:dyDescent="0.2">
      <c r="A334" s="412" t="s">
        <v>560</v>
      </c>
      <c r="B334" s="457">
        <v>0</v>
      </c>
      <c r="C334" s="457">
        <v>0</v>
      </c>
      <c r="D334" s="457">
        <v>0</v>
      </c>
      <c r="E334" s="457">
        <v>0</v>
      </c>
      <c r="F334" s="457">
        <v>0</v>
      </c>
      <c r="G334" s="457">
        <v>0</v>
      </c>
      <c r="H334" s="457">
        <v>0</v>
      </c>
      <c r="I334" s="457">
        <v>0</v>
      </c>
      <c r="J334" s="457">
        <v>0</v>
      </c>
      <c r="K334" s="457">
        <v>0</v>
      </c>
      <c r="L334" s="457">
        <v>0</v>
      </c>
      <c r="M334" s="457">
        <v>0</v>
      </c>
      <c r="N334" s="457">
        <v>0</v>
      </c>
      <c r="O334" s="457">
        <v>0</v>
      </c>
      <c r="P334" s="457">
        <v>0</v>
      </c>
      <c r="Q334" s="457">
        <v>0</v>
      </c>
      <c r="R334" s="457">
        <v>0</v>
      </c>
      <c r="S334" s="457">
        <v>0</v>
      </c>
      <c r="T334" s="410" t="e">
        <v>#DIV/0!</v>
      </c>
      <c r="U334" s="285">
        <v>0</v>
      </c>
      <c r="V334" s="285">
        <v>0</v>
      </c>
      <c r="W334" s="285">
        <v>0</v>
      </c>
      <c r="X334" s="285">
        <v>0</v>
      </c>
      <c r="Y334" s="285">
        <v>0</v>
      </c>
      <c r="Z334" s="285">
        <v>0</v>
      </c>
    </row>
    <row r="335" spans="1:26" x14ac:dyDescent="0.2">
      <c r="A335" s="399" t="s">
        <v>561</v>
      </c>
      <c r="B335" s="474">
        <v>104250000</v>
      </c>
      <c r="C335" s="474">
        <v>104250000</v>
      </c>
      <c r="D335" s="474">
        <v>104250000</v>
      </c>
      <c r="E335" s="474">
        <v>70606713.258999988</v>
      </c>
      <c r="F335" s="474">
        <v>70294130.858999997</v>
      </c>
      <c r="G335" s="474">
        <v>985188.02</v>
      </c>
      <c r="H335" s="474">
        <v>997291.91999999993</v>
      </c>
      <c r="I335" s="474">
        <v>22053543.699999996</v>
      </c>
      <c r="J335" s="474">
        <v>1025822.88</v>
      </c>
      <c r="K335" s="474">
        <v>974895.32</v>
      </c>
      <c r="L335" s="474">
        <v>20995566.375</v>
      </c>
      <c r="M335" s="474">
        <v>963796.19000000006</v>
      </c>
      <c r="N335" s="474">
        <v>869250.5</v>
      </c>
      <c r="O335" s="474">
        <v>21398415.954</v>
      </c>
      <c r="P335" s="474">
        <v>0</v>
      </c>
      <c r="Q335" s="474">
        <v>0</v>
      </c>
      <c r="R335" s="474">
        <v>0</v>
      </c>
      <c r="S335" s="474">
        <v>70263770.858999997</v>
      </c>
      <c r="T335" s="402">
        <v>0.67399300584172661</v>
      </c>
      <c r="U335" s="401">
        <v>33986229.141000003</v>
      </c>
      <c r="V335" s="401">
        <v>0</v>
      </c>
      <c r="W335" s="401">
        <v>33643286.741000012</v>
      </c>
      <c r="X335" s="401">
        <v>33643286.741000012</v>
      </c>
      <c r="Y335" s="401">
        <v>312582.39999999106</v>
      </c>
      <c r="Z335" s="401">
        <v>30360</v>
      </c>
    </row>
    <row r="336" spans="1:26" x14ac:dyDescent="0.2">
      <c r="A336" s="404" t="s">
        <v>562</v>
      </c>
      <c r="B336" s="448">
        <v>0</v>
      </c>
      <c r="C336" s="448">
        <v>0</v>
      </c>
      <c r="D336" s="448">
        <v>0</v>
      </c>
      <c r="E336" s="448">
        <v>0</v>
      </c>
      <c r="F336" s="448">
        <v>0</v>
      </c>
      <c r="G336" s="448">
        <v>0</v>
      </c>
      <c r="H336" s="448">
        <v>0</v>
      </c>
      <c r="I336" s="448">
        <v>0</v>
      </c>
      <c r="J336" s="448">
        <v>0</v>
      </c>
      <c r="K336" s="448">
        <v>0</v>
      </c>
      <c r="L336" s="448">
        <v>0</v>
      </c>
      <c r="M336" s="448">
        <v>0</v>
      </c>
      <c r="N336" s="448">
        <v>0</v>
      </c>
      <c r="O336" s="448">
        <v>0</v>
      </c>
      <c r="P336" s="448">
        <v>0</v>
      </c>
      <c r="Q336" s="448">
        <v>0</v>
      </c>
      <c r="R336" s="448">
        <v>0</v>
      </c>
      <c r="S336" s="448">
        <v>0</v>
      </c>
      <c r="T336" s="407" t="e">
        <v>#DIV/0!</v>
      </c>
      <c r="U336" s="406">
        <v>0</v>
      </c>
      <c r="V336" s="406">
        <v>0</v>
      </c>
      <c r="W336" s="406">
        <v>0</v>
      </c>
      <c r="X336" s="406">
        <v>0</v>
      </c>
      <c r="Y336" s="406">
        <v>0</v>
      </c>
      <c r="Z336" s="406">
        <v>0</v>
      </c>
    </row>
    <row r="337" spans="1:26" ht="24" x14ac:dyDescent="0.2">
      <c r="A337" s="412" t="s">
        <v>563</v>
      </c>
      <c r="B337" s="455">
        <v>0</v>
      </c>
      <c r="C337" s="455">
        <v>0</v>
      </c>
      <c r="D337" s="455">
        <v>0</v>
      </c>
      <c r="E337" s="455">
        <v>0</v>
      </c>
      <c r="F337" s="455">
        <v>0</v>
      </c>
      <c r="G337" s="455">
        <v>0</v>
      </c>
      <c r="H337" s="455">
        <v>0</v>
      </c>
      <c r="I337" s="455">
        <v>0</v>
      </c>
      <c r="J337" s="455">
        <v>0</v>
      </c>
      <c r="K337" s="455">
        <v>0</v>
      </c>
      <c r="L337" s="455">
        <v>0</v>
      </c>
      <c r="M337" s="455">
        <v>0</v>
      </c>
      <c r="N337" s="455">
        <v>0</v>
      </c>
      <c r="O337" s="455">
        <v>0</v>
      </c>
      <c r="P337" s="455">
        <v>0</v>
      </c>
      <c r="Q337" s="455">
        <v>0</v>
      </c>
      <c r="R337" s="455">
        <v>0</v>
      </c>
      <c r="S337" s="455">
        <v>0</v>
      </c>
      <c r="T337" s="410" t="e">
        <v>#DIV/0!</v>
      </c>
      <c r="U337" s="285">
        <v>0</v>
      </c>
      <c r="V337" s="285">
        <v>0</v>
      </c>
      <c r="W337" s="285">
        <v>0</v>
      </c>
      <c r="X337" s="285">
        <v>0</v>
      </c>
      <c r="Y337" s="285">
        <v>0</v>
      </c>
      <c r="Z337" s="285">
        <v>0</v>
      </c>
    </row>
    <row r="338" spans="1:26" x14ac:dyDescent="0.2">
      <c r="A338" s="414" t="s">
        <v>564</v>
      </c>
      <c r="B338" s="457">
        <v>0</v>
      </c>
      <c r="C338" s="457">
        <v>0</v>
      </c>
      <c r="D338" s="457">
        <v>0</v>
      </c>
      <c r="E338" s="457">
        <v>0</v>
      </c>
      <c r="F338" s="457">
        <v>0</v>
      </c>
      <c r="G338" s="457">
        <v>0</v>
      </c>
      <c r="H338" s="457">
        <v>0</v>
      </c>
      <c r="I338" s="457">
        <v>0</v>
      </c>
      <c r="J338" s="457">
        <v>0</v>
      </c>
      <c r="K338" s="457">
        <v>0</v>
      </c>
      <c r="L338" s="457">
        <v>0</v>
      </c>
      <c r="M338" s="457">
        <v>0</v>
      </c>
      <c r="N338" s="457">
        <v>0</v>
      </c>
      <c r="O338" s="457">
        <v>0</v>
      </c>
      <c r="P338" s="457">
        <v>0</v>
      </c>
      <c r="Q338" s="457">
        <v>0</v>
      </c>
      <c r="R338" s="457">
        <v>0</v>
      </c>
      <c r="S338" s="457">
        <v>0</v>
      </c>
      <c r="T338" s="410" t="e">
        <v>#DIV/0!</v>
      </c>
      <c r="U338" s="285">
        <v>0</v>
      </c>
      <c r="V338" s="285">
        <v>0</v>
      </c>
      <c r="W338" s="285">
        <v>0</v>
      </c>
      <c r="X338" s="285">
        <v>0</v>
      </c>
      <c r="Y338" s="285">
        <v>0</v>
      </c>
      <c r="Z338" s="285">
        <v>0</v>
      </c>
    </row>
    <row r="339" spans="1:26" x14ac:dyDescent="0.2">
      <c r="A339" s="414" t="s">
        <v>565</v>
      </c>
      <c r="B339" s="457">
        <v>0</v>
      </c>
      <c r="C339" s="457">
        <v>0</v>
      </c>
      <c r="D339" s="457">
        <v>0</v>
      </c>
      <c r="E339" s="457">
        <v>0</v>
      </c>
      <c r="F339" s="457">
        <v>0</v>
      </c>
      <c r="G339" s="457">
        <v>0</v>
      </c>
      <c r="H339" s="457">
        <v>0</v>
      </c>
      <c r="I339" s="457">
        <v>0</v>
      </c>
      <c r="J339" s="457">
        <v>0</v>
      </c>
      <c r="K339" s="457">
        <v>0</v>
      </c>
      <c r="L339" s="457">
        <v>0</v>
      </c>
      <c r="M339" s="457">
        <v>0</v>
      </c>
      <c r="N339" s="457">
        <v>0</v>
      </c>
      <c r="O339" s="457">
        <v>0</v>
      </c>
      <c r="P339" s="457">
        <v>0</v>
      </c>
      <c r="Q339" s="457">
        <v>0</v>
      </c>
      <c r="R339" s="457">
        <v>0</v>
      </c>
      <c r="S339" s="457">
        <v>0</v>
      </c>
      <c r="T339" s="410" t="e">
        <v>#DIV/0!</v>
      </c>
      <c r="U339" s="285">
        <v>0</v>
      </c>
      <c r="V339" s="285">
        <v>0</v>
      </c>
      <c r="W339" s="285">
        <v>0</v>
      </c>
      <c r="X339" s="285">
        <v>0</v>
      </c>
      <c r="Y339" s="285">
        <v>0</v>
      </c>
      <c r="Z339" s="285">
        <v>0</v>
      </c>
    </row>
    <row r="340" spans="1:26" x14ac:dyDescent="0.2">
      <c r="A340" s="412" t="s">
        <v>1257</v>
      </c>
      <c r="B340" s="457">
        <v>0</v>
      </c>
      <c r="C340" s="457">
        <v>0</v>
      </c>
      <c r="D340" s="457">
        <v>0</v>
      </c>
      <c r="E340" s="457">
        <v>0</v>
      </c>
      <c r="F340" s="457">
        <v>0</v>
      </c>
      <c r="G340" s="457">
        <v>0</v>
      </c>
      <c r="H340" s="457">
        <v>0</v>
      </c>
      <c r="I340" s="457">
        <v>0</v>
      </c>
      <c r="J340" s="457">
        <v>0</v>
      </c>
      <c r="K340" s="457">
        <v>0</v>
      </c>
      <c r="L340" s="457">
        <v>0</v>
      </c>
      <c r="M340" s="457">
        <v>0</v>
      </c>
      <c r="N340" s="457">
        <v>0</v>
      </c>
      <c r="O340" s="457">
        <v>0</v>
      </c>
      <c r="P340" s="457">
        <v>0</v>
      </c>
      <c r="Q340" s="457">
        <v>0</v>
      </c>
      <c r="R340" s="457">
        <v>0</v>
      </c>
      <c r="S340" s="457">
        <v>0</v>
      </c>
      <c r="T340" s="410" t="e">
        <v>#DIV/0!</v>
      </c>
      <c r="U340" s="285">
        <v>0</v>
      </c>
      <c r="V340" s="285">
        <v>0</v>
      </c>
      <c r="W340" s="285">
        <v>0</v>
      </c>
      <c r="X340" s="285">
        <v>0</v>
      </c>
      <c r="Y340" s="285">
        <v>0</v>
      </c>
      <c r="Z340" s="285">
        <v>0</v>
      </c>
    </row>
    <row r="341" spans="1:26" x14ac:dyDescent="0.2">
      <c r="A341" s="414" t="s">
        <v>1259</v>
      </c>
      <c r="B341" s="457">
        <v>0</v>
      </c>
      <c r="C341" s="457">
        <v>0</v>
      </c>
      <c r="D341" s="457">
        <v>0</v>
      </c>
      <c r="E341" s="457">
        <v>0</v>
      </c>
      <c r="F341" s="457">
        <v>0</v>
      </c>
      <c r="G341" s="457">
        <v>0</v>
      </c>
      <c r="H341" s="457">
        <v>0</v>
      </c>
      <c r="I341" s="457">
        <v>0</v>
      </c>
      <c r="J341" s="457">
        <v>0</v>
      </c>
      <c r="K341" s="457">
        <v>0</v>
      </c>
      <c r="L341" s="457">
        <v>0</v>
      </c>
      <c r="M341" s="457">
        <v>0</v>
      </c>
      <c r="N341" s="457">
        <v>0</v>
      </c>
      <c r="O341" s="457">
        <v>0</v>
      </c>
      <c r="P341" s="457">
        <v>0</v>
      </c>
      <c r="Q341" s="457">
        <v>0</v>
      </c>
      <c r="R341" s="457">
        <v>0</v>
      </c>
      <c r="S341" s="457">
        <v>0</v>
      </c>
      <c r="T341" s="410" t="e">
        <v>#DIV/0!</v>
      </c>
      <c r="U341" s="285">
        <v>0</v>
      </c>
      <c r="V341" s="285">
        <v>0</v>
      </c>
      <c r="W341" s="285">
        <v>0</v>
      </c>
      <c r="X341" s="285">
        <v>0</v>
      </c>
      <c r="Y341" s="285">
        <v>0</v>
      </c>
      <c r="Z341" s="285">
        <v>0</v>
      </c>
    </row>
    <row r="342" spans="1:26" x14ac:dyDescent="0.2">
      <c r="A342" s="414" t="s">
        <v>1261</v>
      </c>
      <c r="B342" s="457">
        <v>0</v>
      </c>
      <c r="C342" s="457">
        <v>0</v>
      </c>
      <c r="D342" s="457">
        <v>0</v>
      </c>
      <c r="E342" s="457">
        <v>0</v>
      </c>
      <c r="F342" s="457">
        <v>0</v>
      </c>
      <c r="G342" s="457">
        <v>0</v>
      </c>
      <c r="H342" s="457">
        <v>0</v>
      </c>
      <c r="I342" s="457">
        <v>0</v>
      </c>
      <c r="J342" s="457">
        <v>0</v>
      </c>
      <c r="K342" s="457">
        <v>0</v>
      </c>
      <c r="L342" s="457">
        <v>0</v>
      </c>
      <c r="M342" s="457">
        <v>0</v>
      </c>
      <c r="N342" s="457">
        <v>0</v>
      </c>
      <c r="O342" s="457">
        <v>0</v>
      </c>
      <c r="P342" s="457">
        <v>0</v>
      </c>
      <c r="Q342" s="457">
        <v>0</v>
      </c>
      <c r="R342" s="457">
        <v>0</v>
      </c>
      <c r="S342" s="457">
        <v>0</v>
      </c>
      <c r="T342" s="410" t="e">
        <v>#DIV/0!</v>
      </c>
      <c r="U342" s="285">
        <v>0</v>
      </c>
      <c r="V342" s="285">
        <v>0</v>
      </c>
      <c r="W342" s="285">
        <v>0</v>
      </c>
      <c r="X342" s="285">
        <v>0</v>
      </c>
      <c r="Y342" s="285">
        <v>0</v>
      </c>
      <c r="Z342" s="285">
        <v>0</v>
      </c>
    </row>
    <row r="343" spans="1:26" x14ac:dyDescent="0.2">
      <c r="A343" s="412" t="s">
        <v>566</v>
      </c>
      <c r="B343" s="457">
        <v>0</v>
      </c>
      <c r="C343" s="457">
        <v>0</v>
      </c>
      <c r="D343" s="457">
        <v>0</v>
      </c>
      <c r="E343" s="457">
        <v>0</v>
      </c>
      <c r="F343" s="457">
        <v>0</v>
      </c>
      <c r="G343" s="457">
        <v>0</v>
      </c>
      <c r="H343" s="457">
        <v>0</v>
      </c>
      <c r="I343" s="457">
        <v>0</v>
      </c>
      <c r="J343" s="457">
        <v>0</v>
      </c>
      <c r="K343" s="457">
        <v>0</v>
      </c>
      <c r="L343" s="457">
        <v>0</v>
      </c>
      <c r="M343" s="457">
        <v>0</v>
      </c>
      <c r="N343" s="457">
        <v>0</v>
      </c>
      <c r="O343" s="457">
        <v>0</v>
      </c>
      <c r="P343" s="457">
        <v>0</v>
      </c>
      <c r="Q343" s="457">
        <v>0</v>
      </c>
      <c r="R343" s="457">
        <v>0</v>
      </c>
      <c r="S343" s="457">
        <v>0</v>
      </c>
      <c r="T343" s="410" t="e">
        <v>#DIV/0!</v>
      </c>
      <c r="U343" s="285">
        <v>0</v>
      </c>
      <c r="V343" s="285">
        <v>0</v>
      </c>
      <c r="W343" s="285">
        <v>0</v>
      </c>
      <c r="X343" s="285">
        <v>0</v>
      </c>
      <c r="Y343" s="285">
        <v>0</v>
      </c>
      <c r="Z343" s="285">
        <v>0</v>
      </c>
    </row>
    <row r="344" spans="1:26" x14ac:dyDescent="0.2">
      <c r="A344" s="412" t="s">
        <v>567</v>
      </c>
      <c r="B344" s="457">
        <v>0</v>
      </c>
      <c r="C344" s="457">
        <v>0</v>
      </c>
      <c r="D344" s="457">
        <v>0</v>
      </c>
      <c r="E344" s="457">
        <v>0</v>
      </c>
      <c r="F344" s="457">
        <v>0</v>
      </c>
      <c r="G344" s="457">
        <v>0</v>
      </c>
      <c r="H344" s="457">
        <v>0</v>
      </c>
      <c r="I344" s="457">
        <v>0</v>
      </c>
      <c r="J344" s="457">
        <v>0</v>
      </c>
      <c r="K344" s="457">
        <v>0</v>
      </c>
      <c r="L344" s="457">
        <v>0</v>
      </c>
      <c r="M344" s="457">
        <v>0</v>
      </c>
      <c r="N344" s="457">
        <v>0</v>
      </c>
      <c r="O344" s="457">
        <v>0</v>
      </c>
      <c r="P344" s="457">
        <v>0</v>
      </c>
      <c r="Q344" s="457">
        <v>0</v>
      </c>
      <c r="R344" s="457">
        <v>0</v>
      </c>
      <c r="S344" s="457">
        <v>0</v>
      </c>
      <c r="T344" s="410" t="e">
        <v>#DIV/0!</v>
      </c>
      <c r="U344" s="285">
        <v>0</v>
      </c>
      <c r="V344" s="285">
        <v>0</v>
      </c>
      <c r="W344" s="285">
        <v>0</v>
      </c>
      <c r="X344" s="285">
        <v>0</v>
      </c>
      <c r="Y344" s="285">
        <v>0</v>
      </c>
      <c r="Z344" s="285">
        <v>0</v>
      </c>
    </row>
    <row r="345" spans="1:26" x14ac:dyDescent="0.2">
      <c r="A345" s="404" t="s">
        <v>568</v>
      </c>
      <c r="B345" s="448">
        <v>0</v>
      </c>
      <c r="C345" s="448">
        <v>0</v>
      </c>
      <c r="D345" s="448">
        <v>0</v>
      </c>
      <c r="E345" s="448">
        <v>0</v>
      </c>
      <c r="F345" s="448">
        <v>0</v>
      </c>
      <c r="G345" s="448">
        <v>0</v>
      </c>
      <c r="H345" s="448">
        <v>0</v>
      </c>
      <c r="I345" s="448">
        <v>0</v>
      </c>
      <c r="J345" s="448">
        <v>0</v>
      </c>
      <c r="K345" s="448">
        <v>0</v>
      </c>
      <c r="L345" s="448">
        <v>0</v>
      </c>
      <c r="M345" s="448">
        <v>0</v>
      </c>
      <c r="N345" s="448">
        <v>0</v>
      </c>
      <c r="O345" s="448">
        <v>0</v>
      </c>
      <c r="P345" s="448">
        <v>0</v>
      </c>
      <c r="Q345" s="448">
        <v>0</v>
      </c>
      <c r="R345" s="448">
        <v>0</v>
      </c>
      <c r="S345" s="448">
        <v>0</v>
      </c>
      <c r="T345" s="407" t="e">
        <v>#DIV/0!</v>
      </c>
      <c r="U345" s="406">
        <v>0</v>
      </c>
      <c r="V345" s="406">
        <v>0</v>
      </c>
      <c r="W345" s="406">
        <v>0</v>
      </c>
      <c r="X345" s="406">
        <v>0</v>
      </c>
      <c r="Y345" s="406">
        <v>0</v>
      </c>
      <c r="Z345" s="406">
        <v>0</v>
      </c>
    </row>
    <row r="346" spans="1:26" x14ac:dyDescent="0.2">
      <c r="A346" s="412" t="s">
        <v>569</v>
      </c>
      <c r="B346" s="457">
        <v>0</v>
      </c>
      <c r="C346" s="457">
        <v>0</v>
      </c>
      <c r="D346" s="457">
        <v>0</v>
      </c>
      <c r="E346" s="457">
        <v>0</v>
      </c>
      <c r="F346" s="457">
        <v>0</v>
      </c>
      <c r="G346" s="457">
        <v>0</v>
      </c>
      <c r="H346" s="457">
        <v>0</v>
      </c>
      <c r="I346" s="457">
        <v>0</v>
      </c>
      <c r="J346" s="457">
        <v>0</v>
      </c>
      <c r="K346" s="457">
        <v>0</v>
      </c>
      <c r="L346" s="457">
        <v>0</v>
      </c>
      <c r="M346" s="457">
        <v>0</v>
      </c>
      <c r="N346" s="457">
        <v>0</v>
      </c>
      <c r="O346" s="457">
        <v>0</v>
      </c>
      <c r="P346" s="457">
        <v>0</v>
      </c>
      <c r="Q346" s="457">
        <v>0</v>
      </c>
      <c r="R346" s="457">
        <v>0</v>
      </c>
      <c r="S346" s="457">
        <v>0</v>
      </c>
      <c r="T346" s="410" t="e">
        <v>#DIV/0!</v>
      </c>
      <c r="U346" s="285">
        <v>0</v>
      </c>
      <c r="V346" s="285">
        <v>0</v>
      </c>
      <c r="W346" s="285">
        <v>0</v>
      </c>
      <c r="X346" s="285">
        <v>0</v>
      </c>
      <c r="Y346" s="285">
        <v>0</v>
      </c>
      <c r="Z346" s="285">
        <v>0</v>
      </c>
    </row>
    <row r="347" spans="1:26" ht="24" x14ac:dyDescent="0.2">
      <c r="A347" s="412" t="s">
        <v>570</v>
      </c>
      <c r="B347" s="457">
        <v>0</v>
      </c>
      <c r="C347" s="457">
        <v>0</v>
      </c>
      <c r="D347" s="457">
        <v>0</v>
      </c>
      <c r="E347" s="457">
        <v>0</v>
      </c>
      <c r="F347" s="457">
        <v>0</v>
      </c>
      <c r="G347" s="457">
        <v>0</v>
      </c>
      <c r="H347" s="457">
        <v>0</v>
      </c>
      <c r="I347" s="457">
        <v>0</v>
      </c>
      <c r="J347" s="457">
        <v>0</v>
      </c>
      <c r="K347" s="457">
        <v>0</v>
      </c>
      <c r="L347" s="457">
        <v>0</v>
      </c>
      <c r="M347" s="457">
        <v>0</v>
      </c>
      <c r="N347" s="457">
        <v>0</v>
      </c>
      <c r="O347" s="457">
        <v>0</v>
      </c>
      <c r="P347" s="457">
        <v>0</v>
      </c>
      <c r="Q347" s="457">
        <v>0</v>
      </c>
      <c r="R347" s="457">
        <v>0</v>
      </c>
      <c r="S347" s="457">
        <v>0</v>
      </c>
      <c r="T347" s="410" t="e">
        <v>#DIV/0!</v>
      </c>
      <c r="U347" s="285">
        <v>0</v>
      </c>
      <c r="V347" s="285">
        <v>0</v>
      </c>
      <c r="W347" s="285">
        <v>0</v>
      </c>
      <c r="X347" s="285">
        <v>0</v>
      </c>
      <c r="Y347" s="285">
        <v>0</v>
      </c>
      <c r="Z347" s="285">
        <v>0</v>
      </c>
    </row>
    <row r="348" spans="1:26" ht="24" x14ac:dyDescent="0.2">
      <c r="A348" s="412" t="s">
        <v>571</v>
      </c>
      <c r="B348" s="457">
        <v>0</v>
      </c>
      <c r="C348" s="457">
        <v>0</v>
      </c>
      <c r="D348" s="457">
        <v>0</v>
      </c>
      <c r="E348" s="457">
        <v>0</v>
      </c>
      <c r="F348" s="457">
        <v>0</v>
      </c>
      <c r="G348" s="457">
        <v>0</v>
      </c>
      <c r="H348" s="457">
        <v>0</v>
      </c>
      <c r="I348" s="457">
        <v>0</v>
      </c>
      <c r="J348" s="457">
        <v>0</v>
      </c>
      <c r="K348" s="457">
        <v>0</v>
      </c>
      <c r="L348" s="457">
        <v>0</v>
      </c>
      <c r="M348" s="457">
        <v>0</v>
      </c>
      <c r="N348" s="457">
        <v>0</v>
      </c>
      <c r="O348" s="457">
        <v>0</v>
      </c>
      <c r="P348" s="457">
        <v>0</v>
      </c>
      <c r="Q348" s="457">
        <v>0</v>
      </c>
      <c r="R348" s="457">
        <v>0</v>
      </c>
      <c r="S348" s="457">
        <v>0</v>
      </c>
      <c r="T348" s="410" t="e">
        <v>#DIV/0!</v>
      </c>
      <c r="U348" s="285">
        <v>0</v>
      </c>
      <c r="V348" s="285">
        <v>0</v>
      </c>
      <c r="W348" s="285">
        <v>0</v>
      </c>
      <c r="X348" s="285">
        <v>0</v>
      </c>
      <c r="Y348" s="285">
        <v>0</v>
      </c>
      <c r="Z348" s="285">
        <v>0</v>
      </c>
    </row>
    <row r="349" spans="1:26" x14ac:dyDescent="0.2">
      <c r="A349" s="404" t="s">
        <v>572</v>
      </c>
      <c r="B349" s="448">
        <v>104250000</v>
      </c>
      <c r="C349" s="448">
        <v>104250000</v>
      </c>
      <c r="D349" s="448">
        <v>104250000</v>
      </c>
      <c r="E349" s="448">
        <v>70606713.258999988</v>
      </c>
      <c r="F349" s="448">
        <v>70294130.858999997</v>
      </c>
      <c r="G349" s="448">
        <v>985188.02</v>
      </c>
      <c r="H349" s="448">
        <v>997291.91999999993</v>
      </c>
      <c r="I349" s="448">
        <v>22053543.699999996</v>
      </c>
      <c r="J349" s="448">
        <v>1025822.88</v>
      </c>
      <c r="K349" s="448">
        <v>974895.32</v>
      </c>
      <c r="L349" s="448">
        <v>20995566.375</v>
      </c>
      <c r="M349" s="448">
        <v>963796.19000000006</v>
      </c>
      <c r="N349" s="448">
        <v>869250.5</v>
      </c>
      <c r="O349" s="448">
        <v>21398415.954</v>
      </c>
      <c r="P349" s="448">
        <v>0</v>
      </c>
      <c r="Q349" s="448">
        <v>0</v>
      </c>
      <c r="R349" s="448">
        <v>0</v>
      </c>
      <c r="S349" s="448">
        <v>70263770.858999997</v>
      </c>
      <c r="T349" s="407">
        <v>0.67399300584172661</v>
      </c>
      <c r="U349" s="406">
        <v>33986229.141000003</v>
      </c>
      <c r="V349" s="406">
        <v>0</v>
      </c>
      <c r="W349" s="406">
        <v>33643286.741000012</v>
      </c>
      <c r="X349" s="406">
        <v>33643286.741000012</v>
      </c>
      <c r="Y349" s="406">
        <v>312582.39999999106</v>
      </c>
      <c r="Z349" s="406">
        <v>30360</v>
      </c>
    </row>
    <row r="350" spans="1:26" ht="24" x14ac:dyDescent="0.2">
      <c r="A350" s="412" t="s">
        <v>573</v>
      </c>
      <c r="B350" s="457">
        <v>8083440</v>
      </c>
      <c r="C350" s="457">
        <v>8903440</v>
      </c>
      <c r="D350" s="457">
        <v>8903440</v>
      </c>
      <c r="E350" s="457">
        <v>7097978.7999999998</v>
      </c>
      <c r="F350" s="457">
        <v>7004199.8499999996</v>
      </c>
      <c r="G350" s="457">
        <v>868100</v>
      </c>
      <c r="H350" s="457">
        <v>88800</v>
      </c>
      <c r="I350" s="457">
        <v>1733040</v>
      </c>
      <c r="J350" s="457">
        <v>88920</v>
      </c>
      <c r="K350" s="457">
        <v>85620</v>
      </c>
      <c r="L350" s="457">
        <v>1671000</v>
      </c>
      <c r="M350" s="457">
        <v>816340</v>
      </c>
      <c r="N350" s="457">
        <v>-10738.949999999997</v>
      </c>
      <c r="O350" s="457">
        <v>1663118.8</v>
      </c>
      <c r="P350" s="457">
        <v>0</v>
      </c>
      <c r="Q350" s="457">
        <v>0</v>
      </c>
      <c r="R350" s="457">
        <v>0</v>
      </c>
      <c r="S350" s="457">
        <v>7004199.8499999996</v>
      </c>
      <c r="T350" s="410">
        <v>0.78668468030334338</v>
      </c>
      <c r="U350" s="285">
        <v>1899240.1500000004</v>
      </c>
      <c r="V350" s="285">
        <v>0</v>
      </c>
      <c r="W350" s="285">
        <v>1805461.2000000002</v>
      </c>
      <c r="X350" s="285">
        <v>1805461.2000000002</v>
      </c>
      <c r="Y350" s="285">
        <v>93778.950000000186</v>
      </c>
      <c r="Z350" s="285">
        <v>0</v>
      </c>
    </row>
    <row r="351" spans="1:26" ht="24" customHeight="1" x14ac:dyDescent="0.2">
      <c r="A351" s="412" t="s">
        <v>574</v>
      </c>
      <c r="B351" s="457">
        <v>95646560</v>
      </c>
      <c r="C351" s="457">
        <v>94626560</v>
      </c>
      <c r="D351" s="457">
        <v>94626560</v>
      </c>
      <c r="E351" s="457">
        <v>63104338.700000003</v>
      </c>
      <c r="F351" s="457">
        <v>62886293.560000002</v>
      </c>
      <c r="G351" s="457">
        <v>88980</v>
      </c>
      <c r="H351" s="457">
        <v>868160</v>
      </c>
      <c r="I351" s="457">
        <v>20266141.149999999</v>
      </c>
      <c r="J351" s="457">
        <v>890282</v>
      </c>
      <c r="K351" s="457">
        <v>843780</v>
      </c>
      <c r="L351" s="457">
        <v>19277897.710000001</v>
      </c>
      <c r="M351" s="457">
        <v>100880</v>
      </c>
      <c r="N351" s="457">
        <v>832366</v>
      </c>
      <c r="O351" s="457">
        <v>19687446.699999999</v>
      </c>
      <c r="P351" s="457">
        <v>0</v>
      </c>
      <c r="Q351" s="457">
        <v>0</v>
      </c>
      <c r="R351" s="457">
        <v>0</v>
      </c>
      <c r="S351" s="457">
        <v>62855933.560000002</v>
      </c>
      <c r="T351" s="410">
        <v>0.6642525476990816</v>
      </c>
      <c r="U351" s="285">
        <v>31770626.439999998</v>
      </c>
      <c r="V351" s="285">
        <v>0</v>
      </c>
      <c r="W351" s="285">
        <v>31522221.299999997</v>
      </c>
      <c r="X351" s="285">
        <v>31522221.299999997</v>
      </c>
      <c r="Y351" s="285">
        <v>218045.1400000006</v>
      </c>
      <c r="Z351" s="285">
        <v>30360</v>
      </c>
    </row>
    <row r="352" spans="1:26" x14ac:dyDescent="0.2">
      <c r="A352" s="412" t="s">
        <v>575</v>
      </c>
      <c r="B352" s="457">
        <v>156000</v>
      </c>
      <c r="C352" s="457">
        <v>18000</v>
      </c>
      <c r="D352" s="457">
        <v>18000</v>
      </c>
      <c r="E352" s="457">
        <v>9147.6149999999998</v>
      </c>
      <c r="F352" s="457">
        <v>9147.6149999999998</v>
      </c>
      <c r="G352" s="457">
        <v>860.83999999999992</v>
      </c>
      <c r="H352" s="457">
        <v>860.83999999999992</v>
      </c>
      <c r="I352" s="457">
        <v>848.99</v>
      </c>
      <c r="J352" s="457">
        <v>848.99</v>
      </c>
      <c r="K352" s="457">
        <v>1070.5</v>
      </c>
      <c r="L352" s="457">
        <v>1354.8249999999998</v>
      </c>
      <c r="M352" s="457">
        <v>1131.04</v>
      </c>
      <c r="N352" s="457">
        <v>1156.2599999999998</v>
      </c>
      <c r="O352" s="457">
        <v>1015.3299999999999</v>
      </c>
      <c r="P352" s="457">
        <v>0</v>
      </c>
      <c r="Q352" s="457">
        <v>0</v>
      </c>
      <c r="R352" s="457">
        <v>0</v>
      </c>
      <c r="S352" s="457">
        <v>9147.6149999999998</v>
      </c>
      <c r="T352" s="410">
        <v>0.50820083333333332</v>
      </c>
      <c r="U352" s="285">
        <v>8852.3850000000002</v>
      </c>
      <c r="V352" s="285">
        <v>0</v>
      </c>
      <c r="W352" s="285">
        <v>8852.3850000000002</v>
      </c>
      <c r="X352" s="285">
        <v>8852.3850000000002</v>
      </c>
      <c r="Y352" s="285">
        <v>0</v>
      </c>
      <c r="Z352" s="285">
        <v>0</v>
      </c>
    </row>
    <row r="353" spans="1:26" x14ac:dyDescent="0.2">
      <c r="A353" s="412" t="s">
        <v>576</v>
      </c>
      <c r="B353" s="457">
        <v>364000</v>
      </c>
      <c r="C353" s="457">
        <v>702000</v>
      </c>
      <c r="D353" s="457">
        <v>702000</v>
      </c>
      <c r="E353" s="457">
        <v>395248.14400000003</v>
      </c>
      <c r="F353" s="457">
        <v>394489.83400000003</v>
      </c>
      <c r="G353" s="457">
        <v>27247.18</v>
      </c>
      <c r="H353" s="457">
        <v>39471.08</v>
      </c>
      <c r="I353" s="457">
        <v>53513.56</v>
      </c>
      <c r="J353" s="457">
        <v>45771.890000000007</v>
      </c>
      <c r="K353" s="457">
        <v>44424.82</v>
      </c>
      <c r="L353" s="457">
        <v>45313.84</v>
      </c>
      <c r="M353" s="457">
        <v>45445.149999999994</v>
      </c>
      <c r="N353" s="457">
        <v>46467.189999999995</v>
      </c>
      <c r="O353" s="457">
        <v>46835.123999999996</v>
      </c>
      <c r="P353" s="457">
        <v>0</v>
      </c>
      <c r="Q353" s="457">
        <v>0</v>
      </c>
      <c r="R353" s="457">
        <v>0</v>
      </c>
      <c r="S353" s="457">
        <v>394489.83400000003</v>
      </c>
      <c r="T353" s="410">
        <v>0.56195133048433055</v>
      </c>
      <c r="U353" s="285">
        <v>307510.16599999997</v>
      </c>
      <c r="V353" s="285">
        <v>0</v>
      </c>
      <c r="W353" s="285">
        <v>306751.85599999997</v>
      </c>
      <c r="X353" s="285">
        <v>306751.85599999997</v>
      </c>
      <c r="Y353" s="285">
        <v>758.30999999999767</v>
      </c>
      <c r="Z353" s="285">
        <v>0</v>
      </c>
    </row>
    <row r="354" spans="1:26" x14ac:dyDescent="0.2">
      <c r="A354" s="412" t="s">
        <v>577</v>
      </c>
      <c r="B354" s="457">
        <v>0</v>
      </c>
      <c r="C354" s="457">
        <v>0</v>
      </c>
      <c r="D354" s="457">
        <v>0</v>
      </c>
      <c r="E354" s="457">
        <v>0</v>
      </c>
      <c r="F354" s="457">
        <v>0</v>
      </c>
      <c r="G354" s="457">
        <v>0</v>
      </c>
      <c r="H354" s="457">
        <v>0</v>
      </c>
      <c r="I354" s="457">
        <v>0</v>
      </c>
      <c r="J354" s="457">
        <v>0</v>
      </c>
      <c r="K354" s="457">
        <v>0</v>
      </c>
      <c r="L354" s="457">
        <v>0</v>
      </c>
      <c r="M354" s="457">
        <v>0</v>
      </c>
      <c r="N354" s="457">
        <v>0</v>
      </c>
      <c r="O354" s="457">
        <v>0</v>
      </c>
      <c r="P354" s="457">
        <v>0</v>
      </c>
      <c r="Q354" s="457">
        <v>0</v>
      </c>
      <c r="R354" s="457">
        <v>0</v>
      </c>
      <c r="S354" s="457">
        <v>0</v>
      </c>
      <c r="T354" s="410" t="e">
        <v>#DIV/0!</v>
      </c>
      <c r="U354" s="285">
        <v>0</v>
      </c>
      <c r="V354" s="285">
        <v>0</v>
      </c>
      <c r="W354" s="285">
        <v>0</v>
      </c>
      <c r="X354" s="285">
        <v>0</v>
      </c>
      <c r="Y354" s="285">
        <v>0</v>
      </c>
      <c r="Z354" s="285">
        <v>0</v>
      </c>
    </row>
    <row r="355" spans="1:26" ht="24" x14ac:dyDescent="0.2">
      <c r="A355" s="412" t="s">
        <v>578</v>
      </c>
      <c r="B355" s="457">
        <v>0</v>
      </c>
      <c r="C355" s="457">
        <v>0</v>
      </c>
      <c r="D355" s="457">
        <v>0</v>
      </c>
      <c r="E355" s="457">
        <v>0</v>
      </c>
      <c r="F355" s="457">
        <v>0</v>
      </c>
      <c r="G355" s="457">
        <v>0</v>
      </c>
      <c r="H355" s="457">
        <v>0</v>
      </c>
      <c r="I355" s="457">
        <v>0</v>
      </c>
      <c r="J355" s="457">
        <v>0</v>
      </c>
      <c r="K355" s="457">
        <v>0</v>
      </c>
      <c r="L355" s="457">
        <v>0</v>
      </c>
      <c r="M355" s="457">
        <v>0</v>
      </c>
      <c r="N355" s="457">
        <v>0</v>
      </c>
      <c r="O355" s="457">
        <v>0</v>
      </c>
      <c r="P355" s="457">
        <v>0</v>
      </c>
      <c r="Q355" s="457">
        <v>0</v>
      </c>
      <c r="R355" s="457">
        <v>0</v>
      </c>
      <c r="S355" s="457">
        <v>0</v>
      </c>
      <c r="T355" s="410" t="e">
        <v>#DIV/0!</v>
      </c>
      <c r="U355" s="285">
        <v>0</v>
      </c>
      <c r="V355" s="285">
        <v>0</v>
      </c>
      <c r="W355" s="285">
        <v>0</v>
      </c>
      <c r="X355" s="285">
        <v>0</v>
      </c>
      <c r="Y355" s="285">
        <v>0</v>
      </c>
      <c r="Z355" s="285">
        <v>0</v>
      </c>
    </row>
    <row r="356" spans="1:26" x14ac:dyDescent="0.2">
      <c r="A356" s="412" t="s">
        <v>579</v>
      </c>
      <c r="B356" s="457">
        <v>0</v>
      </c>
      <c r="C356" s="457">
        <v>0</v>
      </c>
      <c r="D356" s="457">
        <v>0</v>
      </c>
      <c r="E356" s="457">
        <v>0</v>
      </c>
      <c r="F356" s="457">
        <v>0</v>
      </c>
      <c r="G356" s="457">
        <v>0</v>
      </c>
      <c r="H356" s="457">
        <v>0</v>
      </c>
      <c r="I356" s="457">
        <v>0</v>
      </c>
      <c r="J356" s="457">
        <v>0</v>
      </c>
      <c r="K356" s="457">
        <v>0</v>
      </c>
      <c r="L356" s="457">
        <v>0</v>
      </c>
      <c r="M356" s="457">
        <v>0</v>
      </c>
      <c r="N356" s="457">
        <v>0</v>
      </c>
      <c r="O356" s="457">
        <v>0</v>
      </c>
      <c r="P356" s="457">
        <v>0</v>
      </c>
      <c r="Q356" s="457">
        <v>0</v>
      </c>
      <c r="R356" s="457">
        <v>0</v>
      </c>
      <c r="S356" s="457">
        <v>0</v>
      </c>
      <c r="T356" s="410" t="e">
        <v>#DIV/0!</v>
      </c>
      <c r="U356" s="285">
        <v>0</v>
      </c>
      <c r="V356" s="285">
        <v>0</v>
      </c>
      <c r="W356" s="285">
        <v>0</v>
      </c>
      <c r="X356" s="285">
        <v>0</v>
      </c>
      <c r="Y356" s="285">
        <v>0</v>
      </c>
      <c r="Z356" s="285">
        <v>0</v>
      </c>
    </row>
    <row r="357" spans="1:26" x14ac:dyDescent="0.2">
      <c r="A357" s="412" t="s">
        <v>580</v>
      </c>
      <c r="B357" s="457">
        <v>0</v>
      </c>
      <c r="C357" s="457">
        <v>0</v>
      </c>
      <c r="D357" s="457">
        <v>0</v>
      </c>
      <c r="E357" s="457">
        <v>0</v>
      </c>
      <c r="F357" s="457">
        <v>0</v>
      </c>
      <c r="G357" s="457">
        <v>0</v>
      </c>
      <c r="H357" s="457">
        <v>0</v>
      </c>
      <c r="I357" s="457">
        <v>0</v>
      </c>
      <c r="J357" s="457">
        <v>0</v>
      </c>
      <c r="K357" s="457">
        <v>0</v>
      </c>
      <c r="L357" s="457">
        <v>0</v>
      </c>
      <c r="M357" s="457">
        <v>0</v>
      </c>
      <c r="N357" s="457">
        <v>0</v>
      </c>
      <c r="O357" s="457">
        <v>0</v>
      </c>
      <c r="P357" s="457">
        <v>0</v>
      </c>
      <c r="Q357" s="457">
        <v>0</v>
      </c>
      <c r="R357" s="457">
        <v>0</v>
      </c>
      <c r="S357" s="457">
        <v>0</v>
      </c>
      <c r="T357" s="410" t="e">
        <v>#DIV/0!</v>
      </c>
      <c r="U357" s="285">
        <v>0</v>
      </c>
      <c r="V357" s="285">
        <v>0</v>
      </c>
      <c r="W357" s="285">
        <v>0</v>
      </c>
      <c r="X357" s="285">
        <v>0</v>
      </c>
      <c r="Y357" s="285">
        <v>0</v>
      </c>
      <c r="Z357" s="285">
        <v>0</v>
      </c>
    </row>
    <row r="358" spans="1:26" x14ac:dyDescent="0.2">
      <c r="A358" s="412" t="s">
        <v>581</v>
      </c>
      <c r="B358" s="457">
        <v>0</v>
      </c>
      <c r="C358" s="457">
        <v>0</v>
      </c>
      <c r="D358" s="457">
        <v>0</v>
      </c>
      <c r="E358" s="457">
        <v>0</v>
      </c>
      <c r="F358" s="457">
        <v>0</v>
      </c>
      <c r="G358" s="457">
        <v>0</v>
      </c>
      <c r="H358" s="457">
        <v>0</v>
      </c>
      <c r="I358" s="457">
        <v>0</v>
      </c>
      <c r="J358" s="457">
        <v>0</v>
      </c>
      <c r="K358" s="457">
        <v>0</v>
      </c>
      <c r="L358" s="457">
        <v>0</v>
      </c>
      <c r="M358" s="457">
        <v>0</v>
      </c>
      <c r="N358" s="457">
        <v>0</v>
      </c>
      <c r="O358" s="457">
        <v>0</v>
      </c>
      <c r="P358" s="457">
        <v>0</v>
      </c>
      <c r="Q358" s="457">
        <v>0</v>
      </c>
      <c r="R358" s="457">
        <v>0</v>
      </c>
      <c r="S358" s="457">
        <v>0</v>
      </c>
      <c r="T358" s="410" t="e">
        <v>#DIV/0!</v>
      </c>
      <c r="U358" s="285">
        <v>0</v>
      </c>
      <c r="V358" s="285">
        <v>0</v>
      </c>
      <c r="W358" s="285">
        <v>0</v>
      </c>
      <c r="X358" s="285">
        <v>0</v>
      </c>
      <c r="Y358" s="285">
        <v>0</v>
      </c>
      <c r="Z358" s="285">
        <v>0</v>
      </c>
    </row>
    <row r="359" spans="1:26" x14ac:dyDescent="0.2">
      <c r="A359" s="412" t="s">
        <v>582</v>
      </c>
      <c r="B359" s="457">
        <v>0</v>
      </c>
      <c r="C359" s="457">
        <v>0</v>
      </c>
      <c r="D359" s="457">
        <v>0</v>
      </c>
      <c r="E359" s="457">
        <v>0</v>
      </c>
      <c r="F359" s="457">
        <v>0</v>
      </c>
      <c r="G359" s="457">
        <v>0</v>
      </c>
      <c r="H359" s="457">
        <v>0</v>
      </c>
      <c r="I359" s="457">
        <v>0</v>
      </c>
      <c r="J359" s="457">
        <v>0</v>
      </c>
      <c r="K359" s="457">
        <v>0</v>
      </c>
      <c r="L359" s="457">
        <v>0</v>
      </c>
      <c r="M359" s="457">
        <v>0</v>
      </c>
      <c r="N359" s="457">
        <v>0</v>
      </c>
      <c r="O359" s="457">
        <v>0</v>
      </c>
      <c r="P359" s="457">
        <v>0</v>
      </c>
      <c r="Q359" s="457">
        <v>0</v>
      </c>
      <c r="R359" s="457">
        <v>0</v>
      </c>
      <c r="S359" s="457">
        <v>0</v>
      </c>
      <c r="T359" s="410" t="e">
        <v>#DIV/0!</v>
      </c>
      <c r="U359" s="285">
        <v>0</v>
      </c>
      <c r="V359" s="285">
        <v>0</v>
      </c>
      <c r="W359" s="285">
        <v>0</v>
      </c>
      <c r="X359" s="285">
        <v>0</v>
      </c>
      <c r="Y359" s="285">
        <v>0</v>
      </c>
      <c r="Z359" s="285">
        <v>0</v>
      </c>
    </row>
    <row r="360" spans="1:26" x14ac:dyDescent="0.2">
      <c r="A360" s="412" t="s">
        <v>583</v>
      </c>
      <c r="B360" s="457">
        <v>0</v>
      </c>
      <c r="C360" s="457">
        <v>0</v>
      </c>
      <c r="D360" s="457">
        <v>0</v>
      </c>
      <c r="E360" s="457">
        <v>0</v>
      </c>
      <c r="F360" s="457">
        <v>0</v>
      </c>
      <c r="G360" s="457">
        <v>0</v>
      </c>
      <c r="H360" s="457">
        <v>0</v>
      </c>
      <c r="I360" s="457">
        <v>0</v>
      </c>
      <c r="J360" s="457">
        <v>0</v>
      </c>
      <c r="K360" s="457">
        <v>0</v>
      </c>
      <c r="L360" s="457">
        <v>0</v>
      </c>
      <c r="M360" s="457">
        <v>0</v>
      </c>
      <c r="N360" s="457">
        <v>0</v>
      </c>
      <c r="O360" s="457">
        <v>0</v>
      </c>
      <c r="P360" s="457">
        <v>0</v>
      </c>
      <c r="Q360" s="457">
        <v>0</v>
      </c>
      <c r="R360" s="457">
        <v>0</v>
      </c>
      <c r="S360" s="457">
        <v>0</v>
      </c>
      <c r="T360" s="410" t="e">
        <v>#DIV/0!</v>
      </c>
      <c r="U360" s="285">
        <v>0</v>
      </c>
      <c r="V360" s="285">
        <v>0</v>
      </c>
      <c r="W360" s="285">
        <v>0</v>
      </c>
      <c r="X360" s="285">
        <v>0</v>
      </c>
      <c r="Y360" s="285">
        <v>0</v>
      </c>
      <c r="Z360" s="285">
        <v>0</v>
      </c>
    </row>
    <row r="361" spans="1:26" x14ac:dyDescent="0.2">
      <c r="A361" s="412" t="s">
        <v>584</v>
      </c>
      <c r="B361" s="457">
        <v>0</v>
      </c>
      <c r="C361" s="457">
        <v>0</v>
      </c>
      <c r="D361" s="457">
        <v>0</v>
      </c>
      <c r="E361" s="457">
        <v>0</v>
      </c>
      <c r="F361" s="457">
        <v>0</v>
      </c>
      <c r="G361" s="457">
        <v>0</v>
      </c>
      <c r="H361" s="457">
        <v>0</v>
      </c>
      <c r="I361" s="457">
        <v>0</v>
      </c>
      <c r="J361" s="457">
        <v>0</v>
      </c>
      <c r="K361" s="457">
        <v>0</v>
      </c>
      <c r="L361" s="457">
        <v>0</v>
      </c>
      <c r="M361" s="457">
        <v>0</v>
      </c>
      <c r="N361" s="457">
        <v>0</v>
      </c>
      <c r="O361" s="457">
        <v>0</v>
      </c>
      <c r="P361" s="457">
        <v>0</v>
      </c>
      <c r="Q361" s="457">
        <v>0</v>
      </c>
      <c r="R361" s="457">
        <v>0</v>
      </c>
      <c r="S361" s="457">
        <v>0</v>
      </c>
      <c r="T361" s="410" t="e">
        <v>#DIV/0!</v>
      </c>
      <c r="U361" s="285">
        <v>0</v>
      </c>
      <c r="V361" s="285">
        <v>0</v>
      </c>
      <c r="W361" s="285">
        <v>0</v>
      </c>
      <c r="X361" s="285">
        <v>0</v>
      </c>
      <c r="Y361" s="285">
        <v>0</v>
      </c>
      <c r="Z361" s="285">
        <v>0</v>
      </c>
    </row>
    <row r="362" spans="1:26" x14ac:dyDescent="0.2">
      <c r="A362" s="412" t="s">
        <v>585</v>
      </c>
      <c r="B362" s="457">
        <v>0</v>
      </c>
      <c r="C362" s="457">
        <v>0</v>
      </c>
      <c r="D362" s="457">
        <v>0</v>
      </c>
      <c r="E362" s="457">
        <v>0</v>
      </c>
      <c r="F362" s="457">
        <v>0</v>
      </c>
      <c r="G362" s="457">
        <v>0</v>
      </c>
      <c r="H362" s="457">
        <v>0</v>
      </c>
      <c r="I362" s="457">
        <v>0</v>
      </c>
      <c r="J362" s="457">
        <v>0</v>
      </c>
      <c r="K362" s="457">
        <v>0</v>
      </c>
      <c r="L362" s="457">
        <v>0</v>
      </c>
      <c r="M362" s="457">
        <v>0</v>
      </c>
      <c r="N362" s="457">
        <v>0</v>
      </c>
      <c r="O362" s="457">
        <v>0</v>
      </c>
      <c r="P362" s="457">
        <v>0</v>
      </c>
      <c r="Q362" s="457">
        <v>0</v>
      </c>
      <c r="R362" s="457">
        <v>0</v>
      </c>
      <c r="S362" s="457">
        <v>0</v>
      </c>
      <c r="T362" s="410" t="e">
        <v>#DIV/0!</v>
      </c>
      <c r="U362" s="285">
        <v>0</v>
      </c>
      <c r="V362" s="285">
        <v>0</v>
      </c>
      <c r="W362" s="285">
        <v>0</v>
      </c>
      <c r="X362" s="285">
        <v>0</v>
      </c>
      <c r="Y362" s="285">
        <v>0</v>
      </c>
      <c r="Z362" s="285">
        <v>0</v>
      </c>
    </row>
    <row r="363" spans="1:26" x14ac:dyDescent="0.2">
      <c r="A363" s="412" t="s">
        <v>586</v>
      </c>
      <c r="B363" s="457">
        <v>0</v>
      </c>
      <c r="C363" s="457">
        <v>0</v>
      </c>
      <c r="D363" s="457">
        <v>0</v>
      </c>
      <c r="E363" s="457">
        <v>0</v>
      </c>
      <c r="F363" s="457">
        <v>0</v>
      </c>
      <c r="G363" s="457">
        <v>0</v>
      </c>
      <c r="H363" s="457">
        <v>0</v>
      </c>
      <c r="I363" s="457">
        <v>0</v>
      </c>
      <c r="J363" s="457">
        <v>0</v>
      </c>
      <c r="K363" s="457">
        <v>0</v>
      </c>
      <c r="L363" s="457">
        <v>0</v>
      </c>
      <c r="M363" s="457">
        <v>0</v>
      </c>
      <c r="N363" s="457">
        <v>0</v>
      </c>
      <c r="O363" s="457">
        <v>0</v>
      </c>
      <c r="P363" s="457">
        <v>0</v>
      </c>
      <c r="Q363" s="457">
        <v>0</v>
      </c>
      <c r="R363" s="457">
        <v>0</v>
      </c>
      <c r="S363" s="457">
        <v>0</v>
      </c>
      <c r="T363" s="410" t="e">
        <v>#DIV/0!</v>
      </c>
      <c r="U363" s="285">
        <v>0</v>
      </c>
      <c r="V363" s="285">
        <v>0</v>
      </c>
      <c r="W363" s="285">
        <v>0</v>
      </c>
      <c r="X363" s="285">
        <v>0</v>
      </c>
      <c r="Y363" s="285">
        <v>0</v>
      </c>
      <c r="Z363" s="285">
        <v>0</v>
      </c>
    </row>
    <row r="364" spans="1:26" x14ac:dyDescent="0.2">
      <c r="A364" s="412" t="s">
        <v>587</v>
      </c>
      <c r="B364" s="457">
        <v>0</v>
      </c>
      <c r="C364" s="457">
        <v>0</v>
      </c>
      <c r="D364" s="457">
        <v>0</v>
      </c>
      <c r="E364" s="457">
        <v>0</v>
      </c>
      <c r="F364" s="457">
        <v>0</v>
      </c>
      <c r="G364" s="457">
        <v>0</v>
      </c>
      <c r="H364" s="457">
        <v>0</v>
      </c>
      <c r="I364" s="457">
        <v>0</v>
      </c>
      <c r="J364" s="457">
        <v>0</v>
      </c>
      <c r="K364" s="457">
        <v>0</v>
      </c>
      <c r="L364" s="457">
        <v>0</v>
      </c>
      <c r="M364" s="457">
        <v>0</v>
      </c>
      <c r="N364" s="457">
        <v>0</v>
      </c>
      <c r="O364" s="457">
        <v>0</v>
      </c>
      <c r="P364" s="457">
        <v>0</v>
      </c>
      <c r="Q364" s="457">
        <v>0</v>
      </c>
      <c r="R364" s="457">
        <v>0</v>
      </c>
      <c r="S364" s="457">
        <v>0</v>
      </c>
      <c r="T364" s="410" t="e">
        <v>#DIV/0!</v>
      </c>
      <c r="U364" s="285">
        <v>0</v>
      </c>
      <c r="V364" s="285">
        <v>0</v>
      </c>
      <c r="W364" s="285">
        <v>0</v>
      </c>
      <c r="X364" s="285">
        <v>0</v>
      </c>
      <c r="Y364" s="285">
        <v>0</v>
      </c>
      <c r="Z364" s="285">
        <v>0</v>
      </c>
    </row>
    <row r="365" spans="1:26" x14ac:dyDescent="0.2">
      <c r="A365" s="412" t="s">
        <v>588</v>
      </c>
      <c r="B365" s="457">
        <v>0</v>
      </c>
      <c r="C365" s="457">
        <v>0</v>
      </c>
      <c r="D365" s="457">
        <v>0</v>
      </c>
      <c r="E365" s="457">
        <v>0</v>
      </c>
      <c r="F365" s="457">
        <v>0</v>
      </c>
      <c r="G365" s="457">
        <v>0</v>
      </c>
      <c r="H365" s="457">
        <v>0</v>
      </c>
      <c r="I365" s="457">
        <v>0</v>
      </c>
      <c r="J365" s="457">
        <v>0</v>
      </c>
      <c r="K365" s="457">
        <v>0</v>
      </c>
      <c r="L365" s="457">
        <v>0</v>
      </c>
      <c r="M365" s="457">
        <v>0</v>
      </c>
      <c r="N365" s="457">
        <v>0</v>
      </c>
      <c r="O365" s="457">
        <v>0</v>
      </c>
      <c r="P365" s="457">
        <v>0</v>
      </c>
      <c r="Q365" s="457">
        <v>0</v>
      </c>
      <c r="R365" s="457">
        <v>0</v>
      </c>
      <c r="S365" s="457">
        <v>0</v>
      </c>
      <c r="T365" s="410" t="e">
        <v>#DIV/0!</v>
      </c>
      <c r="U365" s="285">
        <v>0</v>
      </c>
      <c r="V365" s="285">
        <v>0</v>
      </c>
      <c r="W365" s="285">
        <v>0</v>
      </c>
      <c r="X365" s="285">
        <v>0</v>
      </c>
      <c r="Y365" s="285">
        <v>0</v>
      </c>
      <c r="Z365" s="285">
        <v>0</v>
      </c>
    </row>
    <row r="366" spans="1:26" x14ac:dyDescent="0.2">
      <c r="A366" s="412" t="s">
        <v>589</v>
      </c>
      <c r="B366" s="457">
        <v>0</v>
      </c>
      <c r="C366" s="457">
        <v>0</v>
      </c>
      <c r="D366" s="457">
        <v>0</v>
      </c>
      <c r="E366" s="457">
        <v>0</v>
      </c>
      <c r="F366" s="457">
        <v>0</v>
      </c>
      <c r="G366" s="457">
        <v>0</v>
      </c>
      <c r="H366" s="457">
        <v>0</v>
      </c>
      <c r="I366" s="457">
        <v>0</v>
      </c>
      <c r="J366" s="457">
        <v>0</v>
      </c>
      <c r="K366" s="457">
        <v>0</v>
      </c>
      <c r="L366" s="457">
        <v>0</v>
      </c>
      <c r="M366" s="457">
        <v>0</v>
      </c>
      <c r="N366" s="457">
        <v>0</v>
      </c>
      <c r="O366" s="457">
        <v>0</v>
      </c>
      <c r="P366" s="457">
        <v>0</v>
      </c>
      <c r="Q366" s="457">
        <v>0</v>
      </c>
      <c r="R366" s="457">
        <v>0</v>
      </c>
      <c r="S366" s="457">
        <v>0</v>
      </c>
      <c r="T366" s="410" t="e">
        <v>#DIV/0!</v>
      </c>
      <c r="U366" s="285">
        <v>0</v>
      </c>
      <c r="V366" s="285">
        <v>0</v>
      </c>
      <c r="W366" s="285">
        <v>0</v>
      </c>
      <c r="X366" s="285">
        <v>0</v>
      </c>
      <c r="Y366" s="285">
        <v>0</v>
      </c>
      <c r="Z366" s="285">
        <v>0</v>
      </c>
    </row>
    <row r="367" spans="1:26" x14ac:dyDescent="0.2">
      <c r="A367" s="412" t="s">
        <v>590</v>
      </c>
      <c r="B367" s="457">
        <v>0</v>
      </c>
      <c r="C367" s="457">
        <v>0</v>
      </c>
      <c r="D367" s="457">
        <v>0</v>
      </c>
      <c r="E367" s="457">
        <v>0</v>
      </c>
      <c r="F367" s="457">
        <v>0</v>
      </c>
      <c r="G367" s="457">
        <v>0</v>
      </c>
      <c r="H367" s="457">
        <v>0</v>
      </c>
      <c r="I367" s="457">
        <v>0</v>
      </c>
      <c r="J367" s="457">
        <v>0</v>
      </c>
      <c r="K367" s="457">
        <v>0</v>
      </c>
      <c r="L367" s="457">
        <v>0</v>
      </c>
      <c r="M367" s="457">
        <v>0</v>
      </c>
      <c r="N367" s="457">
        <v>0</v>
      </c>
      <c r="O367" s="457">
        <v>0</v>
      </c>
      <c r="P367" s="457">
        <v>0</v>
      </c>
      <c r="Q367" s="457">
        <v>0</v>
      </c>
      <c r="R367" s="457">
        <v>0</v>
      </c>
      <c r="S367" s="457">
        <v>0</v>
      </c>
      <c r="T367" s="410" t="e">
        <v>#DIV/0!</v>
      </c>
      <c r="U367" s="285">
        <v>0</v>
      </c>
      <c r="V367" s="285">
        <v>0</v>
      </c>
      <c r="W367" s="285">
        <v>0</v>
      </c>
      <c r="X367" s="285">
        <v>0</v>
      </c>
      <c r="Y367" s="285">
        <v>0</v>
      </c>
      <c r="Z367" s="285">
        <v>0</v>
      </c>
    </row>
    <row r="368" spans="1:26" x14ac:dyDescent="0.2">
      <c r="A368" s="412" t="s">
        <v>591</v>
      </c>
      <c r="B368" s="457">
        <v>0</v>
      </c>
      <c r="C368" s="457">
        <v>0</v>
      </c>
      <c r="D368" s="457">
        <v>0</v>
      </c>
      <c r="E368" s="457">
        <v>0</v>
      </c>
      <c r="F368" s="457">
        <v>0</v>
      </c>
      <c r="G368" s="457">
        <v>0</v>
      </c>
      <c r="H368" s="457">
        <v>0</v>
      </c>
      <c r="I368" s="457">
        <v>0</v>
      </c>
      <c r="J368" s="457">
        <v>0</v>
      </c>
      <c r="K368" s="457">
        <v>0</v>
      </c>
      <c r="L368" s="457">
        <v>0</v>
      </c>
      <c r="M368" s="457">
        <v>0</v>
      </c>
      <c r="N368" s="457">
        <v>0</v>
      </c>
      <c r="O368" s="457">
        <v>0</v>
      </c>
      <c r="P368" s="457">
        <v>0</v>
      </c>
      <c r="Q368" s="457">
        <v>0</v>
      </c>
      <c r="R368" s="457">
        <v>0</v>
      </c>
      <c r="S368" s="457">
        <v>0</v>
      </c>
      <c r="T368" s="410" t="e">
        <v>#DIV/0!</v>
      </c>
      <c r="U368" s="285">
        <v>0</v>
      </c>
      <c r="V368" s="285">
        <v>0</v>
      </c>
      <c r="W368" s="285">
        <v>0</v>
      </c>
      <c r="X368" s="285">
        <v>0</v>
      </c>
      <c r="Y368" s="285">
        <v>0</v>
      </c>
      <c r="Z368" s="285">
        <v>0</v>
      </c>
    </row>
    <row r="369" spans="1:26" x14ac:dyDescent="0.2">
      <c r="A369" s="412" t="s">
        <v>592</v>
      </c>
      <c r="B369" s="457">
        <v>0</v>
      </c>
      <c r="C369" s="457">
        <v>0</v>
      </c>
      <c r="D369" s="457">
        <v>0</v>
      </c>
      <c r="E369" s="457">
        <v>0</v>
      </c>
      <c r="F369" s="457">
        <v>0</v>
      </c>
      <c r="G369" s="457">
        <v>0</v>
      </c>
      <c r="H369" s="457">
        <v>0</v>
      </c>
      <c r="I369" s="457">
        <v>0</v>
      </c>
      <c r="J369" s="457">
        <v>0</v>
      </c>
      <c r="K369" s="457">
        <v>0</v>
      </c>
      <c r="L369" s="457">
        <v>0</v>
      </c>
      <c r="M369" s="457">
        <v>0</v>
      </c>
      <c r="N369" s="457">
        <v>0</v>
      </c>
      <c r="O369" s="457">
        <v>0</v>
      </c>
      <c r="P369" s="457">
        <v>0</v>
      </c>
      <c r="Q369" s="457">
        <v>0</v>
      </c>
      <c r="R369" s="457">
        <v>0</v>
      </c>
      <c r="S369" s="457">
        <v>0</v>
      </c>
      <c r="T369" s="410" t="e">
        <v>#DIV/0!</v>
      </c>
      <c r="U369" s="285">
        <v>0</v>
      </c>
      <c r="V369" s="285">
        <v>0</v>
      </c>
      <c r="W369" s="285">
        <v>0</v>
      </c>
      <c r="X369" s="285">
        <v>0</v>
      </c>
      <c r="Y369" s="285">
        <v>0</v>
      </c>
      <c r="Z369" s="285">
        <v>0</v>
      </c>
    </row>
    <row r="370" spans="1:26" x14ac:dyDescent="0.2">
      <c r="A370" s="412" t="s">
        <v>593</v>
      </c>
      <c r="B370" s="457">
        <v>0</v>
      </c>
      <c r="C370" s="457">
        <v>0</v>
      </c>
      <c r="D370" s="457">
        <v>0</v>
      </c>
      <c r="E370" s="457">
        <v>0</v>
      </c>
      <c r="F370" s="457">
        <v>0</v>
      </c>
      <c r="G370" s="457">
        <v>0</v>
      </c>
      <c r="H370" s="457">
        <v>0</v>
      </c>
      <c r="I370" s="457">
        <v>0</v>
      </c>
      <c r="J370" s="457">
        <v>0</v>
      </c>
      <c r="K370" s="457">
        <v>0</v>
      </c>
      <c r="L370" s="457">
        <v>0</v>
      </c>
      <c r="M370" s="457">
        <v>0</v>
      </c>
      <c r="N370" s="457">
        <v>0</v>
      </c>
      <c r="O370" s="457">
        <v>0</v>
      </c>
      <c r="P370" s="457">
        <v>0</v>
      </c>
      <c r="Q370" s="457">
        <v>0</v>
      </c>
      <c r="R370" s="457">
        <v>0</v>
      </c>
      <c r="S370" s="457">
        <v>0</v>
      </c>
      <c r="T370" s="410" t="e">
        <v>#DIV/0!</v>
      </c>
      <c r="U370" s="285">
        <v>0</v>
      </c>
      <c r="V370" s="285">
        <v>0</v>
      </c>
      <c r="W370" s="285">
        <v>0</v>
      </c>
      <c r="X370" s="285">
        <v>0</v>
      </c>
      <c r="Y370" s="285">
        <v>0</v>
      </c>
      <c r="Z370" s="285">
        <v>0</v>
      </c>
    </row>
    <row r="371" spans="1:26" x14ac:dyDescent="0.2">
      <c r="A371" s="412" t="s">
        <v>594</v>
      </c>
      <c r="B371" s="457">
        <v>0</v>
      </c>
      <c r="C371" s="457">
        <v>0</v>
      </c>
      <c r="D371" s="457">
        <v>0</v>
      </c>
      <c r="E371" s="457">
        <v>0</v>
      </c>
      <c r="F371" s="457">
        <v>0</v>
      </c>
      <c r="G371" s="457">
        <v>0</v>
      </c>
      <c r="H371" s="457">
        <v>0</v>
      </c>
      <c r="I371" s="457">
        <v>0</v>
      </c>
      <c r="J371" s="457">
        <v>0</v>
      </c>
      <c r="K371" s="457">
        <v>0</v>
      </c>
      <c r="L371" s="457">
        <v>0</v>
      </c>
      <c r="M371" s="457">
        <v>0</v>
      </c>
      <c r="N371" s="457">
        <v>0</v>
      </c>
      <c r="O371" s="457">
        <v>0</v>
      </c>
      <c r="P371" s="457">
        <v>0</v>
      </c>
      <c r="Q371" s="457">
        <v>0</v>
      </c>
      <c r="R371" s="457">
        <v>0</v>
      </c>
      <c r="S371" s="457">
        <v>0</v>
      </c>
      <c r="T371" s="410" t="e">
        <v>#DIV/0!</v>
      </c>
      <c r="U371" s="285">
        <v>0</v>
      </c>
      <c r="V371" s="285">
        <v>0</v>
      </c>
      <c r="W371" s="285">
        <v>0</v>
      </c>
      <c r="X371" s="285">
        <v>0</v>
      </c>
      <c r="Y371" s="285">
        <v>0</v>
      </c>
      <c r="Z371" s="285">
        <v>0</v>
      </c>
    </row>
    <row r="372" spans="1:26" ht="24" x14ac:dyDescent="0.2">
      <c r="A372" s="412" t="s">
        <v>595</v>
      </c>
      <c r="B372" s="457">
        <v>0</v>
      </c>
      <c r="C372" s="457">
        <v>0</v>
      </c>
      <c r="D372" s="457">
        <v>0</v>
      </c>
      <c r="E372" s="457">
        <v>0</v>
      </c>
      <c r="F372" s="457">
        <v>0</v>
      </c>
      <c r="G372" s="457">
        <v>0</v>
      </c>
      <c r="H372" s="457">
        <v>0</v>
      </c>
      <c r="I372" s="457">
        <v>0</v>
      </c>
      <c r="J372" s="457">
        <v>0</v>
      </c>
      <c r="K372" s="457">
        <v>0</v>
      </c>
      <c r="L372" s="457">
        <v>0</v>
      </c>
      <c r="M372" s="457">
        <v>0</v>
      </c>
      <c r="N372" s="457">
        <v>0</v>
      </c>
      <c r="O372" s="457">
        <v>0</v>
      </c>
      <c r="P372" s="457">
        <v>0</v>
      </c>
      <c r="Q372" s="457">
        <v>0</v>
      </c>
      <c r="R372" s="457">
        <v>0</v>
      </c>
      <c r="S372" s="457">
        <v>0</v>
      </c>
      <c r="T372" s="410" t="e">
        <v>#DIV/0!</v>
      </c>
      <c r="U372" s="285">
        <v>0</v>
      </c>
      <c r="V372" s="285">
        <v>0</v>
      </c>
      <c r="W372" s="285">
        <v>0</v>
      </c>
      <c r="X372" s="285">
        <v>0</v>
      </c>
      <c r="Y372" s="285">
        <v>0</v>
      </c>
      <c r="Z372" s="285">
        <v>0</v>
      </c>
    </row>
    <row r="373" spans="1:26" x14ac:dyDescent="0.2">
      <c r="A373" s="412" t="s">
        <v>596</v>
      </c>
      <c r="B373" s="457">
        <v>0</v>
      </c>
      <c r="C373" s="457">
        <v>0</v>
      </c>
      <c r="D373" s="457">
        <v>0</v>
      </c>
      <c r="E373" s="457">
        <v>0</v>
      </c>
      <c r="F373" s="457">
        <v>0</v>
      </c>
      <c r="G373" s="457">
        <v>0</v>
      </c>
      <c r="H373" s="457">
        <v>0</v>
      </c>
      <c r="I373" s="457">
        <v>0</v>
      </c>
      <c r="J373" s="457">
        <v>0</v>
      </c>
      <c r="K373" s="457">
        <v>0</v>
      </c>
      <c r="L373" s="457">
        <v>0</v>
      </c>
      <c r="M373" s="457">
        <v>0</v>
      </c>
      <c r="N373" s="457">
        <v>0</v>
      </c>
      <c r="O373" s="457">
        <v>0</v>
      </c>
      <c r="P373" s="457">
        <v>0</v>
      </c>
      <c r="Q373" s="457">
        <v>0</v>
      </c>
      <c r="R373" s="457">
        <v>0</v>
      </c>
      <c r="S373" s="457">
        <v>0</v>
      </c>
      <c r="T373" s="410" t="e">
        <v>#DIV/0!</v>
      </c>
      <c r="U373" s="285">
        <v>0</v>
      </c>
      <c r="V373" s="285">
        <v>0</v>
      </c>
      <c r="W373" s="285">
        <v>0</v>
      </c>
      <c r="X373" s="285">
        <v>0</v>
      </c>
      <c r="Y373" s="285">
        <v>0</v>
      </c>
      <c r="Z373" s="285">
        <v>0</v>
      </c>
    </row>
    <row r="374" spans="1:26" ht="24" x14ac:dyDescent="0.2">
      <c r="A374" s="412" t="s">
        <v>597</v>
      </c>
      <c r="B374" s="457">
        <v>0</v>
      </c>
      <c r="C374" s="457">
        <v>0</v>
      </c>
      <c r="D374" s="457">
        <v>0</v>
      </c>
      <c r="E374" s="457">
        <v>0</v>
      </c>
      <c r="F374" s="457">
        <v>0</v>
      </c>
      <c r="G374" s="457">
        <v>0</v>
      </c>
      <c r="H374" s="457">
        <v>0</v>
      </c>
      <c r="I374" s="457">
        <v>0</v>
      </c>
      <c r="J374" s="457">
        <v>0</v>
      </c>
      <c r="K374" s="457">
        <v>0</v>
      </c>
      <c r="L374" s="457">
        <v>0</v>
      </c>
      <c r="M374" s="457">
        <v>0</v>
      </c>
      <c r="N374" s="457">
        <v>0</v>
      </c>
      <c r="O374" s="457">
        <v>0</v>
      </c>
      <c r="P374" s="457">
        <v>0</v>
      </c>
      <c r="Q374" s="457">
        <v>0</v>
      </c>
      <c r="R374" s="457">
        <v>0</v>
      </c>
      <c r="S374" s="457">
        <v>0</v>
      </c>
      <c r="T374" s="410" t="e">
        <v>#DIV/0!</v>
      </c>
      <c r="U374" s="285">
        <v>0</v>
      </c>
      <c r="V374" s="285">
        <v>0</v>
      </c>
      <c r="W374" s="285">
        <v>0</v>
      </c>
      <c r="X374" s="285">
        <v>0</v>
      </c>
      <c r="Y374" s="285">
        <v>0</v>
      </c>
      <c r="Z374" s="285">
        <v>0</v>
      </c>
    </row>
    <row r="375" spans="1:26" x14ac:dyDescent="0.2">
      <c r="A375" s="412" t="s">
        <v>598</v>
      </c>
      <c r="B375" s="457">
        <v>0</v>
      </c>
      <c r="C375" s="457">
        <v>0</v>
      </c>
      <c r="D375" s="457">
        <v>0</v>
      </c>
      <c r="E375" s="457">
        <v>0</v>
      </c>
      <c r="F375" s="457">
        <v>0</v>
      </c>
      <c r="G375" s="457">
        <v>0</v>
      </c>
      <c r="H375" s="457">
        <v>0</v>
      </c>
      <c r="I375" s="457">
        <v>0</v>
      </c>
      <c r="J375" s="457">
        <v>0</v>
      </c>
      <c r="K375" s="457">
        <v>0</v>
      </c>
      <c r="L375" s="457">
        <v>0</v>
      </c>
      <c r="M375" s="457">
        <v>0</v>
      </c>
      <c r="N375" s="457">
        <v>0</v>
      </c>
      <c r="O375" s="457">
        <v>0</v>
      </c>
      <c r="P375" s="457">
        <v>0</v>
      </c>
      <c r="Q375" s="457">
        <v>0</v>
      </c>
      <c r="R375" s="457">
        <v>0</v>
      </c>
      <c r="S375" s="457">
        <v>0</v>
      </c>
      <c r="T375" s="410" t="e">
        <v>#DIV/0!</v>
      </c>
      <c r="U375" s="285">
        <v>0</v>
      </c>
      <c r="V375" s="285">
        <v>0</v>
      </c>
      <c r="W375" s="285">
        <v>0</v>
      </c>
      <c r="X375" s="285">
        <v>0</v>
      </c>
      <c r="Y375" s="285">
        <v>0</v>
      </c>
      <c r="Z375" s="285">
        <v>0</v>
      </c>
    </row>
    <row r="376" spans="1:26" ht="24" x14ac:dyDescent="0.2">
      <c r="A376" s="412" t="s">
        <v>599</v>
      </c>
      <c r="B376" s="457">
        <v>0</v>
      </c>
      <c r="C376" s="457">
        <v>0</v>
      </c>
      <c r="D376" s="457">
        <v>0</v>
      </c>
      <c r="E376" s="457">
        <v>0</v>
      </c>
      <c r="F376" s="457">
        <v>0</v>
      </c>
      <c r="G376" s="457">
        <v>0</v>
      </c>
      <c r="H376" s="457">
        <v>0</v>
      </c>
      <c r="I376" s="457">
        <v>0</v>
      </c>
      <c r="J376" s="457">
        <v>0</v>
      </c>
      <c r="K376" s="457">
        <v>0</v>
      </c>
      <c r="L376" s="457">
        <v>0</v>
      </c>
      <c r="M376" s="457">
        <v>0</v>
      </c>
      <c r="N376" s="457">
        <v>0</v>
      </c>
      <c r="O376" s="457">
        <v>0</v>
      </c>
      <c r="P376" s="457">
        <v>0</v>
      </c>
      <c r="Q376" s="457">
        <v>0</v>
      </c>
      <c r="R376" s="457">
        <v>0</v>
      </c>
      <c r="S376" s="457">
        <v>0</v>
      </c>
      <c r="T376" s="410" t="e">
        <v>#DIV/0!</v>
      </c>
      <c r="U376" s="285">
        <v>0</v>
      </c>
      <c r="V376" s="285">
        <v>0</v>
      </c>
      <c r="W376" s="285">
        <v>0</v>
      </c>
      <c r="X376" s="285">
        <v>0</v>
      </c>
      <c r="Y376" s="285">
        <v>0</v>
      </c>
      <c r="Z376" s="285">
        <v>0</v>
      </c>
    </row>
    <row r="377" spans="1:26" x14ac:dyDescent="0.2">
      <c r="A377" s="412" t="s">
        <v>600</v>
      </c>
      <c r="B377" s="457">
        <v>0</v>
      </c>
      <c r="C377" s="457">
        <v>0</v>
      </c>
      <c r="D377" s="457">
        <v>0</v>
      </c>
      <c r="E377" s="457">
        <v>0</v>
      </c>
      <c r="F377" s="457">
        <v>0</v>
      </c>
      <c r="G377" s="457">
        <v>0</v>
      </c>
      <c r="H377" s="457">
        <v>0</v>
      </c>
      <c r="I377" s="457">
        <v>0</v>
      </c>
      <c r="J377" s="457">
        <v>0</v>
      </c>
      <c r="K377" s="457">
        <v>0</v>
      </c>
      <c r="L377" s="457">
        <v>0</v>
      </c>
      <c r="M377" s="457">
        <v>0</v>
      </c>
      <c r="N377" s="457">
        <v>0</v>
      </c>
      <c r="O377" s="457">
        <v>0</v>
      </c>
      <c r="P377" s="457">
        <v>0</v>
      </c>
      <c r="Q377" s="457">
        <v>0</v>
      </c>
      <c r="R377" s="457">
        <v>0</v>
      </c>
      <c r="S377" s="457">
        <v>0</v>
      </c>
      <c r="T377" s="410" t="e">
        <v>#DIV/0!</v>
      </c>
      <c r="U377" s="285">
        <v>0</v>
      </c>
      <c r="V377" s="285">
        <v>0</v>
      </c>
      <c r="W377" s="285">
        <v>0</v>
      </c>
      <c r="X377" s="285">
        <v>0</v>
      </c>
      <c r="Y377" s="285">
        <v>0</v>
      </c>
      <c r="Z377" s="285">
        <v>0</v>
      </c>
    </row>
    <row r="378" spans="1:26" x14ac:dyDescent="0.2">
      <c r="A378" s="412" t="s">
        <v>601</v>
      </c>
      <c r="B378" s="457">
        <v>0</v>
      </c>
      <c r="C378" s="457">
        <v>0</v>
      </c>
      <c r="D378" s="457">
        <v>0</v>
      </c>
      <c r="E378" s="457">
        <v>0</v>
      </c>
      <c r="F378" s="457">
        <v>0</v>
      </c>
      <c r="G378" s="457">
        <v>0</v>
      </c>
      <c r="H378" s="457">
        <v>0</v>
      </c>
      <c r="I378" s="457">
        <v>0</v>
      </c>
      <c r="J378" s="457">
        <v>0</v>
      </c>
      <c r="K378" s="457">
        <v>0</v>
      </c>
      <c r="L378" s="457">
        <v>0</v>
      </c>
      <c r="M378" s="457">
        <v>0</v>
      </c>
      <c r="N378" s="457">
        <v>0</v>
      </c>
      <c r="O378" s="457">
        <v>0</v>
      </c>
      <c r="P378" s="457">
        <v>0</v>
      </c>
      <c r="Q378" s="457">
        <v>0</v>
      </c>
      <c r="R378" s="457">
        <v>0</v>
      </c>
      <c r="S378" s="457">
        <v>0</v>
      </c>
      <c r="T378" s="410" t="e">
        <v>#DIV/0!</v>
      </c>
      <c r="U378" s="285">
        <v>0</v>
      </c>
      <c r="V378" s="285">
        <v>0</v>
      </c>
      <c r="W378" s="285">
        <v>0</v>
      </c>
      <c r="X378" s="285">
        <v>0</v>
      </c>
      <c r="Y378" s="285">
        <v>0</v>
      </c>
      <c r="Z378" s="285">
        <v>0</v>
      </c>
    </row>
    <row r="379" spans="1:26" x14ac:dyDescent="0.2">
      <c r="A379" s="412" t="s">
        <v>602</v>
      </c>
      <c r="B379" s="457">
        <v>0</v>
      </c>
      <c r="C379" s="457">
        <v>0</v>
      </c>
      <c r="D379" s="457">
        <v>0</v>
      </c>
      <c r="E379" s="457">
        <v>0</v>
      </c>
      <c r="F379" s="457">
        <v>0</v>
      </c>
      <c r="G379" s="457">
        <v>0</v>
      </c>
      <c r="H379" s="457">
        <v>0</v>
      </c>
      <c r="I379" s="457">
        <v>0</v>
      </c>
      <c r="J379" s="457">
        <v>0</v>
      </c>
      <c r="K379" s="457">
        <v>0</v>
      </c>
      <c r="L379" s="457">
        <v>0</v>
      </c>
      <c r="M379" s="457">
        <v>0</v>
      </c>
      <c r="N379" s="457">
        <v>0</v>
      </c>
      <c r="O379" s="457">
        <v>0</v>
      </c>
      <c r="P379" s="457">
        <v>0</v>
      </c>
      <c r="Q379" s="457">
        <v>0</v>
      </c>
      <c r="R379" s="457">
        <v>0</v>
      </c>
      <c r="S379" s="457">
        <v>0</v>
      </c>
      <c r="T379" s="410" t="e">
        <v>#DIV/0!</v>
      </c>
      <c r="U379" s="285">
        <v>0</v>
      </c>
      <c r="V379" s="285">
        <v>0</v>
      </c>
      <c r="W379" s="285">
        <v>0</v>
      </c>
      <c r="X379" s="285">
        <v>0</v>
      </c>
      <c r="Y379" s="285">
        <v>0</v>
      </c>
      <c r="Z379" s="285">
        <v>0</v>
      </c>
    </row>
    <row r="380" spans="1:26" x14ac:dyDescent="0.2">
      <c r="A380" s="412" t="s">
        <v>603</v>
      </c>
      <c r="B380" s="457">
        <v>0</v>
      </c>
      <c r="C380" s="457">
        <v>0</v>
      </c>
      <c r="D380" s="457">
        <v>0</v>
      </c>
      <c r="E380" s="457">
        <v>0</v>
      </c>
      <c r="F380" s="457">
        <v>0</v>
      </c>
      <c r="G380" s="457">
        <v>0</v>
      </c>
      <c r="H380" s="457">
        <v>0</v>
      </c>
      <c r="I380" s="457">
        <v>0</v>
      </c>
      <c r="J380" s="457">
        <v>0</v>
      </c>
      <c r="K380" s="457">
        <v>0</v>
      </c>
      <c r="L380" s="457">
        <v>0</v>
      </c>
      <c r="M380" s="457">
        <v>0</v>
      </c>
      <c r="N380" s="457">
        <v>0</v>
      </c>
      <c r="O380" s="457">
        <v>0</v>
      </c>
      <c r="P380" s="457">
        <v>0</v>
      </c>
      <c r="Q380" s="457">
        <v>0</v>
      </c>
      <c r="R380" s="457">
        <v>0</v>
      </c>
      <c r="S380" s="457">
        <v>0</v>
      </c>
      <c r="T380" s="410" t="e">
        <v>#DIV/0!</v>
      </c>
      <c r="U380" s="285">
        <v>0</v>
      </c>
      <c r="V380" s="285">
        <v>0</v>
      </c>
      <c r="W380" s="285">
        <v>0</v>
      </c>
      <c r="X380" s="285">
        <v>0</v>
      </c>
      <c r="Y380" s="285">
        <v>0</v>
      </c>
      <c r="Z380" s="285">
        <v>0</v>
      </c>
    </row>
    <row r="381" spans="1:26" x14ac:dyDescent="0.2">
      <c r="A381" s="404" t="s">
        <v>604</v>
      </c>
      <c r="B381" s="448">
        <v>0</v>
      </c>
      <c r="C381" s="448">
        <v>0</v>
      </c>
      <c r="D381" s="448">
        <v>0</v>
      </c>
      <c r="E381" s="448">
        <v>0</v>
      </c>
      <c r="F381" s="448">
        <v>0</v>
      </c>
      <c r="G381" s="448">
        <v>0</v>
      </c>
      <c r="H381" s="448">
        <v>0</v>
      </c>
      <c r="I381" s="448">
        <v>0</v>
      </c>
      <c r="J381" s="448">
        <v>0</v>
      </c>
      <c r="K381" s="448">
        <v>0</v>
      </c>
      <c r="L381" s="448">
        <v>0</v>
      </c>
      <c r="M381" s="448">
        <v>0</v>
      </c>
      <c r="N381" s="448">
        <v>0</v>
      </c>
      <c r="O381" s="448">
        <v>0</v>
      </c>
      <c r="P381" s="448">
        <v>0</v>
      </c>
      <c r="Q381" s="448">
        <v>0</v>
      </c>
      <c r="R381" s="448">
        <v>0</v>
      </c>
      <c r="S381" s="448">
        <v>0</v>
      </c>
      <c r="T381" s="407" t="e">
        <v>#DIV/0!</v>
      </c>
      <c r="U381" s="406">
        <v>0</v>
      </c>
      <c r="V381" s="406">
        <v>0</v>
      </c>
      <c r="W381" s="406">
        <v>0</v>
      </c>
      <c r="X381" s="406">
        <v>0</v>
      </c>
      <c r="Y381" s="406">
        <v>0</v>
      </c>
      <c r="Z381" s="406">
        <v>0</v>
      </c>
    </row>
    <row r="382" spans="1:26" x14ac:dyDescent="0.2">
      <c r="A382" s="412" t="s">
        <v>605</v>
      </c>
      <c r="B382" s="457">
        <v>0</v>
      </c>
      <c r="C382" s="457">
        <v>0</v>
      </c>
      <c r="D382" s="457">
        <v>0</v>
      </c>
      <c r="E382" s="457">
        <v>0</v>
      </c>
      <c r="F382" s="457">
        <v>0</v>
      </c>
      <c r="G382" s="457">
        <v>0</v>
      </c>
      <c r="H382" s="457">
        <v>0</v>
      </c>
      <c r="I382" s="457">
        <v>0</v>
      </c>
      <c r="J382" s="457">
        <v>0</v>
      </c>
      <c r="K382" s="457">
        <v>0</v>
      </c>
      <c r="L382" s="457">
        <v>0</v>
      </c>
      <c r="M382" s="457">
        <v>0</v>
      </c>
      <c r="N382" s="457">
        <v>0</v>
      </c>
      <c r="O382" s="457">
        <v>0</v>
      </c>
      <c r="P382" s="457">
        <v>0</v>
      </c>
      <c r="Q382" s="457">
        <v>0</v>
      </c>
      <c r="R382" s="457">
        <v>0</v>
      </c>
      <c r="S382" s="457">
        <v>0</v>
      </c>
      <c r="T382" s="410" t="e">
        <v>#DIV/0!</v>
      </c>
      <c r="U382" s="285">
        <v>0</v>
      </c>
      <c r="V382" s="285">
        <v>0</v>
      </c>
      <c r="W382" s="285">
        <v>0</v>
      </c>
      <c r="X382" s="285">
        <v>0</v>
      </c>
      <c r="Y382" s="285">
        <v>0</v>
      </c>
      <c r="Z382" s="285">
        <v>0</v>
      </c>
    </row>
    <row r="383" spans="1:26" x14ac:dyDescent="0.2">
      <c r="A383" s="412" t="s">
        <v>606</v>
      </c>
      <c r="B383" s="457">
        <v>0</v>
      </c>
      <c r="C383" s="457">
        <v>0</v>
      </c>
      <c r="D383" s="457">
        <v>0</v>
      </c>
      <c r="E383" s="457">
        <v>0</v>
      </c>
      <c r="F383" s="457">
        <v>0</v>
      </c>
      <c r="G383" s="457">
        <v>0</v>
      </c>
      <c r="H383" s="457">
        <v>0</v>
      </c>
      <c r="I383" s="457">
        <v>0</v>
      </c>
      <c r="J383" s="457">
        <v>0</v>
      </c>
      <c r="K383" s="457">
        <v>0</v>
      </c>
      <c r="L383" s="457">
        <v>0</v>
      </c>
      <c r="M383" s="457">
        <v>0</v>
      </c>
      <c r="N383" s="457">
        <v>0</v>
      </c>
      <c r="O383" s="457">
        <v>0</v>
      </c>
      <c r="P383" s="457">
        <v>0</v>
      </c>
      <c r="Q383" s="457">
        <v>0</v>
      </c>
      <c r="R383" s="457">
        <v>0</v>
      </c>
      <c r="S383" s="457">
        <v>0</v>
      </c>
      <c r="T383" s="410" t="e">
        <v>#DIV/0!</v>
      </c>
      <c r="U383" s="285">
        <v>0</v>
      </c>
      <c r="V383" s="285">
        <v>0</v>
      </c>
      <c r="W383" s="285">
        <v>0</v>
      </c>
      <c r="X383" s="285">
        <v>0</v>
      </c>
      <c r="Y383" s="285">
        <v>0</v>
      </c>
      <c r="Z383" s="285">
        <v>0</v>
      </c>
    </row>
    <row r="384" spans="1:26" ht="24" x14ac:dyDescent="0.2">
      <c r="A384" s="412" t="s">
        <v>607</v>
      </c>
      <c r="B384" s="457">
        <v>0</v>
      </c>
      <c r="C384" s="457">
        <v>0</v>
      </c>
      <c r="D384" s="457">
        <v>0</v>
      </c>
      <c r="E384" s="457">
        <v>0</v>
      </c>
      <c r="F384" s="457">
        <v>0</v>
      </c>
      <c r="G384" s="457">
        <v>0</v>
      </c>
      <c r="H384" s="457">
        <v>0</v>
      </c>
      <c r="I384" s="457">
        <v>0</v>
      </c>
      <c r="J384" s="457">
        <v>0</v>
      </c>
      <c r="K384" s="457">
        <v>0</v>
      </c>
      <c r="L384" s="457">
        <v>0</v>
      </c>
      <c r="M384" s="457">
        <v>0</v>
      </c>
      <c r="N384" s="457">
        <v>0</v>
      </c>
      <c r="O384" s="457">
        <v>0</v>
      </c>
      <c r="P384" s="457">
        <v>0</v>
      </c>
      <c r="Q384" s="457">
        <v>0</v>
      </c>
      <c r="R384" s="457">
        <v>0</v>
      </c>
      <c r="S384" s="457">
        <v>0</v>
      </c>
      <c r="T384" s="410" t="e">
        <v>#DIV/0!</v>
      </c>
      <c r="U384" s="285">
        <v>0</v>
      </c>
      <c r="V384" s="285">
        <v>0</v>
      </c>
      <c r="W384" s="285">
        <v>0</v>
      </c>
      <c r="X384" s="285">
        <v>0</v>
      </c>
      <c r="Y384" s="285">
        <v>0</v>
      </c>
      <c r="Z384" s="285">
        <v>0</v>
      </c>
    </row>
    <row r="385" spans="1:26" x14ac:dyDescent="0.2">
      <c r="A385" s="404" t="s">
        <v>608</v>
      </c>
      <c r="B385" s="448">
        <v>0</v>
      </c>
      <c r="C385" s="448">
        <v>0</v>
      </c>
      <c r="D385" s="448">
        <v>0</v>
      </c>
      <c r="E385" s="448">
        <v>0</v>
      </c>
      <c r="F385" s="448">
        <v>0</v>
      </c>
      <c r="G385" s="448">
        <v>0</v>
      </c>
      <c r="H385" s="448">
        <v>0</v>
      </c>
      <c r="I385" s="448">
        <v>0</v>
      </c>
      <c r="J385" s="448">
        <v>0</v>
      </c>
      <c r="K385" s="448">
        <v>0</v>
      </c>
      <c r="L385" s="448">
        <v>0</v>
      </c>
      <c r="M385" s="448">
        <v>0</v>
      </c>
      <c r="N385" s="448">
        <v>0</v>
      </c>
      <c r="O385" s="448">
        <v>0</v>
      </c>
      <c r="P385" s="448">
        <v>0</v>
      </c>
      <c r="Q385" s="448">
        <v>0</v>
      </c>
      <c r="R385" s="448">
        <v>0</v>
      </c>
      <c r="S385" s="448">
        <v>0</v>
      </c>
      <c r="T385" s="407" t="e">
        <v>#DIV/0!</v>
      </c>
      <c r="U385" s="406">
        <v>0</v>
      </c>
      <c r="V385" s="406">
        <v>0</v>
      </c>
      <c r="W385" s="406">
        <v>0</v>
      </c>
      <c r="X385" s="406">
        <v>0</v>
      </c>
      <c r="Y385" s="406">
        <v>0</v>
      </c>
      <c r="Z385" s="406">
        <v>0</v>
      </c>
    </row>
    <row r="386" spans="1:26" x14ac:dyDescent="0.2">
      <c r="A386" s="412" t="s">
        <v>609</v>
      </c>
      <c r="B386" s="457">
        <v>0</v>
      </c>
      <c r="C386" s="457">
        <v>0</v>
      </c>
      <c r="D386" s="457">
        <v>0</v>
      </c>
      <c r="E386" s="457">
        <v>0</v>
      </c>
      <c r="F386" s="457">
        <v>0</v>
      </c>
      <c r="G386" s="457">
        <v>0</v>
      </c>
      <c r="H386" s="457">
        <v>0</v>
      </c>
      <c r="I386" s="457">
        <v>0</v>
      </c>
      <c r="J386" s="457">
        <v>0</v>
      </c>
      <c r="K386" s="457">
        <v>0</v>
      </c>
      <c r="L386" s="457">
        <v>0</v>
      </c>
      <c r="M386" s="457">
        <v>0</v>
      </c>
      <c r="N386" s="457">
        <v>0</v>
      </c>
      <c r="O386" s="457">
        <v>0</v>
      </c>
      <c r="P386" s="457">
        <v>0</v>
      </c>
      <c r="Q386" s="457">
        <v>0</v>
      </c>
      <c r="R386" s="457">
        <v>0</v>
      </c>
      <c r="S386" s="457">
        <v>0</v>
      </c>
      <c r="T386" s="410" t="e">
        <v>#DIV/0!</v>
      </c>
      <c r="U386" s="285">
        <v>0</v>
      </c>
      <c r="V386" s="285">
        <v>0</v>
      </c>
      <c r="W386" s="285">
        <v>0</v>
      </c>
      <c r="X386" s="285">
        <v>0</v>
      </c>
      <c r="Y386" s="285">
        <v>0</v>
      </c>
      <c r="Z386" s="285">
        <v>0</v>
      </c>
    </row>
    <row r="387" spans="1:26" ht="24" x14ac:dyDescent="0.2">
      <c r="A387" s="412" t="s">
        <v>610</v>
      </c>
      <c r="B387" s="457">
        <v>0</v>
      </c>
      <c r="C387" s="457">
        <v>0</v>
      </c>
      <c r="D387" s="457">
        <v>0</v>
      </c>
      <c r="E387" s="457">
        <v>0</v>
      </c>
      <c r="F387" s="457">
        <v>0</v>
      </c>
      <c r="G387" s="457">
        <v>0</v>
      </c>
      <c r="H387" s="457">
        <v>0</v>
      </c>
      <c r="I387" s="457">
        <v>0</v>
      </c>
      <c r="J387" s="457">
        <v>0</v>
      </c>
      <c r="K387" s="457">
        <v>0</v>
      </c>
      <c r="L387" s="457">
        <v>0</v>
      </c>
      <c r="M387" s="457">
        <v>0</v>
      </c>
      <c r="N387" s="457">
        <v>0</v>
      </c>
      <c r="O387" s="457">
        <v>0</v>
      </c>
      <c r="P387" s="457">
        <v>0</v>
      </c>
      <c r="Q387" s="457">
        <v>0</v>
      </c>
      <c r="R387" s="457">
        <v>0</v>
      </c>
      <c r="S387" s="457">
        <v>0</v>
      </c>
      <c r="T387" s="410" t="e">
        <v>#DIV/0!</v>
      </c>
      <c r="U387" s="285">
        <v>0</v>
      </c>
      <c r="V387" s="285">
        <v>0</v>
      </c>
      <c r="W387" s="285">
        <v>0</v>
      </c>
      <c r="X387" s="285">
        <v>0</v>
      </c>
      <c r="Y387" s="285">
        <v>0</v>
      </c>
      <c r="Z387" s="285">
        <v>0</v>
      </c>
    </row>
    <row r="388" spans="1:26" x14ac:dyDescent="0.2">
      <c r="A388" s="412" t="s">
        <v>611</v>
      </c>
      <c r="B388" s="457">
        <v>0</v>
      </c>
      <c r="C388" s="457">
        <v>0</v>
      </c>
      <c r="D388" s="457">
        <v>0</v>
      </c>
      <c r="E388" s="457">
        <v>0</v>
      </c>
      <c r="F388" s="457">
        <v>0</v>
      </c>
      <c r="G388" s="457">
        <v>0</v>
      </c>
      <c r="H388" s="457">
        <v>0</v>
      </c>
      <c r="I388" s="457">
        <v>0</v>
      </c>
      <c r="J388" s="457">
        <v>0</v>
      </c>
      <c r="K388" s="457">
        <v>0</v>
      </c>
      <c r="L388" s="457">
        <v>0</v>
      </c>
      <c r="M388" s="457">
        <v>0</v>
      </c>
      <c r="N388" s="457">
        <v>0</v>
      </c>
      <c r="O388" s="457">
        <v>0</v>
      </c>
      <c r="P388" s="457">
        <v>0</v>
      </c>
      <c r="Q388" s="457">
        <v>0</v>
      </c>
      <c r="R388" s="457">
        <v>0</v>
      </c>
      <c r="S388" s="457">
        <v>0</v>
      </c>
      <c r="T388" s="410" t="e">
        <v>#DIV/0!</v>
      </c>
      <c r="U388" s="285">
        <v>0</v>
      </c>
      <c r="V388" s="285">
        <v>0</v>
      </c>
      <c r="W388" s="285">
        <v>0</v>
      </c>
      <c r="X388" s="285">
        <v>0</v>
      </c>
      <c r="Y388" s="285">
        <v>0</v>
      </c>
      <c r="Z388" s="285">
        <v>0</v>
      </c>
    </row>
    <row r="389" spans="1:26" x14ac:dyDescent="0.2">
      <c r="A389" s="404" t="s">
        <v>612</v>
      </c>
      <c r="B389" s="448">
        <v>0</v>
      </c>
      <c r="C389" s="448">
        <v>0</v>
      </c>
      <c r="D389" s="448">
        <v>0</v>
      </c>
      <c r="E389" s="448">
        <v>0</v>
      </c>
      <c r="F389" s="448">
        <v>0</v>
      </c>
      <c r="G389" s="448">
        <v>0</v>
      </c>
      <c r="H389" s="448">
        <v>0</v>
      </c>
      <c r="I389" s="448">
        <v>0</v>
      </c>
      <c r="J389" s="448">
        <v>0</v>
      </c>
      <c r="K389" s="448">
        <v>0</v>
      </c>
      <c r="L389" s="448">
        <v>0</v>
      </c>
      <c r="M389" s="448">
        <v>0</v>
      </c>
      <c r="N389" s="448">
        <v>0</v>
      </c>
      <c r="O389" s="448">
        <v>0</v>
      </c>
      <c r="P389" s="448">
        <v>0</v>
      </c>
      <c r="Q389" s="448">
        <v>0</v>
      </c>
      <c r="R389" s="448">
        <v>0</v>
      </c>
      <c r="S389" s="448">
        <v>0</v>
      </c>
      <c r="T389" s="407" t="e">
        <v>#DIV/0!</v>
      </c>
      <c r="U389" s="406">
        <v>0</v>
      </c>
      <c r="V389" s="406">
        <v>0</v>
      </c>
      <c r="W389" s="406">
        <v>0</v>
      </c>
      <c r="X389" s="406">
        <v>0</v>
      </c>
      <c r="Y389" s="406">
        <v>0</v>
      </c>
      <c r="Z389" s="406">
        <v>0</v>
      </c>
    </row>
    <row r="390" spans="1:26" x14ac:dyDescent="0.2">
      <c r="A390" s="412" t="s">
        <v>613</v>
      </c>
      <c r="B390" s="457">
        <v>0</v>
      </c>
      <c r="C390" s="457">
        <v>0</v>
      </c>
      <c r="D390" s="457">
        <v>0</v>
      </c>
      <c r="E390" s="457">
        <v>0</v>
      </c>
      <c r="F390" s="457">
        <v>0</v>
      </c>
      <c r="G390" s="457">
        <v>0</v>
      </c>
      <c r="H390" s="457">
        <v>0</v>
      </c>
      <c r="I390" s="457">
        <v>0</v>
      </c>
      <c r="J390" s="457">
        <v>0</v>
      </c>
      <c r="K390" s="457">
        <v>0</v>
      </c>
      <c r="L390" s="457">
        <v>0</v>
      </c>
      <c r="M390" s="457">
        <v>0</v>
      </c>
      <c r="N390" s="457">
        <v>0</v>
      </c>
      <c r="O390" s="457">
        <v>0</v>
      </c>
      <c r="P390" s="457">
        <v>0</v>
      </c>
      <c r="Q390" s="457">
        <v>0</v>
      </c>
      <c r="R390" s="457">
        <v>0</v>
      </c>
      <c r="S390" s="457">
        <v>0</v>
      </c>
      <c r="T390" s="410" t="e">
        <v>#DIV/0!</v>
      </c>
      <c r="U390" s="285">
        <v>0</v>
      </c>
      <c r="V390" s="285">
        <v>0</v>
      </c>
      <c r="W390" s="285">
        <v>0</v>
      </c>
      <c r="X390" s="285">
        <v>0</v>
      </c>
      <c r="Y390" s="285">
        <v>0</v>
      </c>
      <c r="Z390" s="285">
        <v>0</v>
      </c>
    </row>
    <row r="391" spans="1:26" x14ac:dyDescent="0.2">
      <c r="A391" s="412" t="s">
        <v>614</v>
      </c>
      <c r="B391" s="457">
        <v>0</v>
      </c>
      <c r="C391" s="457">
        <v>0</v>
      </c>
      <c r="D391" s="457">
        <v>0</v>
      </c>
      <c r="E391" s="457">
        <v>0</v>
      </c>
      <c r="F391" s="457">
        <v>0</v>
      </c>
      <c r="G391" s="457">
        <v>0</v>
      </c>
      <c r="H391" s="457">
        <v>0</v>
      </c>
      <c r="I391" s="457">
        <v>0</v>
      </c>
      <c r="J391" s="457">
        <v>0</v>
      </c>
      <c r="K391" s="457">
        <v>0</v>
      </c>
      <c r="L391" s="457">
        <v>0</v>
      </c>
      <c r="M391" s="457">
        <v>0</v>
      </c>
      <c r="N391" s="457">
        <v>0</v>
      </c>
      <c r="O391" s="457">
        <v>0</v>
      </c>
      <c r="P391" s="457">
        <v>0</v>
      </c>
      <c r="Q391" s="457">
        <v>0</v>
      </c>
      <c r="R391" s="457">
        <v>0</v>
      </c>
      <c r="S391" s="457">
        <v>0</v>
      </c>
      <c r="T391" s="410" t="e">
        <v>#DIV/0!</v>
      </c>
      <c r="U391" s="285">
        <v>0</v>
      </c>
      <c r="V391" s="285">
        <v>0</v>
      </c>
      <c r="W391" s="285">
        <v>0</v>
      </c>
      <c r="X391" s="285">
        <v>0</v>
      </c>
      <c r="Y391" s="285">
        <v>0</v>
      </c>
      <c r="Z391" s="285">
        <v>0</v>
      </c>
    </row>
    <row r="392" spans="1:26" x14ac:dyDescent="0.2">
      <c r="A392" s="412" t="s">
        <v>615</v>
      </c>
      <c r="B392" s="457">
        <v>0</v>
      </c>
      <c r="C392" s="457">
        <v>0</v>
      </c>
      <c r="D392" s="457">
        <v>0</v>
      </c>
      <c r="E392" s="457">
        <v>0</v>
      </c>
      <c r="F392" s="457">
        <v>0</v>
      </c>
      <c r="G392" s="457">
        <v>0</v>
      </c>
      <c r="H392" s="457">
        <v>0</v>
      </c>
      <c r="I392" s="457">
        <v>0</v>
      </c>
      <c r="J392" s="457">
        <v>0</v>
      </c>
      <c r="K392" s="457">
        <v>0</v>
      </c>
      <c r="L392" s="457">
        <v>0</v>
      </c>
      <c r="M392" s="457">
        <v>0</v>
      </c>
      <c r="N392" s="457">
        <v>0</v>
      </c>
      <c r="O392" s="457">
        <v>0</v>
      </c>
      <c r="P392" s="457">
        <v>0</v>
      </c>
      <c r="Q392" s="457">
        <v>0</v>
      </c>
      <c r="R392" s="457">
        <v>0</v>
      </c>
      <c r="S392" s="457">
        <v>0</v>
      </c>
      <c r="T392" s="410" t="e">
        <v>#DIV/0!</v>
      </c>
      <c r="U392" s="285">
        <v>0</v>
      </c>
      <c r="V392" s="285">
        <v>0</v>
      </c>
      <c r="W392" s="285">
        <v>0</v>
      </c>
      <c r="X392" s="285">
        <v>0</v>
      </c>
      <c r="Y392" s="285">
        <v>0</v>
      </c>
      <c r="Z392" s="285">
        <v>0</v>
      </c>
    </row>
    <row r="393" spans="1:26" x14ac:dyDescent="0.2">
      <c r="A393" s="412" t="s">
        <v>616</v>
      </c>
      <c r="B393" s="457">
        <v>0</v>
      </c>
      <c r="C393" s="457">
        <v>0</v>
      </c>
      <c r="D393" s="457">
        <v>0</v>
      </c>
      <c r="E393" s="457">
        <v>0</v>
      </c>
      <c r="F393" s="457">
        <v>0</v>
      </c>
      <c r="G393" s="457">
        <v>0</v>
      </c>
      <c r="H393" s="457">
        <v>0</v>
      </c>
      <c r="I393" s="457">
        <v>0</v>
      </c>
      <c r="J393" s="457">
        <v>0</v>
      </c>
      <c r="K393" s="457">
        <v>0</v>
      </c>
      <c r="L393" s="457">
        <v>0</v>
      </c>
      <c r="M393" s="457">
        <v>0</v>
      </c>
      <c r="N393" s="457">
        <v>0</v>
      </c>
      <c r="O393" s="457">
        <v>0</v>
      </c>
      <c r="P393" s="457">
        <v>0</v>
      </c>
      <c r="Q393" s="457">
        <v>0</v>
      </c>
      <c r="R393" s="457">
        <v>0</v>
      </c>
      <c r="S393" s="457">
        <v>0</v>
      </c>
      <c r="T393" s="410" t="e">
        <v>#DIV/0!</v>
      </c>
      <c r="U393" s="285">
        <v>0</v>
      </c>
      <c r="V393" s="285">
        <v>0</v>
      </c>
      <c r="W393" s="285">
        <v>0</v>
      </c>
      <c r="X393" s="285">
        <v>0</v>
      </c>
      <c r="Y393" s="285">
        <v>0</v>
      </c>
      <c r="Z393" s="285">
        <v>0</v>
      </c>
    </row>
    <row r="394" spans="1:26" x14ac:dyDescent="0.2">
      <c r="A394" s="412" t="s">
        <v>617</v>
      </c>
      <c r="B394" s="457">
        <v>0</v>
      </c>
      <c r="C394" s="457">
        <v>0</v>
      </c>
      <c r="D394" s="457">
        <v>0</v>
      </c>
      <c r="E394" s="457">
        <v>0</v>
      </c>
      <c r="F394" s="457">
        <v>0</v>
      </c>
      <c r="G394" s="457">
        <v>0</v>
      </c>
      <c r="H394" s="457">
        <v>0</v>
      </c>
      <c r="I394" s="457">
        <v>0</v>
      </c>
      <c r="J394" s="457">
        <v>0</v>
      </c>
      <c r="K394" s="457">
        <v>0</v>
      </c>
      <c r="L394" s="457">
        <v>0</v>
      </c>
      <c r="M394" s="457">
        <v>0</v>
      </c>
      <c r="N394" s="457">
        <v>0</v>
      </c>
      <c r="O394" s="457">
        <v>0</v>
      </c>
      <c r="P394" s="457">
        <v>0</v>
      </c>
      <c r="Q394" s="457">
        <v>0</v>
      </c>
      <c r="R394" s="457">
        <v>0</v>
      </c>
      <c r="S394" s="457">
        <v>0</v>
      </c>
      <c r="T394" s="410" t="e">
        <v>#DIV/0!</v>
      </c>
      <c r="U394" s="285">
        <v>0</v>
      </c>
      <c r="V394" s="285">
        <v>0</v>
      </c>
      <c r="W394" s="285">
        <v>0</v>
      </c>
      <c r="X394" s="285">
        <v>0</v>
      </c>
      <c r="Y394" s="285">
        <v>0</v>
      </c>
      <c r="Z394" s="285">
        <v>0</v>
      </c>
    </row>
    <row r="395" spans="1:26" x14ac:dyDescent="0.2">
      <c r="A395" s="412" t="s">
        <v>618</v>
      </c>
      <c r="B395" s="457">
        <v>0</v>
      </c>
      <c r="C395" s="457">
        <v>0</v>
      </c>
      <c r="D395" s="457">
        <v>0</v>
      </c>
      <c r="E395" s="457">
        <v>0</v>
      </c>
      <c r="F395" s="457">
        <v>0</v>
      </c>
      <c r="G395" s="457">
        <v>0</v>
      </c>
      <c r="H395" s="457">
        <v>0</v>
      </c>
      <c r="I395" s="457">
        <v>0</v>
      </c>
      <c r="J395" s="457">
        <v>0</v>
      </c>
      <c r="K395" s="457">
        <v>0</v>
      </c>
      <c r="L395" s="457">
        <v>0</v>
      </c>
      <c r="M395" s="457">
        <v>0</v>
      </c>
      <c r="N395" s="457">
        <v>0</v>
      </c>
      <c r="O395" s="457">
        <v>0</v>
      </c>
      <c r="P395" s="457">
        <v>0</v>
      </c>
      <c r="Q395" s="457">
        <v>0</v>
      </c>
      <c r="R395" s="457">
        <v>0</v>
      </c>
      <c r="S395" s="457">
        <v>0</v>
      </c>
      <c r="T395" s="410" t="e">
        <v>#DIV/0!</v>
      </c>
      <c r="U395" s="285">
        <v>0</v>
      </c>
      <c r="V395" s="285">
        <v>0</v>
      </c>
      <c r="W395" s="285">
        <v>0</v>
      </c>
      <c r="X395" s="285">
        <v>0</v>
      </c>
      <c r="Y395" s="285">
        <v>0</v>
      </c>
      <c r="Z395" s="285">
        <v>0</v>
      </c>
    </row>
    <row r="396" spans="1:26" x14ac:dyDescent="0.2">
      <c r="A396" s="412" t="s">
        <v>619</v>
      </c>
      <c r="B396" s="457">
        <v>0</v>
      </c>
      <c r="C396" s="457">
        <v>0</v>
      </c>
      <c r="D396" s="457">
        <v>0</v>
      </c>
      <c r="E396" s="457">
        <v>0</v>
      </c>
      <c r="F396" s="457">
        <v>0</v>
      </c>
      <c r="G396" s="457">
        <v>0</v>
      </c>
      <c r="H396" s="457">
        <v>0</v>
      </c>
      <c r="I396" s="457">
        <v>0</v>
      </c>
      <c r="J396" s="457">
        <v>0</v>
      </c>
      <c r="K396" s="457">
        <v>0</v>
      </c>
      <c r="L396" s="457">
        <v>0</v>
      </c>
      <c r="M396" s="457">
        <v>0</v>
      </c>
      <c r="N396" s="457">
        <v>0</v>
      </c>
      <c r="O396" s="457">
        <v>0</v>
      </c>
      <c r="P396" s="457">
        <v>0</v>
      </c>
      <c r="Q396" s="457">
        <v>0</v>
      </c>
      <c r="R396" s="457">
        <v>0</v>
      </c>
      <c r="S396" s="457">
        <v>0</v>
      </c>
      <c r="T396" s="410" t="e">
        <v>#DIV/0!</v>
      </c>
      <c r="U396" s="285">
        <v>0</v>
      </c>
      <c r="V396" s="285">
        <v>0</v>
      </c>
      <c r="W396" s="285">
        <v>0</v>
      </c>
      <c r="X396" s="285">
        <v>0</v>
      </c>
      <c r="Y396" s="285">
        <v>0</v>
      </c>
      <c r="Z396" s="285">
        <v>0</v>
      </c>
    </row>
    <row r="397" spans="1:26" x14ac:dyDescent="0.2">
      <c r="A397" s="404" t="s">
        <v>620</v>
      </c>
      <c r="B397" s="247">
        <v>0</v>
      </c>
      <c r="C397" s="247">
        <v>0</v>
      </c>
      <c r="D397" s="247">
        <v>0</v>
      </c>
      <c r="E397" s="247">
        <v>0</v>
      </c>
      <c r="F397" s="247">
        <v>0</v>
      </c>
      <c r="G397" s="247">
        <v>0</v>
      </c>
      <c r="H397" s="247">
        <v>0</v>
      </c>
      <c r="I397" s="247">
        <v>0</v>
      </c>
      <c r="J397" s="247">
        <v>0</v>
      </c>
      <c r="K397" s="247">
        <v>0</v>
      </c>
      <c r="L397" s="247">
        <v>0</v>
      </c>
      <c r="M397" s="247">
        <v>0</v>
      </c>
      <c r="N397" s="247">
        <v>0</v>
      </c>
      <c r="O397" s="247">
        <v>0</v>
      </c>
      <c r="P397" s="247">
        <v>0</v>
      </c>
      <c r="Q397" s="247">
        <v>0</v>
      </c>
      <c r="R397" s="247">
        <v>0</v>
      </c>
      <c r="S397" s="247">
        <v>0</v>
      </c>
      <c r="T397" s="407" t="e">
        <v>#DIV/0!</v>
      </c>
      <c r="U397" s="406">
        <v>0</v>
      </c>
      <c r="V397" s="406">
        <v>0</v>
      </c>
      <c r="W397" s="406">
        <v>0</v>
      </c>
      <c r="X397" s="406">
        <v>0</v>
      </c>
      <c r="Y397" s="406">
        <v>0</v>
      </c>
      <c r="Z397" s="406">
        <v>0</v>
      </c>
    </row>
    <row r="398" spans="1:26" x14ac:dyDescent="0.2">
      <c r="A398" s="404" t="s">
        <v>621</v>
      </c>
      <c r="B398" s="247">
        <v>0</v>
      </c>
      <c r="C398" s="247">
        <v>0</v>
      </c>
      <c r="D398" s="247">
        <v>0</v>
      </c>
      <c r="E398" s="247">
        <v>0</v>
      </c>
      <c r="F398" s="247">
        <v>0</v>
      </c>
      <c r="G398" s="247">
        <v>0</v>
      </c>
      <c r="H398" s="247">
        <v>0</v>
      </c>
      <c r="I398" s="247">
        <v>0</v>
      </c>
      <c r="J398" s="247">
        <v>0</v>
      </c>
      <c r="K398" s="247">
        <v>0</v>
      </c>
      <c r="L398" s="247">
        <v>0</v>
      </c>
      <c r="M398" s="247">
        <v>0</v>
      </c>
      <c r="N398" s="247">
        <v>0</v>
      </c>
      <c r="O398" s="247">
        <v>0</v>
      </c>
      <c r="P398" s="247">
        <v>0</v>
      </c>
      <c r="Q398" s="247">
        <v>0</v>
      </c>
      <c r="R398" s="247">
        <v>0</v>
      </c>
      <c r="S398" s="247">
        <v>0</v>
      </c>
      <c r="T398" s="407" t="e">
        <v>#DIV/0!</v>
      </c>
      <c r="U398" s="406">
        <v>0</v>
      </c>
      <c r="V398" s="406">
        <v>0</v>
      </c>
      <c r="W398" s="406">
        <v>0</v>
      </c>
      <c r="X398" s="406">
        <v>0</v>
      </c>
      <c r="Y398" s="406">
        <v>0</v>
      </c>
      <c r="Z398" s="406">
        <v>0</v>
      </c>
    </row>
    <row r="399" spans="1:26" x14ac:dyDescent="0.2">
      <c r="A399" s="404" t="s">
        <v>622</v>
      </c>
      <c r="B399" s="247">
        <v>0</v>
      </c>
      <c r="C399" s="247">
        <v>0</v>
      </c>
      <c r="D399" s="247">
        <v>0</v>
      </c>
      <c r="E399" s="247">
        <v>0</v>
      </c>
      <c r="F399" s="247">
        <v>0</v>
      </c>
      <c r="G399" s="247">
        <v>0</v>
      </c>
      <c r="H399" s="247">
        <v>0</v>
      </c>
      <c r="I399" s="247">
        <v>0</v>
      </c>
      <c r="J399" s="247">
        <v>0</v>
      </c>
      <c r="K399" s="247">
        <v>0</v>
      </c>
      <c r="L399" s="247">
        <v>0</v>
      </c>
      <c r="M399" s="247">
        <v>0</v>
      </c>
      <c r="N399" s="247">
        <v>0</v>
      </c>
      <c r="O399" s="247">
        <v>0</v>
      </c>
      <c r="P399" s="247">
        <v>0</v>
      </c>
      <c r="Q399" s="247">
        <v>0</v>
      </c>
      <c r="R399" s="247">
        <v>0</v>
      </c>
      <c r="S399" s="247">
        <v>0</v>
      </c>
      <c r="T399" s="407" t="e">
        <v>#DIV/0!</v>
      </c>
      <c r="U399" s="406">
        <v>0</v>
      </c>
      <c r="V399" s="406">
        <v>0</v>
      </c>
      <c r="W399" s="406">
        <v>0</v>
      </c>
      <c r="X399" s="406">
        <v>0</v>
      </c>
      <c r="Y399" s="406">
        <v>0</v>
      </c>
      <c r="Z399" s="406">
        <v>0</v>
      </c>
    </row>
    <row r="400" spans="1:26" x14ac:dyDescent="0.2">
      <c r="A400" s="404" t="s">
        <v>623</v>
      </c>
      <c r="B400" s="247">
        <v>0</v>
      </c>
      <c r="C400" s="247">
        <v>0</v>
      </c>
      <c r="D400" s="247">
        <v>0</v>
      </c>
      <c r="E400" s="247">
        <v>0</v>
      </c>
      <c r="F400" s="247">
        <v>0</v>
      </c>
      <c r="G400" s="247">
        <v>0</v>
      </c>
      <c r="H400" s="247">
        <v>0</v>
      </c>
      <c r="I400" s="247">
        <v>0</v>
      </c>
      <c r="J400" s="247">
        <v>0</v>
      </c>
      <c r="K400" s="247">
        <v>0</v>
      </c>
      <c r="L400" s="247">
        <v>0</v>
      </c>
      <c r="M400" s="247">
        <v>0</v>
      </c>
      <c r="N400" s="247">
        <v>0</v>
      </c>
      <c r="O400" s="247">
        <v>0</v>
      </c>
      <c r="P400" s="247">
        <v>0</v>
      </c>
      <c r="Q400" s="247">
        <v>0</v>
      </c>
      <c r="R400" s="247">
        <v>0</v>
      </c>
      <c r="S400" s="247">
        <v>0</v>
      </c>
      <c r="T400" s="407" t="e">
        <v>#DIV/0!</v>
      </c>
      <c r="U400" s="406">
        <v>0</v>
      </c>
      <c r="V400" s="406">
        <v>0</v>
      </c>
      <c r="W400" s="406">
        <v>0</v>
      </c>
      <c r="X400" s="406">
        <v>0</v>
      </c>
      <c r="Y400" s="406">
        <v>0</v>
      </c>
      <c r="Z400" s="406">
        <v>0</v>
      </c>
    </row>
    <row r="401" spans="1:26" x14ac:dyDescent="0.2">
      <c r="A401" s="404" t="s">
        <v>624</v>
      </c>
      <c r="B401" s="448">
        <v>0</v>
      </c>
      <c r="C401" s="448">
        <v>0</v>
      </c>
      <c r="D401" s="448">
        <v>0</v>
      </c>
      <c r="E401" s="448">
        <v>0</v>
      </c>
      <c r="F401" s="448">
        <v>0</v>
      </c>
      <c r="G401" s="448">
        <v>0</v>
      </c>
      <c r="H401" s="448">
        <v>0</v>
      </c>
      <c r="I401" s="448">
        <v>0</v>
      </c>
      <c r="J401" s="448">
        <v>0</v>
      </c>
      <c r="K401" s="448">
        <v>0</v>
      </c>
      <c r="L401" s="448">
        <v>0</v>
      </c>
      <c r="M401" s="448">
        <v>0</v>
      </c>
      <c r="N401" s="448">
        <v>0</v>
      </c>
      <c r="O401" s="448">
        <v>0</v>
      </c>
      <c r="P401" s="448">
        <v>0</v>
      </c>
      <c r="Q401" s="448">
        <v>0</v>
      </c>
      <c r="R401" s="448">
        <v>0</v>
      </c>
      <c r="S401" s="448">
        <v>0</v>
      </c>
      <c r="T401" s="407" t="e">
        <v>#DIV/0!</v>
      </c>
      <c r="U401" s="406">
        <v>0</v>
      </c>
      <c r="V401" s="406">
        <v>0</v>
      </c>
      <c r="W401" s="406">
        <v>0</v>
      </c>
      <c r="X401" s="406">
        <v>0</v>
      </c>
      <c r="Y401" s="406">
        <v>0</v>
      </c>
      <c r="Z401" s="406">
        <v>0</v>
      </c>
    </row>
    <row r="402" spans="1:26" x14ac:dyDescent="0.2">
      <c r="A402" s="412" t="s">
        <v>625</v>
      </c>
      <c r="B402" s="455">
        <v>0</v>
      </c>
      <c r="C402" s="455">
        <v>0</v>
      </c>
      <c r="D402" s="455">
        <v>0</v>
      </c>
      <c r="E402" s="455">
        <v>0</v>
      </c>
      <c r="F402" s="455">
        <v>0</v>
      </c>
      <c r="G402" s="455">
        <v>0</v>
      </c>
      <c r="H402" s="455">
        <v>0</v>
      </c>
      <c r="I402" s="455">
        <v>0</v>
      </c>
      <c r="J402" s="455">
        <v>0</v>
      </c>
      <c r="K402" s="455">
        <v>0</v>
      </c>
      <c r="L402" s="455">
        <v>0</v>
      </c>
      <c r="M402" s="455">
        <v>0</v>
      </c>
      <c r="N402" s="455">
        <v>0</v>
      </c>
      <c r="O402" s="455">
        <v>0</v>
      </c>
      <c r="P402" s="455">
        <v>0</v>
      </c>
      <c r="Q402" s="455">
        <v>0</v>
      </c>
      <c r="R402" s="455">
        <v>0</v>
      </c>
      <c r="S402" s="455">
        <v>0</v>
      </c>
      <c r="T402" s="410" t="e">
        <v>#DIV/0!</v>
      </c>
      <c r="U402" s="285">
        <v>0</v>
      </c>
      <c r="V402" s="285">
        <v>0</v>
      </c>
      <c r="W402" s="285">
        <v>0</v>
      </c>
      <c r="X402" s="285">
        <v>0</v>
      </c>
      <c r="Y402" s="285">
        <v>0</v>
      </c>
      <c r="Z402" s="285">
        <v>0</v>
      </c>
    </row>
    <row r="403" spans="1:26" x14ac:dyDescent="0.2">
      <c r="A403" s="414" t="s">
        <v>626</v>
      </c>
      <c r="B403" s="455">
        <v>0</v>
      </c>
      <c r="C403" s="455">
        <v>0</v>
      </c>
      <c r="D403" s="455">
        <v>0</v>
      </c>
      <c r="E403" s="455">
        <v>0</v>
      </c>
      <c r="F403" s="455">
        <v>0</v>
      </c>
      <c r="G403" s="455">
        <v>0</v>
      </c>
      <c r="H403" s="455">
        <v>0</v>
      </c>
      <c r="I403" s="455">
        <v>0</v>
      </c>
      <c r="J403" s="455">
        <v>0</v>
      </c>
      <c r="K403" s="455">
        <v>0</v>
      </c>
      <c r="L403" s="455">
        <v>0</v>
      </c>
      <c r="M403" s="455">
        <v>0</v>
      </c>
      <c r="N403" s="455">
        <v>0</v>
      </c>
      <c r="O403" s="455">
        <v>0</v>
      </c>
      <c r="P403" s="455">
        <v>0</v>
      </c>
      <c r="Q403" s="455">
        <v>0</v>
      </c>
      <c r="R403" s="455">
        <v>0</v>
      </c>
      <c r="S403" s="455">
        <v>0</v>
      </c>
      <c r="T403" s="410" t="e">
        <v>#DIV/0!</v>
      </c>
      <c r="U403" s="285">
        <v>0</v>
      </c>
      <c r="V403" s="285">
        <v>0</v>
      </c>
      <c r="W403" s="285">
        <v>0</v>
      </c>
      <c r="X403" s="285">
        <v>0</v>
      </c>
      <c r="Y403" s="285">
        <v>0</v>
      </c>
      <c r="Z403" s="285">
        <v>0</v>
      </c>
    </row>
    <row r="404" spans="1:26" x14ac:dyDescent="0.2">
      <c r="A404" s="416" t="s">
        <v>627</v>
      </c>
      <c r="B404" s="457">
        <v>0</v>
      </c>
      <c r="C404" s="457">
        <v>0</v>
      </c>
      <c r="D404" s="457">
        <v>0</v>
      </c>
      <c r="E404" s="457">
        <v>0</v>
      </c>
      <c r="F404" s="457">
        <v>0</v>
      </c>
      <c r="G404" s="457">
        <v>0</v>
      </c>
      <c r="H404" s="457">
        <v>0</v>
      </c>
      <c r="I404" s="457">
        <v>0</v>
      </c>
      <c r="J404" s="457">
        <v>0</v>
      </c>
      <c r="K404" s="457">
        <v>0</v>
      </c>
      <c r="L404" s="457">
        <v>0</v>
      </c>
      <c r="M404" s="457">
        <v>0</v>
      </c>
      <c r="N404" s="457">
        <v>0</v>
      </c>
      <c r="O404" s="457">
        <v>0</v>
      </c>
      <c r="P404" s="457">
        <v>0</v>
      </c>
      <c r="Q404" s="457">
        <v>0</v>
      </c>
      <c r="R404" s="457">
        <v>0</v>
      </c>
      <c r="S404" s="457">
        <v>0</v>
      </c>
      <c r="T404" s="410" t="e">
        <v>#DIV/0!</v>
      </c>
      <c r="U404" s="285">
        <v>0</v>
      </c>
      <c r="V404" s="285">
        <v>0</v>
      </c>
      <c r="W404" s="285">
        <v>0</v>
      </c>
      <c r="X404" s="285">
        <v>0</v>
      </c>
      <c r="Y404" s="285">
        <v>0</v>
      </c>
      <c r="Z404" s="285">
        <v>0</v>
      </c>
    </row>
    <row r="405" spans="1:26" x14ac:dyDescent="0.2">
      <c r="A405" s="416" t="s">
        <v>628</v>
      </c>
      <c r="B405" s="457">
        <v>0</v>
      </c>
      <c r="C405" s="457">
        <v>0</v>
      </c>
      <c r="D405" s="457">
        <v>0</v>
      </c>
      <c r="E405" s="457">
        <v>0</v>
      </c>
      <c r="F405" s="457">
        <v>0</v>
      </c>
      <c r="G405" s="457">
        <v>0</v>
      </c>
      <c r="H405" s="457">
        <v>0</v>
      </c>
      <c r="I405" s="457">
        <v>0</v>
      </c>
      <c r="J405" s="457">
        <v>0</v>
      </c>
      <c r="K405" s="457">
        <v>0</v>
      </c>
      <c r="L405" s="457">
        <v>0</v>
      </c>
      <c r="M405" s="457">
        <v>0</v>
      </c>
      <c r="N405" s="457">
        <v>0</v>
      </c>
      <c r="O405" s="457">
        <v>0</v>
      </c>
      <c r="P405" s="457">
        <v>0</v>
      </c>
      <c r="Q405" s="457">
        <v>0</v>
      </c>
      <c r="R405" s="457">
        <v>0</v>
      </c>
      <c r="S405" s="457">
        <v>0</v>
      </c>
      <c r="T405" s="410" t="e">
        <v>#DIV/0!</v>
      </c>
      <c r="U405" s="285">
        <v>0</v>
      </c>
      <c r="V405" s="285">
        <v>0</v>
      </c>
      <c r="W405" s="285">
        <v>0</v>
      </c>
      <c r="X405" s="285">
        <v>0</v>
      </c>
      <c r="Y405" s="285">
        <v>0</v>
      </c>
      <c r="Z405" s="285">
        <v>0</v>
      </c>
    </row>
    <row r="406" spans="1:26" x14ac:dyDescent="0.2">
      <c r="A406" s="414" t="s">
        <v>1317</v>
      </c>
      <c r="B406" s="457">
        <v>0</v>
      </c>
      <c r="C406" s="457">
        <v>0</v>
      </c>
      <c r="D406" s="457">
        <v>0</v>
      </c>
      <c r="E406" s="457">
        <v>0</v>
      </c>
      <c r="F406" s="457">
        <v>0</v>
      </c>
      <c r="G406" s="457">
        <v>0</v>
      </c>
      <c r="H406" s="457">
        <v>0</v>
      </c>
      <c r="I406" s="457">
        <v>0</v>
      </c>
      <c r="J406" s="457">
        <v>0</v>
      </c>
      <c r="K406" s="457">
        <v>0</v>
      </c>
      <c r="L406" s="457">
        <v>0</v>
      </c>
      <c r="M406" s="457">
        <v>0</v>
      </c>
      <c r="N406" s="457">
        <v>0</v>
      </c>
      <c r="O406" s="457">
        <v>0</v>
      </c>
      <c r="P406" s="457">
        <v>0</v>
      </c>
      <c r="Q406" s="457">
        <v>0</v>
      </c>
      <c r="R406" s="457">
        <v>0</v>
      </c>
      <c r="S406" s="457">
        <v>0</v>
      </c>
      <c r="T406" s="410" t="e">
        <v>#DIV/0!</v>
      </c>
      <c r="U406" s="285">
        <v>0</v>
      </c>
      <c r="V406" s="285">
        <v>0</v>
      </c>
      <c r="W406" s="285">
        <v>0</v>
      </c>
      <c r="X406" s="285">
        <v>0</v>
      </c>
      <c r="Y406" s="285">
        <v>0</v>
      </c>
      <c r="Z406" s="285">
        <v>0</v>
      </c>
    </row>
    <row r="407" spans="1:26" x14ac:dyDescent="0.2">
      <c r="A407" s="416" t="s">
        <v>1319</v>
      </c>
      <c r="B407" s="457">
        <v>0</v>
      </c>
      <c r="C407" s="457">
        <v>0</v>
      </c>
      <c r="D407" s="457">
        <v>0</v>
      </c>
      <c r="E407" s="457">
        <v>0</v>
      </c>
      <c r="F407" s="457">
        <v>0</v>
      </c>
      <c r="G407" s="457">
        <v>0</v>
      </c>
      <c r="H407" s="457">
        <v>0</v>
      </c>
      <c r="I407" s="457">
        <v>0</v>
      </c>
      <c r="J407" s="457">
        <v>0</v>
      </c>
      <c r="K407" s="457">
        <v>0</v>
      </c>
      <c r="L407" s="457">
        <v>0</v>
      </c>
      <c r="M407" s="457">
        <v>0</v>
      </c>
      <c r="N407" s="457">
        <v>0</v>
      </c>
      <c r="O407" s="457">
        <v>0</v>
      </c>
      <c r="P407" s="457">
        <v>0</v>
      </c>
      <c r="Q407" s="457">
        <v>0</v>
      </c>
      <c r="R407" s="457">
        <v>0</v>
      </c>
      <c r="S407" s="457">
        <v>0</v>
      </c>
      <c r="T407" s="410" t="e">
        <v>#DIV/0!</v>
      </c>
      <c r="U407" s="285">
        <v>0</v>
      </c>
      <c r="V407" s="285">
        <v>0</v>
      </c>
      <c r="W407" s="285">
        <v>0</v>
      </c>
      <c r="X407" s="285">
        <v>0</v>
      </c>
      <c r="Y407" s="285">
        <v>0</v>
      </c>
      <c r="Z407" s="285">
        <v>0</v>
      </c>
    </row>
    <row r="408" spans="1:26" x14ac:dyDescent="0.2">
      <c r="A408" s="416" t="s">
        <v>1321</v>
      </c>
      <c r="B408" s="457">
        <v>0</v>
      </c>
      <c r="C408" s="457">
        <v>0</v>
      </c>
      <c r="D408" s="457">
        <v>0</v>
      </c>
      <c r="E408" s="457">
        <v>0</v>
      </c>
      <c r="F408" s="457">
        <v>0</v>
      </c>
      <c r="G408" s="457">
        <v>0</v>
      </c>
      <c r="H408" s="457">
        <v>0</v>
      </c>
      <c r="I408" s="457">
        <v>0</v>
      </c>
      <c r="J408" s="457">
        <v>0</v>
      </c>
      <c r="K408" s="457">
        <v>0</v>
      </c>
      <c r="L408" s="457">
        <v>0</v>
      </c>
      <c r="M408" s="457">
        <v>0</v>
      </c>
      <c r="N408" s="457">
        <v>0</v>
      </c>
      <c r="O408" s="457">
        <v>0</v>
      </c>
      <c r="P408" s="457">
        <v>0</v>
      </c>
      <c r="Q408" s="457">
        <v>0</v>
      </c>
      <c r="R408" s="457">
        <v>0</v>
      </c>
      <c r="S408" s="457">
        <v>0</v>
      </c>
      <c r="T408" s="410" t="e">
        <v>#DIV/0!</v>
      </c>
      <c r="U408" s="285">
        <v>0</v>
      </c>
      <c r="V408" s="285">
        <v>0</v>
      </c>
      <c r="W408" s="285">
        <v>0</v>
      </c>
      <c r="X408" s="285">
        <v>0</v>
      </c>
      <c r="Y408" s="285">
        <v>0</v>
      </c>
      <c r="Z408" s="285">
        <v>0</v>
      </c>
    </row>
    <row r="409" spans="1:26" x14ac:dyDescent="0.2">
      <c r="A409" s="414" t="s">
        <v>629</v>
      </c>
      <c r="B409" s="457">
        <v>0</v>
      </c>
      <c r="C409" s="457">
        <v>0</v>
      </c>
      <c r="D409" s="457">
        <v>0</v>
      </c>
      <c r="E409" s="457">
        <v>0</v>
      </c>
      <c r="F409" s="457">
        <v>0</v>
      </c>
      <c r="G409" s="457">
        <v>0</v>
      </c>
      <c r="H409" s="457">
        <v>0</v>
      </c>
      <c r="I409" s="457">
        <v>0</v>
      </c>
      <c r="J409" s="457">
        <v>0</v>
      </c>
      <c r="K409" s="457">
        <v>0</v>
      </c>
      <c r="L409" s="457">
        <v>0</v>
      </c>
      <c r="M409" s="457">
        <v>0</v>
      </c>
      <c r="N409" s="457">
        <v>0</v>
      </c>
      <c r="O409" s="457">
        <v>0</v>
      </c>
      <c r="P409" s="457">
        <v>0</v>
      </c>
      <c r="Q409" s="457">
        <v>0</v>
      </c>
      <c r="R409" s="457">
        <v>0</v>
      </c>
      <c r="S409" s="457">
        <v>0</v>
      </c>
      <c r="T409" s="410" t="e">
        <v>#DIV/0!</v>
      </c>
      <c r="U409" s="285">
        <v>0</v>
      </c>
      <c r="V409" s="285">
        <v>0</v>
      </c>
      <c r="W409" s="285">
        <v>0</v>
      </c>
      <c r="X409" s="285">
        <v>0</v>
      </c>
      <c r="Y409" s="285">
        <v>0</v>
      </c>
      <c r="Z409" s="285">
        <v>0</v>
      </c>
    </row>
    <row r="410" spans="1:26" x14ac:dyDescent="0.2">
      <c r="A410" s="414" t="s">
        <v>630</v>
      </c>
      <c r="B410" s="457">
        <v>0</v>
      </c>
      <c r="C410" s="457">
        <v>0</v>
      </c>
      <c r="D410" s="457">
        <v>0</v>
      </c>
      <c r="E410" s="457">
        <v>0</v>
      </c>
      <c r="F410" s="457">
        <v>0</v>
      </c>
      <c r="G410" s="457">
        <v>0</v>
      </c>
      <c r="H410" s="457">
        <v>0</v>
      </c>
      <c r="I410" s="457">
        <v>0</v>
      </c>
      <c r="J410" s="457">
        <v>0</v>
      </c>
      <c r="K410" s="457">
        <v>0</v>
      </c>
      <c r="L410" s="457">
        <v>0</v>
      </c>
      <c r="M410" s="457">
        <v>0</v>
      </c>
      <c r="N410" s="457">
        <v>0</v>
      </c>
      <c r="O410" s="457">
        <v>0</v>
      </c>
      <c r="P410" s="457">
        <v>0</v>
      </c>
      <c r="Q410" s="457">
        <v>0</v>
      </c>
      <c r="R410" s="457">
        <v>0</v>
      </c>
      <c r="S410" s="457">
        <v>0</v>
      </c>
      <c r="T410" s="410" t="e">
        <v>#DIV/0!</v>
      </c>
      <c r="U410" s="285">
        <v>0</v>
      </c>
      <c r="V410" s="285">
        <v>0</v>
      </c>
      <c r="W410" s="285">
        <v>0</v>
      </c>
      <c r="X410" s="285">
        <v>0</v>
      </c>
      <c r="Y410" s="285">
        <v>0</v>
      </c>
      <c r="Z410" s="285">
        <v>0</v>
      </c>
    </row>
    <row r="411" spans="1:26" x14ac:dyDescent="0.2">
      <c r="A411" s="412" t="s">
        <v>631</v>
      </c>
      <c r="B411" s="457">
        <v>0</v>
      </c>
      <c r="C411" s="457">
        <v>0</v>
      </c>
      <c r="D411" s="457">
        <v>0</v>
      </c>
      <c r="E411" s="457">
        <v>0</v>
      </c>
      <c r="F411" s="457">
        <v>0</v>
      </c>
      <c r="G411" s="457">
        <v>0</v>
      </c>
      <c r="H411" s="457">
        <v>0</v>
      </c>
      <c r="I411" s="457">
        <v>0</v>
      </c>
      <c r="J411" s="457">
        <v>0</v>
      </c>
      <c r="K411" s="457">
        <v>0</v>
      </c>
      <c r="L411" s="457">
        <v>0</v>
      </c>
      <c r="M411" s="457">
        <v>0</v>
      </c>
      <c r="N411" s="457">
        <v>0</v>
      </c>
      <c r="O411" s="457">
        <v>0</v>
      </c>
      <c r="P411" s="457">
        <v>0</v>
      </c>
      <c r="Q411" s="457">
        <v>0</v>
      </c>
      <c r="R411" s="457">
        <v>0</v>
      </c>
      <c r="S411" s="457">
        <v>0</v>
      </c>
      <c r="T411" s="410" t="e">
        <v>#DIV/0!</v>
      </c>
      <c r="U411" s="285">
        <v>0</v>
      </c>
      <c r="V411" s="285">
        <v>0</v>
      </c>
      <c r="W411" s="285">
        <v>0</v>
      </c>
      <c r="X411" s="285">
        <v>0</v>
      </c>
      <c r="Y411" s="285">
        <v>0</v>
      </c>
      <c r="Z411" s="285">
        <v>0</v>
      </c>
    </row>
    <row r="412" spans="1:26" x14ac:dyDescent="0.2">
      <c r="A412" s="412" t="s">
        <v>632</v>
      </c>
      <c r="B412" s="457">
        <v>0</v>
      </c>
      <c r="C412" s="457">
        <v>0</v>
      </c>
      <c r="D412" s="457">
        <v>0</v>
      </c>
      <c r="E412" s="457">
        <v>0</v>
      </c>
      <c r="F412" s="457">
        <v>0</v>
      </c>
      <c r="G412" s="457">
        <v>0</v>
      </c>
      <c r="H412" s="457">
        <v>0</v>
      </c>
      <c r="I412" s="457">
        <v>0</v>
      </c>
      <c r="J412" s="457">
        <v>0</v>
      </c>
      <c r="K412" s="457">
        <v>0</v>
      </c>
      <c r="L412" s="457">
        <v>0</v>
      </c>
      <c r="M412" s="457">
        <v>0</v>
      </c>
      <c r="N412" s="457">
        <v>0</v>
      </c>
      <c r="O412" s="457">
        <v>0</v>
      </c>
      <c r="P412" s="457">
        <v>0</v>
      </c>
      <c r="Q412" s="457">
        <v>0</v>
      </c>
      <c r="R412" s="457">
        <v>0</v>
      </c>
      <c r="S412" s="457">
        <v>0</v>
      </c>
      <c r="T412" s="410" t="e">
        <v>#DIV/0!</v>
      </c>
      <c r="U412" s="285">
        <v>0</v>
      </c>
      <c r="V412" s="285">
        <v>0</v>
      </c>
      <c r="W412" s="285">
        <v>0</v>
      </c>
      <c r="X412" s="285">
        <v>0</v>
      </c>
      <c r="Y412" s="285">
        <v>0</v>
      </c>
      <c r="Z412" s="285">
        <v>0</v>
      </c>
    </row>
    <row r="413" spans="1:26" x14ac:dyDescent="0.2">
      <c r="A413" s="412" t="s">
        <v>633</v>
      </c>
      <c r="B413" s="457">
        <v>0</v>
      </c>
      <c r="C413" s="457">
        <v>0</v>
      </c>
      <c r="D413" s="457">
        <v>0</v>
      </c>
      <c r="E413" s="457">
        <v>0</v>
      </c>
      <c r="F413" s="457">
        <v>0</v>
      </c>
      <c r="G413" s="457">
        <v>0</v>
      </c>
      <c r="H413" s="457">
        <v>0</v>
      </c>
      <c r="I413" s="457">
        <v>0</v>
      </c>
      <c r="J413" s="457">
        <v>0</v>
      </c>
      <c r="K413" s="457">
        <v>0</v>
      </c>
      <c r="L413" s="457">
        <v>0</v>
      </c>
      <c r="M413" s="457">
        <v>0</v>
      </c>
      <c r="N413" s="457">
        <v>0</v>
      </c>
      <c r="O413" s="457">
        <v>0</v>
      </c>
      <c r="P413" s="457">
        <v>0</v>
      </c>
      <c r="Q413" s="457">
        <v>0</v>
      </c>
      <c r="R413" s="457">
        <v>0</v>
      </c>
      <c r="S413" s="457">
        <v>0</v>
      </c>
      <c r="T413" s="410" t="e">
        <v>#DIV/0!</v>
      </c>
      <c r="U413" s="285">
        <v>0</v>
      </c>
      <c r="V413" s="285">
        <v>0</v>
      </c>
      <c r="W413" s="285">
        <v>0</v>
      </c>
      <c r="X413" s="285">
        <v>0</v>
      </c>
      <c r="Y413" s="285">
        <v>0</v>
      </c>
      <c r="Z413" s="285">
        <v>0</v>
      </c>
    </row>
    <row r="414" spans="1:26" x14ac:dyDescent="0.2">
      <c r="A414" s="412" t="s">
        <v>634</v>
      </c>
      <c r="B414" s="457">
        <v>0</v>
      </c>
      <c r="C414" s="457">
        <v>0</v>
      </c>
      <c r="D414" s="457">
        <v>0</v>
      </c>
      <c r="E414" s="457">
        <v>0</v>
      </c>
      <c r="F414" s="457">
        <v>0</v>
      </c>
      <c r="G414" s="457">
        <v>0</v>
      </c>
      <c r="H414" s="457">
        <v>0</v>
      </c>
      <c r="I414" s="457">
        <v>0</v>
      </c>
      <c r="J414" s="457">
        <v>0</v>
      </c>
      <c r="K414" s="457">
        <v>0</v>
      </c>
      <c r="L414" s="457">
        <v>0</v>
      </c>
      <c r="M414" s="457">
        <v>0</v>
      </c>
      <c r="N414" s="457">
        <v>0</v>
      </c>
      <c r="O414" s="457">
        <v>0</v>
      </c>
      <c r="P414" s="457">
        <v>0</v>
      </c>
      <c r="Q414" s="457">
        <v>0</v>
      </c>
      <c r="R414" s="457">
        <v>0</v>
      </c>
      <c r="S414" s="457">
        <v>0</v>
      </c>
      <c r="T414" s="410" t="e">
        <v>#DIV/0!</v>
      </c>
      <c r="U414" s="285">
        <v>0</v>
      </c>
      <c r="V414" s="285">
        <v>0</v>
      </c>
      <c r="W414" s="285">
        <v>0</v>
      </c>
      <c r="X414" s="285">
        <v>0</v>
      </c>
      <c r="Y414" s="285">
        <v>0</v>
      </c>
      <c r="Z414" s="285">
        <v>0</v>
      </c>
    </row>
    <row r="415" spans="1:26" x14ac:dyDescent="0.2">
      <c r="A415" s="412" t="s">
        <v>635</v>
      </c>
      <c r="B415" s="457">
        <v>0</v>
      </c>
      <c r="C415" s="457">
        <v>0</v>
      </c>
      <c r="D415" s="457">
        <v>0</v>
      </c>
      <c r="E415" s="457">
        <v>0</v>
      </c>
      <c r="F415" s="457">
        <v>0</v>
      </c>
      <c r="G415" s="457">
        <v>0</v>
      </c>
      <c r="H415" s="457">
        <v>0</v>
      </c>
      <c r="I415" s="457">
        <v>0</v>
      </c>
      <c r="J415" s="457">
        <v>0</v>
      </c>
      <c r="K415" s="457">
        <v>0</v>
      </c>
      <c r="L415" s="457">
        <v>0</v>
      </c>
      <c r="M415" s="457">
        <v>0</v>
      </c>
      <c r="N415" s="457">
        <v>0</v>
      </c>
      <c r="O415" s="457">
        <v>0</v>
      </c>
      <c r="P415" s="457">
        <v>0</v>
      </c>
      <c r="Q415" s="457">
        <v>0</v>
      </c>
      <c r="R415" s="457">
        <v>0</v>
      </c>
      <c r="S415" s="457">
        <v>0</v>
      </c>
      <c r="T415" s="410" t="e">
        <v>#DIV/0!</v>
      </c>
      <c r="U415" s="285">
        <v>0</v>
      </c>
      <c r="V415" s="285">
        <v>0</v>
      </c>
      <c r="W415" s="285">
        <v>0</v>
      </c>
      <c r="X415" s="285">
        <v>0</v>
      </c>
      <c r="Y415" s="285">
        <v>0</v>
      </c>
      <c r="Z415" s="285">
        <v>0</v>
      </c>
    </row>
    <row r="416" spans="1:26" x14ac:dyDescent="0.2">
      <c r="A416" s="404" t="s">
        <v>636</v>
      </c>
      <c r="B416" s="448">
        <v>0</v>
      </c>
      <c r="C416" s="448">
        <v>0</v>
      </c>
      <c r="D416" s="448">
        <v>0</v>
      </c>
      <c r="E416" s="448">
        <v>0</v>
      </c>
      <c r="F416" s="448">
        <v>0</v>
      </c>
      <c r="G416" s="448">
        <v>0</v>
      </c>
      <c r="H416" s="448">
        <v>0</v>
      </c>
      <c r="I416" s="448">
        <v>0</v>
      </c>
      <c r="J416" s="448">
        <v>0</v>
      </c>
      <c r="K416" s="448">
        <v>0</v>
      </c>
      <c r="L416" s="448">
        <v>0</v>
      </c>
      <c r="M416" s="448">
        <v>0</v>
      </c>
      <c r="N416" s="448">
        <v>0</v>
      </c>
      <c r="O416" s="448">
        <v>0</v>
      </c>
      <c r="P416" s="448">
        <v>0</v>
      </c>
      <c r="Q416" s="448">
        <v>0</v>
      </c>
      <c r="R416" s="448">
        <v>0</v>
      </c>
      <c r="S416" s="448">
        <v>0</v>
      </c>
      <c r="T416" s="407" t="e">
        <v>#DIV/0!</v>
      </c>
      <c r="U416" s="406">
        <v>0</v>
      </c>
      <c r="V416" s="406">
        <v>0</v>
      </c>
      <c r="W416" s="406">
        <v>0</v>
      </c>
      <c r="X416" s="406">
        <v>0</v>
      </c>
      <c r="Y416" s="406">
        <v>0</v>
      </c>
      <c r="Z416" s="406">
        <v>0</v>
      </c>
    </row>
    <row r="417" spans="1:26" x14ac:dyDescent="0.2">
      <c r="A417" s="412" t="s">
        <v>637</v>
      </c>
      <c r="B417" s="457">
        <v>0</v>
      </c>
      <c r="C417" s="457">
        <v>0</v>
      </c>
      <c r="D417" s="457">
        <v>0</v>
      </c>
      <c r="E417" s="457">
        <v>0</v>
      </c>
      <c r="F417" s="457">
        <v>0</v>
      </c>
      <c r="G417" s="457">
        <v>0</v>
      </c>
      <c r="H417" s="457">
        <v>0</v>
      </c>
      <c r="I417" s="457">
        <v>0</v>
      </c>
      <c r="J417" s="457">
        <v>0</v>
      </c>
      <c r="K417" s="457">
        <v>0</v>
      </c>
      <c r="L417" s="457">
        <v>0</v>
      </c>
      <c r="M417" s="457">
        <v>0</v>
      </c>
      <c r="N417" s="457">
        <v>0</v>
      </c>
      <c r="O417" s="457">
        <v>0</v>
      </c>
      <c r="P417" s="457">
        <v>0</v>
      </c>
      <c r="Q417" s="457">
        <v>0</v>
      </c>
      <c r="R417" s="457">
        <v>0</v>
      </c>
      <c r="S417" s="457">
        <v>0</v>
      </c>
      <c r="T417" s="410" t="e">
        <v>#DIV/0!</v>
      </c>
      <c r="U417" s="285">
        <v>0</v>
      </c>
      <c r="V417" s="285">
        <v>0</v>
      </c>
      <c r="W417" s="285">
        <v>0</v>
      </c>
      <c r="X417" s="285">
        <v>0</v>
      </c>
      <c r="Y417" s="285">
        <v>0</v>
      </c>
      <c r="Z417" s="285">
        <v>0</v>
      </c>
    </row>
    <row r="418" spans="1:26" x14ac:dyDescent="0.2">
      <c r="A418" s="412" t="s">
        <v>638</v>
      </c>
      <c r="B418" s="457">
        <v>0</v>
      </c>
      <c r="C418" s="457">
        <v>0</v>
      </c>
      <c r="D418" s="457">
        <v>0</v>
      </c>
      <c r="E418" s="457">
        <v>0</v>
      </c>
      <c r="F418" s="457">
        <v>0</v>
      </c>
      <c r="G418" s="457">
        <v>0</v>
      </c>
      <c r="H418" s="457">
        <v>0</v>
      </c>
      <c r="I418" s="457">
        <v>0</v>
      </c>
      <c r="J418" s="457">
        <v>0</v>
      </c>
      <c r="K418" s="457">
        <v>0</v>
      </c>
      <c r="L418" s="457">
        <v>0</v>
      </c>
      <c r="M418" s="457">
        <v>0</v>
      </c>
      <c r="N418" s="457">
        <v>0</v>
      </c>
      <c r="O418" s="457">
        <v>0</v>
      </c>
      <c r="P418" s="457">
        <v>0</v>
      </c>
      <c r="Q418" s="457">
        <v>0</v>
      </c>
      <c r="R418" s="457">
        <v>0</v>
      </c>
      <c r="S418" s="457">
        <v>0</v>
      </c>
      <c r="T418" s="410" t="e">
        <v>#DIV/0!</v>
      </c>
      <c r="U418" s="285">
        <v>0</v>
      </c>
      <c r="V418" s="285">
        <v>0</v>
      </c>
      <c r="W418" s="285">
        <v>0</v>
      </c>
      <c r="X418" s="285">
        <v>0</v>
      </c>
      <c r="Y418" s="285">
        <v>0</v>
      </c>
      <c r="Z418" s="285">
        <v>0</v>
      </c>
    </row>
    <row r="419" spans="1:26" x14ac:dyDescent="0.2">
      <c r="A419" s="412" t="s">
        <v>639</v>
      </c>
      <c r="B419" s="457">
        <v>0</v>
      </c>
      <c r="C419" s="457">
        <v>0</v>
      </c>
      <c r="D419" s="457">
        <v>0</v>
      </c>
      <c r="E419" s="457">
        <v>0</v>
      </c>
      <c r="F419" s="457">
        <v>0</v>
      </c>
      <c r="G419" s="457">
        <v>0</v>
      </c>
      <c r="H419" s="457">
        <v>0</v>
      </c>
      <c r="I419" s="457">
        <v>0</v>
      </c>
      <c r="J419" s="457">
        <v>0</v>
      </c>
      <c r="K419" s="457">
        <v>0</v>
      </c>
      <c r="L419" s="457">
        <v>0</v>
      </c>
      <c r="M419" s="457">
        <v>0</v>
      </c>
      <c r="N419" s="457">
        <v>0</v>
      </c>
      <c r="O419" s="457">
        <v>0</v>
      </c>
      <c r="P419" s="457">
        <v>0</v>
      </c>
      <c r="Q419" s="457">
        <v>0</v>
      </c>
      <c r="R419" s="457">
        <v>0</v>
      </c>
      <c r="S419" s="457">
        <v>0</v>
      </c>
      <c r="T419" s="410" t="e">
        <v>#DIV/0!</v>
      </c>
      <c r="U419" s="285">
        <v>0</v>
      </c>
      <c r="V419" s="285">
        <v>0</v>
      </c>
      <c r="W419" s="285">
        <v>0</v>
      </c>
      <c r="X419" s="285">
        <v>0</v>
      </c>
      <c r="Y419" s="285">
        <v>0</v>
      </c>
      <c r="Z419" s="285">
        <v>0</v>
      </c>
    </row>
    <row r="420" spans="1:26" x14ac:dyDescent="0.2">
      <c r="A420" s="404" t="s">
        <v>640</v>
      </c>
      <c r="B420" s="448">
        <v>0</v>
      </c>
      <c r="C420" s="448">
        <v>0</v>
      </c>
      <c r="D420" s="448">
        <v>0</v>
      </c>
      <c r="E420" s="448">
        <v>0</v>
      </c>
      <c r="F420" s="448">
        <v>0</v>
      </c>
      <c r="G420" s="448">
        <v>0</v>
      </c>
      <c r="H420" s="448">
        <v>0</v>
      </c>
      <c r="I420" s="448">
        <v>0</v>
      </c>
      <c r="J420" s="448">
        <v>0</v>
      </c>
      <c r="K420" s="448">
        <v>0</v>
      </c>
      <c r="L420" s="448">
        <v>0</v>
      </c>
      <c r="M420" s="448">
        <v>0</v>
      </c>
      <c r="N420" s="448">
        <v>0</v>
      </c>
      <c r="O420" s="448">
        <v>0</v>
      </c>
      <c r="P420" s="448">
        <v>0</v>
      </c>
      <c r="Q420" s="448">
        <v>0</v>
      </c>
      <c r="R420" s="448">
        <v>0</v>
      </c>
      <c r="S420" s="448">
        <v>0</v>
      </c>
      <c r="T420" s="407" t="e">
        <v>#DIV/0!</v>
      </c>
      <c r="U420" s="406">
        <v>0</v>
      </c>
      <c r="V420" s="406">
        <v>0</v>
      </c>
      <c r="W420" s="406">
        <v>0</v>
      </c>
      <c r="X420" s="406">
        <v>0</v>
      </c>
      <c r="Y420" s="406">
        <v>0</v>
      </c>
      <c r="Z420" s="406">
        <v>0</v>
      </c>
    </row>
    <row r="421" spans="1:26" x14ac:dyDescent="0.2">
      <c r="A421" s="412" t="s">
        <v>641</v>
      </c>
      <c r="B421" s="457">
        <v>0</v>
      </c>
      <c r="C421" s="457">
        <v>0</v>
      </c>
      <c r="D421" s="457">
        <v>0</v>
      </c>
      <c r="E421" s="457">
        <v>0</v>
      </c>
      <c r="F421" s="457">
        <v>0</v>
      </c>
      <c r="G421" s="457">
        <v>0</v>
      </c>
      <c r="H421" s="457">
        <v>0</v>
      </c>
      <c r="I421" s="457">
        <v>0</v>
      </c>
      <c r="J421" s="457">
        <v>0</v>
      </c>
      <c r="K421" s="457">
        <v>0</v>
      </c>
      <c r="L421" s="457">
        <v>0</v>
      </c>
      <c r="M421" s="457">
        <v>0</v>
      </c>
      <c r="N421" s="457">
        <v>0</v>
      </c>
      <c r="O421" s="457">
        <v>0</v>
      </c>
      <c r="P421" s="457">
        <v>0</v>
      </c>
      <c r="Q421" s="457">
        <v>0</v>
      </c>
      <c r="R421" s="457">
        <v>0</v>
      </c>
      <c r="S421" s="457">
        <v>0</v>
      </c>
      <c r="T421" s="410" t="e">
        <v>#DIV/0!</v>
      </c>
      <c r="U421" s="285">
        <v>0</v>
      </c>
      <c r="V421" s="285">
        <v>0</v>
      </c>
      <c r="W421" s="285">
        <v>0</v>
      </c>
      <c r="X421" s="285">
        <v>0</v>
      </c>
      <c r="Y421" s="285">
        <v>0</v>
      </c>
      <c r="Z421" s="285">
        <v>0</v>
      </c>
    </row>
    <row r="422" spans="1:26" x14ac:dyDescent="0.2">
      <c r="A422" s="412" t="s">
        <v>642</v>
      </c>
      <c r="B422" s="457">
        <v>0</v>
      </c>
      <c r="C422" s="457">
        <v>0</v>
      </c>
      <c r="D422" s="457">
        <v>0</v>
      </c>
      <c r="E422" s="457">
        <v>0</v>
      </c>
      <c r="F422" s="457">
        <v>0</v>
      </c>
      <c r="G422" s="457">
        <v>0</v>
      </c>
      <c r="H422" s="457">
        <v>0</v>
      </c>
      <c r="I422" s="457">
        <v>0</v>
      </c>
      <c r="J422" s="457">
        <v>0</v>
      </c>
      <c r="K422" s="457">
        <v>0</v>
      </c>
      <c r="L422" s="457">
        <v>0</v>
      </c>
      <c r="M422" s="457">
        <v>0</v>
      </c>
      <c r="N422" s="457">
        <v>0</v>
      </c>
      <c r="O422" s="457">
        <v>0</v>
      </c>
      <c r="P422" s="457">
        <v>0</v>
      </c>
      <c r="Q422" s="457">
        <v>0</v>
      </c>
      <c r="R422" s="457">
        <v>0</v>
      </c>
      <c r="S422" s="457">
        <v>0</v>
      </c>
      <c r="T422" s="410" t="e">
        <v>#DIV/0!</v>
      </c>
      <c r="U422" s="285">
        <v>0</v>
      </c>
      <c r="V422" s="285">
        <v>0</v>
      </c>
      <c r="W422" s="285">
        <v>0</v>
      </c>
      <c r="X422" s="285">
        <v>0</v>
      </c>
      <c r="Y422" s="285">
        <v>0</v>
      </c>
      <c r="Z422" s="285">
        <v>0</v>
      </c>
    </row>
    <row r="423" spans="1:26" x14ac:dyDescent="0.2">
      <c r="A423" s="412" t="s">
        <v>643</v>
      </c>
      <c r="B423" s="457">
        <v>0</v>
      </c>
      <c r="C423" s="457">
        <v>0</v>
      </c>
      <c r="D423" s="457">
        <v>0</v>
      </c>
      <c r="E423" s="457">
        <v>0</v>
      </c>
      <c r="F423" s="457">
        <v>0</v>
      </c>
      <c r="G423" s="457">
        <v>0</v>
      </c>
      <c r="H423" s="457">
        <v>0</v>
      </c>
      <c r="I423" s="457">
        <v>0</v>
      </c>
      <c r="J423" s="457">
        <v>0</v>
      </c>
      <c r="K423" s="457">
        <v>0</v>
      </c>
      <c r="L423" s="457">
        <v>0</v>
      </c>
      <c r="M423" s="457">
        <v>0</v>
      </c>
      <c r="N423" s="457">
        <v>0</v>
      </c>
      <c r="O423" s="457">
        <v>0</v>
      </c>
      <c r="P423" s="457">
        <v>0</v>
      </c>
      <c r="Q423" s="457">
        <v>0</v>
      </c>
      <c r="R423" s="457">
        <v>0</v>
      </c>
      <c r="S423" s="457">
        <v>0</v>
      </c>
      <c r="T423" s="410" t="e">
        <v>#DIV/0!</v>
      </c>
      <c r="U423" s="285">
        <v>0</v>
      </c>
      <c r="V423" s="285">
        <v>0</v>
      </c>
      <c r="W423" s="285">
        <v>0</v>
      </c>
      <c r="X423" s="285">
        <v>0</v>
      </c>
      <c r="Y423" s="285">
        <v>0</v>
      </c>
      <c r="Z423" s="285">
        <v>0</v>
      </c>
    </row>
    <row r="424" spans="1:26" x14ac:dyDescent="0.2">
      <c r="A424" s="412" t="s">
        <v>644</v>
      </c>
      <c r="B424" s="457">
        <v>0</v>
      </c>
      <c r="C424" s="457">
        <v>0</v>
      </c>
      <c r="D424" s="457">
        <v>0</v>
      </c>
      <c r="E424" s="457">
        <v>0</v>
      </c>
      <c r="F424" s="457">
        <v>0</v>
      </c>
      <c r="G424" s="457">
        <v>0</v>
      </c>
      <c r="H424" s="457">
        <v>0</v>
      </c>
      <c r="I424" s="457">
        <v>0</v>
      </c>
      <c r="J424" s="457">
        <v>0</v>
      </c>
      <c r="K424" s="457">
        <v>0</v>
      </c>
      <c r="L424" s="457">
        <v>0</v>
      </c>
      <c r="M424" s="457">
        <v>0</v>
      </c>
      <c r="N424" s="457">
        <v>0</v>
      </c>
      <c r="O424" s="457">
        <v>0</v>
      </c>
      <c r="P424" s="457">
        <v>0</v>
      </c>
      <c r="Q424" s="457">
        <v>0</v>
      </c>
      <c r="R424" s="457">
        <v>0</v>
      </c>
      <c r="S424" s="457">
        <v>0</v>
      </c>
      <c r="T424" s="410" t="e">
        <v>#DIV/0!</v>
      </c>
      <c r="U424" s="285">
        <v>0</v>
      </c>
      <c r="V424" s="285">
        <v>0</v>
      </c>
      <c r="W424" s="285">
        <v>0</v>
      </c>
      <c r="X424" s="285">
        <v>0</v>
      </c>
      <c r="Y424" s="285">
        <v>0</v>
      </c>
      <c r="Z424" s="285">
        <v>0</v>
      </c>
    </row>
    <row r="425" spans="1:26" x14ac:dyDescent="0.2">
      <c r="A425" s="412" t="s">
        <v>645</v>
      </c>
      <c r="B425" s="457">
        <v>0</v>
      </c>
      <c r="C425" s="457">
        <v>0</v>
      </c>
      <c r="D425" s="457">
        <v>0</v>
      </c>
      <c r="E425" s="457">
        <v>0</v>
      </c>
      <c r="F425" s="457">
        <v>0</v>
      </c>
      <c r="G425" s="457">
        <v>0</v>
      </c>
      <c r="H425" s="457">
        <v>0</v>
      </c>
      <c r="I425" s="457">
        <v>0</v>
      </c>
      <c r="J425" s="457">
        <v>0</v>
      </c>
      <c r="K425" s="457">
        <v>0</v>
      </c>
      <c r="L425" s="457">
        <v>0</v>
      </c>
      <c r="M425" s="457">
        <v>0</v>
      </c>
      <c r="N425" s="457">
        <v>0</v>
      </c>
      <c r="O425" s="457">
        <v>0</v>
      </c>
      <c r="P425" s="457">
        <v>0</v>
      </c>
      <c r="Q425" s="457">
        <v>0</v>
      </c>
      <c r="R425" s="457">
        <v>0</v>
      </c>
      <c r="S425" s="457">
        <v>0</v>
      </c>
      <c r="T425" s="410" t="e">
        <v>#DIV/0!</v>
      </c>
      <c r="U425" s="285">
        <v>0</v>
      </c>
      <c r="V425" s="285">
        <v>0</v>
      </c>
      <c r="W425" s="285">
        <v>0</v>
      </c>
      <c r="X425" s="285">
        <v>0</v>
      </c>
      <c r="Y425" s="285">
        <v>0</v>
      </c>
      <c r="Z425" s="285">
        <v>0</v>
      </c>
    </row>
    <row r="426" spans="1:26" x14ac:dyDescent="0.2">
      <c r="A426" s="412" t="s">
        <v>646</v>
      </c>
      <c r="B426" s="457">
        <v>0</v>
      </c>
      <c r="C426" s="457">
        <v>0</v>
      </c>
      <c r="D426" s="457">
        <v>0</v>
      </c>
      <c r="E426" s="457">
        <v>0</v>
      </c>
      <c r="F426" s="457">
        <v>0</v>
      </c>
      <c r="G426" s="457">
        <v>0</v>
      </c>
      <c r="H426" s="457">
        <v>0</v>
      </c>
      <c r="I426" s="457">
        <v>0</v>
      </c>
      <c r="J426" s="457">
        <v>0</v>
      </c>
      <c r="K426" s="457">
        <v>0</v>
      </c>
      <c r="L426" s="457">
        <v>0</v>
      </c>
      <c r="M426" s="457">
        <v>0</v>
      </c>
      <c r="N426" s="457">
        <v>0</v>
      </c>
      <c r="O426" s="457">
        <v>0</v>
      </c>
      <c r="P426" s="457">
        <v>0</v>
      </c>
      <c r="Q426" s="457">
        <v>0</v>
      </c>
      <c r="R426" s="457">
        <v>0</v>
      </c>
      <c r="S426" s="457">
        <v>0</v>
      </c>
      <c r="T426" s="410" t="e">
        <v>#DIV/0!</v>
      </c>
      <c r="U426" s="285">
        <v>0</v>
      </c>
      <c r="V426" s="285">
        <v>0</v>
      </c>
      <c r="W426" s="285">
        <v>0</v>
      </c>
      <c r="X426" s="285">
        <v>0</v>
      </c>
      <c r="Y426" s="285">
        <v>0</v>
      </c>
      <c r="Z426" s="285">
        <v>0</v>
      </c>
    </row>
    <row r="427" spans="1:26" x14ac:dyDescent="0.2">
      <c r="A427" s="399" t="s">
        <v>647</v>
      </c>
      <c r="B427" s="474">
        <v>0</v>
      </c>
      <c r="C427" s="474">
        <v>0</v>
      </c>
      <c r="D427" s="474">
        <v>0</v>
      </c>
      <c r="E427" s="474">
        <v>0</v>
      </c>
      <c r="F427" s="474">
        <v>0</v>
      </c>
      <c r="G427" s="474">
        <v>0</v>
      </c>
      <c r="H427" s="474">
        <v>0</v>
      </c>
      <c r="I427" s="474">
        <v>0</v>
      </c>
      <c r="J427" s="474">
        <v>0</v>
      </c>
      <c r="K427" s="474">
        <v>0</v>
      </c>
      <c r="L427" s="474">
        <v>0</v>
      </c>
      <c r="M427" s="474">
        <v>0</v>
      </c>
      <c r="N427" s="474">
        <v>0</v>
      </c>
      <c r="O427" s="474">
        <v>0</v>
      </c>
      <c r="P427" s="474">
        <v>0</v>
      </c>
      <c r="Q427" s="474">
        <v>0</v>
      </c>
      <c r="R427" s="474">
        <v>0</v>
      </c>
      <c r="S427" s="474">
        <v>0</v>
      </c>
      <c r="T427" s="402" t="e">
        <v>#DIV/0!</v>
      </c>
      <c r="U427" s="401">
        <v>0</v>
      </c>
      <c r="V427" s="401">
        <v>0</v>
      </c>
      <c r="W427" s="401">
        <v>0</v>
      </c>
      <c r="X427" s="401">
        <v>0</v>
      </c>
      <c r="Y427" s="401">
        <v>0</v>
      </c>
      <c r="Z427" s="401">
        <v>0</v>
      </c>
    </row>
    <row r="428" spans="1:26" x14ac:dyDescent="0.2">
      <c r="A428" s="404" t="s">
        <v>648</v>
      </c>
      <c r="B428" s="448">
        <v>0</v>
      </c>
      <c r="C428" s="448">
        <v>0</v>
      </c>
      <c r="D428" s="448">
        <v>0</v>
      </c>
      <c r="E428" s="448">
        <v>0</v>
      </c>
      <c r="F428" s="448">
        <v>0</v>
      </c>
      <c r="G428" s="448">
        <v>0</v>
      </c>
      <c r="H428" s="448">
        <v>0</v>
      </c>
      <c r="I428" s="448">
        <v>0</v>
      </c>
      <c r="J428" s="448">
        <v>0</v>
      </c>
      <c r="K428" s="448">
        <v>0</v>
      </c>
      <c r="L428" s="448">
        <v>0</v>
      </c>
      <c r="M428" s="448">
        <v>0</v>
      </c>
      <c r="N428" s="448">
        <v>0</v>
      </c>
      <c r="O428" s="448">
        <v>0</v>
      </c>
      <c r="P428" s="448">
        <v>0</v>
      </c>
      <c r="Q428" s="448">
        <v>0</v>
      </c>
      <c r="R428" s="448">
        <v>0</v>
      </c>
      <c r="S428" s="448">
        <v>0</v>
      </c>
      <c r="T428" s="407" t="e">
        <v>#DIV/0!</v>
      </c>
      <c r="U428" s="406">
        <v>0</v>
      </c>
      <c r="V428" s="406">
        <v>0</v>
      </c>
      <c r="W428" s="406">
        <v>0</v>
      </c>
      <c r="X428" s="406">
        <v>0</v>
      </c>
      <c r="Y428" s="406">
        <v>0</v>
      </c>
      <c r="Z428" s="406">
        <v>0</v>
      </c>
    </row>
    <row r="429" spans="1:26" x14ac:dyDescent="0.2">
      <c r="A429" s="412" t="s">
        <v>649</v>
      </c>
      <c r="B429" s="457">
        <v>0</v>
      </c>
      <c r="C429" s="457">
        <v>0</v>
      </c>
      <c r="D429" s="457">
        <v>0</v>
      </c>
      <c r="E429" s="457">
        <v>0</v>
      </c>
      <c r="F429" s="457">
        <v>0</v>
      </c>
      <c r="G429" s="457">
        <v>0</v>
      </c>
      <c r="H429" s="457">
        <v>0</v>
      </c>
      <c r="I429" s="457">
        <v>0</v>
      </c>
      <c r="J429" s="457">
        <v>0</v>
      </c>
      <c r="K429" s="457">
        <v>0</v>
      </c>
      <c r="L429" s="457">
        <v>0</v>
      </c>
      <c r="M429" s="457">
        <v>0</v>
      </c>
      <c r="N429" s="457">
        <v>0</v>
      </c>
      <c r="O429" s="457">
        <v>0</v>
      </c>
      <c r="P429" s="457">
        <v>0</v>
      </c>
      <c r="Q429" s="457">
        <v>0</v>
      </c>
      <c r="R429" s="457">
        <v>0</v>
      </c>
      <c r="S429" s="457">
        <v>0</v>
      </c>
      <c r="T429" s="410" t="e">
        <v>#DIV/0!</v>
      </c>
      <c r="U429" s="285">
        <v>0</v>
      </c>
      <c r="V429" s="285">
        <v>0</v>
      </c>
      <c r="W429" s="285">
        <v>0</v>
      </c>
      <c r="X429" s="285">
        <v>0</v>
      </c>
      <c r="Y429" s="285">
        <v>0</v>
      </c>
      <c r="Z429" s="285">
        <v>0</v>
      </c>
    </row>
    <row r="430" spans="1:26" x14ac:dyDescent="0.2">
      <c r="A430" s="412" t="s">
        <v>650</v>
      </c>
      <c r="B430" s="457">
        <v>0</v>
      </c>
      <c r="C430" s="457">
        <v>0</v>
      </c>
      <c r="D430" s="457">
        <v>0</v>
      </c>
      <c r="E430" s="457">
        <v>0</v>
      </c>
      <c r="F430" s="457">
        <v>0</v>
      </c>
      <c r="G430" s="457">
        <v>0</v>
      </c>
      <c r="H430" s="457">
        <v>0</v>
      </c>
      <c r="I430" s="457">
        <v>0</v>
      </c>
      <c r="J430" s="457">
        <v>0</v>
      </c>
      <c r="K430" s="457">
        <v>0</v>
      </c>
      <c r="L430" s="457">
        <v>0</v>
      </c>
      <c r="M430" s="457">
        <v>0</v>
      </c>
      <c r="N430" s="457">
        <v>0</v>
      </c>
      <c r="O430" s="457">
        <v>0</v>
      </c>
      <c r="P430" s="457">
        <v>0</v>
      </c>
      <c r="Q430" s="457">
        <v>0</v>
      </c>
      <c r="R430" s="457">
        <v>0</v>
      </c>
      <c r="S430" s="457">
        <v>0</v>
      </c>
      <c r="T430" s="410" t="e">
        <v>#DIV/0!</v>
      </c>
      <c r="U430" s="285">
        <v>0</v>
      </c>
      <c r="V430" s="285">
        <v>0</v>
      </c>
      <c r="W430" s="285">
        <v>0</v>
      </c>
      <c r="X430" s="285">
        <v>0</v>
      </c>
      <c r="Y430" s="285">
        <v>0</v>
      </c>
      <c r="Z430" s="285">
        <v>0</v>
      </c>
    </row>
    <row r="431" spans="1:26" x14ac:dyDescent="0.2">
      <c r="A431" s="412" t="s">
        <v>651</v>
      </c>
      <c r="B431" s="457">
        <v>0</v>
      </c>
      <c r="C431" s="457">
        <v>0</v>
      </c>
      <c r="D431" s="457">
        <v>0</v>
      </c>
      <c r="E431" s="457">
        <v>0</v>
      </c>
      <c r="F431" s="457">
        <v>0</v>
      </c>
      <c r="G431" s="457">
        <v>0</v>
      </c>
      <c r="H431" s="457">
        <v>0</v>
      </c>
      <c r="I431" s="457">
        <v>0</v>
      </c>
      <c r="J431" s="457">
        <v>0</v>
      </c>
      <c r="K431" s="457">
        <v>0</v>
      </c>
      <c r="L431" s="457">
        <v>0</v>
      </c>
      <c r="M431" s="457">
        <v>0</v>
      </c>
      <c r="N431" s="457">
        <v>0</v>
      </c>
      <c r="O431" s="457">
        <v>0</v>
      </c>
      <c r="P431" s="457">
        <v>0</v>
      </c>
      <c r="Q431" s="457">
        <v>0</v>
      </c>
      <c r="R431" s="457">
        <v>0</v>
      </c>
      <c r="S431" s="457">
        <v>0</v>
      </c>
      <c r="T431" s="410" t="e">
        <v>#DIV/0!</v>
      </c>
      <c r="U431" s="285">
        <v>0</v>
      </c>
      <c r="V431" s="285">
        <v>0</v>
      </c>
      <c r="W431" s="285">
        <v>0</v>
      </c>
      <c r="X431" s="285">
        <v>0</v>
      </c>
      <c r="Y431" s="285">
        <v>0</v>
      </c>
      <c r="Z431" s="285">
        <v>0</v>
      </c>
    </row>
    <row r="432" spans="1:26" x14ac:dyDescent="0.2">
      <c r="A432" s="412" t="s">
        <v>652</v>
      </c>
      <c r="B432" s="457">
        <v>0</v>
      </c>
      <c r="C432" s="457">
        <v>0</v>
      </c>
      <c r="D432" s="457">
        <v>0</v>
      </c>
      <c r="E432" s="457">
        <v>0</v>
      </c>
      <c r="F432" s="457">
        <v>0</v>
      </c>
      <c r="G432" s="457">
        <v>0</v>
      </c>
      <c r="H432" s="457">
        <v>0</v>
      </c>
      <c r="I432" s="457">
        <v>0</v>
      </c>
      <c r="J432" s="457">
        <v>0</v>
      </c>
      <c r="K432" s="457">
        <v>0</v>
      </c>
      <c r="L432" s="457">
        <v>0</v>
      </c>
      <c r="M432" s="457">
        <v>0</v>
      </c>
      <c r="N432" s="457">
        <v>0</v>
      </c>
      <c r="O432" s="457">
        <v>0</v>
      </c>
      <c r="P432" s="457">
        <v>0</v>
      </c>
      <c r="Q432" s="457">
        <v>0</v>
      </c>
      <c r="R432" s="457">
        <v>0</v>
      </c>
      <c r="S432" s="457">
        <v>0</v>
      </c>
      <c r="T432" s="410" t="e">
        <v>#DIV/0!</v>
      </c>
      <c r="U432" s="285">
        <v>0</v>
      </c>
      <c r="V432" s="285">
        <v>0</v>
      </c>
      <c r="W432" s="285">
        <v>0</v>
      </c>
      <c r="X432" s="285">
        <v>0</v>
      </c>
      <c r="Y432" s="285">
        <v>0</v>
      </c>
      <c r="Z432" s="285">
        <v>0</v>
      </c>
    </row>
    <row r="433" spans="1:26" x14ac:dyDescent="0.2">
      <c r="A433" s="412" t="s">
        <v>653</v>
      </c>
      <c r="B433" s="457">
        <v>0</v>
      </c>
      <c r="C433" s="457">
        <v>0</v>
      </c>
      <c r="D433" s="457">
        <v>0</v>
      </c>
      <c r="E433" s="457">
        <v>0</v>
      </c>
      <c r="F433" s="457">
        <v>0</v>
      </c>
      <c r="G433" s="457">
        <v>0</v>
      </c>
      <c r="H433" s="457">
        <v>0</v>
      </c>
      <c r="I433" s="457">
        <v>0</v>
      </c>
      <c r="J433" s="457">
        <v>0</v>
      </c>
      <c r="K433" s="457">
        <v>0</v>
      </c>
      <c r="L433" s="457">
        <v>0</v>
      </c>
      <c r="M433" s="457">
        <v>0</v>
      </c>
      <c r="N433" s="457">
        <v>0</v>
      </c>
      <c r="O433" s="457">
        <v>0</v>
      </c>
      <c r="P433" s="457">
        <v>0</v>
      </c>
      <c r="Q433" s="457">
        <v>0</v>
      </c>
      <c r="R433" s="457">
        <v>0</v>
      </c>
      <c r="S433" s="457">
        <v>0</v>
      </c>
      <c r="T433" s="410" t="e">
        <v>#DIV/0!</v>
      </c>
      <c r="U433" s="285">
        <v>0</v>
      </c>
      <c r="V433" s="285">
        <v>0</v>
      </c>
      <c r="W433" s="285">
        <v>0</v>
      </c>
      <c r="X433" s="285">
        <v>0</v>
      </c>
      <c r="Y433" s="285">
        <v>0</v>
      </c>
      <c r="Z433" s="285">
        <v>0</v>
      </c>
    </row>
    <row r="434" spans="1:26" x14ac:dyDescent="0.2">
      <c r="A434" s="412" t="s">
        <v>654</v>
      </c>
      <c r="B434" s="457">
        <v>0</v>
      </c>
      <c r="C434" s="457">
        <v>0</v>
      </c>
      <c r="D434" s="457">
        <v>0</v>
      </c>
      <c r="E434" s="457">
        <v>0</v>
      </c>
      <c r="F434" s="457">
        <v>0</v>
      </c>
      <c r="G434" s="457">
        <v>0</v>
      </c>
      <c r="H434" s="457">
        <v>0</v>
      </c>
      <c r="I434" s="457">
        <v>0</v>
      </c>
      <c r="J434" s="457">
        <v>0</v>
      </c>
      <c r="K434" s="457">
        <v>0</v>
      </c>
      <c r="L434" s="457">
        <v>0</v>
      </c>
      <c r="M434" s="457">
        <v>0</v>
      </c>
      <c r="N434" s="457">
        <v>0</v>
      </c>
      <c r="O434" s="457">
        <v>0</v>
      </c>
      <c r="P434" s="457">
        <v>0</v>
      </c>
      <c r="Q434" s="457">
        <v>0</v>
      </c>
      <c r="R434" s="457">
        <v>0</v>
      </c>
      <c r="S434" s="457">
        <v>0</v>
      </c>
      <c r="T434" s="410" t="e">
        <v>#DIV/0!</v>
      </c>
      <c r="U434" s="285">
        <v>0</v>
      </c>
      <c r="V434" s="285">
        <v>0</v>
      </c>
      <c r="W434" s="285">
        <v>0</v>
      </c>
      <c r="X434" s="285">
        <v>0</v>
      </c>
      <c r="Y434" s="285">
        <v>0</v>
      </c>
      <c r="Z434" s="285">
        <v>0</v>
      </c>
    </row>
    <row r="435" spans="1:26" x14ac:dyDescent="0.2">
      <c r="A435" s="412" t="s">
        <v>655</v>
      </c>
      <c r="B435" s="457">
        <v>0</v>
      </c>
      <c r="C435" s="457">
        <v>0</v>
      </c>
      <c r="D435" s="457">
        <v>0</v>
      </c>
      <c r="E435" s="457">
        <v>0</v>
      </c>
      <c r="F435" s="457">
        <v>0</v>
      </c>
      <c r="G435" s="457">
        <v>0</v>
      </c>
      <c r="H435" s="457">
        <v>0</v>
      </c>
      <c r="I435" s="457">
        <v>0</v>
      </c>
      <c r="J435" s="457">
        <v>0</v>
      </c>
      <c r="K435" s="457">
        <v>0</v>
      </c>
      <c r="L435" s="457">
        <v>0</v>
      </c>
      <c r="M435" s="457">
        <v>0</v>
      </c>
      <c r="N435" s="457">
        <v>0</v>
      </c>
      <c r="O435" s="457">
        <v>0</v>
      </c>
      <c r="P435" s="457">
        <v>0</v>
      </c>
      <c r="Q435" s="457">
        <v>0</v>
      </c>
      <c r="R435" s="457">
        <v>0</v>
      </c>
      <c r="S435" s="457">
        <v>0</v>
      </c>
      <c r="T435" s="410" t="e">
        <v>#DIV/0!</v>
      </c>
      <c r="U435" s="285">
        <v>0</v>
      </c>
      <c r="V435" s="285">
        <v>0</v>
      </c>
      <c r="W435" s="285">
        <v>0</v>
      </c>
      <c r="X435" s="285">
        <v>0</v>
      </c>
      <c r="Y435" s="285">
        <v>0</v>
      </c>
      <c r="Z435" s="285">
        <v>0</v>
      </c>
    </row>
    <row r="436" spans="1:26" x14ac:dyDescent="0.2">
      <c r="A436" s="412" t="s">
        <v>656</v>
      </c>
      <c r="B436" s="457">
        <v>0</v>
      </c>
      <c r="C436" s="457">
        <v>0</v>
      </c>
      <c r="D436" s="457">
        <v>0</v>
      </c>
      <c r="E436" s="457">
        <v>0</v>
      </c>
      <c r="F436" s="457">
        <v>0</v>
      </c>
      <c r="G436" s="457">
        <v>0</v>
      </c>
      <c r="H436" s="457">
        <v>0</v>
      </c>
      <c r="I436" s="457">
        <v>0</v>
      </c>
      <c r="J436" s="457">
        <v>0</v>
      </c>
      <c r="K436" s="457">
        <v>0</v>
      </c>
      <c r="L436" s="457">
        <v>0</v>
      </c>
      <c r="M436" s="457">
        <v>0</v>
      </c>
      <c r="N436" s="457">
        <v>0</v>
      </c>
      <c r="O436" s="457">
        <v>0</v>
      </c>
      <c r="P436" s="457">
        <v>0</v>
      </c>
      <c r="Q436" s="457">
        <v>0</v>
      </c>
      <c r="R436" s="457">
        <v>0</v>
      </c>
      <c r="S436" s="457">
        <v>0</v>
      </c>
      <c r="T436" s="410" t="e">
        <v>#DIV/0!</v>
      </c>
      <c r="U436" s="285">
        <v>0</v>
      </c>
      <c r="V436" s="285">
        <v>0</v>
      </c>
      <c r="W436" s="285">
        <v>0</v>
      </c>
      <c r="X436" s="285">
        <v>0</v>
      </c>
      <c r="Y436" s="285">
        <v>0</v>
      </c>
      <c r="Z436" s="285">
        <v>0</v>
      </c>
    </row>
    <row r="437" spans="1:26" x14ac:dyDescent="0.2">
      <c r="A437" s="412" t="s">
        <v>657</v>
      </c>
      <c r="B437" s="457">
        <v>0</v>
      </c>
      <c r="C437" s="457">
        <v>0</v>
      </c>
      <c r="D437" s="457">
        <v>0</v>
      </c>
      <c r="E437" s="457">
        <v>0</v>
      </c>
      <c r="F437" s="457">
        <v>0</v>
      </c>
      <c r="G437" s="457">
        <v>0</v>
      </c>
      <c r="H437" s="457">
        <v>0</v>
      </c>
      <c r="I437" s="457">
        <v>0</v>
      </c>
      <c r="J437" s="457">
        <v>0</v>
      </c>
      <c r="K437" s="457">
        <v>0</v>
      </c>
      <c r="L437" s="457">
        <v>0</v>
      </c>
      <c r="M437" s="457">
        <v>0</v>
      </c>
      <c r="N437" s="457">
        <v>0</v>
      </c>
      <c r="O437" s="457">
        <v>0</v>
      </c>
      <c r="P437" s="457">
        <v>0</v>
      </c>
      <c r="Q437" s="457">
        <v>0</v>
      </c>
      <c r="R437" s="457">
        <v>0</v>
      </c>
      <c r="S437" s="457">
        <v>0</v>
      </c>
      <c r="T437" s="410" t="e">
        <v>#DIV/0!</v>
      </c>
      <c r="U437" s="285">
        <v>0</v>
      </c>
      <c r="V437" s="285">
        <v>0</v>
      </c>
      <c r="W437" s="285">
        <v>0</v>
      </c>
      <c r="X437" s="285">
        <v>0</v>
      </c>
      <c r="Y437" s="285">
        <v>0</v>
      </c>
      <c r="Z437" s="285">
        <v>0</v>
      </c>
    </row>
    <row r="438" spans="1:26" x14ac:dyDescent="0.2">
      <c r="A438" s="412" t="s">
        <v>658</v>
      </c>
      <c r="B438" s="457">
        <v>0</v>
      </c>
      <c r="C438" s="457">
        <v>0</v>
      </c>
      <c r="D438" s="457">
        <v>0</v>
      </c>
      <c r="E438" s="457">
        <v>0</v>
      </c>
      <c r="F438" s="457">
        <v>0</v>
      </c>
      <c r="G438" s="457">
        <v>0</v>
      </c>
      <c r="H438" s="457">
        <v>0</v>
      </c>
      <c r="I438" s="457">
        <v>0</v>
      </c>
      <c r="J438" s="457">
        <v>0</v>
      </c>
      <c r="K438" s="457">
        <v>0</v>
      </c>
      <c r="L438" s="457">
        <v>0</v>
      </c>
      <c r="M438" s="457">
        <v>0</v>
      </c>
      <c r="N438" s="457">
        <v>0</v>
      </c>
      <c r="O438" s="457">
        <v>0</v>
      </c>
      <c r="P438" s="457">
        <v>0</v>
      </c>
      <c r="Q438" s="457">
        <v>0</v>
      </c>
      <c r="R438" s="457">
        <v>0</v>
      </c>
      <c r="S438" s="457">
        <v>0</v>
      </c>
      <c r="T438" s="410" t="e">
        <v>#DIV/0!</v>
      </c>
      <c r="U438" s="285">
        <v>0</v>
      </c>
      <c r="V438" s="285">
        <v>0</v>
      </c>
      <c r="W438" s="285">
        <v>0</v>
      </c>
      <c r="X438" s="285">
        <v>0</v>
      </c>
      <c r="Y438" s="285">
        <v>0</v>
      </c>
      <c r="Z438" s="285">
        <v>0</v>
      </c>
    </row>
    <row r="439" spans="1:26" x14ac:dyDescent="0.2">
      <c r="A439" s="412" t="s">
        <v>659</v>
      </c>
      <c r="B439" s="457">
        <v>0</v>
      </c>
      <c r="C439" s="457">
        <v>0</v>
      </c>
      <c r="D439" s="457">
        <v>0</v>
      </c>
      <c r="E439" s="457">
        <v>0</v>
      </c>
      <c r="F439" s="457">
        <v>0</v>
      </c>
      <c r="G439" s="457">
        <v>0</v>
      </c>
      <c r="H439" s="457">
        <v>0</v>
      </c>
      <c r="I439" s="457">
        <v>0</v>
      </c>
      <c r="J439" s="457">
        <v>0</v>
      </c>
      <c r="K439" s="457">
        <v>0</v>
      </c>
      <c r="L439" s="457">
        <v>0</v>
      </c>
      <c r="M439" s="457">
        <v>0</v>
      </c>
      <c r="N439" s="457">
        <v>0</v>
      </c>
      <c r="O439" s="457">
        <v>0</v>
      </c>
      <c r="P439" s="457">
        <v>0</v>
      </c>
      <c r="Q439" s="457">
        <v>0</v>
      </c>
      <c r="R439" s="457">
        <v>0</v>
      </c>
      <c r="S439" s="457">
        <v>0</v>
      </c>
      <c r="T439" s="410" t="e">
        <v>#DIV/0!</v>
      </c>
      <c r="U439" s="285">
        <v>0</v>
      </c>
      <c r="V439" s="285">
        <v>0</v>
      </c>
      <c r="W439" s="285">
        <v>0</v>
      </c>
      <c r="X439" s="285">
        <v>0</v>
      </c>
      <c r="Y439" s="285">
        <v>0</v>
      </c>
      <c r="Z439" s="285">
        <v>0</v>
      </c>
    </row>
    <row r="440" spans="1:26" x14ac:dyDescent="0.2">
      <c r="A440" s="412" t="s">
        <v>660</v>
      </c>
      <c r="B440" s="457">
        <v>0</v>
      </c>
      <c r="C440" s="457">
        <v>0</v>
      </c>
      <c r="D440" s="457">
        <v>0</v>
      </c>
      <c r="E440" s="457">
        <v>0</v>
      </c>
      <c r="F440" s="457">
        <v>0</v>
      </c>
      <c r="G440" s="457">
        <v>0</v>
      </c>
      <c r="H440" s="457">
        <v>0</v>
      </c>
      <c r="I440" s="457">
        <v>0</v>
      </c>
      <c r="J440" s="457">
        <v>0</v>
      </c>
      <c r="K440" s="457">
        <v>0</v>
      </c>
      <c r="L440" s="457">
        <v>0</v>
      </c>
      <c r="M440" s="457">
        <v>0</v>
      </c>
      <c r="N440" s="457">
        <v>0</v>
      </c>
      <c r="O440" s="457">
        <v>0</v>
      </c>
      <c r="P440" s="457">
        <v>0</v>
      </c>
      <c r="Q440" s="457">
        <v>0</v>
      </c>
      <c r="R440" s="457">
        <v>0</v>
      </c>
      <c r="S440" s="457">
        <v>0</v>
      </c>
      <c r="T440" s="410" t="e">
        <v>#DIV/0!</v>
      </c>
      <c r="U440" s="285">
        <v>0</v>
      </c>
      <c r="V440" s="285">
        <v>0</v>
      </c>
      <c r="W440" s="285">
        <v>0</v>
      </c>
      <c r="X440" s="285">
        <v>0</v>
      </c>
      <c r="Y440" s="285">
        <v>0</v>
      </c>
      <c r="Z440" s="285">
        <v>0</v>
      </c>
    </row>
    <row r="441" spans="1:26" x14ac:dyDescent="0.2">
      <c r="A441" s="412" t="s">
        <v>661</v>
      </c>
      <c r="B441" s="457">
        <v>0</v>
      </c>
      <c r="C441" s="457">
        <v>0</v>
      </c>
      <c r="D441" s="457">
        <v>0</v>
      </c>
      <c r="E441" s="457">
        <v>0</v>
      </c>
      <c r="F441" s="457">
        <v>0</v>
      </c>
      <c r="G441" s="457">
        <v>0</v>
      </c>
      <c r="H441" s="457">
        <v>0</v>
      </c>
      <c r="I441" s="457">
        <v>0</v>
      </c>
      <c r="J441" s="457">
        <v>0</v>
      </c>
      <c r="K441" s="457">
        <v>0</v>
      </c>
      <c r="L441" s="457">
        <v>0</v>
      </c>
      <c r="M441" s="457">
        <v>0</v>
      </c>
      <c r="N441" s="457">
        <v>0</v>
      </c>
      <c r="O441" s="457">
        <v>0</v>
      </c>
      <c r="P441" s="457">
        <v>0</v>
      </c>
      <c r="Q441" s="457">
        <v>0</v>
      </c>
      <c r="R441" s="457">
        <v>0</v>
      </c>
      <c r="S441" s="457">
        <v>0</v>
      </c>
      <c r="T441" s="410" t="e">
        <v>#DIV/0!</v>
      </c>
      <c r="U441" s="285">
        <v>0</v>
      </c>
      <c r="V441" s="285">
        <v>0</v>
      </c>
      <c r="W441" s="285">
        <v>0</v>
      </c>
      <c r="X441" s="285">
        <v>0</v>
      </c>
      <c r="Y441" s="285">
        <v>0</v>
      </c>
      <c r="Z441" s="285">
        <v>0</v>
      </c>
    </row>
    <row r="442" spans="1:26" x14ac:dyDescent="0.2">
      <c r="A442" s="412" t="s">
        <v>662</v>
      </c>
      <c r="B442" s="457">
        <v>0</v>
      </c>
      <c r="C442" s="457">
        <v>0</v>
      </c>
      <c r="D442" s="457">
        <v>0</v>
      </c>
      <c r="E442" s="457">
        <v>0</v>
      </c>
      <c r="F442" s="457">
        <v>0</v>
      </c>
      <c r="G442" s="457">
        <v>0</v>
      </c>
      <c r="H442" s="457">
        <v>0</v>
      </c>
      <c r="I442" s="457">
        <v>0</v>
      </c>
      <c r="J442" s="457">
        <v>0</v>
      </c>
      <c r="K442" s="457">
        <v>0</v>
      </c>
      <c r="L442" s="457">
        <v>0</v>
      </c>
      <c r="M442" s="457">
        <v>0</v>
      </c>
      <c r="N442" s="457">
        <v>0</v>
      </c>
      <c r="O442" s="457">
        <v>0</v>
      </c>
      <c r="P442" s="457">
        <v>0</v>
      </c>
      <c r="Q442" s="457">
        <v>0</v>
      </c>
      <c r="R442" s="457">
        <v>0</v>
      </c>
      <c r="S442" s="457">
        <v>0</v>
      </c>
      <c r="T442" s="410" t="e">
        <v>#DIV/0!</v>
      </c>
      <c r="U442" s="285">
        <v>0</v>
      </c>
      <c r="V442" s="285">
        <v>0</v>
      </c>
      <c r="W442" s="285">
        <v>0</v>
      </c>
      <c r="X442" s="285">
        <v>0</v>
      </c>
      <c r="Y442" s="285">
        <v>0</v>
      </c>
      <c r="Z442" s="285">
        <v>0</v>
      </c>
    </row>
    <row r="443" spans="1:26" x14ac:dyDescent="0.2">
      <c r="A443" s="404" t="s">
        <v>663</v>
      </c>
      <c r="B443" s="247">
        <v>0</v>
      </c>
      <c r="C443" s="247">
        <v>0</v>
      </c>
      <c r="D443" s="247">
        <v>0</v>
      </c>
      <c r="E443" s="247">
        <v>0</v>
      </c>
      <c r="F443" s="247">
        <v>0</v>
      </c>
      <c r="G443" s="247">
        <v>0</v>
      </c>
      <c r="H443" s="247">
        <v>0</v>
      </c>
      <c r="I443" s="247">
        <v>0</v>
      </c>
      <c r="J443" s="247">
        <v>0</v>
      </c>
      <c r="K443" s="247">
        <v>0</v>
      </c>
      <c r="L443" s="247">
        <v>0</v>
      </c>
      <c r="M443" s="247">
        <v>0</v>
      </c>
      <c r="N443" s="247">
        <v>0</v>
      </c>
      <c r="O443" s="247">
        <v>0</v>
      </c>
      <c r="P443" s="247">
        <v>0</v>
      </c>
      <c r="Q443" s="247">
        <v>0</v>
      </c>
      <c r="R443" s="247">
        <v>0</v>
      </c>
      <c r="S443" s="247">
        <v>0</v>
      </c>
      <c r="T443" s="407" t="e">
        <v>#DIV/0!</v>
      </c>
      <c r="U443" s="406">
        <v>0</v>
      </c>
      <c r="V443" s="406">
        <v>0</v>
      </c>
      <c r="W443" s="406">
        <v>0</v>
      </c>
      <c r="X443" s="406">
        <v>0</v>
      </c>
      <c r="Y443" s="406">
        <v>0</v>
      </c>
      <c r="Z443" s="406">
        <v>0</v>
      </c>
    </row>
    <row r="444" spans="1:26" x14ac:dyDescent="0.2">
      <c r="A444" s="399" t="s">
        <v>664</v>
      </c>
      <c r="B444" s="474">
        <v>0</v>
      </c>
      <c r="C444" s="474">
        <v>0</v>
      </c>
      <c r="D444" s="474">
        <v>0</v>
      </c>
      <c r="E444" s="474">
        <v>0</v>
      </c>
      <c r="F444" s="474">
        <v>0</v>
      </c>
      <c r="G444" s="474">
        <v>0</v>
      </c>
      <c r="H444" s="474">
        <v>0</v>
      </c>
      <c r="I444" s="474">
        <v>0</v>
      </c>
      <c r="J444" s="474">
        <v>0</v>
      </c>
      <c r="K444" s="474">
        <v>0</v>
      </c>
      <c r="L444" s="474">
        <v>0</v>
      </c>
      <c r="M444" s="474">
        <v>0</v>
      </c>
      <c r="N444" s="474">
        <v>0</v>
      </c>
      <c r="O444" s="474">
        <v>0</v>
      </c>
      <c r="P444" s="474">
        <v>0</v>
      </c>
      <c r="Q444" s="474">
        <v>0</v>
      </c>
      <c r="R444" s="474">
        <v>0</v>
      </c>
      <c r="S444" s="474">
        <v>0</v>
      </c>
      <c r="T444" s="402" t="e">
        <v>#DIV/0!</v>
      </c>
      <c r="U444" s="401">
        <v>0</v>
      </c>
      <c r="V444" s="401">
        <v>0</v>
      </c>
      <c r="W444" s="401">
        <v>0</v>
      </c>
      <c r="X444" s="401">
        <v>0</v>
      </c>
      <c r="Y444" s="401">
        <v>0</v>
      </c>
      <c r="Z444" s="401">
        <v>0</v>
      </c>
    </row>
    <row r="445" spans="1:26" x14ac:dyDescent="0.2">
      <c r="A445" s="404" t="s">
        <v>665</v>
      </c>
      <c r="B445" s="448">
        <v>0</v>
      </c>
      <c r="C445" s="448">
        <v>0</v>
      </c>
      <c r="D445" s="448">
        <v>0</v>
      </c>
      <c r="E445" s="448">
        <v>0</v>
      </c>
      <c r="F445" s="448">
        <v>0</v>
      </c>
      <c r="G445" s="448">
        <v>0</v>
      </c>
      <c r="H445" s="448">
        <v>0</v>
      </c>
      <c r="I445" s="448">
        <v>0</v>
      </c>
      <c r="J445" s="448">
        <v>0</v>
      </c>
      <c r="K445" s="448">
        <v>0</v>
      </c>
      <c r="L445" s="448">
        <v>0</v>
      </c>
      <c r="M445" s="448">
        <v>0</v>
      </c>
      <c r="N445" s="448">
        <v>0</v>
      </c>
      <c r="O445" s="448">
        <v>0</v>
      </c>
      <c r="P445" s="448">
        <v>0</v>
      </c>
      <c r="Q445" s="448">
        <v>0</v>
      </c>
      <c r="R445" s="448">
        <v>0</v>
      </c>
      <c r="S445" s="448">
        <v>0</v>
      </c>
      <c r="T445" s="407" t="e">
        <v>#DIV/0!</v>
      </c>
      <c r="U445" s="406">
        <v>0</v>
      </c>
      <c r="V445" s="406">
        <v>0</v>
      </c>
      <c r="W445" s="406">
        <v>0</v>
      </c>
      <c r="X445" s="406">
        <v>0</v>
      </c>
      <c r="Y445" s="406">
        <v>0</v>
      </c>
      <c r="Z445" s="406">
        <v>0</v>
      </c>
    </row>
    <row r="446" spans="1:26" x14ac:dyDescent="0.2">
      <c r="A446" s="412" t="s">
        <v>666</v>
      </c>
      <c r="B446" s="457">
        <v>0</v>
      </c>
      <c r="C446" s="457">
        <v>0</v>
      </c>
      <c r="D446" s="457">
        <v>0</v>
      </c>
      <c r="E446" s="457">
        <v>0</v>
      </c>
      <c r="F446" s="457">
        <v>0</v>
      </c>
      <c r="G446" s="457">
        <v>0</v>
      </c>
      <c r="H446" s="457">
        <v>0</v>
      </c>
      <c r="I446" s="457">
        <v>0</v>
      </c>
      <c r="J446" s="457">
        <v>0</v>
      </c>
      <c r="K446" s="457">
        <v>0</v>
      </c>
      <c r="L446" s="457">
        <v>0</v>
      </c>
      <c r="M446" s="457">
        <v>0</v>
      </c>
      <c r="N446" s="457">
        <v>0</v>
      </c>
      <c r="O446" s="457">
        <v>0</v>
      </c>
      <c r="P446" s="457">
        <v>0</v>
      </c>
      <c r="Q446" s="457">
        <v>0</v>
      </c>
      <c r="R446" s="457">
        <v>0</v>
      </c>
      <c r="S446" s="457">
        <v>0</v>
      </c>
      <c r="T446" s="410" t="e">
        <v>#DIV/0!</v>
      </c>
      <c r="U446" s="285">
        <v>0</v>
      </c>
      <c r="V446" s="285">
        <v>0</v>
      </c>
      <c r="W446" s="285">
        <v>0</v>
      </c>
      <c r="X446" s="285">
        <v>0</v>
      </c>
      <c r="Y446" s="285">
        <v>0</v>
      </c>
      <c r="Z446" s="285">
        <v>0</v>
      </c>
    </row>
    <row r="447" spans="1:26" x14ac:dyDescent="0.2">
      <c r="A447" s="412" t="s">
        <v>667</v>
      </c>
      <c r="B447" s="457">
        <v>0</v>
      </c>
      <c r="C447" s="457">
        <v>0</v>
      </c>
      <c r="D447" s="457">
        <v>0</v>
      </c>
      <c r="E447" s="457">
        <v>0</v>
      </c>
      <c r="F447" s="457">
        <v>0</v>
      </c>
      <c r="G447" s="457">
        <v>0</v>
      </c>
      <c r="H447" s="457">
        <v>0</v>
      </c>
      <c r="I447" s="457">
        <v>0</v>
      </c>
      <c r="J447" s="457">
        <v>0</v>
      </c>
      <c r="K447" s="457">
        <v>0</v>
      </c>
      <c r="L447" s="457">
        <v>0</v>
      </c>
      <c r="M447" s="457">
        <v>0</v>
      </c>
      <c r="N447" s="457">
        <v>0</v>
      </c>
      <c r="O447" s="457">
        <v>0</v>
      </c>
      <c r="P447" s="457">
        <v>0</v>
      </c>
      <c r="Q447" s="457">
        <v>0</v>
      </c>
      <c r="R447" s="457">
        <v>0</v>
      </c>
      <c r="S447" s="457">
        <v>0</v>
      </c>
      <c r="T447" s="410" t="e">
        <v>#DIV/0!</v>
      </c>
      <c r="U447" s="285">
        <v>0</v>
      </c>
      <c r="V447" s="285">
        <v>0</v>
      </c>
      <c r="W447" s="285">
        <v>0</v>
      </c>
      <c r="X447" s="285">
        <v>0</v>
      </c>
      <c r="Y447" s="285">
        <v>0</v>
      </c>
      <c r="Z447" s="285">
        <v>0</v>
      </c>
    </row>
    <row r="448" spans="1:26" x14ac:dyDescent="0.2">
      <c r="A448" s="412" t="s">
        <v>668</v>
      </c>
      <c r="B448" s="457">
        <v>0</v>
      </c>
      <c r="C448" s="457">
        <v>0</v>
      </c>
      <c r="D448" s="457">
        <v>0</v>
      </c>
      <c r="E448" s="457">
        <v>0</v>
      </c>
      <c r="F448" s="457">
        <v>0</v>
      </c>
      <c r="G448" s="457">
        <v>0</v>
      </c>
      <c r="H448" s="457">
        <v>0</v>
      </c>
      <c r="I448" s="457">
        <v>0</v>
      </c>
      <c r="J448" s="457">
        <v>0</v>
      </c>
      <c r="K448" s="457">
        <v>0</v>
      </c>
      <c r="L448" s="457">
        <v>0</v>
      </c>
      <c r="M448" s="457">
        <v>0</v>
      </c>
      <c r="N448" s="457">
        <v>0</v>
      </c>
      <c r="O448" s="457">
        <v>0</v>
      </c>
      <c r="P448" s="457">
        <v>0</v>
      </c>
      <c r="Q448" s="457">
        <v>0</v>
      </c>
      <c r="R448" s="457">
        <v>0</v>
      </c>
      <c r="S448" s="457">
        <v>0</v>
      </c>
      <c r="T448" s="410" t="e">
        <v>#DIV/0!</v>
      </c>
      <c r="U448" s="285">
        <v>0</v>
      </c>
      <c r="V448" s="285">
        <v>0</v>
      </c>
      <c r="W448" s="285">
        <v>0</v>
      </c>
      <c r="X448" s="285">
        <v>0</v>
      </c>
      <c r="Y448" s="285">
        <v>0</v>
      </c>
      <c r="Z448" s="285">
        <v>0</v>
      </c>
    </row>
    <row r="449" spans="1:26" x14ac:dyDescent="0.2">
      <c r="A449" s="412" t="s">
        <v>669</v>
      </c>
      <c r="B449" s="457">
        <v>0</v>
      </c>
      <c r="C449" s="457">
        <v>0</v>
      </c>
      <c r="D449" s="457">
        <v>0</v>
      </c>
      <c r="E449" s="457">
        <v>0</v>
      </c>
      <c r="F449" s="457">
        <v>0</v>
      </c>
      <c r="G449" s="457">
        <v>0</v>
      </c>
      <c r="H449" s="457">
        <v>0</v>
      </c>
      <c r="I449" s="457">
        <v>0</v>
      </c>
      <c r="J449" s="457">
        <v>0</v>
      </c>
      <c r="K449" s="457">
        <v>0</v>
      </c>
      <c r="L449" s="457">
        <v>0</v>
      </c>
      <c r="M449" s="457">
        <v>0</v>
      </c>
      <c r="N449" s="457">
        <v>0</v>
      </c>
      <c r="O449" s="457">
        <v>0</v>
      </c>
      <c r="P449" s="457">
        <v>0</v>
      </c>
      <c r="Q449" s="457">
        <v>0</v>
      </c>
      <c r="R449" s="457">
        <v>0</v>
      </c>
      <c r="S449" s="457">
        <v>0</v>
      </c>
      <c r="T449" s="410" t="e">
        <v>#DIV/0!</v>
      </c>
      <c r="U449" s="285">
        <v>0</v>
      </c>
      <c r="V449" s="285">
        <v>0</v>
      </c>
      <c r="W449" s="285">
        <v>0</v>
      </c>
      <c r="X449" s="285">
        <v>0</v>
      </c>
      <c r="Y449" s="285">
        <v>0</v>
      </c>
      <c r="Z449" s="285">
        <v>0</v>
      </c>
    </row>
    <row r="450" spans="1:26" x14ac:dyDescent="0.2">
      <c r="A450" s="412" t="s">
        <v>670</v>
      </c>
      <c r="B450" s="457">
        <v>0</v>
      </c>
      <c r="C450" s="457">
        <v>0</v>
      </c>
      <c r="D450" s="457">
        <v>0</v>
      </c>
      <c r="E450" s="457">
        <v>0</v>
      </c>
      <c r="F450" s="457">
        <v>0</v>
      </c>
      <c r="G450" s="457">
        <v>0</v>
      </c>
      <c r="H450" s="457">
        <v>0</v>
      </c>
      <c r="I450" s="457">
        <v>0</v>
      </c>
      <c r="J450" s="457">
        <v>0</v>
      </c>
      <c r="K450" s="457">
        <v>0</v>
      </c>
      <c r="L450" s="457">
        <v>0</v>
      </c>
      <c r="M450" s="457">
        <v>0</v>
      </c>
      <c r="N450" s="457">
        <v>0</v>
      </c>
      <c r="O450" s="457">
        <v>0</v>
      </c>
      <c r="P450" s="457">
        <v>0</v>
      </c>
      <c r="Q450" s="457">
        <v>0</v>
      </c>
      <c r="R450" s="457">
        <v>0</v>
      </c>
      <c r="S450" s="457">
        <v>0</v>
      </c>
      <c r="T450" s="410" t="e">
        <v>#DIV/0!</v>
      </c>
      <c r="U450" s="285">
        <v>0</v>
      </c>
      <c r="V450" s="285">
        <v>0</v>
      </c>
      <c r="W450" s="285">
        <v>0</v>
      </c>
      <c r="X450" s="285">
        <v>0</v>
      </c>
      <c r="Y450" s="285">
        <v>0</v>
      </c>
      <c r="Z450" s="285">
        <v>0</v>
      </c>
    </row>
    <row r="451" spans="1:26" x14ac:dyDescent="0.2">
      <c r="A451" s="412" t="s">
        <v>671</v>
      </c>
      <c r="B451" s="457">
        <v>0</v>
      </c>
      <c r="C451" s="457">
        <v>0</v>
      </c>
      <c r="D451" s="457">
        <v>0</v>
      </c>
      <c r="E451" s="457">
        <v>0</v>
      </c>
      <c r="F451" s="457">
        <v>0</v>
      </c>
      <c r="G451" s="457">
        <v>0</v>
      </c>
      <c r="H451" s="457">
        <v>0</v>
      </c>
      <c r="I451" s="457">
        <v>0</v>
      </c>
      <c r="J451" s="457">
        <v>0</v>
      </c>
      <c r="K451" s="457">
        <v>0</v>
      </c>
      <c r="L451" s="457">
        <v>0</v>
      </c>
      <c r="M451" s="457">
        <v>0</v>
      </c>
      <c r="N451" s="457">
        <v>0</v>
      </c>
      <c r="O451" s="457">
        <v>0</v>
      </c>
      <c r="P451" s="457">
        <v>0</v>
      </c>
      <c r="Q451" s="457">
        <v>0</v>
      </c>
      <c r="R451" s="457">
        <v>0</v>
      </c>
      <c r="S451" s="457">
        <v>0</v>
      </c>
      <c r="T451" s="410" t="e">
        <v>#DIV/0!</v>
      </c>
      <c r="U451" s="285">
        <v>0</v>
      </c>
      <c r="V451" s="285">
        <v>0</v>
      </c>
      <c r="W451" s="285">
        <v>0</v>
      </c>
      <c r="X451" s="285">
        <v>0</v>
      </c>
      <c r="Y451" s="285">
        <v>0</v>
      </c>
      <c r="Z451" s="285">
        <v>0</v>
      </c>
    </row>
    <row r="452" spans="1:26" x14ac:dyDescent="0.2">
      <c r="A452" s="412" t="s">
        <v>672</v>
      </c>
      <c r="B452" s="457">
        <v>0</v>
      </c>
      <c r="C452" s="457">
        <v>0</v>
      </c>
      <c r="D452" s="457">
        <v>0</v>
      </c>
      <c r="E452" s="457">
        <v>0</v>
      </c>
      <c r="F452" s="457">
        <v>0</v>
      </c>
      <c r="G452" s="457">
        <v>0</v>
      </c>
      <c r="H452" s="457">
        <v>0</v>
      </c>
      <c r="I452" s="457">
        <v>0</v>
      </c>
      <c r="J452" s="457">
        <v>0</v>
      </c>
      <c r="K452" s="457">
        <v>0</v>
      </c>
      <c r="L452" s="457">
        <v>0</v>
      </c>
      <c r="M452" s="457">
        <v>0</v>
      </c>
      <c r="N452" s="457">
        <v>0</v>
      </c>
      <c r="O452" s="457">
        <v>0</v>
      </c>
      <c r="P452" s="457">
        <v>0</v>
      </c>
      <c r="Q452" s="457">
        <v>0</v>
      </c>
      <c r="R452" s="457">
        <v>0</v>
      </c>
      <c r="S452" s="457">
        <v>0</v>
      </c>
      <c r="T452" s="410" t="e">
        <v>#DIV/0!</v>
      </c>
      <c r="U452" s="285">
        <v>0</v>
      </c>
      <c r="V452" s="285">
        <v>0</v>
      </c>
      <c r="W452" s="285">
        <v>0</v>
      </c>
      <c r="X452" s="285">
        <v>0</v>
      </c>
      <c r="Y452" s="285">
        <v>0</v>
      </c>
      <c r="Z452" s="285">
        <v>0</v>
      </c>
    </row>
    <row r="453" spans="1:26" x14ac:dyDescent="0.2">
      <c r="A453" s="412" t="s">
        <v>673</v>
      </c>
      <c r="B453" s="457">
        <v>0</v>
      </c>
      <c r="C453" s="457">
        <v>0</v>
      </c>
      <c r="D453" s="457">
        <v>0</v>
      </c>
      <c r="E453" s="457">
        <v>0</v>
      </c>
      <c r="F453" s="457">
        <v>0</v>
      </c>
      <c r="G453" s="457">
        <v>0</v>
      </c>
      <c r="H453" s="457">
        <v>0</v>
      </c>
      <c r="I453" s="457">
        <v>0</v>
      </c>
      <c r="J453" s="457">
        <v>0</v>
      </c>
      <c r="K453" s="457">
        <v>0</v>
      </c>
      <c r="L453" s="457">
        <v>0</v>
      </c>
      <c r="M453" s="457">
        <v>0</v>
      </c>
      <c r="N453" s="457">
        <v>0</v>
      </c>
      <c r="O453" s="457">
        <v>0</v>
      </c>
      <c r="P453" s="457">
        <v>0</v>
      </c>
      <c r="Q453" s="457">
        <v>0</v>
      </c>
      <c r="R453" s="457">
        <v>0</v>
      </c>
      <c r="S453" s="457">
        <v>0</v>
      </c>
      <c r="T453" s="410" t="e">
        <v>#DIV/0!</v>
      </c>
      <c r="U453" s="285">
        <v>0</v>
      </c>
      <c r="V453" s="285">
        <v>0</v>
      </c>
      <c r="W453" s="285">
        <v>0</v>
      </c>
      <c r="X453" s="285">
        <v>0</v>
      </c>
      <c r="Y453" s="285">
        <v>0</v>
      </c>
      <c r="Z453" s="285">
        <v>0</v>
      </c>
    </row>
    <row r="454" spans="1:26" x14ac:dyDescent="0.2">
      <c r="A454" s="412" t="s">
        <v>674</v>
      </c>
      <c r="B454" s="457">
        <v>0</v>
      </c>
      <c r="C454" s="457">
        <v>0</v>
      </c>
      <c r="D454" s="457">
        <v>0</v>
      </c>
      <c r="E454" s="457">
        <v>0</v>
      </c>
      <c r="F454" s="457">
        <v>0</v>
      </c>
      <c r="G454" s="457">
        <v>0</v>
      </c>
      <c r="H454" s="457">
        <v>0</v>
      </c>
      <c r="I454" s="457">
        <v>0</v>
      </c>
      <c r="J454" s="457">
        <v>0</v>
      </c>
      <c r="K454" s="457">
        <v>0</v>
      </c>
      <c r="L454" s="457">
        <v>0</v>
      </c>
      <c r="M454" s="457">
        <v>0</v>
      </c>
      <c r="N454" s="457">
        <v>0</v>
      </c>
      <c r="O454" s="457">
        <v>0</v>
      </c>
      <c r="P454" s="457">
        <v>0</v>
      </c>
      <c r="Q454" s="457">
        <v>0</v>
      </c>
      <c r="R454" s="457">
        <v>0</v>
      </c>
      <c r="S454" s="457">
        <v>0</v>
      </c>
      <c r="T454" s="410" t="e">
        <v>#DIV/0!</v>
      </c>
      <c r="U454" s="285">
        <v>0</v>
      </c>
      <c r="V454" s="285">
        <v>0</v>
      </c>
      <c r="W454" s="285">
        <v>0</v>
      </c>
      <c r="X454" s="285">
        <v>0</v>
      </c>
      <c r="Y454" s="285">
        <v>0</v>
      </c>
      <c r="Z454" s="285">
        <v>0</v>
      </c>
    </row>
    <row r="455" spans="1:26" x14ac:dyDescent="0.2">
      <c r="A455" s="412" t="s">
        <v>675</v>
      </c>
      <c r="B455" s="457">
        <v>0</v>
      </c>
      <c r="C455" s="457">
        <v>0</v>
      </c>
      <c r="D455" s="457">
        <v>0</v>
      </c>
      <c r="E455" s="457">
        <v>0</v>
      </c>
      <c r="F455" s="457">
        <v>0</v>
      </c>
      <c r="G455" s="457">
        <v>0</v>
      </c>
      <c r="H455" s="457">
        <v>0</v>
      </c>
      <c r="I455" s="457">
        <v>0</v>
      </c>
      <c r="J455" s="457">
        <v>0</v>
      </c>
      <c r="K455" s="457">
        <v>0</v>
      </c>
      <c r="L455" s="457">
        <v>0</v>
      </c>
      <c r="M455" s="457">
        <v>0</v>
      </c>
      <c r="N455" s="457">
        <v>0</v>
      </c>
      <c r="O455" s="457">
        <v>0</v>
      </c>
      <c r="P455" s="457">
        <v>0</v>
      </c>
      <c r="Q455" s="457">
        <v>0</v>
      </c>
      <c r="R455" s="457">
        <v>0</v>
      </c>
      <c r="S455" s="457">
        <v>0</v>
      </c>
      <c r="T455" s="410" t="e">
        <v>#DIV/0!</v>
      </c>
      <c r="U455" s="285">
        <v>0</v>
      </c>
      <c r="V455" s="285">
        <v>0</v>
      </c>
      <c r="W455" s="285">
        <v>0</v>
      </c>
      <c r="X455" s="285">
        <v>0</v>
      </c>
      <c r="Y455" s="285">
        <v>0</v>
      </c>
      <c r="Z455" s="285">
        <v>0</v>
      </c>
    </row>
    <row r="456" spans="1:26" x14ac:dyDescent="0.2">
      <c r="A456" s="412" t="s">
        <v>676</v>
      </c>
      <c r="B456" s="457">
        <v>0</v>
      </c>
      <c r="C456" s="457">
        <v>0</v>
      </c>
      <c r="D456" s="457">
        <v>0</v>
      </c>
      <c r="E456" s="457">
        <v>0</v>
      </c>
      <c r="F456" s="457">
        <v>0</v>
      </c>
      <c r="G456" s="457">
        <v>0</v>
      </c>
      <c r="H456" s="457">
        <v>0</v>
      </c>
      <c r="I456" s="457">
        <v>0</v>
      </c>
      <c r="J456" s="457">
        <v>0</v>
      </c>
      <c r="K456" s="457">
        <v>0</v>
      </c>
      <c r="L456" s="457">
        <v>0</v>
      </c>
      <c r="M456" s="457">
        <v>0</v>
      </c>
      <c r="N456" s="457">
        <v>0</v>
      </c>
      <c r="O456" s="457">
        <v>0</v>
      </c>
      <c r="P456" s="457">
        <v>0</v>
      </c>
      <c r="Q456" s="457">
        <v>0</v>
      </c>
      <c r="R456" s="457">
        <v>0</v>
      </c>
      <c r="S456" s="457">
        <v>0</v>
      </c>
      <c r="T456" s="410" t="e">
        <v>#DIV/0!</v>
      </c>
      <c r="U456" s="285">
        <v>0</v>
      </c>
      <c r="V456" s="285">
        <v>0</v>
      </c>
      <c r="W456" s="285">
        <v>0</v>
      </c>
      <c r="X456" s="285">
        <v>0</v>
      </c>
      <c r="Y456" s="285">
        <v>0</v>
      </c>
      <c r="Z456" s="285">
        <v>0</v>
      </c>
    </row>
    <row r="457" spans="1:26" x14ac:dyDescent="0.2">
      <c r="A457" s="412" t="s">
        <v>677</v>
      </c>
      <c r="B457" s="457">
        <v>0</v>
      </c>
      <c r="C457" s="457">
        <v>0</v>
      </c>
      <c r="D457" s="457">
        <v>0</v>
      </c>
      <c r="E457" s="457">
        <v>0</v>
      </c>
      <c r="F457" s="457">
        <v>0</v>
      </c>
      <c r="G457" s="457">
        <v>0</v>
      </c>
      <c r="H457" s="457">
        <v>0</v>
      </c>
      <c r="I457" s="457">
        <v>0</v>
      </c>
      <c r="J457" s="457">
        <v>0</v>
      </c>
      <c r="K457" s="457">
        <v>0</v>
      </c>
      <c r="L457" s="457">
        <v>0</v>
      </c>
      <c r="M457" s="457">
        <v>0</v>
      </c>
      <c r="N457" s="457">
        <v>0</v>
      </c>
      <c r="O457" s="457">
        <v>0</v>
      </c>
      <c r="P457" s="457">
        <v>0</v>
      </c>
      <c r="Q457" s="457">
        <v>0</v>
      </c>
      <c r="R457" s="457">
        <v>0</v>
      </c>
      <c r="S457" s="457">
        <v>0</v>
      </c>
      <c r="T457" s="410" t="e">
        <v>#DIV/0!</v>
      </c>
      <c r="U457" s="285">
        <v>0</v>
      </c>
      <c r="V457" s="285">
        <v>0</v>
      </c>
      <c r="W457" s="285">
        <v>0</v>
      </c>
      <c r="X457" s="285">
        <v>0</v>
      </c>
      <c r="Y457" s="285">
        <v>0</v>
      </c>
      <c r="Z457" s="285">
        <v>0</v>
      </c>
    </row>
    <row r="458" spans="1:26" x14ac:dyDescent="0.2">
      <c r="A458" s="412" t="s">
        <v>678</v>
      </c>
      <c r="B458" s="457">
        <v>0</v>
      </c>
      <c r="C458" s="457">
        <v>0</v>
      </c>
      <c r="D458" s="457">
        <v>0</v>
      </c>
      <c r="E458" s="457">
        <v>0</v>
      </c>
      <c r="F458" s="457">
        <v>0</v>
      </c>
      <c r="G458" s="457">
        <v>0</v>
      </c>
      <c r="H458" s="457">
        <v>0</v>
      </c>
      <c r="I458" s="457">
        <v>0</v>
      </c>
      <c r="J458" s="457">
        <v>0</v>
      </c>
      <c r="K458" s="457">
        <v>0</v>
      </c>
      <c r="L458" s="457">
        <v>0</v>
      </c>
      <c r="M458" s="457">
        <v>0</v>
      </c>
      <c r="N458" s="457">
        <v>0</v>
      </c>
      <c r="O458" s="457">
        <v>0</v>
      </c>
      <c r="P458" s="457">
        <v>0</v>
      </c>
      <c r="Q458" s="457">
        <v>0</v>
      </c>
      <c r="R458" s="457">
        <v>0</v>
      </c>
      <c r="S458" s="457">
        <v>0</v>
      </c>
      <c r="T458" s="410" t="e">
        <v>#DIV/0!</v>
      </c>
      <c r="U458" s="285">
        <v>0</v>
      </c>
      <c r="V458" s="285">
        <v>0</v>
      </c>
      <c r="W458" s="285">
        <v>0</v>
      </c>
      <c r="X458" s="285">
        <v>0</v>
      </c>
      <c r="Y458" s="285">
        <v>0</v>
      </c>
      <c r="Z458" s="285">
        <v>0</v>
      </c>
    </row>
    <row r="459" spans="1:26" x14ac:dyDescent="0.2">
      <c r="A459" s="412" t="s">
        <v>679</v>
      </c>
      <c r="B459" s="457">
        <v>0</v>
      </c>
      <c r="C459" s="457">
        <v>0</v>
      </c>
      <c r="D459" s="457">
        <v>0</v>
      </c>
      <c r="E459" s="457">
        <v>0</v>
      </c>
      <c r="F459" s="457">
        <v>0</v>
      </c>
      <c r="G459" s="457">
        <v>0</v>
      </c>
      <c r="H459" s="457">
        <v>0</v>
      </c>
      <c r="I459" s="457">
        <v>0</v>
      </c>
      <c r="J459" s="457">
        <v>0</v>
      </c>
      <c r="K459" s="457">
        <v>0</v>
      </c>
      <c r="L459" s="457">
        <v>0</v>
      </c>
      <c r="M459" s="457">
        <v>0</v>
      </c>
      <c r="N459" s="457">
        <v>0</v>
      </c>
      <c r="O459" s="457">
        <v>0</v>
      </c>
      <c r="P459" s="457">
        <v>0</v>
      </c>
      <c r="Q459" s="457">
        <v>0</v>
      </c>
      <c r="R459" s="457">
        <v>0</v>
      </c>
      <c r="S459" s="457">
        <v>0</v>
      </c>
      <c r="T459" s="410" t="e">
        <v>#DIV/0!</v>
      </c>
      <c r="U459" s="285">
        <v>0</v>
      </c>
      <c r="V459" s="285">
        <v>0</v>
      </c>
      <c r="W459" s="285">
        <v>0</v>
      </c>
      <c r="X459" s="285">
        <v>0</v>
      </c>
      <c r="Y459" s="285">
        <v>0</v>
      </c>
      <c r="Z459" s="285">
        <v>0</v>
      </c>
    </row>
    <row r="460" spans="1:26" x14ac:dyDescent="0.2">
      <c r="A460" s="412" t="s">
        <v>680</v>
      </c>
      <c r="B460" s="457">
        <v>0</v>
      </c>
      <c r="C460" s="457">
        <v>0</v>
      </c>
      <c r="D460" s="457">
        <v>0</v>
      </c>
      <c r="E460" s="457">
        <v>0</v>
      </c>
      <c r="F460" s="457">
        <v>0</v>
      </c>
      <c r="G460" s="457">
        <v>0</v>
      </c>
      <c r="H460" s="457">
        <v>0</v>
      </c>
      <c r="I460" s="457">
        <v>0</v>
      </c>
      <c r="J460" s="457">
        <v>0</v>
      </c>
      <c r="K460" s="457">
        <v>0</v>
      </c>
      <c r="L460" s="457">
        <v>0</v>
      </c>
      <c r="M460" s="457">
        <v>0</v>
      </c>
      <c r="N460" s="457">
        <v>0</v>
      </c>
      <c r="O460" s="457">
        <v>0</v>
      </c>
      <c r="P460" s="457">
        <v>0</v>
      </c>
      <c r="Q460" s="457">
        <v>0</v>
      </c>
      <c r="R460" s="457">
        <v>0</v>
      </c>
      <c r="S460" s="457">
        <v>0</v>
      </c>
      <c r="T460" s="410" t="e">
        <v>#DIV/0!</v>
      </c>
      <c r="U460" s="285">
        <v>0</v>
      </c>
      <c r="V460" s="285">
        <v>0</v>
      </c>
      <c r="W460" s="285">
        <v>0</v>
      </c>
      <c r="X460" s="285">
        <v>0</v>
      </c>
      <c r="Y460" s="285">
        <v>0</v>
      </c>
      <c r="Z460" s="285">
        <v>0</v>
      </c>
    </row>
    <row r="461" spans="1:26" x14ac:dyDescent="0.2">
      <c r="A461" s="412" t="s">
        <v>681</v>
      </c>
      <c r="B461" s="457">
        <v>0</v>
      </c>
      <c r="C461" s="457">
        <v>0</v>
      </c>
      <c r="D461" s="457">
        <v>0</v>
      </c>
      <c r="E461" s="457">
        <v>0</v>
      </c>
      <c r="F461" s="457">
        <v>0</v>
      </c>
      <c r="G461" s="457">
        <v>0</v>
      </c>
      <c r="H461" s="457">
        <v>0</v>
      </c>
      <c r="I461" s="457">
        <v>0</v>
      </c>
      <c r="J461" s="457">
        <v>0</v>
      </c>
      <c r="K461" s="457">
        <v>0</v>
      </c>
      <c r="L461" s="457">
        <v>0</v>
      </c>
      <c r="M461" s="457">
        <v>0</v>
      </c>
      <c r="N461" s="457">
        <v>0</v>
      </c>
      <c r="O461" s="457">
        <v>0</v>
      </c>
      <c r="P461" s="457">
        <v>0</v>
      </c>
      <c r="Q461" s="457">
        <v>0</v>
      </c>
      <c r="R461" s="457">
        <v>0</v>
      </c>
      <c r="S461" s="457">
        <v>0</v>
      </c>
      <c r="T461" s="410" t="e">
        <v>#DIV/0!</v>
      </c>
      <c r="U461" s="285">
        <v>0</v>
      </c>
      <c r="V461" s="285">
        <v>0</v>
      </c>
      <c r="W461" s="285">
        <v>0</v>
      </c>
      <c r="X461" s="285">
        <v>0</v>
      </c>
      <c r="Y461" s="285">
        <v>0</v>
      </c>
      <c r="Z461" s="285">
        <v>0</v>
      </c>
    </row>
    <row r="462" spans="1:26" x14ac:dyDescent="0.2">
      <c r="A462" s="412" t="s">
        <v>682</v>
      </c>
      <c r="B462" s="457">
        <v>0</v>
      </c>
      <c r="C462" s="457">
        <v>0</v>
      </c>
      <c r="D462" s="457">
        <v>0</v>
      </c>
      <c r="E462" s="457">
        <v>0</v>
      </c>
      <c r="F462" s="457">
        <v>0</v>
      </c>
      <c r="G462" s="457">
        <v>0</v>
      </c>
      <c r="H462" s="457">
        <v>0</v>
      </c>
      <c r="I462" s="457">
        <v>0</v>
      </c>
      <c r="J462" s="457">
        <v>0</v>
      </c>
      <c r="K462" s="457">
        <v>0</v>
      </c>
      <c r="L462" s="457">
        <v>0</v>
      </c>
      <c r="M462" s="457">
        <v>0</v>
      </c>
      <c r="N462" s="457">
        <v>0</v>
      </c>
      <c r="O462" s="457">
        <v>0</v>
      </c>
      <c r="P462" s="457">
        <v>0</v>
      </c>
      <c r="Q462" s="457">
        <v>0</v>
      </c>
      <c r="R462" s="457">
        <v>0</v>
      </c>
      <c r="S462" s="457">
        <v>0</v>
      </c>
      <c r="T462" s="410" t="e">
        <v>#DIV/0!</v>
      </c>
      <c r="U462" s="285">
        <v>0</v>
      </c>
      <c r="V462" s="285">
        <v>0</v>
      </c>
      <c r="W462" s="285">
        <v>0</v>
      </c>
      <c r="X462" s="285">
        <v>0</v>
      </c>
      <c r="Y462" s="285">
        <v>0</v>
      </c>
      <c r="Z462" s="285">
        <v>0</v>
      </c>
    </row>
    <row r="463" spans="1:26" x14ac:dyDescent="0.2">
      <c r="A463" s="412" t="s">
        <v>683</v>
      </c>
      <c r="B463" s="457">
        <v>0</v>
      </c>
      <c r="C463" s="457">
        <v>0</v>
      </c>
      <c r="D463" s="457">
        <v>0</v>
      </c>
      <c r="E463" s="457">
        <v>0</v>
      </c>
      <c r="F463" s="457">
        <v>0</v>
      </c>
      <c r="G463" s="457">
        <v>0</v>
      </c>
      <c r="H463" s="457">
        <v>0</v>
      </c>
      <c r="I463" s="457">
        <v>0</v>
      </c>
      <c r="J463" s="457">
        <v>0</v>
      </c>
      <c r="K463" s="457">
        <v>0</v>
      </c>
      <c r="L463" s="457">
        <v>0</v>
      </c>
      <c r="M463" s="457">
        <v>0</v>
      </c>
      <c r="N463" s="457">
        <v>0</v>
      </c>
      <c r="O463" s="457">
        <v>0</v>
      </c>
      <c r="P463" s="457">
        <v>0</v>
      </c>
      <c r="Q463" s="457">
        <v>0</v>
      </c>
      <c r="R463" s="457">
        <v>0</v>
      </c>
      <c r="S463" s="457">
        <v>0</v>
      </c>
      <c r="T463" s="410" t="e">
        <v>#DIV/0!</v>
      </c>
      <c r="U463" s="285">
        <v>0</v>
      </c>
      <c r="V463" s="285">
        <v>0</v>
      </c>
      <c r="W463" s="285">
        <v>0</v>
      </c>
      <c r="X463" s="285">
        <v>0</v>
      </c>
      <c r="Y463" s="285">
        <v>0</v>
      </c>
      <c r="Z463" s="285">
        <v>0</v>
      </c>
    </row>
    <row r="464" spans="1:26" x14ac:dyDescent="0.2">
      <c r="A464" s="417" t="s">
        <v>684</v>
      </c>
      <c r="B464" s="461">
        <v>0</v>
      </c>
      <c r="C464" s="461">
        <v>0</v>
      </c>
      <c r="D464" s="461">
        <v>0</v>
      </c>
      <c r="E464" s="461">
        <v>0</v>
      </c>
      <c r="F464" s="461">
        <v>0</v>
      </c>
      <c r="G464" s="461">
        <v>0</v>
      </c>
      <c r="H464" s="461">
        <v>0</v>
      </c>
      <c r="I464" s="461">
        <v>0</v>
      </c>
      <c r="J464" s="461">
        <v>0</v>
      </c>
      <c r="K464" s="461">
        <v>0</v>
      </c>
      <c r="L464" s="461">
        <v>0</v>
      </c>
      <c r="M464" s="461">
        <v>0</v>
      </c>
      <c r="N464" s="461">
        <v>0</v>
      </c>
      <c r="O464" s="461">
        <v>0</v>
      </c>
      <c r="P464" s="461">
        <v>0</v>
      </c>
      <c r="Q464" s="461">
        <v>0</v>
      </c>
      <c r="R464" s="461">
        <v>0</v>
      </c>
      <c r="S464" s="461">
        <v>0</v>
      </c>
      <c r="T464" s="420" t="e">
        <v>#DIV/0!</v>
      </c>
      <c r="U464" s="419">
        <v>0</v>
      </c>
      <c r="V464" s="419">
        <v>0</v>
      </c>
      <c r="W464" s="419">
        <v>0</v>
      </c>
      <c r="X464" s="419">
        <v>0</v>
      </c>
      <c r="Y464" s="419">
        <v>0</v>
      </c>
      <c r="Z464" s="419">
        <v>0</v>
      </c>
    </row>
    <row r="465" spans="1:27" x14ac:dyDescent="0.2">
      <c r="A465" s="404" t="s">
        <v>685</v>
      </c>
      <c r="B465" s="247">
        <v>0</v>
      </c>
      <c r="C465" s="247">
        <v>0</v>
      </c>
      <c r="D465" s="247">
        <v>0</v>
      </c>
      <c r="E465" s="247">
        <v>0</v>
      </c>
      <c r="F465" s="247">
        <v>0</v>
      </c>
      <c r="G465" s="247">
        <v>0</v>
      </c>
      <c r="H465" s="247">
        <v>0</v>
      </c>
      <c r="I465" s="247">
        <v>0</v>
      </c>
      <c r="J465" s="247">
        <v>0</v>
      </c>
      <c r="K465" s="247">
        <v>0</v>
      </c>
      <c r="L465" s="247">
        <v>0</v>
      </c>
      <c r="M465" s="247">
        <v>0</v>
      </c>
      <c r="N465" s="247">
        <v>0</v>
      </c>
      <c r="O465" s="247">
        <v>0</v>
      </c>
      <c r="P465" s="247">
        <v>0</v>
      </c>
      <c r="Q465" s="247">
        <v>0</v>
      </c>
      <c r="R465" s="247">
        <v>0</v>
      </c>
      <c r="S465" s="247">
        <v>0</v>
      </c>
      <c r="T465" s="407" t="e">
        <v>#DIV/0!</v>
      </c>
      <c r="U465" s="406">
        <v>0</v>
      </c>
      <c r="V465" s="406">
        <v>0</v>
      </c>
      <c r="W465" s="406">
        <v>0</v>
      </c>
      <c r="X465" s="406">
        <v>0</v>
      </c>
      <c r="Y465" s="406">
        <v>0</v>
      </c>
      <c r="Z465" s="406">
        <v>0</v>
      </c>
      <c r="AA465" s="453"/>
    </row>
    <row r="466" spans="1:27" x14ac:dyDescent="0.2">
      <c r="A466" s="404" t="s">
        <v>686</v>
      </c>
      <c r="B466" s="448">
        <v>0</v>
      </c>
      <c r="C466" s="448">
        <v>0</v>
      </c>
      <c r="D466" s="448">
        <v>0</v>
      </c>
      <c r="E466" s="448">
        <v>0</v>
      </c>
      <c r="F466" s="448">
        <v>0</v>
      </c>
      <c r="G466" s="448">
        <v>0</v>
      </c>
      <c r="H466" s="448">
        <v>0</v>
      </c>
      <c r="I466" s="448">
        <v>0</v>
      </c>
      <c r="J466" s="448">
        <v>0</v>
      </c>
      <c r="K466" s="448">
        <v>0</v>
      </c>
      <c r="L466" s="448">
        <v>0</v>
      </c>
      <c r="M466" s="448">
        <v>0</v>
      </c>
      <c r="N466" s="448">
        <v>0</v>
      </c>
      <c r="O466" s="448">
        <v>0</v>
      </c>
      <c r="P466" s="448">
        <v>0</v>
      </c>
      <c r="Q466" s="448">
        <v>0</v>
      </c>
      <c r="R466" s="448">
        <v>0</v>
      </c>
      <c r="S466" s="448">
        <v>0</v>
      </c>
      <c r="T466" s="407" t="e">
        <v>#DIV/0!</v>
      </c>
      <c r="U466" s="406">
        <v>0</v>
      </c>
      <c r="V466" s="406">
        <v>0</v>
      </c>
      <c r="W466" s="406">
        <v>0</v>
      </c>
      <c r="X466" s="406">
        <v>0</v>
      </c>
      <c r="Y466" s="406">
        <v>0</v>
      </c>
      <c r="Z466" s="406">
        <v>0</v>
      </c>
      <c r="AA466" s="453"/>
    </row>
    <row r="467" spans="1:27" ht="24" x14ac:dyDescent="0.2">
      <c r="A467" s="412" t="s">
        <v>687</v>
      </c>
      <c r="B467" s="457">
        <v>0</v>
      </c>
      <c r="C467" s="457">
        <v>0</v>
      </c>
      <c r="D467" s="457">
        <v>0</v>
      </c>
      <c r="E467" s="457">
        <v>0</v>
      </c>
      <c r="F467" s="457">
        <v>0</v>
      </c>
      <c r="G467" s="457">
        <v>0</v>
      </c>
      <c r="H467" s="457">
        <v>0</v>
      </c>
      <c r="I467" s="457">
        <v>0</v>
      </c>
      <c r="J467" s="457">
        <v>0</v>
      </c>
      <c r="K467" s="457">
        <v>0</v>
      </c>
      <c r="L467" s="457">
        <v>0</v>
      </c>
      <c r="M467" s="457">
        <v>0</v>
      </c>
      <c r="N467" s="457">
        <v>0</v>
      </c>
      <c r="O467" s="457">
        <v>0</v>
      </c>
      <c r="P467" s="457">
        <v>0</v>
      </c>
      <c r="Q467" s="457">
        <v>0</v>
      </c>
      <c r="R467" s="457">
        <v>0</v>
      </c>
      <c r="S467" s="457">
        <v>0</v>
      </c>
      <c r="T467" s="410" t="e">
        <v>#DIV/0!</v>
      </c>
      <c r="U467" s="285">
        <v>0</v>
      </c>
      <c r="V467" s="285">
        <v>0</v>
      </c>
      <c r="W467" s="285">
        <v>0</v>
      </c>
      <c r="X467" s="285">
        <v>0</v>
      </c>
      <c r="Y467" s="285">
        <v>0</v>
      </c>
      <c r="Z467" s="285">
        <v>0</v>
      </c>
    </row>
    <row r="468" spans="1:27" ht="24" x14ac:dyDescent="0.2">
      <c r="A468" s="412" t="s">
        <v>688</v>
      </c>
      <c r="B468" s="457">
        <v>0</v>
      </c>
      <c r="C468" s="457">
        <v>0</v>
      </c>
      <c r="D468" s="457">
        <v>0</v>
      </c>
      <c r="E468" s="457">
        <v>0</v>
      </c>
      <c r="F468" s="457">
        <v>0</v>
      </c>
      <c r="G468" s="457">
        <v>0</v>
      </c>
      <c r="H468" s="457">
        <v>0</v>
      </c>
      <c r="I468" s="457">
        <v>0</v>
      </c>
      <c r="J468" s="457">
        <v>0</v>
      </c>
      <c r="K468" s="457">
        <v>0</v>
      </c>
      <c r="L468" s="457">
        <v>0</v>
      </c>
      <c r="M468" s="457">
        <v>0</v>
      </c>
      <c r="N468" s="457">
        <v>0</v>
      </c>
      <c r="O468" s="457">
        <v>0</v>
      </c>
      <c r="P468" s="457">
        <v>0</v>
      </c>
      <c r="Q468" s="457">
        <v>0</v>
      </c>
      <c r="R468" s="457">
        <v>0</v>
      </c>
      <c r="S468" s="457">
        <v>0</v>
      </c>
      <c r="T468" s="410" t="e">
        <v>#DIV/0!</v>
      </c>
      <c r="U468" s="285">
        <v>0</v>
      </c>
      <c r="V468" s="285">
        <v>0</v>
      </c>
      <c r="W468" s="285">
        <v>0</v>
      </c>
      <c r="X468" s="285">
        <v>0</v>
      </c>
      <c r="Y468" s="285">
        <v>0</v>
      </c>
      <c r="Z468" s="285">
        <v>0</v>
      </c>
    </row>
    <row r="469" spans="1:27" ht="24" x14ac:dyDescent="0.2">
      <c r="A469" s="412" t="s">
        <v>689</v>
      </c>
      <c r="B469" s="457">
        <v>0</v>
      </c>
      <c r="C469" s="457">
        <v>0</v>
      </c>
      <c r="D469" s="457">
        <v>0</v>
      </c>
      <c r="E469" s="457">
        <v>0</v>
      </c>
      <c r="F469" s="457">
        <v>0</v>
      </c>
      <c r="G469" s="457">
        <v>0</v>
      </c>
      <c r="H469" s="457">
        <v>0</v>
      </c>
      <c r="I469" s="457">
        <v>0</v>
      </c>
      <c r="J469" s="457">
        <v>0</v>
      </c>
      <c r="K469" s="457">
        <v>0</v>
      </c>
      <c r="L469" s="457">
        <v>0</v>
      </c>
      <c r="M469" s="457">
        <v>0</v>
      </c>
      <c r="N469" s="457">
        <v>0</v>
      </c>
      <c r="O469" s="457">
        <v>0</v>
      </c>
      <c r="P469" s="457">
        <v>0</v>
      </c>
      <c r="Q469" s="457">
        <v>0</v>
      </c>
      <c r="R469" s="457">
        <v>0</v>
      </c>
      <c r="S469" s="457">
        <v>0</v>
      </c>
      <c r="T469" s="410" t="e">
        <v>#DIV/0!</v>
      </c>
      <c r="U469" s="285">
        <v>0</v>
      </c>
      <c r="V469" s="285">
        <v>0</v>
      </c>
      <c r="W469" s="285">
        <v>0</v>
      </c>
      <c r="X469" s="285">
        <v>0</v>
      </c>
      <c r="Y469" s="285">
        <v>0</v>
      </c>
      <c r="Z469" s="285">
        <v>0</v>
      </c>
    </row>
    <row r="470" spans="1:27" x14ac:dyDescent="0.2">
      <c r="A470" s="404" t="s">
        <v>690</v>
      </c>
      <c r="B470" s="448">
        <v>0</v>
      </c>
      <c r="C470" s="448">
        <v>0</v>
      </c>
      <c r="D470" s="448">
        <v>0</v>
      </c>
      <c r="E470" s="448">
        <v>0</v>
      </c>
      <c r="F470" s="448">
        <v>0</v>
      </c>
      <c r="G470" s="448">
        <v>0</v>
      </c>
      <c r="H470" s="448">
        <v>0</v>
      </c>
      <c r="I470" s="448">
        <v>0</v>
      </c>
      <c r="J470" s="448">
        <v>0</v>
      </c>
      <c r="K470" s="448">
        <v>0</v>
      </c>
      <c r="L470" s="448">
        <v>0</v>
      </c>
      <c r="M470" s="448">
        <v>0</v>
      </c>
      <c r="N470" s="448">
        <v>0</v>
      </c>
      <c r="O470" s="448">
        <v>0</v>
      </c>
      <c r="P470" s="448">
        <v>0</v>
      </c>
      <c r="Q470" s="448">
        <v>0</v>
      </c>
      <c r="R470" s="448">
        <v>0</v>
      </c>
      <c r="S470" s="448">
        <v>0</v>
      </c>
      <c r="T470" s="407" t="e">
        <v>#DIV/0!</v>
      </c>
      <c r="U470" s="406">
        <v>0</v>
      </c>
      <c r="V470" s="406">
        <v>0</v>
      </c>
      <c r="W470" s="406">
        <v>0</v>
      </c>
      <c r="X470" s="406">
        <v>0</v>
      </c>
      <c r="Y470" s="406">
        <v>0</v>
      </c>
      <c r="Z470" s="406">
        <v>0</v>
      </c>
    </row>
    <row r="471" spans="1:27" x14ac:dyDescent="0.2">
      <c r="A471" s="412" t="s">
        <v>691</v>
      </c>
      <c r="B471" s="457">
        <v>0</v>
      </c>
      <c r="C471" s="457">
        <v>0</v>
      </c>
      <c r="D471" s="457">
        <v>0</v>
      </c>
      <c r="E471" s="457">
        <v>0</v>
      </c>
      <c r="F471" s="457">
        <v>0</v>
      </c>
      <c r="G471" s="457">
        <v>0</v>
      </c>
      <c r="H471" s="457">
        <v>0</v>
      </c>
      <c r="I471" s="457">
        <v>0</v>
      </c>
      <c r="J471" s="457">
        <v>0</v>
      </c>
      <c r="K471" s="457">
        <v>0</v>
      </c>
      <c r="L471" s="457">
        <v>0</v>
      </c>
      <c r="M471" s="457">
        <v>0</v>
      </c>
      <c r="N471" s="457">
        <v>0</v>
      </c>
      <c r="O471" s="457">
        <v>0</v>
      </c>
      <c r="P471" s="457">
        <v>0</v>
      </c>
      <c r="Q471" s="457">
        <v>0</v>
      </c>
      <c r="R471" s="457">
        <v>0</v>
      </c>
      <c r="S471" s="457">
        <v>0</v>
      </c>
      <c r="T471" s="410" t="e">
        <v>#DIV/0!</v>
      </c>
      <c r="U471" s="285">
        <v>0</v>
      </c>
      <c r="V471" s="285">
        <v>0</v>
      </c>
      <c r="W471" s="285">
        <v>0</v>
      </c>
      <c r="X471" s="285">
        <v>0</v>
      </c>
      <c r="Y471" s="285">
        <v>0</v>
      </c>
      <c r="Z471" s="285">
        <v>0</v>
      </c>
    </row>
    <row r="472" spans="1:27" x14ac:dyDescent="0.2">
      <c r="A472" s="412" t="s">
        <v>692</v>
      </c>
      <c r="B472" s="457">
        <v>0</v>
      </c>
      <c r="C472" s="457">
        <v>0</v>
      </c>
      <c r="D472" s="457">
        <v>0</v>
      </c>
      <c r="E472" s="457">
        <v>0</v>
      </c>
      <c r="F472" s="457">
        <v>0</v>
      </c>
      <c r="G472" s="457">
        <v>0</v>
      </c>
      <c r="H472" s="457">
        <v>0</v>
      </c>
      <c r="I472" s="457">
        <v>0</v>
      </c>
      <c r="J472" s="457">
        <v>0</v>
      </c>
      <c r="K472" s="457">
        <v>0</v>
      </c>
      <c r="L472" s="457">
        <v>0</v>
      </c>
      <c r="M472" s="457">
        <v>0</v>
      </c>
      <c r="N472" s="457">
        <v>0</v>
      </c>
      <c r="O472" s="457">
        <v>0</v>
      </c>
      <c r="P472" s="457">
        <v>0</v>
      </c>
      <c r="Q472" s="457">
        <v>0</v>
      </c>
      <c r="R472" s="457">
        <v>0</v>
      </c>
      <c r="S472" s="457">
        <v>0</v>
      </c>
      <c r="T472" s="410" t="e">
        <v>#DIV/0!</v>
      </c>
      <c r="U472" s="285">
        <v>0</v>
      </c>
      <c r="V472" s="285">
        <v>0</v>
      </c>
      <c r="W472" s="285">
        <v>0</v>
      </c>
      <c r="X472" s="285">
        <v>0</v>
      </c>
      <c r="Y472" s="285">
        <v>0</v>
      </c>
      <c r="Z472" s="285">
        <v>0</v>
      </c>
    </row>
    <row r="473" spans="1:27" x14ac:dyDescent="0.2">
      <c r="A473" s="412" t="s">
        <v>693</v>
      </c>
      <c r="B473" s="457">
        <v>0</v>
      </c>
      <c r="C473" s="457">
        <v>0</v>
      </c>
      <c r="D473" s="457">
        <v>0</v>
      </c>
      <c r="E473" s="457">
        <v>0</v>
      </c>
      <c r="F473" s="457">
        <v>0</v>
      </c>
      <c r="G473" s="457">
        <v>0</v>
      </c>
      <c r="H473" s="457">
        <v>0</v>
      </c>
      <c r="I473" s="457">
        <v>0</v>
      </c>
      <c r="J473" s="457">
        <v>0</v>
      </c>
      <c r="K473" s="457">
        <v>0</v>
      </c>
      <c r="L473" s="457">
        <v>0</v>
      </c>
      <c r="M473" s="457">
        <v>0</v>
      </c>
      <c r="N473" s="457">
        <v>0</v>
      </c>
      <c r="O473" s="457">
        <v>0</v>
      </c>
      <c r="P473" s="457">
        <v>0</v>
      </c>
      <c r="Q473" s="457">
        <v>0</v>
      </c>
      <c r="R473" s="457">
        <v>0</v>
      </c>
      <c r="S473" s="457">
        <v>0</v>
      </c>
      <c r="T473" s="410" t="e">
        <v>#DIV/0!</v>
      </c>
      <c r="U473" s="285">
        <v>0</v>
      </c>
      <c r="V473" s="285">
        <v>0</v>
      </c>
      <c r="W473" s="285">
        <v>0</v>
      </c>
      <c r="X473" s="285">
        <v>0</v>
      </c>
      <c r="Y473" s="285">
        <v>0</v>
      </c>
      <c r="Z473" s="285">
        <v>0</v>
      </c>
    </row>
    <row r="474" spans="1:27" x14ac:dyDescent="0.2">
      <c r="A474" s="404" t="s">
        <v>694</v>
      </c>
      <c r="B474" s="247">
        <v>0</v>
      </c>
      <c r="C474" s="247">
        <v>0</v>
      </c>
      <c r="D474" s="247">
        <v>0</v>
      </c>
      <c r="E474" s="247">
        <v>0</v>
      </c>
      <c r="F474" s="247">
        <v>0</v>
      </c>
      <c r="G474" s="247">
        <v>0</v>
      </c>
      <c r="H474" s="247">
        <v>0</v>
      </c>
      <c r="I474" s="247">
        <v>0</v>
      </c>
      <c r="J474" s="247">
        <v>0</v>
      </c>
      <c r="K474" s="247">
        <v>0</v>
      </c>
      <c r="L474" s="247">
        <v>0</v>
      </c>
      <c r="M474" s="247">
        <v>0</v>
      </c>
      <c r="N474" s="247">
        <v>0</v>
      </c>
      <c r="O474" s="247">
        <v>0</v>
      </c>
      <c r="P474" s="247">
        <v>0</v>
      </c>
      <c r="Q474" s="247">
        <v>0</v>
      </c>
      <c r="R474" s="247">
        <v>0</v>
      </c>
      <c r="S474" s="247">
        <v>0</v>
      </c>
      <c r="T474" s="407" t="e">
        <v>#DIV/0!</v>
      </c>
      <c r="U474" s="406">
        <v>0</v>
      </c>
      <c r="V474" s="406">
        <v>0</v>
      </c>
      <c r="W474" s="406">
        <v>0</v>
      </c>
      <c r="X474" s="406">
        <v>0</v>
      </c>
      <c r="Y474" s="406">
        <v>0</v>
      </c>
      <c r="Z474" s="406">
        <v>0</v>
      </c>
    </row>
    <row r="475" spans="1:27" x14ac:dyDescent="0.2">
      <c r="A475" s="425" t="s">
        <v>35</v>
      </c>
      <c r="B475" s="476">
        <v>104250000</v>
      </c>
      <c r="C475" s="476">
        <v>104250000</v>
      </c>
      <c r="D475" s="476">
        <v>104250000</v>
      </c>
      <c r="E475" s="476">
        <v>70606713.258999988</v>
      </c>
      <c r="F475" s="476">
        <v>70294130.858999997</v>
      </c>
      <c r="G475" s="476">
        <v>985188.02</v>
      </c>
      <c r="H475" s="476">
        <v>997291.91999999993</v>
      </c>
      <c r="I475" s="476">
        <v>22053543.699999996</v>
      </c>
      <c r="J475" s="476">
        <v>1025822.88</v>
      </c>
      <c r="K475" s="476">
        <v>974895.32</v>
      </c>
      <c r="L475" s="476">
        <v>20995566.375</v>
      </c>
      <c r="M475" s="476">
        <v>963796.19000000006</v>
      </c>
      <c r="N475" s="476">
        <v>869250.5</v>
      </c>
      <c r="O475" s="476">
        <v>21398415.954</v>
      </c>
      <c r="P475" s="476">
        <v>0</v>
      </c>
      <c r="Q475" s="476">
        <v>0</v>
      </c>
      <c r="R475" s="476">
        <v>0</v>
      </c>
      <c r="S475" s="476">
        <v>70263770.858999997</v>
      </c>
      <c r="T475" s="428">
        <v>0.67399300584172661</v>
      </c>
      <c r="U475" s="427">
        <v>33986229.141000003</v>
      </c>
      <c r="V475" s="427">
        <v>0</v>
      </c>
      <c r="W475" s="427">
        <v>33643286.741000012</v>
      </c>
      <c r="X475" s="427">
        <v>33643286.741000012</v>
      </c>
      <c r="Y475" s="427">
        <v>312582.39999999106</v>
      </c>
      <c r="Z475" s="427">
        <v>30360</v>
      </c>
    </row>
    <row r="476" spans="1:27" x14ac:dyDescent="0.2">
      <c r="A476" s="429" t="s">
        <v>72</v>
      </c>
      <c r="B476" s="477">
        <v>104250000</v>
      </c>
      <c r="C476" s="477">
        <v>104250000</v>
      </c>
      <c r="D476" s="477">
        <v>104250000</v>
      </c>
      <c r="E476" s="477">
        <v>70606713.258999988</v>
      </c>
      <c r="F476" s="477">
        <v>70294130.858999997</v>
      </c>
      <c r="G476" s="477">
        <v>985188.02</v>
      </c>
      <c r="H476" s="477">
        <v>997291.91999999993</v>
      </c>
      <c r="I476" s="477">
        <v>22053543.699999996</v>
      </c>
      <c r="J476" s="477">
        <v>1025822.88</v>
      </c>
      <c r="K476" s="477">
        <v>974895.32</v>
      </c>
      <c r="L476" s="477">
        <v>20995566.375</v>
      </c>
      <c r="M476" s="477">
        <v>963796.19000000006</v>
      </c>
      <c r="N476" s="477">
        <v>869250.5</v>
      </c>
      <c r="O476" s="477">
        <v>21398415.954</v>
      </c>
      <c r="P476" s="477">
        <v>0</v>
      </c>
      <c r="Q476" s="477">
        <v>0</v>
      </c>
      <c r="R476" s="477">
        <v>0</v>
      </c>
      <c r="S476" s="477">
        <v>70263770.858999997</v>
      </c>
      <c r="T476" s="432">
        <v>0.67399300584172661</v>
      </c>
      <c r="U476" s="431">
        <v>33986229.141000003</v>
      </c>
      <c r="V476" s="431">
        <v>0</v>
      </c>
      <c r="W476" s="431">
        <v>33643286.741000012</v>
      </c>
      <c r="X476" s="431">
        <v>33643286.741000012</v>
      </c>
      <c r="Y476" s="431">
        <v>312582.39999999106</v>
      </c>
      <c r="Z476" s="431">
        <v>30360</v>
      </c>
    </row>
    <row r="477" spans="1:27" x14ac:dyDescent="0.2">
      <c r="A477" s="429" t="s">
        <v>73</v>
      </c>
      <c r="B477" s="477">
        <v>104250000</v>
      </c>
      <c r="C477" s="477">
        <v>104250000</v>
      </c>
      <c r="D477" s="477">
        <v>104250000</v>
      </c>
      <c r="E477" s="477">
        <v>70606713.258999988</v>
      </c>
      <c r="F477" s="477">
        <v>70294130.858999997</v>
      </c>
      <c r="G477" s="477">
        <v>985188.02</v>
      </c>
      <c r="H477" s="477">
        <v>997291.91999999993</v>
      </c>
      <c r="I477" s="477">
        <v>22053543.699999996</v>
      </c>
      <c r="J477" s="477">
        <v>1025822.88</v>
      </c>
      <c r="K477" s="477">
        <v>974895.32</v>
      </c>
      <c r="L477" s="477">
        <v>20995566.375</v>
      </c>
      <c r="M477" s="477">
        <v>963796.19000000006</v>
      </c>
      <c r="N477" s="477">
        <v>869250.5</v>
      </c>
      <c r="O477" s="477">
        <v>21398415.954</v>
      </c>
      <c r="P477" s="477">
        <v>0</v>
      </c>
      <c r="Q477" s="477">
        <v>0</v>
      </c>
      <c r="R477" s="477">
        <v>0</v>
      </c>
      <c r="S477" s="477">
        <v>70263770.858999997</v>
      </c>
      <c r="T477" s="432">
        <v>0.67399300584172661</v>
      </c>
      <c r="U477" s="431">
        <v>33986229.141000003</v>
      </c>
      <c r="V477" s="431">
        <v>0</v>
      </c>
      <c r="W477" s="431">
        <v>33643286.741000012</v>
      </c>
      <c r="X477" s="431">
        <v>33643286.741000012</v>
      </c>
      <c r="Y477" s="431">
        <v>312582.39999999106</v>
      </c>
      <c r="Z477" s="431">
        <v>30360</v>
      </c>
    </row>
    <row r="478" spans="1:27" x14ac:dyDescent="0.2">
      <c r="A478" s="429" t="s">
        <v>74</v>
      </c>
      <c r="B478" s="477">
        <v>104250000</v>
      </c>
      <c r="C478" s="477">
        <v>104250000</v>
      </c>
      <c r="D478" s="477">
        <v>104250000</v>
      </c>
      <c r="E478" s="477">
        <v>70606713.258999988</v>
      </c>
      <c r="F478" s="477">
        <v>70294130.858999997</v>
      </c>
      <c r="G478" s="477">
        <v>985188.02</v>
      </c>
      <c r="H478" s="477">
        <v>997291.91999999993</v>
      </c>
      <c r="I478" s="477">
        <v>22053543.699999996</v>
      </c>
      <c r="J478" s="477">
        <v>1025822.88</v>
      </c>
      <c r="K478" s="477">
        <v>974895.32</v>
      </c>
      <c r="L478" s="477">
        <v>20995566.375</v>
      </c>
      <c r="M478" s="477">
        <v>963796.19000000006</v>
      </c>
      <c r="N478" s="477">
        <v>869250.5</v>
      </c>
      <c r="O478" s="477">
        <v>21398415.954</v>
      </c>
      <c r="P478" s="477">
        <v>0</v>
      </c>
      <c r="Q478" s="477">
        <v>0</v>
      </c>
      <c r="R478" s="477">
        <v>0</v>
      </c>
      <c r="S478" s="477">
        <v>70263770.858999997</v>
      </c>
      <c r="T478" s="432">
        <v>0.67399300584172661</v>
      </c>
      <c r="U478" s="431">
        <v>33986229.141000003</v>
      </c>
      <c r="V478" s="431">
        <v>0</v>
      </c>
      <c r="W478" s="431">
        <v>33643286.741000012</v>
      </c>
      <c r="X478" s="431">
        <v>33643286.741000012</v>
      </c>
      <c r="Y478" s="431">
        <v>312582.39999999106</v>
      </c>
      <c r="Z478" s="431">
        <v>30360</v>
      </c>
    </row>
    <row r="479" spans="1:27" x14ac:dyDescent="0.2">
      <c r="A479" s="478" t="s">
        <v>75</v>
      </c>
      <c r="B479" s="479">
        <v>0</v>
      </c>
      <c r="C479" s="479">
        <v>0</v>
      </c>
      <c r="D479" s="479"/>
      <c r="E479" s="479"/>
      <c r="F479" s="479"/>
      <c r="G479" s="479">
        <v>4846484.3599999994</v>
      </c>
      <c r="H479" s="479">
        <v>-997291.91999999993</v>
      </c>
      <c r="I479" s="479">
        <v>24398426.13000001</v>
      </c>
      <c r="J479" s="479">
        <v>-1024822.88</v>
      </c>
      <c r="K479" s="479">
        <v>-974895.32</v>
      </c>
      <c r="L479" s="479">
        <v>-20985104.375</v>
      </c>
      <c r="M479" s="479">
        <v>12428194.41</v>
      </c>
      <c r="N479" s="479">
        <v>-868530.5</v>
      </c>
      <c r="O479" s="479">
        <v>-21380495.193999998</v>
      </c>
      <c r="P479" s="479">
        <v>0</v>
      </c>
      <c r="Q479" s="479">
        <v>0</v>
      </c>
      <c r="R479" s="479">
        <v>0</v>
      </c>
      <c r="S479" s="479">
        <v>-4558035.2889999896</v>
      </c>
      <c r="T479" s="480" t="e">
        <v>#DIV/0!</v>
      </c>
      <c r="U479" s="481">
        <v>4558035.2889999896</v>
      </c>
      <c r="V479" s="481">
        <v>0</v>
      </c>
      <c r="W479" s="481">
        <v>0</v>
      </c>
      <c r="X479" s="481">
        <v>0</v>
      </c>
      <c r="Y479" s="481">
        <v>0</v>
      </c>
      <c r="Z479" s="481">
        <v>4558035.2889999896</v>
      </c>
    </row>
    <row r="480" spans="1:27" x14ac:dyDescent="0.2">
      <c r="A480" s="482" t="s">
        <v>76</v>
      </c>
      <c r="B480" s="479">
        <v>0</v>
      </c>
      <c r="C480" s="479">
        <v>0</v>
      </c>
      <c r="D480" s="479"/>
      <c r="E480" s="479"/>
      <c r="F480" s="479"/>
      <c r="G480" s="479">
        <v>4846484.3599999994</v>
      </c>
      <c r="H480" s="479">
        <v>-997291.91999999993</v>
      </c>
      <c r="I480" s="479">
        <v>24398426.13000001</v>
      </c>
      <c r="J480" s="479">
        <v>-1024822.88</v>
      </c>
      <c r="K480" s="479">
        <v>-974895.32</v>
      </c>
      <c r="L480" s="479">
        <v>-20985104.375</v>
      </c>
      <c r="M480" s="479">
        <v>12428194.41</v>
      </c>
      <c r="N480" s="479">
        <v>-868530.5</v>
      </c>
      <c r="O480" s="479">
        <v>-21380495.193999998</v>
      </c>
      <c r="P480" s="479">
        <v>0</v>
      </c>
      <c r="Q480" s="479">
        <v>0</v>
      </c>
      <c r="R480" s="479">
        <v>0</v>
      </c>
      <c r="S480" s="479">
        <v>-4558035.2889999896</v>
      </c>
      <c r="T480" s="480" t="e">
        <v>#DIV/0!</v>
      </c>
      <c r="U480" s="481">
        <v>4558035.2889999896</v>
      </c>
      <c r="V480" s="481">
        <v>0</v>
      </c>
      <c r="W480" s="481">
        <v>0</v>
      </c>
      <c r="X480" s="481">
        <v>0</v>
      </c>
      <c r="Y480" s="481">
        <v>0</v>
      </c>
      <c r="Z480" s="481">
        <v>4558035.2889999896</v>
      </c>
    </row>
    <row r="481" spans="1:26" x14ac:dyDescent="0.2">
      <c r="A481" s="482" t="s">
        <v>77</v>
      </c>
      <c r="B481" s="479">
        <v>0</v>
      </c>
      <c r="C481" s="479">
        <v>-5831672.3799999952</v>
      </c>
      <c r="D481" s="479"/>
      <c r="E481" s="479"/>
      <c r="F481" s="479"/>
      <c r="G481" s="479">
        <v>-985188.02</v>
      </c>
      <c r="H481" s="479">
        <v>-997291.91999999993</v>
      </c>
      <c r="I481" s="479">
        <v>24398426.13000001</v>
      </c>
      <c r="J481" s="479">
        <v>-1024822.88</v>
      </c>
      <c r="K481" s="479">
        <v>-974895.32</v>
      </c>
      <c r="L481" s="479">
        <v>-20985104.375</v>
      </c>
      <c r="M481" s="479">
        <v>12428194.41</v>
      </c>
      <c r="N481" s="479">
        <v>-868530.5</v>
      </c>
      <c r="O481" s="479">
        <v>-21380495.193999998</v>
      </c>
      <c r="P481" s="479">
        <v>0</v>
      </c>
      <c r="Q481" s="479">
        <v>0</v>
      </c>
      <c r="R481" s="479">
        <v>0</v>
      </c>
      <c r="S481" s="479">
        <v>-10389707.668999992</v>
      </c>
      <c r="T481" s="480">
        <v>1.7816000268862842</v>
      </c>
      <c r="U481" s="481">
        <v>4558035.2889999971</v>
      </c>
      <c r="V481" s="481">
        <v>-5831672.3799999952</v>
      </c>
      <c r="W481" s="481">
        <v>-5831672.3799999952</v>
      </c>
      <c r="X481" s="481">
        <v>0</v>
      </c>
      <c r="Y481" s="481">
        <v>0</v>
      </c>
      <c r="Z481" s="481">
        <v>10389707.668999992</v>
      </c>
    </row>
    <row r="482" spans="1:26" x14ac:dyDescent="0.2">
      <c r="A482" s="482" t="s">
        <v>78</v>
      </c>
      <c r="B482" s="479">
        <v>0</v>
      </c>
      <c r="C482" s="479">
        <v>-5831672.3799999952</v>
      </c>
      <c r="D482" s="479"/>
      <c r="E482" s="479"/>
      <c r="F482" s="479"/>
      <c r="G482" s="479">
        <v>-985188.02</v>
      </c>
      <c r="H482" s="479">
        <v>-997291.91999999993</v>
      </c>
      <c r="I482" s="479">
        <v>24398426.13000001</v>
      </c>
      <c r="J482" s="479">
        <v>-1024822.88</v>
      </c>
      <c r="K482" s="479">
        <v>-974895.32</v>
      </c>
      <c r="L482" s="479">
        <v>-20985104.375</v>
      </c>
      <c r="M482" s="479">
        <v>12428194.41</v>
      </c>
      <c r="N482" s="479">
        <v>-868530.5</v>
      </c>
      <c r="O482" s="479">
        <v>-21380495.193999998</v>
      </c>
      <c r="P482" s="479">
        <v>0</v>
      </c>
      <c r="Q482" s="479">
        <v>0</v>
      </c>
      <c r="R482" s="479">
        <v>0</v>
      </c>
      <c r="S482" s="479">
        <v>-10389707.668999992</v>
      </c>
      <c r="T482" s="480">
        <v>1.7816000268862842</v>
      </c>
      <c r="U482" s="481">
        <v>4558035.2889999971</v>
      </c>
      <c r="V482" s="481">
        <v>-5831672.3799999952</v>
      </c>
      <c r="W482" s="481">
        <v>-5831672.3799999952</v>
      </c>
      <c r="X482" s="481">
        <v>0</v>
      </c>
      <c r="Y482" s="481">
        <v>0</v>
      </c>
      <c r="Z482" s="481">
        <v>10389707.668999992</v>
      </c>
    </row>
  </sheetData>
  <sheetProtection formatCells="0" formatColumns="0" formatRows="0" autoFilter="0"/>
  <mergeCells count="43">
    <mergeCell ref="X175:X176"/>
    <mergeCell ref="Y175:Y176"/>
    <mergeCell ref="Z175:Z176"/>
    <mergeCell ref="P175:P176"/>
    <mergeCell ref="Q175:Q176"/>
    <mergeCell ref="R175:R176"/>
    <mergeCell ref="U175:U176"/>
    <mergeCell ref="V175:V176"/>
    <mergeCell ref="W175:W176"/>
    <mergeCell ref="O175:O176"/>
    <mergeCell ref="A175:A177"/>
    <mergeCell ref="B175:B176"/>
    <mergeCell ref="C175:C176"/>
    <mergeCell ref="G175:G176"/>
    <mergeCell ref="H175:H176"/>
    <mergeCell ref="I175:I176"/>
    <mergeCell ref="J175:J176"/>
    <mergeCell ref="K175:K176"/>
    <mergeCell ref="L175:L176"/>
    <mergeCell ref="M175:M176"/>
    <mergeCell ref="N175:N176"/>
    <mergeCell ref="A174:Z174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U7:U8"/>
    <mergeCell ref="V7:V8"/>
    <mergeCell ref="A2:Z2"/>
    <mergeCell ref="A3:Z3"/>
    <mergeCell ref="A4:Z4"/>
    <mergeCell ref="A6:Z6"/>
    <mergeCell ref="A7:A9"/>
    <mergeCell ref="B7:B8"/>
    <mergeCell ref="C7:C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2B83-8FAF-4DB4-B94E-8E36175A98CF}">
  <dimension ref="A1:AA484"/>
  <sheetViews>
    <sheetView topLeftCell="I1" zoomScale="90" zoomScaleNormal="90" workbookViewId="0">
      <pane ySplit="9" topLeftCell="A460" activePane="bottomLeft" state="frozen"/>
      <selection activeCell="L1" sqref="L1"/>
      <selection pane="bottomLeft" activeCell="E498" sqref="E498"/>
    </sheetView>
  </sheetViews>
  <sheetFormatPr defaultColWidth="8.7109375" defaultRowHeight="12" x14ac:dyDescent="0.2"/>
  <cols>
    <col min="1" max="1" width="51.85546875" style="447" customWidth="1"/>
    <col min="2" max="2" width="16.140625" style="447" customWidth="1"/>
    <col min="3" max="3" width="16" style="447" customWidth="1"/>
    <col min="4" max="4" width="18.7109375" style="447" customWidth="1"/>
    <col min="5" max="5" width="15.140625" style="447" customWidth="1"/>
    <col min="6" max="6" width="15.42578125" style="447" customWidth="1"/>
    <col min="7" max="7" width="12.140625" style="447" customWidth="1"/>
    <col min="8" max="8" width="13.140625" style="447" customWidth="1"/>
    <col min="9" max="10" width="12.85546875" style="447" customWidth="1"/>
    <col min="11" max="11" width="12.5703125" style="447" customWidth="1"/>
    <col min="12" max="12" width="12.85546875" style="447" customWidth="1"/>
    <col min="13" max="13" width="12.7109375" style="447" customWidth="1"/>
    <col min="14" max="14" width="11.7109375" style="447" customWidth="1"/>
    <col min="15" max="15" width="12.5703125" style="447" customWidth="1"/>
    <col min="16" max="16" width="12.28515625" style="447" customWidth="1"/>
    <col min="17" max="17" width="11.42578125" style="447" customWidth="1"/>
    <col min="18" max="18" width="12.140625" style="447" customWidth="1"/>
    <col min="19" max="19" width="13" style="447" customWidth="1"/>
    <col min="20" max="20" width="16.85546875" style="447" bestFit="1" customWidth="1"/>
    <col min="21" max="21" width="16.42578125" style="447" bestFit="1" customWidth="1"/>
    <col min="22" max="22" width="18.42578125" style="447" customWidth="1"/>
    <col min="23" max="23" width="15.85546875" style="447" customWidth="1"/>
    <col min="24" max="24" width="14.85546875" style="447" customWidth="1"/>
    <col min="25" max="25" width="13" style="447" customWidth="1"/>
    <col min="26" max="26" width="13.85546875" style="447" customWidth="1"/>
    <col min="27" max="16384" width="8.7109375" style="447"/>
  </cols>
  <sheetData>
    <row r="1" spans="1:26" s="433" customFormat="1" ht="15" x14ac:dyDescent="0.2">
      <c r="A1" s="14"/>
      <c r="B1" s="14"/>
      <c r="C1" s="6"/>
    </row>
    <row r="2" spans="1:26" s="433" customFormat="1" ht="15" x14ac:dyDescent="0.2">
      <c r="A2" s="546" t="s">
        <v>0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</row>
    <row r="3" spans="1:26" s="433" customFormat="1" ht="15" x14ac:dyDescent="0.2">
      <c r="A3" s="546" t="s">
        <v>1067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</row>
    <row r="4" spans="1:26" s="433" customFormat="1" ht="15" x14ac:dyDescent="0.2">
      <c r="A4" s="547">
        <v>2026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</row>
    <row r="5" spans="1:26" s="263" customFormat="1" x14ac:dyDescent="0.2">
      <c r="A5" s="4"/>
      <c r="B5" s="6"/>
      <c r="C5" s="703"/>
      <c r="D5" s="434"/>
      <c r="S5" s="703"/>
      <c r="T5" s="703"/>
      <c r="U5" s="703"/>
      <c r="V5" s="703"/>
      <c r="W5" s="703"/>
      <c r="X5" s="7"/>
      <c r="Y5" s="7"/>
      <c r="Z5" s="7" t="s">
        <v>1</v>
      </c>
    </row>
    <row r="6" spans="1:26" s="263" customFormat="1" x14ac:dyDescent="0.2">
      <c r="A6" s="548" t="s">
        <v>25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</row>
    <row r="7" spans="1:26" s="263" customFormat="1" x14ac:dyDescent="0.2">
      <c r="A7" s="549" t="s">
        <v>145</v>
      </c>
      <c r="B7" s="549" t="s">
        <v>2</v>
      </c>
      <c r="C7" s="549" t="s">
        <v>3</v>
      </c>
      <c r="D7" s="435" t="s">
        <v>4</v>
      </c>
      <c r="E7" s="436"/>
      <c r="F7" s="436"/>
      <c r="G7" s="550" t="s">
        <v>5</v>
      </c>
      <c r="H7" s="550" t="s">
        <v>6</v>
      </c>
      <c r="I7" s="550" t="s">
        <v>7</v>
      </c>
      <c r="J7" s="550" t="s">
        <v>8</v>
      </c>
      <c r="K7" s="550" t="s">
        <v>9</v>
      </c>
      <c r="L7" s="550" t="s">
        <v>10</v>
      </c>
      <c r="M7" s="550" t="s">
        <v>11</v>
      </c>
      <c r="N7" s="550" t="s">
        <v>12</v>
      </c>
      <c r="O7" s="550" t="s">
        <v>13</v>
      </c>
      <c r="P7" s="550" t="s">
        <v>14</v>
      </c>
      <c r="Q7" s="550" t="s">
        <v>15</v>
      </c>
      <c r="R7" s="550" t="s">
        <v>16</v>
      </c>
      <c r="S7" s="435" t="s">
        <v>17</v>
      </c>
      <c r="T7" s="435" t="s">
        <v>18</v>
      </c>
      <c r="U7" s="550" t="s">
        <v>19</v>
      </c>
      <c r="V7" s="550" t="s">
        <v>48</v>
      </c>
      <c r="W7" s="436"/>
      <c r="X7" s="436"/>
      <c r="Y7" s="436"/>
      <c r="Z7" s="436"/>
    </row>
    <row r="8" spans="1:26" s="263" customFormat="1" ht="24" x14ac:dyDescent="0.2">
      <c r="A8" s="549"/>
      <c r="B8" s="549"/>
      <c r="C8" s="549"/>
      <c r="D8" s="437" t="s">
        <v>1426</v>
      </c>
      <c r="E8" s="438"/>
      <c r="F8" s="438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437" t="s">
        <v>1426</v>
      </c>
      <c r="T8" s="437" t="s">
        <v>1426</v>
      </c>
      <c r="U8" s="550"/>
      <c r="V8" s="550"/>
      <c r="W8" s="438"/>
      <c r="X8" s="438"/>
      <c r="Y8" s="438"/>
      <c r="Z8" s="438"/>
    </row>
    <row r="9" spans="1:26" s="263" customFormat="1" x14ac:dyDescent="0.2">
      <c r="A9" s="549"/>
      <c r="B9" s="439" t="s">
        <v>20</v>
      </c>
      <c r="C9" s="439" t="s">
        <v>21</v>
      </c>
      <c r="D9" s="439" t="s">
        <v>22</v>
      </c>
      <c r="E9" s="440"/>
      <c r="F9" s="440"/>
      <c r="G9" s="439" t="s">
        <v>23</v>
      </c>
      <c r="H9" s="439" t="s">
        <v>23</v>
      </c>
      <c r="I9" s="439" t="s">
        <v>23</v>
      </c>
      <c r="J9" s="439" t="s">
        <v>23</v>
      </c>
      <c r="K9" s="439" t="s">
        <v>23</v>
      </c>
      <c r="L9" s="439" t="s">
        <v>23</v>
      </c>
      <c r="M9" s="439" t="s">
        <v>23</v>
      </c>
      <c r="N9" s="439" t="s">
        <v>23</v>
      </c>
      <c r="O9" s="439" t="s">
        <v>23</v>
      </c>
      <c r="P9" s="439" t="s">
        <v>23</v>
      </c>
      <c r="Q9" s="439" t="s">
        <v>23</v>
      </c>
      <c r="R9" s="439" t="s">
        <v>23</v>
      </c>
      <c r="S9" s="439" t="s">
        <v>49</v>
      </c>
      <c r="T9" s="439" t="s">
        <v>50</v>
      </c>
      <c r="U9" s="439" t="s">
        <v>51</v>
      </c>
      <c r="V9" s="439" t="s">
        <v>52</v>
      </c>
      <c r="W9" s="440"/>
      <c r="X9" s="440"/>
      <c r="Y9" s="440"/>
      <c r="Z9" s="440"/>
    </row>
    <row r="10" spans="1:26" x14ac:dyDescent="0.2">
      <c r="A10" s="441" t="s">
        <v>250</v>
      </c>
      <c r="B10" s="442">
        <v>46250305</v>
      </c>
      <c r="C10" s="442">
        <v>46250305</v>
      </c>
      <c r="D10" s="442">
        <v>20280986.739999998</v>
      </c>
      <c r="E10" s="443"/>
      <c r="F10" s="443"/>
      <c r="G10" s="442">
        <v>9996406.4420000017</v>
      </c>
      <c r="H10" s="442">
        <v>2352300.9699999988</v>
      </c>
      <c r="I10" s="442">
        <v>2791147.1380000003</v>
      </c>
      <c r="J10" s="442">
        <v>2330184.6249999995</v>
      </c>
      <c r="K10" s="442">
        <v>5459769.256000001</v>
      </c>
      <c r="L10" s="442">
        <v>5227143.193</v>
      </c>
      <c r="M10" s="442">
        <v>3084062.4339999999</v>
      </c>
      <c r="N10" s="442">
        <v>5761373.176</v>
      </c>
      <c r="O10" s="442">
        <v>6384373.1560000004</v>
      </c>
      <c r="P10" s="442">
        <v>0</v>
      </c>
      <c r="Q10" s="442">
        <v>0</v>
      </c>
      <c r="R10" s="442">
        <v>0</v>
      </c>
      <c r="S10" s="442">
        <v>43386760.390000008</v>
      </c>
      <c r="T10" s="444">
        <v>0.93808593024413589</v>
      </c>
      <c r="U10" s="445">
        <v>2863544.609999992</v>
      </c>
      <c r="V10" s="445">
        <v>-23105773.65000001</v>
      </c>
      <c r="W10" s="446"/>
      <c r="X10" s="446"/>
      <c r="Y10" s="446"/>
      <c r="Z10" s="446"/>
    </row>
    <row r="11" spans="1:26" x14ac:dyDescent="0.2">
      <c r="A11" s="404" t="s">
        <v>251</v>
      </c>
      <c r="B11" s="448">
        <v>0</v>
      </c>
      <c r="C11" s="448">
        <v>0</v>
      </c>
      <c r="D11" s="448">
        <v>0</v>
      </c>
      <c r="E11" s="443"/>
      <c r="F11" s="443"/>
      <c r="G11" s="448">
        <v>0</v>
      </c>
      <c r="H11" s="448">
        <v>0</v>
      </c>
      <c r="I11" s="448">
        <v>0</v>
      </c>
      <c r="J11" s="448">
        <v>0</v>
      </c>
      <c r="K11" s="448">
        <v>0</v>
      </c>
      <c r="L11" s="448">
        <v>0</v>
      </c>
      <c r="M11" s="448">
        <v>0</v>
      </c>
      <c r="N11" s="448">
        <v>0</v>
      </c>
      <c r="O11" s="448">
        <v>0</v>
      </c>
      <c r="P11" s="448">
        <v>0</v>
      </c>
      <c r="Q11" s="448">
        <v>0</v>
      </c>
      <c r="R11" s="448">
        <v>0</v>
      </c>
      <c r="S11" s="448">
        <v>0</v>
      </c>
      <c r="T11" s="407" t="e">
        <v>#DIV/0!</v>
      </c>
      <c r="U11" s="449">
        <v>0</v>
      </c>
      <c r="V11" s="449">
        <v>0</v>
      </c>
      <c r="W11" s="446"/>
      <c r="X11" s="446"/>
      <c r="Y11" s="446"/>
      <c r="Z11" s="446"/>
    </row>
    <row r="12" spans="1:26" x14ac:dyDescent="0.2">
      <c r="A12" s="409" t="s">
        <v>252</v>
      </c>
      <c r="B12" s="292">
        <v>0</v>
      </c>
      <c r="C12" s="292">
        <v>0</v>
      </c>
      <c r="D12" s="292">
        <v>0</v>
      </c>
      <c r="E12" s="446"/>
      <c r="F12" s="446"/>
      <c r="G12" s="292">
        <v>0</v>
      </c>
      <c r="H12" s="292">
        <v>0</v>
      </c>
      <c r="I12" s="292">
        <v>0</v>
      </c>
      <c r="J12" s="292">
        <v>0</v>
      </c>
      <c r="K12" s="292">
        <v>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  <c r="Q12" s="292">
        <v>0</v>
      </c>
      <c r="R12" s="292">
        <v>0</v>
      </c>
      <c r="S12" s="292">
        <v>0</v>
      </c>
      <c r="T12" s="410" t="e">
        <v>#DIV/0!</v>
      </c>
      <c r="U12" s="450">
        <v>0</v>
      </c>
      <c r="V12" s="450">
        <v>0</v>
      </c>
      <c r="W12" s="446"/>
      <c r="X12" s="446"/>
      <c r="Y12" s="446"/>
      <c r="Z12" s="446"/>
    </row>
    <row r="13" spans="1:26" x14ac:dyDescent="0.2">
      <c r="A13" s="409" t="s">
        <v>253</v>
      </c>
      <c r="B13" s="292">
        <v>0</v>
      </c>
      <c r="C13" s="292">
        <v>0</v>
      </c>
      <c r="D13" s="292">
        <v>0</v>
      </c>
      <c r="E13" s="446"/>
      <c r="F13" s="446"/>
      <c r="G13" s="292">
        <v>0</v>
      </c>
      <c r="H13" s="292">
        <v>0</v>
      </c>
      <c r="I13" s="292">
        <v>0</v>
      </c>
      <c r="J13" s="292">
        <v>0</v>
      </c>
      <c r="K13" s="292">
        <v>0</v>
      </c>
      <c r="L13" s="292">
        <v>0</v>
      </c>
      <c r="M13" s="292">
        <v>0</v>
      </c>
      <c r="N13" s="292">
        <v>0</v>
      </c>
      <c r="O13" s="292">
        <v>0</v>
      </c>
      <c r="P13" s="292">
        <v>0</v>
      </c>
      <c r="Q13" s="292">
        <v>0</v>
      </c>
      <c r="R13" s="292">
        <v>0</v>
      </c>
      <c r="S13" s="292">
        <v>0</v>
      </c>
      <c r="T13" s="410" t="e">
        <v>#DIV/0!</v>
      </c>
      <c r="U13" s="450">
        <v>0</v>
      </c>
      <c r="V13" s="450">
        <v>0</v>
      </c>
      <c r="W13" s="446"/>
      <c r="X13" s="446"/>
      <c r="Y13" s="446"/>
      <c r="Z13" s="446"/>
    </row>
    <row r="14" spans="1:26" x14ac:dyDescent="0.2">
      <c r="A14" s="409" t="s">
        <v>254</v>
      </c>
      <c r="B14" s="292">
        <v>0</v>
      </c>
      <c r="C14" s="292">
        <v>0</v>
      </c>
      <c r="D14" s="292">
        <v>0</v>
      </c>
      <c r="E14" s="446"/>
      <c r="F14" s="446"/>
      <c r="G14" s="292">
        <v>0</v>
      </c>
      <c r="H14" s="292">
        <v>0</v>
      </c>
      <c r="I14" s="292">
        <v>0</v>
      </c>
      <c r="J14" s="292">
        <v>0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  <c r="Q14" s="292">
        <v>0</v>
      </c>
      <c r="R14" s="292">
        <v>0</v>
      </c>
      <c r="S14" s="292">
        <v>0</v>
      </c>
      <c r="T14" s="410" t="e">
        <v>#DIV/0!</v>
      </c>
      <c r="U14" s="450">
        <v>0</v>
      </c>
      <c r="V14" s="450">
        <v>0</v>
      </c>
      <c r="W14" s="446"/>
      <c r="X14" s="446"/>
      <c r="Y14" s="446"/>
      <c r="Z14" s="446"/>
    </row>
    <row r="15" spans="1:26" x14ac:dyDescent="0.2">
      <c r="A15" s="409" t="s">
        <v>255</v>
      </c>
      <c r="B15" s="292">
        <v>0</v>
      </c>
      <c r="C15" s="292">
        <v>0</v>
      </c>
      <c r="D15" s="292">
        <v>0</v>
      </c>
      <c r="E15" s="446"/>
      <c r="F15" s="446"/>
      <c r="G15" s="292">
        <v>0</v>
      </c>
      <c r="H15" s="292">
        <v>0</v>
      </c>
      <c r="I15" s="292">
        <v>0</v>
      </c>
      <c r="J15" s="292">
        <v>0</v>
      </c>
      <c r="K15" s="292">
        <v>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410" t="e">
        <v>#DIV/0!</v>
      </c>
      <c r="U15" s="450">
        <v>0</v>
      </c>
      <c r="V15" s="450">
        <v>0</v>
      </c>
      <c r="W15" s="446"/>
      <c r="X15" s="446"/>
      <c r="Y15" s="446"/>
      <c r="Z15" s="446"/>
    </row>
    <row r="16" spans="1:26" x14ac:dyDescent="0.2">
      <c r="A16" s="409" t="s">
        <v>256</v>
      </c>
      <c r="B16" s="292">
        <v>0</v>
      </c>
      <c r="C16" s="292">
        <v>0</v>
      </c>
      <c r="D16" s="292">
        <v>0</v>
      </c>
      <c r="E16" s="446"/>
      <c r="F16" s="446"/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410" t="e">
        <v>#DIV/0!</v>
      </c>
      <c r="U16" s="450">
        <v>0</v>
      </c>
      <c r="V16" s="450">
        <v>0</v>
      </c>
      <c r="W16" s="446"/>
      <c r="X16" s="446"/>
      <c r="Y16" s="446"/>
      <c r="Z16" s="446"/>
    </row>
    <row r="17" spans="1:26" x14ac:dyDescent="0.2">
      <c r="A17" s="409" t="s">
        <v>257</v>
      </c>
      <c r="B17" s="292">
        <v>0</v>
      </c>
      <c r="C17" s="292">
        <v>0</v>
      </c>
      <c r="D17" s="292">
        <v>0</v>
      </c>
      <c r="E17" s="446"/>
      <c r="F17" s="446"/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410" t="e">
        <v>#DIV/0!</v>
      </c>
      <c r="U17" s="450">
        <v>0</v>
      </c>
      <c r="V17" s="450">
        <v>0</v>
      </c>
      <c r="W17" s="446"/>
      <c r="X17" s="446"/>
      <c r="Y17" s="446"/>
      <c r="Z17" s="446"/>
    </row>
    <row r="18" spans="1:26" x14ac:dyDescent="0.2">
      <c r="A18" s="409" t="s">
        <v>258</v>
      </c>
      <c r="B18" s="292">
        <v>0</v>
      </c>
      <c r="C18" s="292">
        <v>0</v>
      </c>
      <c r="D18" s="292">
        <v>0</v>
      </c>
      <c r="E18" s="446"/>
      <c r="F18" s="446"/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410" t="e">
        <v>#DIV/0!</v>
      </c>
      <c r="U18" s="450">
        <v>0</v>
      </c>
      <c r="V18" s="450">
        <v>0</v>
      </c>
      <c r="W18" s="446"/>
      <c r="X18" s="446"/>
      <c r="Y18" s="446"/>
      <c r="Z18" s="446"/>
    </row>
    <row r="19" spans="1:26" x14ac:dyDescent="0.2">
      <c r="A19" s="409" t="s">
        <v>259</v>
      </c>
      <c r="B19" s="292">
        <v>0</v>
      </c>
      <c r="C19" s="292">
        <v>0</v>
      </c>
      <c r="D19" s="292">
        <v>0</v>
      </c>
      <c r="E19" s="446"/>
      <c r="F19" s="446"/>
      <c r="G19" s="292">
        <v>0</v>
      </c>
      <c r="H19" s="292">
        <v>0</v>
      </c>
      <c r="I19" s="292">
        <v>0</v>
      </c>
      <c r="J19" s="292">
        <v>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0</v>
      </c>
      <c r="S19" s="292">
        <v>0</v>
      </c>
      <c r="T19" s="410" t="e">
        <v>#DIV/0!</v>
      </c>
      <c r="U19" s="450">
        <v>0</v>
      </c>
      <c r="V19" s="450">
        <v>0</v>
      </c>
      <c r="W19" s="446"/>
      <c r="X19" s="446"/>
      <c r="Y19" s="446"/>
      <c r="Z19" s="446"/>
    </row>
    <row r="20" spans="1:26" x14ac:dyDescent="0.2">
      <c r="A20" s="409" t="s">
        <v>260</v>
      </c>
      <c r="B20" s="292">
        <v>0</v>
      </c>
      <c r="C20" s="292">
        <v>0</v>
      </c>
      <c r="D20" s="292">
        <v>0</v>
      </c>
      <c r="E20" s="446"/>
      <c r="F20" s="446"/>
      <c r="G20" s="292">
        <v>0</v>
      </c>
      <c r="H20" s="292">
        <v>0</v>
      </c>
      <c r="I20" s="292">
        <v>0</v>
      </c>
      <c r="J20" s="292">
        <v>0</v>
      </c>
      <c r="K20" s="292">
        <v>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410" t="e">
        <v>#DIV/0!</v>
      </c>
      <c r="U20" s="450">
        <v>0</v>
      </c>
      <c r="V20" s="450">
        <v>0</v>
      </c>
      <c r="W20" s="446"/>
      <c r="X20" s="446"/>
      <c r="Y20" s="446"/>
      <c r="Z20" s="446"/>
    </row>
    <row r="21" spans="1:26" x14ac:dyDescent="0.2">
      <c r="A21" s="409" t="s">
        <v>261</v>
      </c>
      <c r="B21" s="292">
        <v>0</v>
      </c>
      <c r="C21" s="292">
        <v>0</v>
      </c>
      <c r="D21" s="292">
        <v>0</v>
      </c>
      <c r="E21" s="446"/>
      <c r="F21" s="446"/>
      <c r="G21" s="292">
        <v>0</v>
      </c>
      <c r="H21" s="292">
        <v>0</v>
      </c>
      <c r="I21" s="292">
        <v>0</v>
      </c>
      <c r="J21" s="292">
        <v>0</v>
      </c>
      <c r="K21" s="292">
        <v>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410" t="e">
        <v>#DIV/0!</v>
      </c>
      <c r="U21" s="450">
        <v>0</v>
      </c>
      <c r="V21" s="450">
        <v>0</v>
      </c>
      <c r="W21" s="446"/>
      <c r="X21" s="446"/>
      <c r="Y21" s="446"/>
      <c r="Z21" s="446"/>
    </row>
    <row r="22" spans="1:26" x14ac:dyDescent="0.2">
      <c r="A22" s="409" t="s">
        <v>262</v>
      </c>
      <c r="B22" s="292">
        <v>0</v>
      </c>
      <c r="C22" s="292">
        <v>0</v>
      </c>
      <c r="D22" s="292">
        <v>0</v>
      </c>
      <c r="E22" s="446"/>
      <c r="F22" s="446"/>
      <c r="G22" s="292">
        <v>0</v>
      </c>
      <c r="H22" s="292">
        <v>0</v>
      </c>
      <c r="I22" s="292">
        <v>0</v>
      </c>
      <c r="J22" s="292">
        <v>0</v>
      </c>
      <c r="K22" s="292">
        <v>0</v>
      </c>
      <c r="L22" s="292">
        <v>0</v>
      </c>
      <c r="M22" s="292">
        <v>0</v>
      </c>
      <c r="N22" s="292">
        <v>0</v>
      </c>
      <c r="O22" s="292">
        <v>0</v>
      </c>
      <c r="P22" s="292">
        <v>0</v>
      </c>
      <c r="Q22" s="292">
        <v>0</v>
      </c>
      <c r="R22" s="292">
        <v>0</v>
      </c>
      <c r="S22" s="292">
        <v>0</v>
      </c>
      <c r="T22" s="410" t="e">
        <v>#DIV/0!</v>
      </c>
      <c r="U22" s="450">
        <v>0</v>
      </c>
      <c r="V22" s="450">
        <v>0</v>
      </c>
      <c r="W22" s="446"/>
      <c r="X22" s="446"/>
      <c r="Y22" s="446"/>
      <c r="Z22" s="446"/>
    </row>
    <row r="23" spans="1:26" s="453" customFormat="1" x14ac:dyDescent="0.2">
      <c r="A23" s="404" t="s">
        <v>263</v>
      </c>
      <c r="B23" s="451">
        <v>0</v>
      </c>
      <c r="C23" s="451">
        <v>0</v>
      </c>
      <c r="D23" s="451">
        <v>0</v>
      </c>
      <c r="E23" s="452"/>
      <c r="F23" s="452"/>
      <c r="G23" s="451">
        <v>0</v>
      </c>
      <c r="H23" s="451">
        <v>0</v>
      </c>
      <c r="I23" s="451">
        <v>0</v>
      </c>
      <c r="J23" s="451">
        <v>0</v>
      </c>
      <c r="K23" s="451">
        <v>0</v>
      </c>
      <c r="L23" s="451">
        <v>0</v>
      </c>
      <c r="M23" s="451">
        <v>0</v>
      </c>
      <c r="N23" s="451">
        <v>0</v>
      </c>
      <c r="O23" s="451">
        <v>0</v>
      </c>
      <c r="P23" s="451">
        <v>0</v>
      </c>
      <c r="Q23" s="451">
        <v>0</v>
      </c>
      <c r="R23" s="451">
        <v>0</v>
      </c>
      <c r="S23" s="451">
        <v>0</v>
      </c>
      <c r="T23" s="407" t="e">
        <v>#DIV/0!</v>
      </c>
      <c r="U23" s="449">
        <v>0</v>
      </c>
      <c r="V23" s="449">
        <v>0</v>
      </c>
      <c r="W23" s="452"/>
      <c r="X23" s="452"/>
      <c r="Y23" s="452"/>
      <c r="Z23" s="452"/>
    </row>
    <row r="24" spans="1:26" x14ac:dyDescent="0.2">
      <c r="A24" s="404" t="s">
        <v>264</v>
      </c>
      <c r="B24" s="448">
        <v>46250305</v>
      </c>
      <c r="C24" s="448">
        <v>46250305</v>
      </c>
      <c r="D24" s="448">
        <v>20280986.739999998</v>
      </c>
      <c r="E24" s="443"/>
      <c r="F24" s="443"/>
      <c r="G24" s="448">
        <v>9996406.4420000017</v>
      </c>
      <c r="H24" s="448">
        <v>2352300.9699999988</v>
      </c>
      <c r="I24" s="448">
        <v>2791147.1380000003</v>
      </c>
      <c r="J24" s="448">
        <v>2330184.6249999995</v>
      </c>
      <c r="K24" s="448">
        <v>5459769.256000001</v>
      </c>
      <c r="L24" s="448">
        <v>5227143.193</v>
      </c>
      <c r="M24" s="448">
        <v>3084062.4339999999</v>
      </c>
      <c r="N24" s="448">
        <v>5761373.176</v>
      </c>
      <c r="O24" s="448">
        <v>6384373.1560000004</v>
      </c>
      <c r="P24" s="448">
        <v>0</v>
      </c>
      <c r="Q24" s="448">
        <v>0</v>
      </c>
      <c r="R24" s="448">
        <v>0</v>
      </c>
      <c r="S24" s="448">
        <v>43386760.390000008</v>
      </c>
      <c r="T24" s="407">
        <v>0.93808593024413589</v>
      </c>
      <c r="U24" s="449">
        <v>2863544.609999992</v>
      </c>
      <c r="V24" s="449">
        <v>-23105773.65000001</v>
      </c>
      <c r="W24" s="446"/>
      <c r="X24" s="446"/>
      <c r="Y24" s="446"/>
      <c r="Z24" s="446"/>
    </row>
    <row r="25" spans="1:26" ht="24" x14ac:dyDescent="0.2">
      <c r="A25" s="409" t="s">
        <v>265</v>
      </c>
      <c r="B25" s="292">
        <v>20018983</v>
      </c>
      <c r="C25" s="292">
        <v>20018983</v>
      </c>
      <c r="D25" s="292">
        <v>10568282.039999999</v>
      </c>
      <c r="E25" s="446"/>
      <c r="F25" s="446"/>
      <c r="G25" s="292">
        <v>6003303.6659999955</v>
      </c>
      <c r="H25" s="292">
        <v>405564.31999999983</v>
      </c>
      <c r="I25" s="292">
        <v>933788.92</v>
      </c>
      <c r="J25" s="292">
        <v>0</v>
      </c>
      <c r="K25" s="292">
        <v>3225625.1300000004</v>
      </c>
      <c r="L25" s="292">
        <v>3865098.58</v>
      </c>
      <c r="M25" s="292">
        <v>971008.89600000018</v>
      </c>
      <c r="N25" s="292">
        <v>2821472.142</v>
      </c>
      <c r="O25" s="292">
        <v>4389453.9060000004</v>
      </c>
      <c r="P25" s="292">
        <v>0</v>
      </c>
      <c r="Q25" s="292">
        <v>0</v>
      </c>
      <c r="R25" s="292">
        <v>0</v>
      </c>
      <c r="S25" s="292">
        <v>22615315.559999995</v>
      </c>
      <c r="T25" s="410">
        <v>1.1296935293865824</v>
      </c>
      <c r="U25" s="450">
        <v>-2596332.5599999949</v>
      </c>
      <c r="V25" s="450">
        <v>-12047033.519999996</v>
      </c>
      <c r="W25" s="446"/>
      <c r="X25" s="446"/>
      <c r="Y25" s="446"/>
      <c r="Z25" s="446"/>
    </row>
    <row r="26" spans="1:26" ht="24" x14ac:dyDescent="0.2">
      <c r="A26" s="409" t="s">
        <v>266</v>
      </c>
      <c r="B26" s="292">
        <v>7431800</v>
      </c>
      <c r="C26" s="292">
        <v>7431800</v>
      </c>
      <c r="D26" s="292">
        <v>2382975.9</v>
      </c>
      <c r="E26" s="446"/>
      <c r="F26" s="446"/>
      <c r="G26" s="292">
        <v>719298.94800000032</v>
      </c>
      <c r="H26" s="292">
        <v>998231.76599999913</v>
      </c>
      <c r="I26" s="292">
        <v>734731.42399999988</v>
      </c>
      <c r="J26" s="292">
        <v>868097.40100000007</v>
      </c>
      <c r="K26" s="292">
        <v>693489.39200000023</v>
      </c>
      <c r="L26" s="292">
        <v>654741.49980000034</v>
      </c>
      <c r="M26" s="292">
        <v>668914.09799999977</v>
      </c>
      <c r="N26" s="292">
        <v>879018.44599999953</v>
      </c>
      <c r="O26" s="292">
        <v>665906.15599999996</v>
      </c>
      <c r="P26" s="292">
        <v>0</v>
      </c>
      <c r="Q26" s="292">
        <v>0</v>
      </c>
      <c r="R26" s="292">
        <v>0</v>
      </c>
      <c r="S26" s="292">
        <v>6882429.1307999995</v>
      </c>
      <c r="T26" s="410">
        <v>0.92607835662961857</v>
      </c>
      <c r="U26" s="450">
        <v>549370.86920000054</v>
      </c>
      <c r="V26" s="450">
        <v>-4499453.2307999991</v>
      </c>
      <c r="W26" s="446"/>
      <c r="X26" s="446"/>
      <c r="Y26" s="446"/>
      <c r="Z26" s="446"/>
    </row>
    <row r="27" spans="1:26" x14ac:dyDescent="0.2">
      <c r="A27" s="409" t="s">
        <v>267</v>
      </c>
      <c r="B27" s="292">
        <v>13912824</v>
      </c>
      <c r="C27" s="292">
        <v>13912824</v>
      </c>
      <c r="D27" s="292">
        <v>5642663.6699999999</v>
      </c>
      <c r="E27" s="446"/>
      <c r="F27" s="446"/>
      <c r="G27" s="292">
        <v>2794140.3340000049</v>
      </c>
      <c r="H27" s="292">
        <v>270321.20000000007</v>
      </c>
      <c r="I27" s="292">
        <v>623737.80000000005</v>
      </c>
      <c r="J27" s="292">
        <v>885721.2019999997</v>
      </c>
      <c r="K27" s="292">
        <v>1068743.1299999997</v>
      </c>
      <c r="L27" s="292">
        <v>266961.63</v>
      </c>
      <c r="M27" s="292">
        <v>997965.18799999985</v>
      </c>
      <c r="N27" s="292">
        <v>1471908.4880000001</v>
      </c>
      <c r="O27" s="292">
        <v>885076.10000000009</v>
      </c>
      <c r="P27" s="292">
        <v>0</v>
      </c>
      <c r="Q27" s="292">
        <v>0</v>
      </c>
      <c r="R27" s="292">
        <v>0</v>
      </c>
      <c r="S27" s="292">
        <v>9264575.0720000044</v>
      </c>
      <c r="T27" s="410">
        <v>0.66590183790149315</v>
      </c>
      <c r="U27" s="450">
        <v>4648248.9279999956</v>
      </c>
      <c r="V27" s="450">
        <v>-3621911.4020000044</v>
      </c>
      <c r="W27" s="446"/>
      <c r="X27" s="446"/>
      <c r="Y27" s="446"/>
      <c r="Z27" s="446"/>
    </row>
    <row r="28" spans="1:26" x14ac:dyDescent="0.2">
      <c r="A28" s="409" t="s">
        <v>268</v>
      </c>
      <c r="B28" s="292">
        <v>4886698</v>
      </c>
      <c r="C28" s="292">
        <v>4886698</v>
      </c>
      <c r="D28" s="292">
        <v>1687065.13</v>
      </c>
      <c r="E28" s="446"/>
      <c r="F28" s="446"/>
      <c r="G28" s="292">
        <v>479663.49400000001</v>
      </c>
      <c r="H28" s="292">
        <v>678183.68400000012</v>
      </c>
      <c r="I28" s="292">
        <v>498888.99399999995</v>
      </c>
      <c r="J28" s="292">
        <v>576366.02199999988</v>
      </c>
      <c r="K28" s="292">
        <v>471911.60400000022</v>
      </c>
      <c r="L28" s="292">
        <v>440341.48319999996</v>
      </c>
      <c r="M28" s="292">
        <v>446174.25199999986</v>
      </c>
      <c r="N28" s="292">
        <v>588974.10000000079</v>
      </c>
      <c r="O28" s="292">
        <v>443936.99400000018</v>
      </c>
      <c r="P28" s="292">
        <v>0</v>
      </c>
      <c r="Q28" s="292">
        <v>0</v>
      </c>
      <c r="R28" s="292">
        <v>0</v>
      </c>
      <c r="S28" s="292">
        <v>4624440.6272000009</v>
      </c>
      <c r="T28" s="410">
        <v>0.94633239606785624</v>
      </c>
      <c r="U28" s="450">
        <v>262257.37279999908</v>
      </c>
      <c r="V28" s="450">
        <v>-2937375.497200001</v>
      </c>
      <c r="W28" s="446"/>
      <c r="X28" s="446"/>
      <c r="Y28" s="446"/>
      <c r="Z28" s="446"/>
    </row>
    <row r="29" spans="1:26" x14ac:dyDescent="0.2">
      <c r="A29" s="441" t="s">
        <v>269</v>
      </c>
      <c r="B29" s="442">
        <v>500</v>
      </c>
      <c r="C29" s="442">
        <v>500</v>
      </c>
      <c r="D29" s="442">
        <v>0</v>
      </c>
      <c r="E29" s="443"/>
      <c r="F29" s="443"/>
      <c r="G29" s="442">
        <v>0</v>
      </c>
      <c r="H29" s="442">
        <v>0</v>
      </c>
      <c r="I29" s="442">
        <v>0</v>
      </c>
      <c r="J29" s="442">
        <v>0</v>
      </c>
      <c r="K29" s="442">
        <v>0</v>
      </c>
      <c r="L29" s="442">
        <v>0</v>
      </c>
      <c r="M29" s="442">
        <v>0</v>
      </c>
      <c r="N29" s="442">
        <v>0</v>
      </c>
      <c r="O29" s="442">
        <v>0</v>
      </c>
      <c r="P29" s="442">
        <v>0</v>
      </c>
      <c r="Q29" s="442">
        <v>0</v>
      </c>
      <c r="R29" s="442">
        <v>0</v>
      </c>
      <c r="S29" s="442">
        <v>0</v>
      </c>
      <c r="T29" s="444">
        <v>0</v>
      </c>
      <c r="U29" s="445">
        <v>500</v>
      </c>
      <c r="V29" s="445">
        <v>0</v>
      </c>
      <c r="W29" s="446"/>
      <c r="X29" s="446"/>
      <c r="Y29" s="446"/>
      <c r="Z29" s="446"/>
    </row>
    <row r="30" spans="1:26" x14ac:dyDescent="0.2">
      <c r="A30" s="404" t="s">
        <v>270</v>
      </c>
      <c r="B30" s="448">
        <v>0</v>
      </c>
      <c r="C30" s="448">
        <v>0</v>
      </c>
      <c r="D30" s="448">
        <v>0</v>
      </c>
      <c r="E30" s="443"/>
      <c r="F30" s="443"/>
      <c r="G30" s="448">
        <v>0</v>
      </c>
      <c r="H30" s="448">
        <v>0</v>
      </c>
      <c r="I30" s="448">
        <v>0</v>
      </c>
      <c r="J30" s="448">
        <v>0</v>
      </c>
      <c r="K30" s="448">
        <v>0</v>
      </c>
      <c r="L30" s="448">
        <v>0</v>
      </c>
      <c r="M30" s="448">
        <v>0</v>
      </c>
      <c r="N30" s="448">
        <v>0</v>
      </c>
      <c r="O30" s="448">
        <v>0</v>
      </c>
      <c r="P30" s="448">
        <v>0</v>
      </c>
      <c r="Q30" s="448">
        <v>0</v>
      </c>
      <c r="R30" s="448">
        <v>0</v>
      </c>
      <c r="S30" s="448">
        <v>0</v>
      </c>
      <c r="T30" s="407" t="e">
        <v>#DIV/0!</v>
      </c>
      <c r="U30" s="449">
        <v>0</v>
      </c>
      <c r="V30" s="449">
        <v>0</v>
      </c>
      <c r="W30" s="446"/>
      <c r="X30" s="446"/>
      <c r="Y30" s="446"/>
      <c r="Z30" s="446"/>
    </row>
    <row r="31" spans="1:26" x14ac:dyDescent="0.2">
      <c r="A31" s="409" t="s">
        <v>271</v>
      </c>
      <c r="B31" s="292">
        <v>0</v>
      </c>
      <c r="C31" s="292">
        <v>0</v>
      </c>
      <c r="D31" s="292">
        <v>0</v>
      </c>
      <c r="E31" s="446"/>
      <c r="F31" s="446"/>
      <c r="G31" s="292">
        <v>0</v>
      </c>
      <c r="H31" s="292">
        <v>0</v>
      </c>
      <c r="I31" s="292">
        <v>0</v>
      </c>
      <c r="J31" s="292">
        <v>0</v>
      </c>
      <c r="K31" s="292">
        <v>0</v>
      </c>
      <c r="L31" s="292">
        <v>0</v>
      </c>
      <c r="M31" s="292">
        <v>0</v>
      </c>
      <c r="N31" s="292">
        <v>0</v>
      </c>
      <c r="O31" s="292">
        <v>0</v>
      </c>
      <c r="P31" s="292">
        <v>0</v>
      </c>
      <c r="Q31" s="292">
        <v>0</v>
      </c>
      <c r="R31" s="292">
        <v>0</v>
      </c>
      <c r="S31" s="292">
        <v>0</v>
      </c>
      <c r="T31" s="410" t="e">
        <v>#DIV/0!</v>
      </c>
      <c r="U31" s="450">
        <v>0</v>
      </c>
      <c r="V31" s="450">
        <v>0</v>
      </c>
      <c r="W31" s="446"/>
      <c r="X31" s="446"/>
      <c r="Y31" s="446"/>
      <c r="Z31" s="446"/>
    </row>
    <row r="32" spans="1:26" x14ac:dyDescent="0.2">
      <c r="A32" s="409" t="s">
        <v>272</v>
      </c>
      <c r="B32" s="292">
        <v>0</v>
      </c>
      <c r="C32" s="292">
        <v>0</v>
      </c>
      <c r="D32" s="292">
        <v>0</v>
      </c>
      <c r="E32" s="446"/>
      <c r="F32" s="446"/>
      <c r="G32" s="292">
        <v>0</v>
      </c>
      <c r="H32" s="292">
        <v>0</v>
      </c>
      <c r="I32" s="292">
        <v>0</v>
      </c>
      <c r="J32" s="292">
        <v>0</v>
      </c>
      <c r="K32" s="292">
        <v>0</v>
      </c>
      <c r="L32" s="292">
        <v>0</v>
      </c>
      <c r="M32" s="292">
        <v>0</v>
      </c>
      <c r="N32" s="292">
        <v>0</v>
      </c>
      <c r="O32" s="292">
        <v>0</v>
      </c>
      <c r="P32" s="292">
        <v>0</v>
      </c>
      <c r="Q32" s="292">
        <v>0</v>
      </c>
      <c r="R32" s="292">
        <v>0</v>
      </c>
      <c r="S32" s="292">
        <v>0</v>
      </c>
      <c r="T32" s="410" t="e">
        <v>#DIV/0!</v>
      </c>
      <c r="U32" s="450">
        <v>0</v>
      </c>
      <c r="V32" s="450">
        <v>0</v>
      </c>
      <c r="W32" s="446"/>
      <c r="X32" s="446"/>
      <c r="Y32" s="446"/>
      <c r="Z32" s="446"/>
    </row>
    <row r="33" spans="1:26" x14ac:dyDescent="0.2">
      <c r="A33" s="409" t="s">
        <v>273</v>
      </c>
      <c r="B33" s="292">
        <v>0</v>
      </c>
      <c r="C33" s="292">
        <v>0</v>
      </c>
      <c r="D33" s="292">
        <v>0</v>
      </c>
      <c r="E33" s="446"/>
      <c r="F33" s="446"/>
      <c r="G33" s="292">
        <v>0</v>
      </c>
      <c r="H33" s="292">
        <v>0</v>
      </c>
      <c r="I33" s="292">
        <v>0</v>
      </c>
      <c r="J33" s="292">
        <v>0</v>
      </c>
      <c r="K33" s="292">
        <v>0</v>
      </c>
      <c r="L33" s="292">
        <v>0</v>
      </c>
      <c r="M33" s="292">
        <v>0</v>
      </c>
      <c r="N33" s="292">
        <v>0</v>
      </c>
      <c r="O33" s="292">
        <v>0</v>
      </c>
      <c r="P33" s="292">
        <v>0</v>
      </c>
      <c r="Q33" s="292">
        <v>0</v>
      </c>
      <c r="R33" s="292">
        <v>0</v>
      </c>
      <c r="S33" s="292">
        <v>0</v>
      </c>
      <c r="T33" s="410" t="e">
        <v>#DIV/0!</v>
      </c>
      <c r="U33" s="450">
        <v>0</v>
      </c>
      <c r="V33" s="450">
        <v>0</v>
      </c>
      <c r="W33" s="446"/>
      <c r="X33" s="446"/>
      <c r="Y33" s="446"/>
      <c r="Z33" s="446"/>
    </row>
    <row r="34" spans="1:26" x14ac:dyDescent="0.2">
      <c r="A34" s="409" t="s">
        <v>274</v>
      </c>
      <c r="B34" s="292">
        <v>0</v>
      </c>
      <c r="C34" s="292">
        <v>0</v>
      </c>
      <c r="D34" s="292">
        <v>0</v>
      </c>
      <c r="E34" s="446"/>
      <c r="F34" s="446"/>
      <c r="G34" s="292">
        <v>0</v>
      </c>
      <c r="H34" s="292">
        <v>0</v>
      </c>
      <c r="I34" s="292">
        <v>0</v>
      </c>
      <c r="J34" s="292">
        <v>0</v>
      </c>
      <c r="K34" s="292">
        <v>0</v>
      </c>
      <c r="L34" s="292">
        <v>0</v>
      </c>
      <c r="M34" s="292">
        <v>0</v>
      </c>
      <c r="N34" s="292">
        <v>0</v>
      </c>
      <c r="O34" s="292">
        <v>0</v>
      </c>
      <c r="P34" s="292">
        <v>0</v>
      </c>
      <c r="Q34" s="292">
        <v>0</v>
      </c>
      <c r="R34" s="292">
        <v>0</v>
      </c>
      <c r="S34" s="292">
        <v>0</v>
      </c>
      <c r="T34" s="410" t="e">
        <v>#DIV/0!</v>
      </c>
      <c r="U34" s="450">
        <v>0</v>
      </c>
      <c r="V34" s="450">
        <v>0</v>
      </c>
      <c r="W34" s="446"/>
      <c r="X34" s="446"/>
      <c r="Y34" s="446"/>
      <c r="Z34" s="446"/>
    </row>
    <row r="35" spans="1:26" x14ac:dyDescent="0.2">
      <c r="A35" s="409" t="s">
        <v>275</v>
      </c>
      <c r="B35" s="292">
        <v>0</v>
      </c>
      <c r="C35" s="292">
        <v>0</v>
      </c>
      <c r="D35" s="292">
        <v>0</v>
      </c>
      <c r="E35" s="446"/>
      <c r="F35" s="446"/>
      <c r="G35" s="292">
        <v>0</v>
      </c>
      <c r="H35" s="292">
        <v>0</v>
      </c>
      <c r="I35" s="292">
        <v>0</v>
      </c>
      <c r="J35" s="292">
        <v>0</v>
      </c>
      <c r="K35" s="292">
        <v>0</v>
      </c>
      <c r="L35" s="292">
        <v>0</v>
      </c>
      <c r="M35" s="292">
        <v>0</v>
      </c>
      <c r="N35" s="292">
        <v>0</v>
      </c>
      <c r="O35" s="292">
        <v>0</v>
      </c>
      <c r="P35" s="292">
        <v>0</v>
      </c>
      <c r="Q35" s="292">
        <v>0</v>
      </c>
      <c r="R35" s="292">
        <v>0</v>
      </c>
      <c r="S35" s="292">
        <v>0</v>
      </c>
      <c r="T35" s="410" t="e">
        <v>#DIV/0!</v>
      </c>
      <c r="U35" s="450">
        <v>0</v>
      </c>
      <c r="V35" s="450">
        <v>0</v>
      </c>
      <c r="W35" s="446"/>
      <c r="X35" s="446"/>
      <c r="Y35" s="446"/>
      <c r="Z35" s="446"/>
    </row>
    <row r="36" spans="1:26" x14ac:dyDescent="0.2">
      <c r="A36" s="409" t="s">
        <v>276</v>
      </c>
      <c r="B36" s="292">
        <v>0</v>
      </c>
      <c r="C36" s="292">
        <v>0</v>
      </c>
      <c r="D36" s="292">
        <v>0</v>
      </c>
      <c r="E36" s="446"/>
      <c r="F36" s="446"/>
      <c r="G36" s="292">
        <v>0</v>
      </c>
      <c r="H36" s="292">
        <v>0</v>
      </c>
      <c r="I36" s="292">
        <v>0</v>
      </c>
      <c r="J36" s="292">
        <v>0</v>
      </c>
      <c r="K36" s="292">
        <v>0</v>
      </c>
      <c r="L36" s="292">
        <v>0</v>
      </c>
      <c r="M36" s="292">
        <v>0</v>
      </c>
      <c r="N36" s="292">
        <v>0</v>
      </c>
      <c r="O36" s="292">
        <v>0</v>
      </c>
      <c r="P36" s="292">
        <v>0</v>
      </c>
      <c r="Q36" s="292">
        <v>0</v>
      </c>
      <c r="R36" s="292">
        <v>0</v>
      </c>
      <c r="S36" s="292">
        <v>0</v>
      </c>
      <c r="T36" s="410" t="e">
        <v>#DIV/0!</v>
      </c>
      <c r="U36" s="450">
        <v>0</v>
      </c>
      <c r="V36" s="450">
        <v>0</v>
      </c>
      <c r="W36" s="446"/>
      <c r="X36" s="446"/>
      <c r="Y36" s="446"/>
      <c r="Z36" s="446"/>
    </row>
    <row r="37" spans="1:26" x14ac:dyDescent="0.2">
      <c r="A37" s="409" t="s">
        <v>277</v>
      </c>
      <c r="B37" s="292">
        <v>0</v>
      </c>
      <c r="C37" s="292">
        <v>0</v>
      </c>
      <c r="D37" s="292">
        <v>0</v>
      </c>
      <c r="E37" s="446"/>
      <c r="F37" s="446"/>
      <c r="G37" s="292">
        <v>0</v>
      </c>
      <c r="H37" s="292">
        <v>0</v>
      </c>
      <c r="I37" s="292">
        <v>0</v>
      </c>
      <c r="J37" s="292">
        <v>0</v>
      </c>
      <c r="K37" s="292">
        <v>0</v>
      </c>
      <c r="L37" s="292">
        <v>0</v>
      </c>
      <c r="M37" s="292">
        <v>0</v>
      </c>
      <c r="N37" s="292">
        <v>0</v>
      </c>
      <c r="O37" s="292">
        <v>0</v>
      </c>
      <c r="P37" s="292">
        <v>0</v>
      </c>
      <c r="Q37" s="292">
        <v>0</v>
      </c>
      <c r="R37" s="292">
        <v>0</v>
      </c>
      <c r="S37" s="292">
        <v>0</v>
      </c>
      <c r="T37" s="410" t="e">
        <v>#DIV/0!</v>
      </c>
      <c r="U37" s="450">
        <v>0</v>
      </c>
      <c r="V37" s="450">
        <v>0</v>
      </c>
      <c r="W37" s="446"/>
      <c r="X37" s="446"/>
      <c r="Y37" s="446"/>
      <c r="Z37" s="446"/>
    </row>
    <row r="38" spans="1:26" x14ac:dyDescent="0.2">
      <c r="A38" s="409" t="s">
        <v>278</v>
      </c>
      <c r="B38" s="292">
        <v>0</v>
      </c>
      <c r="C38" s="292">
        <v>0</v>
      </c>
      <c r="D38" s="292">
        <v>0</v>
      </c>
      <c r="E38" s="446"/>
      <c r="F38" s="446"/>
      <c r="G38" s="292">
        <v>0</v>
      </c>
      <c r="H38" s="292">
        <v>0</v>
      </c>
      <c r="I38" s="292">
        <v>0</v>
      </c>
      <c r="J38" s="292">
        <v>0</v>
      </c>
      <c r="K38" s="292">
        <v>0</v>
      </c>
      <c r="L38" s="292">
        <v>0</v>
      </c>
      <c r="M38" s="292">
        <v>0</v>
      </c>
      <c r="N38" s="292">
        <v>0</v>
      </c>
      <c r="O38" s="292">
        <v>0</v>
      </c>
      <c r="P38" s="292">
        <v>0</v>
      </c>
      <c r="Q38" s="292">
        <v>0</v>
      </c>
      <c r="R38" s="292">
        <v>0</v>
      </c>
      <c r="S38" s="292">
        <v>0</v>
      </c>
      <c r="T38" s="410" t="e">
        <v>#DIV/0!</v>
      </c>
      <c r="U38" s="450">
        <v>0</v>
      </c>
      <c r="V38" s="450">
        <v>0</v>
      </c>
      <c r="W38" s="446"/>
      <c r="X38" s="446"/>
      <c r="Y38" s="446"/>
      <c r="Z38" s="446"/>
    </row>
    <row r="39" spans="1:26" x14ac:dyDescent="0.2">
      <c r="A39" s="409" t="s">
        <v>279</v>
      </c>
      <c r="B39" s="292">
        <v>0</v>
      </c>
      <c r="C39" s="292">
        <v>0</v>
      </c>
      <c r="D39" s="292">
        <v>0</v>
      </c>
      <c r="E39" s="446"/>
      <c r="F39" s="446"/>
      <c r="G39" s="292">
        <v>0</v>
      </c>
      <c r="H39" s="292">
        <v>0</v>
      </c>
      <c r="I39" s="292">
        <v>0</v>
      </c>
      <c r="J39" s="292">
        <v>0</v>
      </c>
      <c r="K39" s="292">
        <v>0</v>
      </c>
      <c r="L39" s="292">
        <v>0</v>
      </c>
      <c r="M39" s="292">
        <v>0</v>
      </c>
      <c r="N39" s="292">
        <v>0</v>
      </c>
      <c r="O39" s="292">
        <v>0</v>
      </c>
      <c r="P39" s="292">
        <v>0</v>
      </c>
      <c r="Q39" s="292">
        <v>0</v>
      </c>
      <c r="R39" s="292">
        <v>0</v>
      </c>
      <c r="S39" s="292">
        <v>0</v>
      </c>
      <c r="T39" s="410" t="e">
        <v>#DIV/0!</v>
      </c>
      <c r="U39" s="450">
        <v>0</v>
      </c>
      <c r="V39" s="450">
        <v>0</v>
      </c>
      <c r="W39" s="446"/>
      <c r="X39" s="446"/>
      <c r="Y39" s="446"/>
      <c r="Z39" s="446"/>
    </row>
    <row r="40" spans="1:26" x14ac:dyDescent="0.2">
      <c r="A40" s="409" t="s">
        <v>280</v>
      </c>
      <c r="B40" s="292">
        <v>0</v>
      </c>
      <c r="C40" s="292">
        <v>0</v>
      </c>
      <c r="D40" s="292">
        <v>0</v>
      </c>
      <c r="E40" s="446"/>
      <c r="F40" s="446"/>
      <c r="G40" s="292">
        <v>0</v>
      </c>
      <c r="H40" s="292">
        <v>0</v>
      </c>
      <c r="I40" s="292">
        <v>0</v>
      </c>
      <c r="J40" s="292">
        <v>0</v>
      </c>
      <c r="K40" s="292">
        <v>0</v>
      </c>
      <c r="L40" s="292">
        <v>0</v>
      </c>
      <c r="M40" s="292">
        <v>0</v>
      </c>
      <c r="N40" s="292">
        <v>0</v>
      </c>
      <c r="O40" s="292">
        <v>0</v>
      </c>
      <c r="P40" s="292">
        <v>0</v>
      </c>
      <c r="Q40" s="292">
        <v>0</v>
      </c>
      <c r="R40" s="292">
        <v>0</v>
      </c>
      <c r="S40" s="292">
        <v>0</v>
      </c>
      <c r="T40" s="410" t="e">
        <v>#DIV/0!</v>
      </c>
      <c r="U40" s="450">
        <v>0</v>
      </c>
      <c r="V40" s="450">
        <v>0</v>
      </c>
      <c r="W40" s="446"/>
      <c r="X40" s="446"/>
      <c r="Y40" s="446"/>
      <c r="Z40" s="446"/>
    </row>
    <row r="41" spans="1:26" x14ac:dyDescent="0.2">
      <c r="A41" s="409" t="s">
        <v>281</v>
      </c>
      <c r="B41" s="292">
        <v>0</v>
      </c>
      <c r="C41" s="292">
        <v>0</v>
      </c>
      <c r="D41" s="292">
        <v>0</v>
      </c>
      <c r="E41" s="446"/>
      <c r="F41" s="446"/>
      <c r="G41" s="292">
        <v>0</v>
      </c>
      <c r="H41" s="292">
        <v>0</v>
      </c>
      <c r="I41" s="292">
        <v>0</v>
      </c>
      <c r="J41" s="292">
        <v>0</v>
      </c>
      <c r="K41" s="292">
        <v>0</v>
      </c>
      <c r="L41" s="292">
        <v>0</v>
      </c>
      <c r="M41" s="292">
        <v>0</v>
      </c>
      <c r="N41" s="292">
        <v>0</v>
      </c>
      <c r="O41" s="292">
        <v>0</v>
      </c>
      <c r="P41" s="292">
        <v>0</v>
      </c>
      <c r="Q41" s="292">
        <v>0</v>
      </c>
      <c r="R41" s="292">
        <v>0</v>
      </c>
      <c r="S41" s="292">
        <v>0</v>
      </c>
      <c r="T41" s="410" t="e">
        <v>#DIV/0!</v>
      </c>
      <c r="U41" s="450">
        <v>0</v>
      </c>
      <c r="V41" s="450">
        <v>0</v>
      </c>
      <c r="W41" s="446"/>
      <c r="X41" s="446"/>
      <c r="Y41" s="446"/>
      <c r="Z41" s="446"/>
    </row>
    <row r="42" spans="1:26" x14ac:dyDescent="0.2">
      <c r="A42" s="409" t="s">
        <v>282</v>
      </c>
      <c r="B42" s="292">
        <v>0</v>
      </c>
      <c r="C42" s="292">
        <v>0</v>
      </c>
      <c r="D42" s="292">
        <v>0</v>
      </c>
      <c r="E42" s="446"/>
      <c r="F42" s="446"/>
      <c r="G42" s="292">
        <v>0</v>
      </c>
      <c r="H42" s="292">
        <v>0</v>
      </c>
      <c r="I42" s="292">
        <v>0</v>
      </c>
      <c r="J42" s="292">
        <v>0</v>
      </c>
      <c r="K42" s="292">
        <v>0</v>
      </c>
      <c r="L42" s="292">
        <v>0</v>
      </c>
      <c r="M42" s="292">
        <v>0</v>
      </c>
      <c r="N42" s="292">
        <v>0</v>
      </c>
      <c r="O42" s="292">
        <v>0</v>
      </c>
      <c r="P42" s="292">
        <v>0</v>
      </c>
      <c r="Q42" s="292">
        <v>0</v>
      </c>
      <c r="R42" s="292">
        <v>0</v>
      </c>
      <c r="S42" s="292">
        <v>0</v>
      </c>
      <c r="T42" s="410" t="e">
        <v>#DIV/0!</v>
      </c>
      <c r="U42" s="450">
        <v>0</v>
      </c>
      <c r="V42" s="450">
        <v>0</v>
      </c>
      <c r="W42" s="446"/>
      <c r="X42" s="446"/>
      <c r="Y42" s="446"/>
      <c r="Z42" s="446"/>
    </row>
    <row r="43" spans="1:26" x14ac:dyDescent="0.2">
      <c r="A43" s="409" t="s">
        <v>283</v>
      </c>
      <c r="B43" s="292">
        <v>0</v>
      </c>
      <c r="C43" s="292">
        <v>0</v>
      </c>
      <c r="D43" s="292">
        <v>0</v>
      </c>
      <c r="E43" s="446"/>
      <c r="F43" s="446"/>
      <c r="G43" s="292">
        <v>0</v>
      </c>
      <c r="H43" s="292">
        <v>0</v>
      </c>
      <c r="I43" s="292">
        <v>0</v>
      </c>
      <c r="J43" s="292">
        <v>0</v>
      </c>
      <c r="K43" s="292">
        <v>0</v>
      </c>
      <c r="L43" s="292">
        <v>0</v>
      </c>
      <c r="M43" s="292">
        <v>0</v>
      </c>
      <c r="N43" s="292">
        <v>0</v>
      </c>
      <c r="O43" s="292">
        <v>0</v>
      </c>
      <c r="P43" s="292">
        <v>0</v>
      </c>
      <c r="Q43" s="292">
        <v>0</v>
      </c>
      <c r="R43" s="292">
        <v>0</v>
      </c>
      <c r="S43" s="292">
        <v>0</v>
      </c>
      <c r="T43" s="410" t="e">
        <v>#DIV/0!</v>
      </c>
      <c r="U43" s="450">
        <v>0</v>
      </c>
      <c r="V43" s="450">
        <v>0</v>
      </c>
      <c r="W43" s="446"/>
      <c r="X43" s="446"/>
      <c r="Y43" s="446"/>
      <c r="Z43" s="446"/>
    </row>
    <row r="44" spans="1:26" x14ac:dyDescent="0.2">
      <c r="A44" s="409" t="s">
        <v>284</v>
      </c>
      <c r="B44" s="292">
        <v>0</v>
      </c>
      <c r="C44" s="292">
        <v>0</v>
      </c>
      <c r="D44" s="292">
        <v>0</v>
      </c>
      <c r="E44" s="446"/>
      <c r="F44" s="446"/>
      <c r="G44" s="292">
        <v>0</v>
      </c>
      <c r="H44" s="292">
        <v>0</v>
      </c>
      <c r="I44" s="292">
        <v>0</v>
      </c>
      <c r="J44" s="292">
        <v>0</v>
      </c>
      <c r="K44" s="292">
        <v>0</v>
      </c>
      <c r="L44" s="292">
        <v>0</v>
      </c>
      <c r="M44" s="292">
        <v>0</v>
      </c>
      <c r="N44" s="292">
        <v>0</v>
      </c>
      <c r="O44" s="292">
        <v>0</v>
      </c>
      <c r="P44" s="292">
        <v>0</v>
      </c>
      <c r="Q44" s="292">
        <v>0</v>
      </c>
      <c r="R44" s="292">
        <v>0</v>
      </c>
      <c r="S44" s="292">
        <v>0</v>
      </c>
      <c r="T44" s="410" t="e">
        <v>#DIV/0!</v>
      </c>
      <c r="U44" s="450">
        <v>0</v>
      </c>
      <c r="V44" s="450">
        <v>0</v>
      </c>
      <c r="W44" s="446"/>
      <c r="X44" s="446"/>
      <c r="Y44" s="446"/>
      <c r="Z44" s="446"/>
    </row>
    <row r="45" spans="1:26" x14ac:dyDescent="0.2">
      <c r="A45" s="409" t="s">
        <v>285</v>
      </c>
      <c r="B45" s="292">
        <v>0</v>
      </c>
      <c r="C45" s="292">
        <v>0</v>
      </c>
      <c r="D45" s="292">
        <v>0</v>
      </c>
      <c r="E45" s="446"/>
      <c r="F45" s="446"/>
      <c r="G45" s="292">
        <v>0</v>
      </c>
      <c r="H45" s="292">
        <v>0</v>
      </c>
      <c r="I45" s="292">
        <v>0</v>
      </c>
      <c r="J45" s="292">
        <v>0</v>
      </c>
      <c r="K45" s="292">
        <v>0</v>
      </c>
      <c r="L45" s="292">
        <v>0</v>
      </c>
      <c r="M45" s="292">
        <v>0</v>
      </c>
      <c r="N45" s="292">
        <v>0</v>
      </c>
      <c r="O45" s="292">
        <v>0</v>
      </c>
      <c r="P45" s="292">
        <v>0</v>
      </c>
      <c r="Q45" s="292">
        <v>0</v>
      </c>
      <c r="R45" s="292">
        <v>0</v>
      </c>
      <c r="S45" s="292">
        <v>0</v>
      </c>
      <c r="T45" s="410" t="e">
        <v>#DIV/0!</v>
      </c>
      <c r="U45" s="450">
        <v>0</v>
      </c>
      <c r="V45" s="450">
        <v>0</v>
      </c>
      <c r="W45" s="446"/>
      <c r="X45" s="446"/>
      <c r="Y45" s="446"/>
      <c r="Z45" s="446"/>
    </row>
    <row r="46" spans="1:26" x14ac:dyDescent="0.2">
      <c r="A46" s="409" t="s">
        <v>286</v>
      </c>
      <c r="B46" s="292">
        <v>0</v>
      </c>
      <c r="C46" s="292">
        <v>0</v>
      </c>
      <c r="D46" s="292">
        <v>0</v>
      </c>
      <c r="E46" s="446"/>
      <c r="F46" s="446"/>
      <c r="G46" s="292">
        <v>0</v>
      </c>
      <c r="H46" s="292">
        <v>0</v>
      </c>
      <c r="I46" s="292">
        <v>0</v>
      </c>
      <c r="J46" s="292">
        <v>0</v>
      </c>
      <c r="K46" s="292">
        <v>0</v>
      </c>
      <c r="L46" s="292">
        <v>0</v>
      </c>
      <c r="M46" s="292">
        <v>0</v>
      </c>
      <c r="N46" s="292">
        <v>0</v>
      </c>
      <c r="O46" s="292">
        <v>0</v>
      </c>
      <c r="P46" s="292">
        <v>0</v>
      </c>
      <c r="Q46" s="292">
        <v>0</v>
      </c>
      <c r="R46" s="292">
        <v>0</v>
      </c>
      <c r="S46" s="292">
        <v>0</v>
      </c>
      <c r="T46" s="410" t="e">
        <v>#DIV/0!</v>
      </c>
      <c r="U46" s="450">
        <v>0</v>
      </c>
      <c r="V46" s="450">
        <v>0</v>
      </c>
      <c r="W46" s="446"/>
      <c r="X46" s="446"/>
      <c r="Y46" s="446"/>
      <c r="Z46" s="446"/>
    </row>
    <row r="47" spans="1:26" x14ac:dyDescent="0.2">
      <c r="A47" s="409" t="s">
        <v>287</v>
      </c>
      <c r="B47" s="292">
        <v>0</v>
      </c>
      <c r="C47" s="292">
        <v>0</v>
      </c>
      <c r="D47" s="292">
        <v>0</v>
      </c>
      <c r="E47" s="446"/>
      <c r="F47" s="446"/>
      <c r="G47" s="292">
        <v>0</v>
      </c>
      <c r="H47" s="292">
        <v>0</v>
      </c>
      <c r="I47" s="292">
        <v>0</v>
      </c>
      <c r="J47" s="292">
        <v>0</v>
      </c>
      <c r="K47" s="292">
        <v>0</v>
      </c>
      <c r="L47" s="292">
        <v>0</v>
      </c>
      <c r="M47" s="292">
        <v>0</v>
      </c>
      <c r="N47" s="292">
        <v>0</v>
      </c>
      <c r="O47" s="292">
        <v>0</v>
      </c>
      <c r="P47" s="292">
        <v>0</v>
      </c>
      <c r="Q47" s="292">
        <v>0</v>
      </c>
      <c r="R47" s="292">
        <v>0</v>
      </c>
      <c r="S47" s="292">
        <v>0</v>
      </c>
      <c r="T47" s="410" t="e">
        <v>#DIV/0!</v>
      </c>
      <c r="U47" s="450">
        <v>0</v>
      </c>
      <c r="V47" s="450">
        <v>0</v>
      </c>
      <c r="W47" s="446"/>
      <c r="X47" s="446"/>
      <c r="Y47" s="446"/>
      <c r="Z47" s="446"/>
    </row>
    <row r="48" spans="1:26" x14ac:dyDescent="0.2">
      <c r="A48" s="409" t="s">
        <v>288</v>
      </c>
      <c r="B48" s="292">
        <v>0</v>
      </c>
      <c r="C48" s="292">
        <v>0</v>
      </c>
      <c r="D48" s="292">
        <v>0</v>
      </c>
      <c r="E48" s="446"/>
      <c r="F48" s="446"/>
      <c r="G48" s="292">
        <v>0</v>
      </c>
      <c r="H48" s="292">
        <v>0</v>
      </c>
      <c r="I48" s="292">
        <v>0</v>
      </c>
      <c r="J48" s="292">
        <v>0</v>
      </c>
      <c r="K48" s="292">
        <v>0</v>
      </c>
      <c r="L48" s="292">
        <v>0</v>
      </c>
      <c r="M48" s="292">
        <v>0</v>
      </c>
      <c r="N48" s="292">
        <v>0</v>
      </c>
      <c r="O48" s="292">
        <v>0</v>
      </c>
      <c r="P48" s="292">
        <v>0</v>
      </c>
      <c r="Q48" s="292">
        <v>0</v>
      </c>
      <c r="R48" s="292">
        <v>0</v>
      </c>
      <c r="S48" s="292">
        <v>0</v>
      </c>
      <c r="T48" s="410" t="e">
        <v>#DIV/0!</v>
      </c>
      <c r="U48" s="450">
        <v>0</v>
      </c>
      <c r="V48" s="450">
        <v>0</v>
      </c>
      <c r="W48" s="446"/>
      <c r="X48" s="446"/>
      <c r="Y48" s="446"/>
      <c r="Z48" s="446"/>
    </row>
    <row r="49" spans="1:26" x14ac:dyDescent="0.2">
      <c r="A49" s="404" t="s">
        <v>289</v>
      </c>
      <c r="B49" s="448">
        <v>500</v>
      </c>
      <c r="C49" s="448">
        <v>500</v>
      </c>
      <c r="D49" s="448">
        <v>0</v>
      </c>
      <c r="E49" s="443"/>
      <c r="F49" s="443"/>
      <c r="G49" s="448">
        <v>0</v>
      </c>
      <c r="H49" s="448">
        <v>0</v>
      </c>
      <c r="I49" s="448">
        <v>0</v>
      </c>
      <c r="J49" s="448">
        <v>0</v>
      </c>
      <c r="K49" s="448">
        <v>0</v>
      </c>
      <c r="L49" s="448">
        <v>0</v>
      </c>
      <c r="M49" s="448">
        <v>0</v>
      </c>
      <c r="N49" s="448">
        <v>0</v>
      </c>
      <c r="O49" s="448">
        <v>0</v>
      </c>
      <c r="P49" s="448">
        <v>0</v>
      </c>
      <c r="Q49" s="448">
        <v>0</v>
      </c>
      <c r="R49" s="448">
        <v>0</v>
      </c>
      <c r="S49" s="448">
        <v>0</v>
      </c>
      <c r="T49" s="407">
        <v>0</v>
      </c>
      <c r="U49" s="449">
        <v>500</v>
      </c>
      <c r="V49" s="449">
        <v>0</v>
      </c>
      <c r="W49" s="446"/>
      <c r="X49" s="446"/>
      <c r="Y49" s="446"/>
      <c r="Z49" s="446"/>
    </row>
    <row r="50" spans="1:26" x14ac:dyDescent="0.2">
      <c r="A50" s="409" t="s">
        <v>290</v>
      </c>
      <c r="B50" s="292">
        <v>0</v>
      </c>
      <c r="C50" s="292">
        <v>0</v>
      </c>
      <c r="D50" s="292">
        <v>0</v>
      </c>
      <c r="E50" s="446"/>
      <c r="F50" s="446"/>
      <c r="G50" s="292">
        <v>0</v>
      </c>
      <c r="H50" s="292">
        <v>0</v>
      </c>
      <c r="I50" s="292">
        <v>0</v>
      </c>
      <c r="J50" s="292">
        <v>0</v>
      </c>
      <c r="K50" s="292">
        <v>0</v>
      </c>
      <c r="L50" s="292">
        <v>0</v>
      </c>
      <c r="M50" s="292">
        <v>0</v>
      </c>
      <c r="N50" s="292">
        <v>0</v>
      </c>
      <c r="O50" s="292">
        <v>0</v>
      </c>
      <c r="P50" s="292">
        <v>0</v>
      </c>
      <c r="Q50" s="292">
        <v>0</v>
      </c>
      <c r="R50" s="292">
        <v>0</v>
      </c>
      <c r="S50" s="292">
        <v>0</v>
      </c>
      <c r="T50" s="410" t="e">
        <v>#DIV/0!</v>
      </c>
      <c r="U50" s="450">
        <v>0</v>
      </c>
      <c r="V50" s="450">
        <v>0</v>
      </c>
      <c r="W50" s="446"/>
      <c r="X50" s="446"/>
      <c r="Y50" s="446"/>
      <c r="Z50" s="446"/>
    </row>
    <row r="51" spans="1:26" x14ac:dyDescent="0.2">
      <c r="A51" s="409" t="s">
        <v>291</v>
      </c>
      <c r="B51" s="292">
        <v>0</v>
      </c>
      <c r="C51" s="292">
        <v>0</v>
      </c>
      <c r="D51" s="292">
        <v>0</v>
      </c>
      <c r="E51" s="446"/>
      <c r="F51" s="446"/>
      <c r="G51" s="292">
        <v>0</v>
      </c>
      <c r="H51" s="292">
        <v>0</v>
      </c>
      <c r="I51" s="292">
        <v>0</v>
      </c>
      <c r="J51" s="292">
        <v>0</v>
      </c>
      <c r="K51" s="292">
        <v>0</v>
      </c>
      <c r="L51" s="292">
        <v>0</v>
      </c>
      <c r="M51" s="292">
        <v>0</v>
      </c>
      <c r="N51" s="292">
        <v>0</v>
      </c>
      <c r="O51" s="292">
        <v>0</v>
      </c>
      <c r="P51" s="292">
        <v>0</v>
      </c>
      <c r="Q51" s="292">
        <v>0</v>
      </c>
      <c r="R51" s="292">
        <v>0</v>
      </c>
      <c r="S51" s="292">
        <v>0</v>
      </c>
      <c r="T51" s="410" t="e">
        <v>#DIV/0!</v>
      </c>
      <c r="U51" s="450">
        <v>0</v>
      </c>
      <c r="V51" s="450">
        <v>0</v>
      </c>
      <c r="W51" s="446"/>
      <c r="X51" s="446"/>
      <c r="Y51" s="446"/>
      <c r="Z51" s="446"/>
    </row>
    <row r="52" spans="1:26" x14ac:dyDescent="0.2">
      <c r="A52" s="409" t="s">
        <v>292</v>
      </c>
      <c r="B52" s="292">
        <v>0</v>
      </c>
      <c r="C52" s="292">
        <v>0</v>
      </c>
      <c r="D52" s="292">
        <v>0</v>
      </c>
      <c r="E52" s="446"/>
      <c r="F52" s="446"/>
      <c r="G52" s="292">
        <v>0</v>
      </c>
      <c r="H52" s="292">
        <v>0</v>
      </c>
      <c r="I52" s="292">
        <v>0</v>
      </c>
      <c r="J52" s="292">
        <v>0</v>
      </c>
      <c r="K52" s="292">
        <v>0</v>
      </c>
      <c r="L52" s="292">
        <v>0</v>
      </c>
      <c r="M52" s="292">
        <v>0</v>
      </c>
      <c r="N52" s="292">
        <v>0</v>
      </c>
      <c r="O52" s="292">
        <v>0</v>
      </c>
      <c r="P52" s="292">
        <v>0</v>
      </c>
      <c r="Q52" s="292">
        <v>0</v>
      </c>
      <c r="R52" s="292">
        <v>0</v>
      </c>
      <c r="S52" s="292">
        <v>0</v>
      </c>
      <c r="T52" s="410" t="e">
        <v>#DIV/0!</v>
      </c>
      <c r="U52" s="450">
        <v>0</v>
      </c>
      <c r="V52" s="450">
        <v>0</v>
      </c>
      <c r="W52" s="446"/>
      <c r="X52" s="446"/>
      <c r="Y52" s="446"/>
      <c r="Z52" s="446"/>
    </row>
    <row r="53" spans="1:26" x14ac:dyDescent="0.2">
      <c r="A53" s="409" t="s">
        <v>293</v>
      </c>
      <c r="B53" s="292">
        <v>500</v>
      </c>
      <c r="C53" s="292">
        <v>500</v>
      </c>
      <c r="D53" s="292">
        <v>0</v>
      </c>
      <c r="E53" s="446"/>
      <c r="F53" s="446"/>
      <c r="G53" s="292">
        <v>0</v>
      </c>
      <c r="H53" s="292">
        <v>0</v>
      </c>
      <c r="I53" s="292">
        <v>0</v>
      </c>
      <c r="J53" s="292">
        <v>0</v>
      </c>
      <c r="K53" s="292">
        <v>0</v>
      </c>
      <c r="L53" s="292">
        <v>0</v>
      </c>
      <c r="M53" s="292">
        <v>0</v>
      </c>
      <c r="N53" s="292">
        <v>0</v>
      </c>
      <c r="O53" s="292">
        <v>0</v>
      </c>
      <c r="P53" s="292">
        <v>0</v>
      </c>
      <c r="Q53" s="292">
        <v>0</v>
      </c>
      <c r="R53" s="292">
        <v>0</v>
      </c>
      <c r="S53" s="292">
        <v>0</v>
      </c>
      <c r="T53" s="410">
        <v>0</v>
      </c>
      <c r="U53" s="450">
        <v>500</v>
      </c>
      <c r="V53" s="450">
        <v>0</v>
      </c>
      <c r="W53" s="446"/>
      <c r="X53" s="446"/>
      <c r="Y53" s="446"/>
      <c r="Z53" s="446"/>
    </row>
    <row r="54" spans="1:26" x14ac:dyDescent="0.2">
      <c r="A54" s="409" t="s">
        <v>294</v>
      </c>
      <c r="B54" s="292">
        <v>0</v>
      </c>
      <c r="C54" s="292">
        <v>0</v>
      </c>
      <c r="D54" s="292">
        <v>0</v>
      </c>
      <c r="E54" s="446"/>
      <c r="F54" s="446"/>
      <c r="G54" s="292">
        <v>0</v>
      </c>
      <c r="H54" s="292">
        <v>0</v>
      </c>
      <c r="I54" s="292">
        <v>0</v>
      </c>
      <c r="J54" s="292">
        <v>0</v>
      </c>
      <c r="K54" s="292">
        <v>0</v>
      </c>
      <c r="L54" s="292">
        <v>0</v>
      </c>
      <c r="M54" s="292">
        <v>0</v>
      </c>
      <c r="N54" s="292">
        <v>0</v>
      </c>
      <c r="O54" s="292">
        <v>0</v>
      </c>
      <c r="P54" s="292">
        <v>0</v>
      </c>
      <c r="Q54" s="292">
        <v>0</v>
      </c>
      <c r="R54" s="292">
        <v>0</v>
      </c>
      <c r="S54" s="292">
        <v>0</v>
      </c>
      <c r="T54" s="410" t="e">
        <v>#DIV/0!</v>
      </c>
      <c r="U54" s="450">
        <v>0</v>
      </c>
      <c r="V54" s="450">
        <v>0</v>
      </c>
      <c r="W54" s="446"/>
      <c r="X54" s="446"/>
      <c r="Y54" s="446"/>
      <c r="Z54" s="446"/>
    </row>
    <row r="55" spans="1:26" x14ac:dyDescent="0.2">
      <c r="A55" s="409" t="s">
        <v>295</v>
      </c>
      <c r="B55" s="292">
        <v>0</v>
      </c>
      <c r="C55" s="292">
        <v>0</v>
      </c>
      <c r="D55" s="292">
        <v>0</v>
      </c>
      <c r="E55" s="446"/>
      <c r="F55" s="446"/>
      <c r="G55" s="292">
        <v>0</v>
      </c>
      <c r="H55" s="292">
        <v>0</v>
      </c>
      <c r="I55" s="292">
        <v>0</v>
      </c>
      <c r="J55" s="292">
        <v>0</v>
      </c>
      <c r="K55" s="292">
        <v>0</v>
      </c>
      <c r="L55" s="292">
        <v>0</v>
      </c>
      <c r="M55" s="292">
        <v>0</v>
      </c>
      <c r="N55" s="292">
        <v>0</v>
      </c>
      <c r="O55" s="292">
        <v>0</v>
      </c>
      <c r="P55" s="292">
        <v>0</v>
      </c>
      <c r="Q55" s="292">
        <v>0</v>
      </c>
      <c r="R55" s="292">
        <v>0</v>
      </c>
      <c r="S55" s="292">
        <v>0</v>
      </c>
      <c r="T55" s="410" t="e">
        <v>#DIV/0!</v>
      </c>
      <c r="U55" s="450">
        <v>0</v>
      </c>
      <c r="V55" s="450">
        <v>0</v>
      </c>
      <c r="W55" s="446"/>
      <c r="X55" s="446"/>
      <c r="Y55" s="446"/>
      <c r="Z55" s="446"/>
    </row>
    <row r="56" spans="1:26" x14ac:dyDescent="0.2">
      <c r="A56" s="409" t="s">
        <v>296</v>
      </c>
      <c r="B56" s="292">
        <v>0</v>
      </c>
      <c r="C56" s="292">
        <v>0</v>
      </c>
      <c r="D56" s="292">
        <v>0</v>
      </c>
      <c r="E56" s="446"/>
      <c r="F56" s="446"/>
      <c r="G56" s="292">
        <v>0</v>
      </c>
      <c r="H56" s="292">
        <v>0</v>
      </c>
      <c r="I56" s="292">
        <v>0</v>
      </c>
      <c r="J56" s="292">
        <v>0</v>
      </c>
      <c r="K56" s="292">
        <v>0</v>
      </c>
      <c r="L56" s="292">
        <v>0</v>
      </c>
      <c r="M56" s="292">
        <v>0</v>
      </c>
      <c r="N56" s="292">
        <v>0</v>
      </c>
      <c r="O56" s="292">
        <v>0</v>
      </c>
      <c r="P56" s="292">
        <v>0</v>
      </c>
      <c r="Q56" s="292">
        <v>0</v>
      </c>
      <c r="R56" s="292">
        <v>0</v>
      </c>
      <c r="S56" s="292">
        <v>0</v>
      </c>
      <c r="T56" s="410" t="e">
        <v>#DIV/0!</v>
      </c>
      <c r="U56" s="450">
        <v>0</v>
      </c>
      <c r="V56" s="450">
        <v>0</v>
      </c>
      <c r="W56" s="446"/>
      <c r="X56" s="446"/>
      <c r="Y56" s="446"/>
      <c r="Z56" s="446"/>
    </row>
    <row r="57" spans="1:26" x14ac:dyDescent="0.2">
      <c r="A57" s="441" t="s">
        <v>297</v>
      </c>
      <c r="B57" s="442">
        <v>10000</v>
      </c>
      <c r="C57" s="442">
        <v>10000</v>
      </c>
      <c r="D57" s="442">
        <v>39893.159999999989</v>
      </c>
      <c r="E57" s="443"/>
      <c r="F57" s="443"/>
      <c r="G57" s="442">
        <v>8604.58</v>
      </c>
      <c r="H57" s="442">
        <v>2233.66</v>
      </c>
      <c r="I57" s="442">
        <v>5527.09</v>
      </c>
      <c r="J57" s="442">
        <v>5327.4939999999997</v>
      </c>
      <c r="K57" s="442">
        <v>5433.1600000000008</v>
      </c>
      <c r="L57" s="442">
        <v>4734.8599999999997</v>
      </c>
      <c r="M57" s="442">
        <v>2861.1940000000004</v>
      </c>
      <c r="N57" s="442">
        <v>3060.6099999999997</v>
      </c>
      <c r="O57" s="442">
        <v>2110.5099999999998</v>
      </c>
      <c r="P57" s="442">
        <v>0</v>
      </c>
      <c r="Q57" s="442">
        <v>0</v>
      </c>
      <c r="R57" s="442">
        <v>0</v>
      </c>
      <c r="S57" s="442">
        <v>39893.158000000003</v>
      </c>
      <c r="T57" s="444">
        <v>3.9893158000000004</v>
      </c>
      <c r="U57" s="445">
        <v>-29893.158000000003</v>
      </c>
      <c r="V57" s="445">
        <v>1.9999999858555384E-3</v>
      </c>
      <c r="W57" s="446"/>
      <c r="X57" s="446"/>
      <c r="Y57" s="446"/>
      <c r="Z57" s="446"/>
    </row>
    <row r="58" spans="1:26" x14ac:dyDescent="0.2">
      <c r="A58" s="454" t="s">
        <v>298</v>
      </c>
      <c r="B58" s="448">
        <v>0</v>
      </c>
      <c r="C58" s="448">
        <v>0</v>
      </c>
      <c r="D58" s="448">
        <v>0</v>
      </c>
      <c r="E58" s="443"/>
      <c r="F58" s="443"/>
      <c r="G58" s="448">
        <v>0</v>
      </c>
      <c r="H58" s="448">
        <v>0</v>
      </c>
      <c r="I58" s="448">
        <v>0</v>
      </c>
      <c r="J58" s="448">
        <v>0</v>
      </c>
      <c r="K58" s="448">
        <v>0</v>
      </c>
      <c r="L58" s="448">
        <v>0</v>
      </c>
      <c r="M58" s="448">
        <v>0</v>
      </c>
      <c r="N58" s="448">
        <v>0</v>
      </c>
      <c r="O58" s="448">
        <v>0</v>
      </c>
      <c r="P58" s="448">
        <v>0</v>
      </c>
      <c r="Q58" s="448">
        <v>0</v>
      </c>
      <c r="R58" s="448">
        <v>0</v>
      </c>
      <c r="S58" s="448">
        <v>0</v>
      </c>
      <c r="T58" s="407" t="e">
        <v>#DIV/0!</v>
      </c>
      <c r="U58" s="449">
        <v>0</v>
      </c>
      <c r="V58" s="449">
        <v>0</v>
      </c>
      <c r="W58" s="446"/>
      <c r="X58" s="446"/>
      <c r="Y58" s="446"/>
      <c r="Z58" s="446"/>
    </row>
    <row r="59" spans="1:26" ht="24" x14ac:dyDescent="0.2">
      <c r="A59" s="409" t="s">
        <v>299</v>
      </c>
      <c r="B59" s="292">
        <v>0</v>
      </c>
      <c r="C59" s="292">
        <v>0</v>
      </c>
      <c r="D59" s="292">
        <v>0</v>
      </c>
      <c r="E59" s="446"/>
      <c r="F59" s="446"/>
      <c r="G59" s="292">
        <v>0</v>
      </c>
      <c r="H59" s="292">
        <v>0</v>
      </c>
      <c r="I59" s="292">
        <v>0</v>
      </c>
      <c r="J59" s="292">
        <v>0</v>
      </c>
      <c r="K59" s="292">
        <v>0</v>
      </c>
      <c r="L59" s="292">
        <v>0</v>
      </c>
      <c r="M59" s="292">
        <v>0</v>
      </c>
      <c r="N59" s="292">
        <v>0</v>
      </c>
      <c r="O59" s="292">
        <v>0</v>
      </c>
      <c r="P59" s="292">
        <v>0</v>
      </c>
      <c r="Q59" s="292">
        <v>0</v>
      </c>
      <c r="R59" s="292">
        <v>0</v>
      </c>
      <c r="S59" s="292">
        <v>0</v>
      </c>
      <c r="T59" s="410" t="e">
        <v>#DIV/0!</v>
      </c>
      <c r="U59" s="450">
        <v>0</v>
      </c>
      <c r="V59" s="450">
        <v>0</v>
      </c>
      <c r="W59" s="446"/>
      <c r="X59" s="446"/>
      <c r="Y59" s="446"/>
      <c r="Z59" s="446"/>
    </row>
    <row r="60" spans="1:26" x14ac:dyDescent="0.2">
      <c r="A60" s="409" t="s">
        <v>300</v>
      </c>
      <c r="B60" s="292">
        <v>0</v>
      </c>
      <c r="C60" s="292">
        <v>0</v>
      </c>
      <c r="D60" s="292">
        <v>0</v>
      </c>
      <c r="E60" s="446"/>
      <c r="F60" s="446"/>
      <c r="G60" s="292">
        <v>0</v>
      </c>
      <c r="H60" s="292">
        <v>0</v>
      </c>
      <c r="I60" s="292">
        <v>0</v>
      </c>
      <c r="J60" s="292">
        <v>0</v>
      </c>
      <c r="K60" s="292">
        <v>0</v>
      </c>
      <c r="L60" s="292">
        <v>0</v>
      </c>
      <c r="M60" s="292">
        <v>0</v>
      </c>
      <c r="N60" s="292">
        <v>0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410" t="e">
        <v>#DIV/0!</v>
      </c>
      <c r="U60" s="450">
        <v>0</v>
      </c>
      <c r="V60" s="450">
        <v>0</v>
      </c>
      <c r="W60" s="446"/>
      <c r="X60" s="446"/>
      <c r="Y60" s="446"/>
      <c r="Z60" s="446"/>
    </row>
    <row r="61" spans="1:26" ht="24" x14ac:dyDescent="0.2">
      <c r="A61" s="409" t="s">
        <v>301</v>
      </c>
      <c r="B61" s="292">
        <v>0</v>
      </c>
      <c r="C61" s="292">
        <v>0</v>
      </c>
      <c r="D61" s="292">
        <v>0</v>
      </c>
      <c r="E61" s="446"/>
      <c r="F61" s="446"/>
      <c r="G61" s="292">
        <v>0</v>
      </c>
      <c r="H61" s="292">
        <v>0</v>
      </c>
      <c r="I61" s="292">
        <v>0</v>
      </c>
      <c r="J61" s="292">
        <v>0</v>
      </c>
      <c r="K61" s="292">
        <v>0</v>
      </c>
      <c r="L61" s="292">
        <v>0</v>
      </c>
      <c r="M61" s="292">
        <v>0</v>
      </c>
      <c r="N61" s="292">
        <v>0</v>
      </c>
      <c r="O61" s="292">
        <v>0</v>
      </c>
      <c r="P61" s="292">
        <v>0</v>
      </c>
      <c r="Q61" s="292">
        <v>0</v>
      </c>
      <c r="R61" s="292">
        <v>0</v>
      </c>
      <c r="S61" s="292">
        <v>0</v>
      </c>
      <c r="T61" s="410" t="e">
        <v>#DIV/0!</v>
      </c>
      <c r="U61" s="450">
        <v>0</v>
      </c>
      <c r="V61" s="450">
        <v>0</v>
      </c>
      <c r="W61" s="446"/>
      <c r="X61" s="446"/>
      <c r="Y61" s="446"/>
      <c r="Z61" s="446"/>
    </row>
    <row r="62" spans="1:26" x14ac:dyDescent="0.2">
      <c r="A62" s="409" t="s">
        <v>302</v>
      </c>
      <c r="B62" s="292">
        <v>0</v>
      </c>
      <c r="C62" s="292">
        <v>0</v>
      </c>
      <c r="D62" s="292">
        <v>0</v>
      </c>
      <c r="E62" s="446"/>
      <c r="F62" s="446"/>
      <c r="G62" s="292">
        <v>0</v>
      </c>
      <c r="H62" s="292">
        <v>0</v>
      </c>
      <c r="I62" s="292">
        <v>0</v>
      </c>
      <c r="J62" s="292">
        <v>0</v>
      </c>
      <c r="K62" s="292">
        <v>0</v>
      </c>
      <c r="L62" s="292">
        <v>0</v>
      </c>
      <c r="M62" s="292">
        <v>0</v>
      </c>
      <c r="N62" s="292">
        <v>0</v>
      </c>
      <c r="O62" s="292">
        <v>0</v>
      </c>
      <c r="P62" s="292">
        <v>0</v>
      </c>
      <c r="Q62" s="292">
        <v>0</v>
      </c>
      <c r="R62" s="292">
        <v>0</v>
      </c>
      <c r="S62" s="292">
        <v>0</v>
      </c>
      <c r="T62" s="410" t="e">
        <v>#DIV/0!</v>
      </c>
      <c r="U62" s="450">
        <v>0</v>
      </c>
      <c r="V62" s="450">
        <v>0</v>
      </c>
      <c r="W62" s="446"/>
      <c r="X62" s="446"/>
      <c r="Y62" s="446"/>
      <c r="Z62" s="446"/>
    </row>
    <row r="63" spans="1:26" x14ac:dyDescent="0.2">
      <c r="A63" s="409" t="s">
        <v>303</v>
      </c>
      <c r="B63" s="292">
        <v>0</v>
      </c>
      <c r="C63" s="292">
        <v>0</v>
      </c>
      <c r="D63" s="292">
        <v>0</v>
      </c>
      <c r="E63" s="446"/>
      <c r="F63" s="446"/>
      <c r="G63" s="292">
        <v>0</v>
      </c>
      <c r="H63" s="292">
        <v>0</v>
      </c>
      <c r="I63" s="292">
        <v>0</v>
      </c>
      <c r="J63" s="292">
        <v>0</v>
      </c>
      <c r="K63" s="292">
        <v>0</v>
      </c>
      <c r="L63" s="292">
        <v>0</v>
      </c>
      <c r="M63" s="292">
        <v>0</v>
      </c>
      <c r="N63" s="292">
        <v>0</v>
      </c>
      <c r="O63" s="292">
        <v>0</v>
      </c>
      <c r="P63" s="292">
        <v>0</v>
      </c>
      <c r="Q63" s="292">
        <v>0</v>
      </c>
      <c r="R63" s="292">
        <v>0</v>
      </c>
      <c r="S63" s="292">
        <v>0</v>
      </c>
      <c r="T63" s="410" t="e">
        <v>#DIV/0!</v>
      </c>
      <c r="U63" s="450">
        <v>0</v>
      </c>
      <c r="V63" s="450">
        <v>0</v>
      </c>
      <c r="W63" s="446"/>
      <c r="X63" s="446"/>
      <c r="Y63" s="446"/>
      <c r="Z63" s="446"/>
    </row>
    <row r="64" spans="1:26" x14ac:dyDescent="0.2">
      <c r="A64" s="454" t="s">
        <v>304</v>
      </c>
      <c r="B64" s="451">
        <v>0</v>
      </c>
      <c r="C64" s="451">
        <v>0</v>
      </c>
      <c r="D64" s="451">
        <v>0</v>
      </c>
      <c r="E64" s="452"/>
      <c r="F64" s="452"/>
      <c r="G64" s="451">
        <v>0</v>
      </c>
      <c r="H64" s="451">
        <v>0</v>
      </c>
      <c r="I64" s="451">
        <v>0</v>
      </c>
      <c r="J64" s="451">
        <v>0</v>
      </c>
      <c r="K64" s="451">
        <v>0</v>
      </c>
      <c r="L64" s="451">
        <v>0</v>
      </c>
      <c r="M64" s="451">
        <v>0</v>
      </c>
      <c r="N64" s="451">
        <v>0</v>
      </c>
      <c r="O64" s="451">
        <v>0</v>
      </c>
      <c r="P64" s="451">
        <v>0</v>
      </c>
      <c r="Q64" s="451">
        <v>0</v>
      </c>
      <c r="R64" s="451">
        <v>0</v>
      </c>
      <c r="S64" s="451">
        <v>0</v>
      </c>
      <c r="T64" s="407" t="e">
        <v>#DIV/0!</v>
      </c>
      <c r="U64" s="449">
        <v>0</v>
      </c>
      <c r="V64" s="449">
        <v>0</v>
      </c>
      <c r="W64" s="452"/>
      <c r="X64" s="452"/>
      <c r="Y64" s="446"/>
      <c r="Z64" s="446"/>
    </row>
    <row r="65" spans="1:26" x14ac:dyDescent="0.2">
      <c r="A65" s="454" t="s">
        <v>305</v>
      </c>
      <c r="B65" s="451">
        <v>10000</v>
      </c>
      <c r="C65" s="451">
        <v>10000</v>
      </c>
      <c r="D65" s="451">
        <v>39893.159999999989</v>
      </c>
      <c r="E65" s="452"/>
      <c r="F65" s="452"/>
      <c r="G65" s="451">
        <v>8604.58</v>
      </c>
      <c r="H65" s="451">
        <v>2233.66</v>
      </c>
      <c r="I65" s="451">
        <v>5527.09</v>
      </c>
      <c r="J65" s="451">
        <v>5327.4939999999997</v>
      </c>
      <c r="K65" s="451">
        <v>5433.1600000000008</v>
      </c>
      <c r="L65" s="451">
        <v>4734.8599999999997</v>
      </c>
      <c r="M65" s="451">
        <v>2861.1940000000004</v>
      </c>
      <c r="N65" s="451">
        <v>3060.6099999999997</v>
      </c>
      <c r="O65" s="451">
        <v>2110.5099999999998</v>
      </c>
      <c r="P65" s="451">
        <v>0</v>
      </c>
      <c r="Q65" s="451">
        <v>0</v>
      </c>
      <c r="R65" s="451">
        <v>0</v>
      </c>
      <c r="S65" s="451">
        <v>39893.158000000003</v>
      </c>
      <c r="T65" s="407">
        <v>3.9893158000000004</v>
      </c>
      <c r="U65" s="449">
        <v>-29893.158000000003</v>
      </c>
      <c r="V65" s="449">
        <v>1.9999999858555384E-3</v>
      </c>
      <c r="W65" s="452"/>
      <c r="X65" s="452"/>
      <c r="Y65" s="446"/>
      <c r="Z65" s="446"/>
    </row>
    <row r="66" spans="1:26" x14ac:dyDescent="0.2">
      <c r="A66" s="454" t="s">
        <v>306</v>
      </c>
      <c r="B66" s="448">
        <v>0</v>
      </c>
      <c r="C66" s="448">
        <v>0</v>
      </c>
      <c r="D66" s="448">
        <v>0</v>
      </c>
      <c r="E66" s="443"/>
      <c r="F66" s="443"/>
      <c r="G66" s="448">
        <v>0</v>
      </c>
      <c r="H66" s="448">
        <v>0</v>
      </c>
      <c r="I66" s="448">
        <v>0</v>
      </c>
      <c r="J66" s="448">
        <v>0</v>
      </c>
      <c r="K66" s="448">
        <v>0</v>
      </c>
      <c r="L66" s="448">
        <v>0</v>
      </c>
      <c r="M66" s="448">
        <v>0</v>
      </c>
      <c r="N66" s="448">
        <v>0</v>
      </c>
      <c r="O66" s="448">
        <v>0</v>
      </c>
      <c r="P66" s="448">
        <v>0</v>
      </c>
      <c r="Q66" s="448">
        <v>0</v>
      </c>
      <c r="R66" s="448">
        <v>0</v>
      </c>
      <c r="S66" s="448">
        <v>0</v>
      </c>
      <c r="T66" s="407" t="e">
        <v>#DIV/0!</v>
      </c>
      <c r="U66" s="449">
        <v>0</v>
      </c>
      <c r="V66" s="449">
        <v>0</v>
      </c>
      <c r="W66" s="452"/>
      <c r="X66" s="452"/>
      <c r="Y66" s="446"/>
      <c r="Z66" s="446"/>
    </row>
    <row r="67" spans="1:26" x14ac:dyDescent="0.2">
      <c r="A67" s="409" t="s">
        <v>307</v>
      </c>
      <c r="B67" s="292">
        <v>0</v>
      </c>
      <c r="C67" s="292">
        <v>0</v>
      </c>
      <c r="D67" s="292">
        <v>0</v>
      </c>
      <c r="E67" s="446"/>
      <c r="F67" s="446"/>
      <c r="G67" s="292">
        <v>0</v>
      </c>
      <c r="H67" s="292">
        <v>0</v>
      </c>
      <c r="I67" s="292">
        <v>0</v>
      </c>
      <c r="J67" s="292">
        <v>0</v>
      </c>
      <c r="K67" s="292">
        <v>0</v>
      </c>
      <c r="L67" s="292">
        <v>0</v>
      </c>
      <c r="M67" s="292">
        <v>0</v>
      </c>
      <c r="N67" s="292">
        <v>0</v>
      </c>
      <c r="O67" s="292">
        <v>0</v>
      </c>
      <c r="P67" s="292">
        <v>0</v>
      </c>
      <c r="Q67" s="292">
        <v>0</v>
      </c>
      <c r="R67" s="292">
        <v>0</v>
      </c>
      <c r="S67" s="292">
        <v>0</v>
      </c>
      <c r="T67" s="410" t="e">
        <v>#DIV/0!</v>
      </c>
      <c r="U67" s="450">
        <v>0</v>
      </c>
      <c r="V67" s="450">
        <v>0</v>
      </c>
      <c r="W67" s="446"/>
      <c r="X67" s="446"/>
      <c r="Y67" s="446"/>
      <c r="Z67" s="446"/>
    </row>
    <row r="68" spans="1:26" ht="24" x14ac:dyDescent="0.2">
      <c r="A68" s="409" t="s">
        <v>308</v>
      </c>
      <c r="B68" s="292">
        <v>0</v>
      </c>
      <c r="C68" s="292">
        <v>0</v>
      </c>
      <c r="D68" s="292">
        <v>0</v>
      </c>
      <c r="E68" s="446"/>
      <c r="F68" s="446"/>
      <c r="G68" s="292">
        <v>0</v>
      </c>
      <c r="H68" s="292">
        <v>0</v>
      </c>
      <c r="I68" s="292">
        <v>0</v>
      </c>
      <c r="J68" s="292">
        <v>0</v>
      </c>
      <c r="K68" s="292">
        <v>0</v>
      </c>
      <c r="L68" s="292">
        <v>0</v>
      </c>
      <c r="M68" s="292">
        <v>0</v>
      </c>
      <c r="N68" s="292">
        <v>0</v>
      </c>
      <c r="O68" s="292">
        <v>0</v>
      </c>
      <c r="P68" s="292">
        <v>0</v>
      </c>
      <c r="Q68" s="292">
        <v>0</v>
      </c>
      <c r="R68" s="292">
        <v>0</v>
      </c>
      <c r="S68" s="292">
        <v>0</v>
      </c>
      <c r="T68" s="410" t="e">
        <v>#DIV/0!</v>
      </c>
      <c r="U68" s="450">
        <v>0</v>
      </c>
      <c r="V68" s="450">
        <v>0</v>
      </c>
      <c r="W68" s="446"/>
      <c r="X68" s="446"/>
      <c r="Y68" s="446"/>
      <c r="Z68" s="446"/>
    </row>
    <row r="69" spans="1:26" x14ac:dyDescent="0.2">
      <c r="A69" s="409" t="s">
        <v>309</v>
      </c>
      <c r="B69" s="292">
        <v>0</v>
      </c>
      <c r="C69" s="292">
        <v>0</v>
      </c>
      <c r="D69" s="292">
        <v>0</v>
      </c>
      <c r="E69" s="446"/>
      <c r="F69" s="446"/>
      <c r="G69" s="292">
        <v>0</v>
      </c>
      <c r="H69" s="292">
        <v>0</v>
      </c>
      <c r="I69" s="292">
        <v>0</v>
      </c>
      <c r="J69" s="292">
        <v>0</v>
      </c>
      <c r="K69" s="292">
        <v>0</v>
      </c>
      <c r="L69" s="292">
        <v>0</v>
      </c>
      <c r="M69" s="292">
        <v>0</v>
      </c>
      <c r="N69" s="292">
        <v>0</v>
      </c>
      <c r="O69" s="292">
        <v>0</v>
      </c>
      <c r="P69" s="292">
        <v>0</v>
      </c>
      <c r="Q69" s="292">
        <v>0</v>
      </c>
      <c r="R69" s="292">
        <v>0</v>
      </c>
      <c r="S69" s="292">
        <v>0</v>
      </c>
      <c r="T69" s="410" t="e">
        <v>#DIV/0!</v>
      </c>
      <c r="U69" s="450">
        <v>0</v>
      </c>
      <c r="V69" s="450">
        <v>0</v>
      </c>
      <c r="W69" s="446"/>
      <c r="X69" s="446"/>
      <c r="Y69" s="446"/>
      <c r="Z69" s="446"/>
    </row>
    <row r="70" spans="1:26" x14ac:dyDescent="0.2">
      <c r="A70" s="454" t="s">
        <v>310</v>
      </c>
      <c r="B70" s="451">
        <v>0</v>
      </c>
      <c r="C70" s="451">
        <v>0</v>
      </c>
      <c r="D70" s="451">
        <v>0</v>
      </c>
      <c r="E70" s="452"/>
      <c r="F70" s="452"/>
      <c r="G70" s="451">
        <v>0</v>
      </c>
      <c r="H70" s="451">
        <v>0</v>
      </c>
      <c r="I70" s="451">
        <v>0</v>
      </c>
      <c r="J70" s="451">
        <v>0</v>
      </c>
      <c r="K70" s="451">
        <v>0</v>
      </c>
      <c r="L70" s="451">
        <v>0</v>
      </c>
      <c r="M70" s="451">
        <v>0</v>
      </c>
      <c r="N70" s="451">
        <v>0</v>
      </c>
      <c r="O70" s="451">
        <v>0</v>
      </c>
      <c r="P70" s="451">
        <v>0</v>
      </c>
      <c r="Q70" s="451">
        <v>0</v>
      </c>
      <c r="R70" s="451">
        <v>0</v>
      </c>
      <c r="S70" s="451">
        <v>0</v>
      </c>
      <c r="T70" s="407" t="e">
        <v>#DIV/0!</v>
      </c>
      <c r="U70" s="449">
        <v>0</v>
      </c>
      <c r="V70" s="449">
        <v>0</v>
      </c>
      <c r="W70" s="452"/>
      <c r="X70" s="452"/>
      <c r="Y70" s="446"/>
      <c r="Z70" s="446"/>
    </row>
    <row r="71" spans="1:26" x14ac:dyDescent="0.2">
      <c r="A71" s="441" t="s">
        <v>311</v>
      </c>
      <c r="B71" s="442">
        <v>16388400</v>
      </c>
      <c r="C71" s="442">
        <v>14037377.91</v>
      </c>
      <c r="D71" s="442">
        <v>5845207.6100000003</v>
      </c>
      <c r="E71" s="443"/>
      <c r="F71" s="443"/>
      <c r="G71" s="442">
        <v>0</v>
      </c>
      <c r="H71" s="442">
        <v>0</v>
      </c>
      <c r="I71" s="442">
        <v>5840127.9100000001</v>
      </c>
      <c r="J71" s="442">
        <v>0</v>
      </c>
      <c r="K71" s="442">
        <v>0</v>
      </c>
      <c r="L71" s="442">
        <v>0</v>
      </c>
      <c r="M71" s="442">
        <v>0</v>
      </c>
      <c r="N71" s="442">
        <v>3939.7</v>
      </c>
      <c r="O71" s="442">
        <v>1140</v>
      </c>
      <c r="P71" s="442">
        <v>0</v>
      </c>
      <c r="Q71" s="442">
        <v>0</v>
      </c>
      <c r="R71" s="442">
        <v>0</v>
      </c>
      <c r="S71" s="442">
        <v>5845207.6100000003</v>
      </c>
      <c r="T71" s="444">
        <v>0.41640309518460489</v>
      </c>
      <c r="U71" s="445">
        <v>8192170.2999999998</v>
      </c>
      <c r="V71" s="445">
        <v>0</v>
      </c>
      <c r="W71" s="446"/>
      <c r="X71" s="446"/>
      <c r="Y71" s="446"/>
      <c r="Z71" s="446"/>
    </row>
    <row r="72" spans="1:26" ht="24" x14ac:dyDescent="0.2">
      <c r="A72" s="454" t="s">
        <v>312</v>
      </c>
      <c r="B72" s="451">
        <v>0</v>
      </c>
      <c r="C72" s="451">
        <v>0</v>
      </c>
      <c r="D72" s="451">
        <v>0</v>
      </c>
      <c r="E72" s="452"/>
      <c r="F72" s="452"/>
      <c r="G72" s="451">
        <v>0</v>
      </c>
      <c r="H72" s="451">
        <v>0</v>
      </c>
      <c r="I72" s="451">
        <v>0</v>
      </c>
      <c r="J72" s="451">
        <v>0</v>
      </c>
      <c r="K72" s="451">
        <v>0</v>
      </c>
      <c r="L72" s="451">
        <v>0</v>
      </c>
      <c r="M72" s="451">
        <v>0</v>
      </c>
      <c r="N72" s="451">
        <v>0</v>
      </c>
      <c r="O72" s="451">
        <v>0</v>
      </c>
      <c r="P72" s="451">
        <v>0</v>
      </c>
      <c r="Q72" s="451">
        <v>0</v>
      </c>
      <c r="R72" s="451">
        <v>0</v>
      </c>
      <c r="S72" s="451">
        <v>0</v>
      </c>
      <c r="T72" s="407" t="e">
        <v>#DIV/0!</v>
      </c>
      <c r="U72" s="449">
        <v>0</v>
      </c>
      <c r="V72" s="449">
        <v>0</v>
      </c>
      <c r="W72" s="452"/>
      <c r="X72" s="446"/>
      <c r="Y72" s="446"/>
      <c r="Z72" s="446"/>
    </row>
    <row r="73" spans="1:26" x14ac:dyDescent="0.2">
      <c r="A73" s="454" t="s">
        <v>313</v>
      </c>
      <c r="B73" s="448">
        <v>16388400</v>
      </c>
      <c r="C73" s="448">
        <v>14037377.91</v>
      </c>
      <c r="D73" s="448">
        <v>5840127.9100000001</v>
      </c>
      <c r="E73" s="443"/>
      <c r="F73" s="443"/>
      <c r="G73" s="448">
        <v>0</v>
      </c>
      <c r="H73" s="448">
        <v>0</v>
      </c>
      <c r="I73" s="448">
        <v>5840127.9100000001</v>
      </c>
      <c r="J73" s="448">
        <v>0</v>
      </c>
      <c r="K73" s="448">
        <v>0</v>
      </c>
      <c r="L73" s="448">
        <v>0</v>
      </c>
      <c r="M73" s="448">
        <v>0</v>
      </c>
      <c r="N73" s="448">
        <v>0</v>
      </c>
      <c r="O73" s="448">
        <v>0</v>
      </c>
      <c r="P73" s="448">
        <v>0</v>
      </c>
      <c r="Q73" s="448">
        <v>0</v>
      </c>
      <c r="R73" s="448">
        <v>0</v>
      </c>
      <c r="S73" s="448">
        <v>5840127.9100000001</v>
      </c>
      <c r="T73" s="407">
        <v>0.41604122560806656</v>
      </c>
      <c r="U73" s="449">
        <v>8197250</v>
      </c>
      <c r="V73" s="449">
        <v>0</v>
      </c>
      <c r="W73" s="452"/>
      <c r="X73" s="446"/>
      <c r="Y73" s="446"/>
      <c r="Z73" s="446"/>
    </row>
    <row r="74" spans="1:26" x14ac:dyDescent="0.2">
      <c r="A74" s="409" t="s">
        <v>314</v>
      </c>
      <c r="B74" s="455">
        <v>16388400</v>
      </c>
      <c r="C74" s="455">
        <v>14034327.91</v>
      </c>
      <c r="D74" s="455">
        <v>5840127.9100000001</v>
      </c>
      <c r="E74" s="456"/>
      <c r="F74" s="456"/>
      <c r="G74" s="455">
        <v>0</v>
      </c>
      <c r="H74" s="455">
        <v>0</v>
      </c>
      <c r="I74" s="455">
        <v>5840127.9100000001</v>
      </c>
      <c r="J74" s="455">
        <v>0</v>
      </c>
      <c r="K74" s="455">
        <v>0</v>
      </c>
      <c r="L74" s="455">
        <v>0</v>
      </c>
      <c r="M74" s="455">
        <v>0</v>
      </c>
      <c r="N74" s="455">
        <v>0</v>
      </c>
      <c r="O74" s="455">
        <v>0</v>
      </c>
      <c r="P74" s="455">
        <v>0</v>
      </c>
      <c r="Q74" s="455">
        <v>0</v>
      </c>
      <c r="R74" s="455">
        <v>0</v>
      </c>
      <c r="S74" s="455">
        <v>5840127.9100000001</v>
      </c>
      <c r="T74" s="410">
        <v>0.41613164146169646</v>
      </c>
      <c r="U74" s="450">
        <v>8194200</v>
      </c>
      <c r="V74" s="450">
        <v>0</v>
      </c>
      <c r="W74" s="446"/>
      <c r="X74" s="446"/>
      <c r="Y74" s="446"/>
      <c r="Z74" s="446"/>
    </row>
    <row r="75" spans="1:26" ht="24" x14ac:dyDescent="0.2">
      <c r="A75" s="414" t="s">
        <v>315</v>
      </c>
      <c r="B75" s="455">
        <v>16388400</v>
      </c>
      <c r="C75" s="455">
        <v>14034327.91</v>
      </c>
      <c r="D75" s="455">
        <v>5840127.9100000001</v>
      </c>
      <c r="E75" s="456"/>
      <c r="F75" s="456"/>
      <c r="G75" s="455">
        <v>0</v>
      </c>
      <c r="H75" s="455">
        <v>0</v>
      </c>
      <c r="I75" s="455">
        <v>5840127.9100000001</v>
      </c>
      <c r="J75" s="455">
        <v>0</v>
      </c>
      <c r="K75" s="455">
        <v>0</v>
      </c>
      <c r="L75" s="455">
        <v>0</v>
      </c>
      <c r="M75" s="455">
        <v>0</v>
      </c>
      <c r="N75" s="455">
        <v>0</v>
      </c>
      <c r="O75" s="455">
        <v>0</v>
      </c>
      <c r="P75" s="455">
        <v>0</v>
      </c>
      <c r="Q75" s="455">
        <v>0</v>
      </c>
      <c r="R75" s="455">
        <v>0</v>
      </c>
      <c r="S75" s="455">
        <v>5840127.9100000001</v>
      </c>
      <c r="T75" s="410">
        <v>0.41613164146169646</v>
      </c>
      <c r="U75" s="450">
        <v>8194200</v>
      </c>
      <c r="V75" s="450">
        <v>0</v>
      </c>
      <c r="W75" s="446"/>
      <c r="X75" s="446"/>
      <c r="Y75" s="446"/>
      <c r="Z75" s="446"/>
    </row>
    <row r="76" spans="1:26" x14ac:dyDescent="0.2">
      <c r="A76" s="416" t="s">
        <v>316</v>
      </c>
      <c r="B76" s="292">
        <v>0</v>
      </c>
      <c r="C76" s="292">
        <v>0</v>
      </c>
      <c r="D76" s="292">
        <v>0</v>
      </c>
      <c r="E76" s="446"/>
      <c r="F76" s="446"/>
      <c r="G76" s="292">
        <v>0</v>
      </c>
      <c r="H76" s="292">
        <v>0</v>
      </c>
      <c r="I76" s="292">
        <v>0</v>
      </c>
      <c r="J76" s="292">
        <v>0</v>
      </c>
      <c r="K76" s="292">
        <v>0</v>
      </c>
      <c r="L76" s="292">
        <v>0</v>
      </c>
      <c r="M76" s="292">
        <v>0</v>
      </c>
      <c r="N76" s="292">
        <v>0</v>
      </c>
      <c r="O76" s="292">
        <v>0</v>
      </c>
      <c r="P76" s="292">
        <v>0</v>
      </c>
      <c r="Q76" s="292">
        <v>0</v>
      </c>
      <c r="R76" s="292">
        <v>0</v>
      </c>
      <c r="S76" s="292">
        <v>0</v>
      </c>
      <c r="T76" s="410" t="e">
        <v>#DIV/0!</v>
      </c>
      <c r="U76" s="450">
        <v>0</v>
      </c>
      <c r="V76" s="450">
        <v>0</v>
      </c>
      <c r="W76" s="446"/>
      <c r="X76" s="446"/>
      <c r="Y76" s="446"/>
      <c r="Z76" s="446"/>
    </row>
    <row r="77" spans="1:26" x14ac:dyDescent="0.2">
      <c r="A77" s="416" t="s">
        <v>317</v>
      </c>
      <c r="B77" s="292">
        <v>16388400</v>
      </c>
      <c r="C77" s="292">
        <v>14034327.91</v>
      </c>
      <c r="D77" s="292">
        <v>5840127.9100000001</v>
      </c>
      <c r="E77" s="446"/>
      <c r="F77" s="446"/>
      <c r="G77" s="292">
        <v>0</v>
      </c>
      <c r="H77" s="292">
        <v>0</v>
      </c>
      <c r="I77" s="292">
        <v>5840127.9100000001</v>
      </c>
      <c r="J77" s="292">
        <v>0</v>
      </c>
      <c r="K77" s="292">
        <v>0</v>
      </c>
      <c r="L77" s="292">
        <v>0</v>
      </c>
      <c r="M77" s="292">
        <v>0</v>
      </c>
      <c r="N77" s="292">
        <v>0</v>
      </c>
      <c r="O77" s="292">
        <v>0</v>
      </c>
      <c r="P77" s="292">
        <v>0</v>
      </c>
      <c r="Q77" s="292">
        <v>0</v>
      </c>
      <c r="R77" s="292">
        <v>0</v>
      </c>
      <c r="S77" s="292">
        <v>5840127.9100000001</v>
      </c>
      <c r="T77" s="410">
        <v>0.41613164146169646</v>
      </c>
      <c r="U77" s="450">
        <v>8194200</v>
      </c>
      <c r="V77" s="450">
        <v>0</v>
      </c>
      <c r="W77" s="446"/>
      <c r="X77" s="446"/>
      <c r="Y77" s="446"/>
      <c r="Z77" s="446"/>
    </row>
    <row r="78" spans="1:26" ht="24" x14ac:dyDescent="0.2">
      <c r="A78" s="416" t="s">
        <v>318</v>
      </c>
      <c r="B78" s="292">
        <v>0</v>
      </c>
      <c r="C78" s="292">
        <v>0</v>
      </c>
      <c r="D78" s="292">
        <v>0</v>
      </c>
      <c r="E78" s="446"/>
      <c r="F78" s="446"/>
      <c r="G78" s="292">
        <v>0</v>
      </c>
      <c r="H78" s="292">
        <v>0</v>
      </c>
      <c r="I78" s="292">
        <v>0</v>
      </c>
      <c r="J78" s="292">
        <v>0</v>
      </c>
      <c r="K78" s="292">
        <v>0</v>
      </c>
      <c r="L78" s="292">
        <v>0</v>
      </c>
      <c r="M78" s="292">
        <v>0</v>
      </c>
      <c r="N78" s="292">
        <v>0</v>
      </c>
      <c r="O78" s="292">
        <v>0</v>
      </c>
      <c r="P78" s="292">
        <v>0</v>
      </c>
      <c r="Q78" s="292">
        <v>0</v>
      </c>
      <c r="R78" s="292">
        <v>0</v>
      </c>
      <c r="S78" s="292">
        <v>0</v>
      </c>
      <c r="T78" s="410" t="e">
        <v>#DIV/0!</v>
      </c>
      <c r="U78" s="450">
        <v>0</v>
      </c>
      <c r="V78" s="450">
        <v>0</v>
      </c>
      <c r="W78" s="446"/>
      <c r="X78" s="446"/>
      <c r="Y78" s="446"/>
      <c r="Z78" s="446"/>
    </row>
    <row r="79" spans="1:26" ht="24" x14ac:dyDescent="0.2">
      <c r="A79" s="416" t="s">
        <v>319</v>
      </c>
      <c r="B79" s="292">
        <v>0</v>
      </c>
      <c r="C79" s="292">
        <v>0</v>
      </c>
      <c r="D79" s="292">
        <v>0</v>
      </c>
      <c r="E79" s="446"/>
      <c r="F79" s="446"/>
      <c r="G79" s="292">
        <v>0</v>
      </c>
      <c r="H79" s="292">
        <v>0</v>
      </c>
      <c r="I79" s="292">
        <v>0</v>
      </c>
      <c r="J79" s="292">
        <v>0</v>
      </c>
      <c r="K79" s="292">
        <v>0</v>
      </c>
      <c r="L79" s="292">
        <v>0</v>
      </c>
      <c r="M79" s="292">
        <v>0</v>
      </c>
      <c r="N79" s="292">
        <v>0</v>
      </c>
      <c r="O79" s="292">
        <v>0</v>
      </c>
      <c r="P79" s="292">
        <v>0</v>
      </c>
      <c r="Q79" s="292">
        <v>0</v>
      </c>
      <c r="R79" s="292">
        <v>0</v>
      </c>
      <c r="S79" s="292">
        <v>0</v>
      </c>
      <c r="T79" s="410" t="e">
        <v>#DIV/0!</v>
      </c>
      <c r="U79" s="450">
        <v>0</v>
      </c>
      <c r="V79" s="450">
        <v>0</v>
      </c>
      <c r="W79" s="446"/>
      <c r="X79" s="446"/>
      <c r="Y79" s="446"/>
      <c r="Z79" s="446"/>
    </row>
    <row r="80" spans="1:26" ht="24" x14ac:dyDescent="0.2">
      <c r="A80" s="414" t="s">
        <v>320</v>
      </c>
      <c r="B80" s="292">
        <v>0</v>
      </c>
      <c r="C80" s="292">
        <v>0</v>
      </c>
      <c r="D80" s="292">
        <v>0</v>
      </c>
      <c r="E80" s="446"/>
      <c r="F80" s="446"/>
      <c r="G80" s="292">
        <v>0</v>
      </c>
      <c r="H80" s="292">
        <v>0</v>
      </c>
      <c r="I80" s="292">
        <v>0</v>
      </c>
      <c r="J80" s="292">
        <v>0</v>
      </c>
      <c r="K80" s="292">
        <v>0</v>
      </c>
      <c r="L80" s="292">
        <v>0</v>
      </c>
      <c r="M80" s="292">
        <v>0</v>
      </c>
      <c r="N80" s="292">
        <v>0</v>
      </c>
      <c r="O80" s="292">
        <v>0</v>
      </c>
      <c r="P80" s="292">
        <v>0</v>
      </c>
      <c r="Q80" s="292">
        <v>0</v>
      </c>
      <c r="R80" s="292">
        <v>0</v>
      </c>
      <c r="S80" s="292">
        <v>0</v>
      </c>
      <c r="T80" s="410" t="e">
        <v>#DIV/0!</v>
      </c>
      <c r="U80" s="450">
        <v>0</v>
      </c>
      <c r="V80" s="450">
        <v>0</v>
      </c>
      <c r="W80" s="446"/>
      <c r="X80" s="446"/>
      <c r="Y80" s="446"/>
      <c r="Z80" s="446"/>
    </row>
    <row r="81" spans="1:26" x14ac:dyDescent="0.2">
      <c r="A81" s="409" t="s">
        <v>1399</v>
      </c>
      <c r="B81" s="292">
        <v>0</v>
      </c>
      <c r="C81" s="292">
        <v>3050</v>
      </c>
      <c r="D81" s="292">
        <v>0</v>
      </c>
      <c r="E81" s="446"/>
      <c r="F81" s="446"/>
      <c r="G81" s="292">
        <v>0</v>
      </c>
      <c r="H81" s="292">
        <v>0</v>
      </c>
      <c r="I81" s="292">
        <v>0</v>
      </c>
      <c r="J81" s="292">
        <v>0</v>
      </c>
      <c r="K81" s="292">
        <v>0</v>
      </c>
      <c r="L81" s="292">
        <v>0</v>
      </c>
      <c r="M81" s="292">
        <v>0</v>
      </c>
      <c r="N81" s="292">
        <v>0</v>
      </c>
      <c r="O81" s="292">
        <v>0</v>
      </c>
      <c r="P81" s="292">
        <v>0</v>
      </c>
      <c r="Q81" s="292">
        <v>0</v>
      </c>
      <c r="R81" s="292">
        <v>0</v>
      </c>
      <c r="S81" s="292">
        <v>0</v>
      </c>
      <c r="T81" s="410">
        <v>0</v>
      </c>
      <c r="U81" s="450">
        <v>3050</v>
      </c>
      <c r="V81" s="450">
        <v>0</v>
      </c>
      <c r="W81" s="446"/>
      <c r="X81" s="446"/>
      <c r="Y81" s="446"/>
      <c r="Z81" s="446"/>
    </row>
    <row r="82" spans="1:26" x14ac:dyDescent="0.2">
      <c r="A82" s="414" t="s">
        <v>1400</v>
      </c>
      <c r="B82" s="292">
        <v>0</v>
      </c>
      <c r="C82" s="292">
        <v>3050</v>
      </c>
      <c r="D82" s="292">
        <v>0</v>
      </c>
      <c r="E82" s="446"/>
      <c r="F82" s="446"/>
      <c r="G82" s="292">
        <v>0</v>
      </c>
      <c r="H82" s="292">
        <v>0</v>
      </c>
      <c r="I82" s="292">
        <v>0</v>
      </c>
      <c r="J82" s="292">
        <v>0</v>
      </c>
      <c r="K82" s="292">
        <v>0</v>
      </c>
      <c r="L82" s="292">
        <v>0</v>
      </c>
      <c r="M82" s="292">
        <v>0</v>
      </c>
      <c r="N82" s="292">
        <v>0</v>
      </c>
      <c r="O82" s="292">
        <v>0</v>
      </c>
      <c r="P82" s="292">
        <v>0</v>
      </c>
      <c r="Q82" s="292">
        <v>0</v>
      </c>
      <c r="R82" s="292">
        <v>0</v>
      </c>
      <c r="S82" s="292">
        <v>0</v>
      </c>
      <c r="T82" s="410">
        <v>0</v>
      </c>
      <c r="U82" s="450">
        <v>3050</v>
      </c>
      <c r="V82" s="450">
        <v>0</v>
      </c>
      <c r="W82" s="446"/>
      <c r="X82" s="446"/>
      <c r="Y82" s="446"/>
      <c r="Z82" s="446"/>
    </row>
    <row r="83" spans="1:26" x14ac:dyDescent="0.2">
      <c r="A83" s="414" t="s">
        <v>1401</v>
      </c>
      <c r="B83" s="292">
        <v>0</v>
      </c>
      <c r="C83" s="292">
        <v>0</v>
      </c>
      <c r="D83" s="292">
        <v>0</v>
      </c>
      <c r="E83" s="446"/>
      <c r="F83" s="446"/>
      <c r="G83" s="292">
        <v>0</v>
      </c>
      <c r="H83" s="292">
        <v>0</v>
      </c>
      <c r="I83" s="292">
        <v>0</v>
      </c>
      <c r="J83" s="292">
        <v>0</v>
      </c>
      <c r="K83" s="292">
        <v>0</v>
      </c>
      <c r="L83" s="292">
        <v>0</v>
      </c>
      <c r="M83" s="292">
        <v>0</v>
      </c>
      <c r="N83" s="292">
        <v>0</v>
      </c>
      <c r="O83" s="292">
        <v>0</v>
      </c>
      <c r="P83" s="292">
        <v>0</v>
      </c>
      <c r="Q83" s="292">
        <v>0</v>
      </c>
      <c r="R83" s="292">
        <v>0</v>
      </c>
      <c r="S83" s="292">
        <v>0</v>
      </c>
      <c r="T83" s="410" t="e">
        <v>#DIV/0!</v>
      </c>
      <c r="U83" s="450">
        <v>0</v>
      </c>
      <c r="V83" s="450">
        <v>0</v>
      </c>
      <c r="W83" s="446"/>
      <c r="X83" s="446"/>
      <c r="Y83" s="446"/>
      <c r="Z83" s="446"/>
    </row>
    <row r="84" spans="1:26" x14ac:dyDescent="0.2">
      <c r="A84" s="409" t="s">
        <v>321</v>
      </c>
      <c r="B84" s="292">
        <v>0</v>
      </c>
      <c r="C84" s="292">
        <v>0</v>
      </c>
      <c r="D84" s="292">
        <v>0</v>
      </c>
      <c r="E84" s="446"/>
      <c r="F84" s="446"/>
      <c r="G84" s="292">
        <v>0</v>
      </c>
      <c r="H84" s="292">
        <v>0</v>
      </c>
      <c r="I84" s="292">
        <v>0</v>
      </c>
      <c r="J84" s="292">
        <v>0</v>
      </c>
      <c r="K84" s="292">
        <v>0</v>
      </c>
      <c r="L84" s="292">
        <v>0</v>
      </c>
      <c r="M84" s="292">
        <v>0</v>
      </c>
      <c r="N84" s="292">
        <v>0</v>
      </c>
      <c r="O84" s="292">
        <v>0</v>
      </c>
      <c r="P84" s="292">
        <v>0</v>
      </c>
      <c r="Q84" s="292">
        <v>0</v>
      </c>
      <c r="R84" s="292">
        <v>0</v>
      </c>
      <c r="S84" s="292">
        <v>0</v>
      </c>
      <c r="T84" s="410" t="e">
        <v>#DIV/0!</v>
      </c>
      <c r="U84" s="450">
        <v>0</v>
      </c>
      <c r="V84" s="450">
        <v>0</v>
      </c>
      <c r="W84" s="446"/>
      <c r="X84" s="446"/>
      <c r="Y84" s="446"/>
      <c r="Z84" s="446"/>
    </row>
    <row r="85" spans="1:26" x14ac:dyDescent="0.2">
      <c r="A85" s="409" t="s">
        <v>322</v>
      </c>
      <c r="B85" s="292">
        <v>0</v>
      </c>
      <c r="C85" s="292">
        <v>0</v>
      </c>
      <c r="D85" s="292">
        <v>0</v>
      </c>
      <c r="E85" s="446"/>
      <c r="F85" s="446"/>
      <c r="G85" s="292">
        <v>0</v>
      </c>
      <c r="H85" s="292">
        <v>0</v>
      </c>
      <c r="I85" s="292">
        <v>0</v>
      </c>
      <c r="J85" s="292">
        <v>0</v>
      </c>
      <c r="K85" s="292">
        <v>0</v>
      </c>
      <c r="L85" s="292">
        <v>0</v>
      </c>
      <c r="M85" s="292">
        <v>0</v>
      </c>
      <c r="N85" s="292">
        <v>0</v>
      </c>
      <c r="O85" s="292">
        <v>0</v>
      </c>
      <c r="P85" s="292">
        <v>0</v>
      </c>
      <c r="Q85" s="292">
        <v>0</v>
      </c>
      <c r="R85" s="292">
        <v>0</v>
      </c>
      <c r="S85" s="292">
        <v>0</v>
      </c>
      <c r="T85" s="410" t="e">
        <v>#DIV/0!</v>
      </c>
      <c r="U85" s="450">
        <v>0</v>
      </c>
      <c r="V85" s="450">
        <v>0</v>
      </c>
      <c r="W85" s="446"/>
      <c r="X85" s="446"/>
      <c r="Y85" s="446"/>
      <c r="Z85" s="446"/>
    </row>
    <row r="86" spans="1:26" x14ac:dyDescent="0.2">
      <c r="A86" s="454" t="s">
        <v>323</v>
      </c>
      <c r="B86" s="451">
        <v>0</v>
      </c>
      <c r="C86" s="451">
        <v>0</v>
      </c>
      <c r="D86" s="451">
        <v>0</v>
      </c>
      <c r="E86" s="452"/>
      <c r="F86" s="452"/>
      <c r="G86" s="451">
        <v>0</v>
      </c>
      <c r="H86" s="451">
        <v>0</v>
      </c>
      <c r="I86" s="451">
        <v>0</v>
      </c>
      <c r="J86" s="451">
        <v>0</v>
      </c>
      <c r="K86" s="451">
        <v>0</v>
      </c>
      <c r="L86" s="451">
        <v>0</v>
      </c>
      <c r="M86" s="451">
        <v>0</v>
      </c>
      <c r="N86" s="451">
        <v>0</v>
      </c>
      <c r="O86" s="451">
        <v>0</v>
      </c>
      <c r="P86" s="451">
        <v>0</v>
      </c>
      <c r="Q86" s="451">
        <v>0</v>
      </c>
      <c r="R86" s="451">
        <v>0</v>
      </c>
      <c r="S86" s="451">
        <v>0</v>
      </c>
      <c r="T86" s="407" t="e">
        <v>#DIV/0!</v>
      </c>
      <c r="U86" s="449">
        <v>0</v>
      </c>
      <c r="V86" s="449">
        <v>0</v>
      </c>
      <c r="W86" s="452"/>
      <c r="X86" s="446"/>
      <c r="Y86" s="446"/>
      <c r="Z86" s="446"/>
    </row>
    <row r="87" spans="1:26" x14ac:dyDescent="0.2">
      <c r="A87" s="454" t="s">
        <v>324</v>
      </c>
      <c r="B87" s="451">
        <v>0</v>
      </c>
      <c r="C87" s="451">
        <v>0</v>
      </c>
      <c r="D87" s="451">
        <v>5079.7</v>
      </c>
      <c r="E87" s="452"/>
      <c r="F87" s="452"/>
      <c r="G87" s="451">
        <v>0</v>
      </c>
      <c r="H87" s="451">
        <v>0</v>
      </c>
      <c r="I87" s="451">
        <v>0</v>
      </c>
      <c r="J87" s="451">
        <v>0</v>
      </c>
      <c r="K87" s="451">
        <v>0</v>
      </c>
      <c r="L87" s="451">
        <v>0</v>
      </c>
      <c r="M87" s="451">
        <v>0</v>
      </c>
      <c r="N87" s="451">
        <v>3939.7</v>
      </c>
      <c r="O87" s="451">
        <v>1140</v>
      </c>
      <c r="P87" s="451">
        <v>0</v>
      </c>
      <c r="Q87" s="451">
        <v>0</v>
      </c>
      <c r="R87" s="451">
        <v>0</v>
      </c>
      <c r="S87" s="451">
        <v>5079.7</v>
      </c>
      <c r="T87" s="407" t="e">
        <v>#DIV/0!</v>
      </c>
      <c r="U87" s="449">
        <v>-5079.7</v>
      </c>
      <c r="V87" s="449">
        <v>0</v>
      </c>
      <c r="W87" s="452"/>
      <c r="X87" s="446"/>
      <c r="Y87" s="446"/>
      <c r="Z87" s="446"/>
    </row>
    <row r="88" spans="1:26" x14ac:dyDescent="0.2">
      <c r="A88" s="454" t="s">
        <v>325</v>
      </c>
      <c r="B88" s="448">
        <v>0</v>
      </c>
      <c r="C88" s="448">
        <v>0</v>
      </c>
      <c r="D88" s="448">
        <v>0</v>
      </c>
      <c r="E88" s="443"/>
      <c r="F88" s="443"/>
      <c r="G88" s="448">
        <v>0</v>
      </c>
      <c r="H88" s="448">
        <v>0</v>
      </c>
      <c r="I88" s="448">
        <v>0</v>
      </c>
      <c r="J88" s="448">
        <v>0</v>
      </c>
      <c r="K88" s="448">
        <v>0</v>
      </c>
      <c r="L88" s="448">
        <v>0</v>
      </c>
      <c r="M88" s="448">
        <v>0</v>
      </c>
      <c r="N88" s="448">
        <v>0</v>
      </c>
      <c r="O88" s="448">
        <v>0</v>
      </c>
      <c r="P88" s="448">
        <v>0</v>
      </c>
      <c r="Q88" s="448">
        <v>0</v>
      </c>
      <c r="R88" s="448">
        <v>0</v>
      </c>
      <c r="S88" s="448">
        <v>0</v>
      </c>
      <c r="T88" s="407" t="e">
        <v>#DIV/0!</v>
      </c>
      <c r="U88" s="449">
        <v>0</v>
      </c>
      <c r="V88" s="449">
        <v>0</v>
      </c>
      <c r="W88" s="452"/>
      <c r="X88" s="446"/>
      <c r="Y88" s="446"/>
      <c r="Z88" s="446"/>
    </row>
    <row r="89" spans="1:26" x14ac:dyDescent="0.2">
      <c r="A89" s="409" t="s">
        <v>326</v>
      </c>
      <c r="B89" s="292">
        <v>0</v>
      </c>
      <c r="C89" s="292">
        <v>0</v>
      </c>
      <c r="D89" s="292">
        <v>0</v>
      </c>
      <c r="E89" s="446"/>
      <c r="F89" s="446"/>
      <c r="G89" s="292">
        <v>0</v>
      </c>
      <c r="H89" s="292">
        <v>0</v>
      </c>
      <c r="I89" s="292">
        <v>0</v>
      </c>
      <c r="J89" s="292">
        <v>0</v>
      </c>
      <c r="K89" s="292">
        <v>0</v>
      </c>
      <c r="L89" s="292">
        <v>0</v>
      </c>
      <c r="M89" s="292">
        <v>0</v>
      </c>
      <c r="N89" s="292">
        <v>0</v>
      </c>
      <c r="O89" s="292">
        <v>0</v>
      </c>
      <c r="P89" s="292">
        <v>0</v>
      </c>
      <c r="Q89" s="292">
        <v>0</v>
      </c>
      <c r="R89" s="292">
        <v>0</v>
      </c>
      <c r="S89" s="292">
        <v>0</v>
      </c>
      <c r="T89" s="410" t="e">
        <v>#DIV/0!</v>
      </c>
      <c r="U89" s="450">
        <v>0</v>
      </c>
      <c r="V89" s="450">
        <v>0</v>
      </c>
      <c r="W89" s="446"/>
      <c r="X89" s="446"/>
      <c r="Y89" s="446"/>
      <c r="Z89" s="446"/>
    </row>
    <row r="90" spans="1:26" x14ac:dyDescent="0.2">
      <c r="A90" s="409" t="s">
        <v>327</v>
      </c>
      <c r="B90" s="292">
        <v>0</v>
      </c>
      <c r="C90" s="292">
        <v>0</v>
      </c>
      <c r="D90" s="292">
        <v>0</v>
      </c>
      <c r="E90" s="446"/>
      <c r="F90" s="446"/>
      <c r="G90" s="292">
        <v>0</v>
      </c>
      <c r="H90" s="292">
        <v>0</v>
      </c>
      <c r="I90" s="292">
        <v>0</v>
      </c>
      <c r="J90" s="292">
        <v>0</v>
      </c>
      <c r="K90" s="292">
        <v>0</v>
      </c>
      <c r="L90" s="292">
        <v>0</v>
      </c>
      <c r="M90" s="292">
        <v>0</v>
      </c>
      <c r="N90" s="292">
        <v>0</v>
      </c>
      <c r="O90" s="292">
        <v>0</v>
      </c>
      <c r="P90" s="292">
        <v>0</v>
      </c>
      <c r="Q90" s="292">
        <v>0</v>
      </c>
      <c r="R90" s="292">
        <v>0</v>
      </c>
      <c r="S90" s="292">
        <v>0</v>
      </c>
      <c r="T90" s="410" t="e">
        <v>#DIV/0!</v>
      </c>
      <c r="U90" s="450">
        <v>0</v>
      </c>
      <c r="V90" s="450">
        <v>0</v>
      </c>
      <c r="W90" s="446"/>
      <c r="X90" s="446"/>
      <c r="Y90" s="446"/>
      <c r="Z90" s="446"/>
    </row>
    <row r="91" spans="1:26" ht="24" x14ac:dyDescent="0.2">
      <c r="A91" s="409" t="s">
        <v>328</v>
      </c>
      <c r="B91" s="292">
        <v>0</v>
      </c>
      <c r="C91" s="292">
        <v>0</v>
      </c>
      <c r="D91" s="292">
        <v>0</v>
      </c>
      <c r="E91" s="446"/>
      <c r="F91" s="446"/>
      <c r="G91" s="292">
        <v>0</v>
      </c>
      <c r="H91" s="292">
        <v>0</v>
      </c>
      <c r="I91" s="292">
        <v>0</v>
      </c>
      <c r="J91" s="292">
        <v>0</v>
      </c>
      <c r="K91" s="292"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v>0</v>
      </c>
      <c r="R91" s="292">
        <v>0</v>
      </c>
      <c r="S91" s="292">
        <v>0</v>
      </c>
      <c r="T91" s="410" t="e">
        <v>#DIV/0!</v>
      </c>
      <c r="U91" s="450">
        <v>0</v>
      </c>
      <c r="V91" s="450">
        <v>0</v>
      </c>
      <c r="W91" s="446"/>
      <c r="X91" s="446"/>
      <c r="Y91" s="446"/>
      <c r="Z91" s="446"/>
    </row>
    <row r="92" spans="1:26" x14ac:dyDescent="0.2">
      <c r="A92" s="454" t="s">
        <v>329</v>
      </c>
      <c r="B92" s="448">
        <v>0</v>
      </c>
      <c r="C92" s="448">
        <v>0</v>
      </c>
      <c r="D92" s="448">
        <v>0</v>
      </c>
      <c r="E92" s="443"/>
      <c r="F92" s="443"/>
      <c r="G92" s="448">
        <v>0</v>
      </c>
      <c r="H92" s="448">
        <v>0</v>
      </c>
      <c r="I92" s="448">
        <v>0</v>
      </c>
      <c r="J92" s="448">
        <v>0</v>
      </c>
      <c r="K92" s="448">
        <v>0</v>
      </c>
      <c r="L92" s="448">
        <v>0</v>
      </c>
      <c r="M92" s="448">
        <v>0</v>
      </c>
      <c r="N92" s="448">
        <v>0</v>
      </c>
      <c r="O92" s="448">
        <v>0</v>
      </c>
      <c r="P92" s="448">
        <v>0</v>
      </c>
      <c r="Q92" s="448">
        <v>0</v>
      </c>
      <c r="R92" s="448">
        <v>0</v>
      </c>
      <c r="S92" s="448">
        <v>0</v>
      </c>
      <c r="T92" s="407" t="e">
        <v>#DIV/0!</v>
      </c>
      <c r="U92" s="449">
        <v>0</v>
      </c>
      <c r="V92" s="449">
        <v>0</v>
      </c>
      <c r="W92" s="452"/>
      <c r="X92" s="452"/>
      <c r="Y92" s="446"/>
      <c r="Z92" s="446"/>
    </row>
    <row r="93" spans="1:26" x14ac:dyDescent="0.2">
      <c r="A93" s="409" t="s">
        <v>330</v>
      </c>
      <c r="B93" s="292">
        <v>0</v>
      </c>
      <c r="C93" s="292">
        <v>0</v>
      </c>
      <c r="D93" s="292">
        <v>0</v>
      </c>
      <c r="E93" s="446"/>
      <c r="F93" s="446"/>
      <c r="G93" s="292">
        <v>0</v>
      </c>
      <c r="H93" s="292">
        <v>0</v>
      </c>
      <c r="I93" s="292">
        <v>0</v>
      </c>
      <c r="J93" s="292">
        <v>0</v>
      </c>
      <c r="K93" s="292">
        <v>0</v>
      </c>
      <c r="L93" s="292">
        <v>0</v>
      </c>
      <c r="M93" s="292">
        <v>0</v>
      </c>
      <c r="N93" s="292">
        <v>0</v>
      </c>
      <c r="O93" s="292">
        <v>0</v>
      </c>
      <c r="P93" s="292">
        <v>0</v>
      </c>
      <c r="Q93" s="292">
        <v>0</v>
      </c>
      <c r="R93" s="292">
        <v>0</v>
      </c>
      <c r="S93" s="292">
        <v>0</v>
      </c>
      <c r="T93" s="410" t="e">
        <v>#DIV/0!</v>
      </c>
      <c r="U93" s="450">
        <v>0</v>
      </c>
      <c r="V93" s="450">
        <v>0</v>
      </c>
      <c r="W93" s="446"/>
      <c r="X93" s="446"/>
      <c r="Y93" s="446"/>
      <c r="Z93" s="446"/>
    </row>
    <row r="94" spans="1:26" ht="24" x14ac:dyDescent="0.2">
      <c r="A94" s="409" t="s">
        <v>331</v>
      </c>
      <c r="B94" s="292">
        <v>0</v>
      </c>
      <c r="C94" s="292">
        <v>0</v>
      </c>
      <c r="D94" s="292">
        <v>0</v>
      </c>
      <c r="E94" s="446"/>
      <c r="F94" s="446"/>
      <c r="G94" s="292">
        <v>0</v>
      </c>
      <c r="H94" s="292">
        <v>0</v>
      </c>
      <c r="I94" s="292">
        <v>0</v>
      </c>
      <c r="J94" s="292">
        <v>0</v>
      </c>
      <c r="K94" s="292">
        <v>0</v>
      </c>
      <c r="L94" s="292">
        <v>0</v>
      </c>
      <c r="M94" s="292">
        <v>0</v>
      </c>
      <c r="N94" s="292">
        <v>0</v>
      </c>
      <c r="O94" s="292">
        <v>0</v>
      </c>
      <c r="P94" s="292">
        <v>0</v>
      </c>
      <c r="Q94" s="292">
        <v>0</v>
      </c>
      <c r="R94" s="292">
        <v>0</v>
      </c>
      <c r="S94" s="292">
        <v>0</v>
      </c>
      <c r="T94" s="410" t="e">
        <v>#DIV/0!</v>
      </c>
      <c r="U94" s="450">
        <v>0</v>
      </c>
      <c r="V94" s="450">
        <v>0</v>
      </c>
      <c r="W94" s="446"/>
      <c r="X94" s="446"/>
      <c r="Y94" s="446"/>
      <c r="Z94" s="446"/>
    </row>
    <row r="95" spans="1:26" x14ac:dyDescent="0.2">
      <c r="A95" s="409" t="s">
        <v>332</v>
      </c>
      <c r="B95" s="292">
        <v>0</v>
      </c>
      <c r="C95" s="292">
        <v>0</v>
      </c>
      <c r="D95" s="292">
        <v>0</v>
      </c>
      <c r="E95" s="446"/>
      <c r="F95" s="446"/>
      <c r="G95" s="292">
        <v>0</v>
      </c>
      <c r="H95" s="292">
        <v>0</v>
      </c>
      <c r="I95" s="292">
        <v>0</v>
      </c>
      <c r="J95" s="292">
        <v>0</v>
      </c>
      <c r="K95" s="292">
        <v>0</v>
      </c>
      <c r="L95" s="292">
        <v>0</v>
      </c>
      <c r="M95" s="292">
        <v>0</v>
      </c>
      <c r="N95" s="292">
        <v>0</v>
      </c>
      <c r="O95" s="292">
        <v>0</v>
      </c>
      <c r="P95" s="292">
        <v>0</v>
      </c>
      <c r="Q95" s="292">
        <v>0</v>
      </c>
      <c r="R95" s="292">
        <v>0</v>
      </c>
      <c r="S95" s="292">
        <v>0</v>
      </c>
      <c r="T95" s="410" t="e">
        <v>#DIV/0!</v>
      </c>
      <c r="U95" s="450">
        <v>0</v>
      </c>
      <c r="V95" s="450">
        <v>0</v>
      </c>
      <c r="W95" s="446"/>
      <c r="X95" s="446"/>
      <c r="Y95" s="446"/>
      <c r="Z95" s="446"/>
    </row>
    <row r="96" spans="1:26" x14ac:dyDescent="0.2">
      <c r="A96" s="454" t="s">
        <v>333</v>
      </c>
      <c r="B96" s="451">
        <v>0</v>
      </c>
      <c r="C96" s="451">
        <v>0</v>
      </c>
      <c r="D96" s="451">
        <v>0</v>
      </c>
      <c r="E96" s="452"/>
      <c r="F96" s="452"/>
      <c r="G96" s="451">
        <v>0</v>
      </c>
      <c r="H96" s="451">
        <v>0</v>
      </c>
      <c r="I96" s="451">
        <v>0</v>
      </c>
      <c r="J96" s="451">
        <v>0</v>
      </c>
      <c r="K96" s="451">
        <v>0</v>
      </c>
      <c r="L96" s="451">
        <v>0</v>
      </c>
      <c r="M96" s="451">
        <v>0</v>
      </c>
      <c r="N96" s="451">
        <v>0</v>
      </c>
      <c r="O96" s="451">
        <v>0</v>
      </c>
      <c r="P96" s="451">
        <v>0</v>
      </c>
      <c r="Q96" s="451">
        <v>0</v>
      </c>
      <c r="R96" s="451">
        <v>0</v>
      </c>
      <c r="S96" s="451">
        <v>0</v>
      </c>
      <c r="T96" s="407" t="e">
        <v>#DIV/0!</v>
      </c>
      <c r="U96" s="449">
        <v>0</v>
      </c>
      <c r="V96" s="449">
        <v>0</v>
      </c>
      <c r="W96" s="452"/>
      <c r="X96" s="452"/>
      <c r="Y96" s="446"/>
      <c r="Z96" s="446"/>
    </row>
    <row r="97" spans="1:26" ht="24" x14ac:dyDescent="0.2">
      <c r="A97" s="454" t="s">
        <v>334</v>
      </c>
      <c r="B97" s="451">
        <v>0</v>
      </c>
      <c r="C97" s="451">
        <v>0</v>
      </c>
      <c r="D97" s="451">
        <v>0</v>
      </c>
      <c r="E97" s="452"/>
      <c r="F97" s="452"/>
      <c r="G97" s="451">
        <v>0</v>
      </c>
      <c r="H97" s="451">
        <v>0</v>
      </c>
      <c r="I97" s="451">
        <v>0</v>
      </c>
      <c r="J97" s="451">
        <v>0</v>
      </c>
      <c r="K97" s="451">
        <v>0</v>
      </c>
      <c r="L97" s="451">
        <v>0</v>
      </c>
      <c r="M97" s="451">
        <v>0</v>
      </c>
      <c r="N97" s="451">
        <v>0</v>
      </c>
      <c r="O97" s="451">
        <v>0</v>
      </c>
      <c r="P97" s="451">
        <v>0</v>
      </c>
      <c r="Q97" s="451">
        <v>0</v>
      </c>
      <c r="R97" s="451">
        <v>0</v>
      </c>
      <c r="S97" s="451">
        <v>0</v>
      </c>
      <c r="T97" s="407" t="e">
        <v>#DIV/0!</v>
      </c>
      <c r="U97" s="449">
        <v>0</v>
      </c>
      <c r="V97" s="449">
        <v>0</v>
      </c>
      <c r="W97" s="452"/>
      <c r="X97" s="452"/>
      <c r="Y97" s="446"/>
      <c r="Z97" s="446"/>
    </row>
    <row r="98" spans="1:26" x14ac:dyDescent="0.2">
      <c r="A98" s="454" t="s">
        <v>335</v>
      </c>
      <c r="B98" s="448">
        <v>0</v>
      </c>
      <c r="C98" s="448">
        <v>0</v>
      </c>
      <c r="D98" s="448">
        <v>0</v>
      </c>
      <c r="E98" s="443"/>
      <c r="F98" s="443"/>
      <c r="G98" s="448">
        <v>0</v>
      </c>
      <c r="H98" s="448">
        <v>0</v>
      </c>
      <c r="I98" s="448">
        <v>0</v>
      </c>
      <c r="J98" s="448">
        <v>0</v>
      </c>
      <c r="K98" s="448">
        <v>0</v>
      </c>
      <c r="L98" s="448">
        <v>0</v>
      </c>
      <c r="M98" s="448">
        <v>0</v>
      </c>
      <c r="N98" s="448">
        <v>0</v>
      </c>
      <c r="O98" s="448">
        <v>0</v>
      </c>
      <c r="P98" s="448">
        <v>0</v>
      </c>
      <c r="Q98" s="448">
        <v>0</v>
      </c>
      <c r="R98" s="448">
        <v>0</v>
      </c>
      <c r="S98" s="448">
        <v>0</v>
      </c>
      <c r="T98" s="407" t="e">
        <v>#DIV/0!</v>
      </c>
      <c r="U98" s="449">
        <v>0</v>
      </c>
      <c r="V98" s="449">
        <v>0</v>
      </c>
      <c r="W98" s="452"/>
      <c r="X98" s="452"/>
      <c r="Y98" s="446"/>
      <c r="Z98" s="446"/>
    </row>
    <row r="99" spans="1:26" x14ac:dyDescent="0.2">
      <c r="A99" s="409" t="s">
        <v>336</v>
      </c>
      <c r="B99" s="292">
        <v>0</v>
      </c>
      <c r="C99" s="292">
        <v>0</v>
      </c>
      <c r="D99" s="292">
        <v>0</v>
      </c>
      <c r="E99" s="446"/>
      <c r="F99" s="446"/>
      <c r="G99" s="292">
        <v>0</v>
      </c>
      <c r="H99" s="292">
        <v>0</v>
      </c>
      <c r="I99" s="292">
        <v>0</v>
      </c>
      <c r="J99" s="292">
        <v>0</v>
      </c>
      <c r="K99" s="292">
        <v>0</v>
      </c>
      <c r="L99" s="292">
        <v>0</v>
      </c>
      <c r="M99" s="292">
        <v>0</v>
      </c>
      <c r="N99" s="292">
        <v>0</v>
      </c>
      <c r="O99" s="292">
        <v>0</v>
      </c>
      <c r="P99" s="292">
        <v>0</v>
      </c>
      <c r="Q99" s="292">
        <v>0</v>
      </c>
      <c r="R99" s="292">
        <v>0</v>
      </c>
      <c r="S99" s="292">
        <v>0</v>
      </c>
      <c r="T99" s="410" t="e">
        <v>#DIV/0!</v>
      </c>
      <c r="U99" s="450">
        <v>0</v>
      </c>
      <c r="V99" s="450">
        <v>0</v>
      </c>
      <c r="W99" s="446"/>
      <c r="X99" s="446"/>
      <c r="Y99" s="446"/>
      <c r="Z99" s="446"/>
    </row>
    <row r="100" spans="1:26" x14ac:dyDescent="0.2">
      <c r="A100" s="409" t="s">
        <v>1402</v>
      </c>
      <c r="B100" s="292">
        <v>0</v>
      </c>
      <c r="C100" s="292">
        <v>0</v>
      </c>
      <c r="D100" s="292">
        <v>0</v>
      </c>
      <c r="E100" s="446"/>
      <c r="F100" s="446"/>
      <c r="G100" s="292">
        <v>0</v>
      </c>
      <c r="H100" s="292">
        <v>0</v>
      </c>
      <c r="I100" s="292">
        <v>0</v>
      </c>
      <c r="J100" s="292">
        <v>0</v>
      </c>
      <c r="K100" s="292">
        <v>0</v>
      </c>
      <c r="L100" s="292">
        <v>0</v>
      </c>
      <c r="M100" s="292">
        <v>0</v>
      </c>
      <c r="N100" s="292">
        <v>0</v>
      </c>
      <c r="O100" s="292">
        <v>0</v>
      </c>
      <c r="P100" s="292">
        <v>0</v>
      </c>
      <c r="Q100" s="292">
        <v>0</v>
      </c>
      <c r="R100" s="292">
        <v>0</v>
      </c>
      <c r="S100" s="292">
        <v>0</v>
      </c>
      <c r="T100" s="410" t="e">
        <v>#DIV/0!</v>
      </c>
      <c r="U100" s="450">
        <v>0</v>
      </c>
      <c r="V100" s="450">
        <v>0</v>
      </c>
      <c r="W100" s="446"/>
      <c r="X100" s="446"/>
      <c r="Y100" s="446"/>
      <c r="Z100" s="446"/>
    </row>
    <row r="101" spans="1:26" x14ac:dyDescent="0.2">
      <c r="A101" s="414" t="s">
        <v>1403</v>
      </c>
      <c r="B101" s="292">
        <v>0</v>
      </c>
      <c r="C101" s="292">
        <v>0</v>
      </c>
      <c r="D101" s="292">
        <v>0</v>
      </c>
      <c r="E101" s="446"/>
      <c r="F101" s="446"/>
      <c r="G101" s="292">
        <v>0</v>
      </c>
      <c r="H101" s="292">
        <v>0</v>
      </c>
      <c r="I101" s="292">
        <v>0</v>
      </c>
      <c r="J101" s="292">
        <v>0</v>
      </c>
      <c r="K101" s="292">
        <v>0</v>
      </c>
      <c r="L101" s="292">
        <v>0</v>
      </c>
      <c r="M101" s="292">
        <v>0</v>
      </c>
      <c r="N101" s="292">
        <v>0</v>
      </c>
      <c r="O101" s="292">
        <v>0</v>
      </c>
      <c r="P101" s="292">
        <v>0</v>
      </c>
      <c r="Q101" s="292">
        <v>0</v>
      </c>
      <c r="R101" s="292">
        <v>0</v>
      </c>
      <c r="S101" s="292">
        <v>0</v>
      </c>
      <c r="T101" s="410" t="e">
        <v>#DIV/0!</v>
      </c>
      <c r="U101" s="450">
        <v>0</v>
      </c>
      <c r="V101" s="450">
        <v>0</v>
      </c>
      <c r="W101" s="446"/>
      <c r="X101" s="446"/>
      <c r="Y101" s="446"/>
      <c r="Z101" s="446"/>
    </row>
    <row r="102" spans="1:26" x14ac:dyDescent="0.2">
      <c r="A102" s="414" t="s">
        <v>1404</v>
      </c>
      <c r="B102" s="292">
        <v>0</v>
      </c>
      <c r="C102" s="292">
        <v>0</v>
      </c>
      <c r="D102" s="292">
        <v>0</v>
      </c>
      <c r="E102" s="446"/>
      <c r="F102" s="446"/>
      <c r="G102" s="292">
        <v>0</v>
      </c>
      <c r="H102" s="292">
        <v>0</v>
      </c>
      <c r="I102" s="292">
        <v>0</v>
      </c>
      <c r="J102" s="292">
        <v>0</v>
      </c>
      <c r="K102" s="292">
        <v>0</v>
      </c>
      <c r="L102" s="292">
        <v>0</v>
      </c>
      <c r="M102" s="292">
        <v>0</v>
      </c>
      <c r="N102" s="292">
        <v>0</v>
      </c>
      <c r="O102" s="292">
        <v>0</v>
      </c>
      <c r="P102" s="292">
        <v>0</v>
      </c>
      <c r="Q102" s="292">
        <v>0</v>
      </c>
      <c r="R102" s="292">
        <v>0</v>
      </c>
      <c r="S102" s="292">
        <v>0</v>
      </c>
      <c r="T102" s="410" t="e">
        <v>#DIV/0!</v>
      </c>
      <c r="U102" s="450">
        <v>0</v>
      </c>
      <c r="V102" s="450">
        <v>0</v>
      </c>
      <c r="W102" s="446"/>
      <c r="X102" s="446"/>
      <c r="Y102" s="446"/>
      <c r="Z102" s="446"/>
    </row>
    <row r="103" spans="1:26" x14ac:dyDescent="0.2">
      <c r="A103" s="409" t="s">
        <v>337</v>
      </c>
      <c r="B103" s="292">
        <v>0</v>
      </c>
      <c r="C103" s="292">
        <v>0</v>
      </c>
      <c r="D103" s="292">
        <v>0</v>
      </c>
      <c r="E103" s="446"/>
      <c r="F103" s="446"/>
      <c r="G103" s="292">
        <v>0</v>
      </c>
      <c r="H103" s="292">
        <v>0</v>
      </c>
      <c r="I103" s="292">
        <v>0</v>
      </c>
      <c r="J103" s="292">
        <v>0</v>
      </c>
      <c r="K103" s="292">
        <v>0</v>
      </c>
      <c r="L103" s="292">
        <v>0</v>
      </c>
      <c r="M103" s="292">
        <v>0</v>
      </c>
      <c r="N103" s="292">
        <v>0</v>
      </c>
      <c r="O103" s="292">
        <v>0</v>
      </c>
      <c r="P103" s="292">
        <v>0</v>
      </c>
      <c r="Q103" s="292">
        <v>0</v>
      </c>
      <c r="R103" s="292">
        <v>0</v>
      </c>
      <c r="S103" s="292">
        <v>0</v>
      </c>
      <c r="T103" s="410" t="e">
        <v>#DIV/0!</v>
      </c>
      <c r="U103" s="450">
        <v>0</v>
      </c>
      <c r="V103" s="450">
        <v>0</v>
      </c>
      <c r="W103" s="446"/>
      <c r="X103" s="446"/>
      <c r="Y103" s="446"/>
      <c r="Z103" s="446"/>
    </row>
    <row r="104" spans="1:26" x14ac:dyDescent="0.2">
      <c r="A104" s="409" t="s">
        <v>338</v>
      </c>
      <c r="B104" s="292">
        <v>0</v>
      </c>
      <c r="C104" s="292">
        <v>0</v>
      </c>
      <c r="D104" s="292">
        <v>0</v>
      </c>
      <c r="E104" s="446"/>
      <c r="F104" s="446"/>
      <c r="G104" s="292">
        <v>0</v>
      </c>
      <c r="H104" s="292">
        <v>0</v>
      </c>
      <c r="I104" s="292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292">
        <v>0</v>
      </c>
      <c r="R104" s="292">
        <v>0</v>
      </c>
      <c r="S104" s="292">
        <v>0</v>
      </c>
      <c r="T104" s="410" t="e">
        <v>#DIV/0!</v>
      </c>
      <c r="U104" s="450">
        <v>0</v>
      </c>
      <c r="V104" s="450">
        <v>0</v>
      </c>
      <c r="W104" s="446"/>
      <c r="X104" s="446"/>
      <c r="Y104" s="446"/>
      <c r="Z104" s="446"/>
    </row>
    <row r="105" spans="1:26" x14ac:dyDescent="0.2">
      <c r="A105" s="454" t="s">
        <v>339</v>
      </c>
      <c r="B105" s="451">
        <v>0</v>
      </c>
      <c r="C105" s="451">
        <v>0</v>
      </c>
      <c r="D105" s="451">
        <v>0</v>
      </c>
      <c r="E105" s="452"/>
      <c r="F105" s="452"/>
      <c r="G105" s="451">
        <v>0</v>
      </c>
      <c r="H105" s="451">
        <v>0</v>
      </c>
      <c r="I105" s="451">
        <v>0</v>
      </c>
      <c r="J105" s="451">
        <v>0</v>
      </c>
      <c r="K105" s="451">
        <v>0</v>
      </c>
      <c r="L105" s="451">
        <v>0</v>
      </c>
      <c r="M105" s="451">
        <v>0</v>
      </c>
      <c r="N105" s="451">
        <v>0</v>
      </c>
      <c r="O105" s="451">
        <v>0</v>
      </c>
      <c r="P105" s="451">
        <v>0</v>
      </c>
      <c r="Q105" s="451">
        <v>0</v>
      </c>
      <c r="R105" s="451">
        <v>0</v>
      </c>
      <c r="S105" s="451">
        <v>0</v>
      </c>
      <c r="T105" s="407" t="e">
        <v>#DIV/0!</v>
      </c>
      <c r="U105" s="449">
        <v>0</v>
      </c>
      <c r="V105" s="449">
        <v>0</v>
      </c>
      <c r="W105" s="452"/>
      <c r="X105" s="452"/>
      <c r="Y105" s="452"/>
      <c r="Z105" s="446"/>
    </row>
    <row r="106" spans="1:26" x14ac:dyDescent="0.2">
      <c r="A106" s="441" t="s">
        <v>340</v>
      </c>
      <c r="B106" s="442">
        <v>0</v>
      </c>
      <c r="C106" s="442">
        <v>0</v>
      </c>
      <c r="D106" s="442">
        <v>0</v>
      </c>
      <c r="E106" s="443"/>
      <c r="F106" s="443"/>
      <c r="G106" s="442">
        <v>0</v>
      </c>
      <c r="H106" s="442">
        <v>0</v>
      </c>
      <c r="I106" s="442">
        <v>0</v>
      </c>
      <c r="J106" s="442">
        <v>0</v>
      </c>
      <c r="K106" s="442">
        <v>0</v>
      </c>
      <c r="L106" s="442">
        <v>0</v>
      </c>
      <c r="M106" s="442">
        <v>0</v>
      </c>
      <c r="N106" s="442">
        <v>0</v>
      </c>
      <c r="O106" s="442">
        <v>0</v>
      </c>
      <c r="P106" s="442">
        <v>0</v>
      </c>
      <c r="Q106" s="442">
        <v>0</v>
      </c>
      <c r="R106" s="442">
        <v>0</v>
      </c>
      <c r="S106" s="442">
        <v>0</v>
      </c>
      <c r="T106" s="444" t="e">
        <v>#DIV/0!</v>
      </c>
      <c r="U106" s="445">
        <v>0</v>
      </c>
      <c r="V106" s="445">
        <v>0</v>
      </c>
      <c r="W106" s="446"/>
      <c r="X106" s="446"/>
      <c r="Y106" s="446"/>
      <c r="Z106" s="446"/>
    </row>
    <row r="107" spans="1:26" x14ac:dyDescent="0.2">
      <c r="A107" s="454" t="s">
        <v>341</v>
      </c>
      <c r="B107" s="448">
        <v>0</v>
      </c>
      <c r="C107" s="448">
        <v>0</v>
      </c>
      <c r="D107" s="448">
        <v>0</v>
      </c>
      <c r="E107" s="443"/>
      <c r="F107" s="443"/>
      <c r="G107" s="448">
        <v>0</v>
      </c>
      <c r="H107" s="448">
        <v>0</v>
      </c>
      <c r="I107" s="448">
        <v>0</v>
      </c>
      <c r="J107" s="448">
        <v>0</v>
      </c>
      <c r="K107" s="448">
        <v>0</v>
      </c>
      <c r="L107" s="448">
        <v>0</v>
      </c>
      <c r="M107" s="448">
        <v>0</v>
      </c>
      <c r="N107" s="448">
        <v>0</v>
      </c>
      <c r="O107" s="448">
        <v>0</v>
      </c>
      <c r="P107" s="448">
        <v>0</v>
      </c>
      <c r="Q107" s="448">
        <v>0</v>
      </c>
      <c r="R107" s="448">
        <v>0</v>
      </c>
      <c r="S107" s="448">
        <v>0</v>
      </c>
      <c r="T107" s="407" t="e">
        <v>#DIV/0!</v>
      </c>
      <c r="U107" s="449">
        <v>0</v>
      </c>
      <c r="V107" s="449">
        <v>0</v>
      </c>
      <c r="W107" s="446"/>
      <c r="X107" s="446"/>
      <c r="Y107" s="446"/>
      <c r="Z107" s="446"/>
    </row>
    <row r="108" spans="1:26" x14ac:dyDescent="0.2">
      <c r="A108" s="409" t="s">
        <v>342</v>
      </c>
      <c r="B108" s="292">
        <v>0</v>
      </c>
      <c r="C108" s="292">
        <v>0</v>
      </c>
      <c r="D108" s="292">
        <v>0</v>
      </c>
      <c r="E108" s="446"/>
      <c r="F108" s="446"/>
      <c r="G108" s="292">
        <v>0</v>
      </c>
      <c r="H108" s="292">
        <v>0</v>
      </c>
      <c r="I108" s="292">
        <v>0</v>
      </c>
      <c r="J108" s="292">
        <v>0</v>
      </c>
      <c r="K108" s="292">
        <v>0</v>
      </c>
      <c r="L108" s="292">
        <v>0</v>
      </c>
      <c r="M108" s="292">
        <v>0</v>
      </c>
      <c r="N108" s="292">
        <v>0</v>
      </c>
      <c r="O108" s="292">
        <v>0</v>
      </c>
      <c r="P108" s="292">
        <v>0</v>
      </c>
      <c r="Q108" s="292">
        <v>0</v>
      </c>
      <c r="R108" s="292">
        <v>0</v>
      </c>
      <c r="S108" s="292">
        <v>0</v>
      </c>
      <c r="T108" s="410" t="e">
        <v>#DIV/0!</v>
      </c>
      <c r="U108" s="450">
        <v>0</v>
      </c>
      <c r="V108" s="450">
        <v>0</v>
      </c>
      <c r="W108" s="446"/>
      <c r="X108" s="446"/>
      <c r="Y108" s="446"/>
      <c r="Z108" s="446"/>
    </row>
    <row r="109" spans="1:26" x14ac:dyDescent="0.2">
      <c r="A109" s="409" t="s">
        <v>343</v>
      </c>
      <c r="B109" s="292">
        <v>0</v>
      </c>
      <c r="C109" s="292">
        <v>0</v>
      </c>
      <c r="D109" s="292">
        <v>0</v>
      </c>
      <c r="E109" s="446"/>
      <c r="F109" s="446"/>
      <c r="G109" s="292">
        <v>0</v>
      </c>
      <c r="H109" s="292">
        <v>0</v>
      </c>
      <c r="I109" s="292">
        <v>0</v>
      </c>
      <c r="J109" s="292">
        <v>0</v>
      </c>
      <c r="K109" s="292">
        <v>0</v>
      </c>
      <c r="L109" s="292">
        <v>0</v>
      </c>
      <c r="M109" s="292">
        <v>0</v>
      </c>
      <c r="N109" s="292">
        <v>0</v>
      </c>
      <c r="O109" s="292">
        <v>0</v>
      </c>
      <c r="P109" s="292">
        <v>0</v>
      </c>
      <c r="Q109" s="292">
        <v>0</v>
      </c>
      <c r="R109" s="292">
        <v>0</v>
      </c>
      <c r="S109" s="292">
        <v>0</v>
      </c>
      <c r="T109" s="410" t="e">
        <v>#DIV/0!</v>
      </c>
      <c r="U109" s="450">
        <v>0</v>
      </c>
      <c r="V109" s="450">
        <v>0</v>
      </c>
      <c r="W109" s="446"/>
      <c r="X109" s="446"/>
      <c r="Y109" s="446"/>
      <c r="Z109" s="446"/>
    </row>
    <row r="110" spans="1:26" x14ac:dyDescent="0.2">
      <c r="A110" s="409" t="s">
        <v>344</v>
      </c>
      <c r="B110" s="292">
        <v>0</v>
      </c>
      <c r="C110" s="292">
        <v>0</v>
      </c>
      <c r="D110" s="292">
        <v>0</v>
      </c>
      <c r="E110" s="446"/>
      <c r="F110" s="446"/>
      <c r="G110" s="292">
        <v>0</v>
      </c>
      <c r="H110" s="292">
        <v>0</v>
      </c>
      <c r="I110" s="292">
        <v>0</v>
      </c>
      <c r="J110" s="292">
        <v>0</v>
      </c>
      <c r="K110" s="292">
        <v>0</v>
      </c>
      <c r="L110" s="292">
        <v>0</v>
      </c>
      <c r="M110" s="292">
        <v>0</v>
      </c>
      <c r="N110" s="292">
        <v>0</v>
      </c>
      <c r="O110" s="292">
        <v>0</v>
      </c>
      <c r="P110" s="292">
        <v>0</v>
      </c>
      <c r="Q110" s="292">
        <v>0</v>
      </c>
      <c r="R110" s="292">
        <v>0</v>
      </c>
      <c r="S110" s="292">
        <v>0</v>
      </c>
      <c r="T110" s="410" t="e">
        <v>#DIV/0!</v>
      </c>
      <c r="U110" s="450">
        <v>0</v>
      </c>
      <c r="V110" s="450">
        <v>0</v>
      </c>
      <c r="W110" s="446"/>
      <c r="X110" s="446"/>
      <c r="Y110" s="446"/>
      <c r="Z110" s="446"/>
    </row>
    <row r="111" spans="1:26" x14ac:dyDescent="0.2">
      <c r="A111" s="409" t="s">
        <v>345</v>
      </c>
      <c r="B111" s="292">
        <v>0</v>
      </c>
      <c r="C111" s="292">
        <v>0</v>
      </c>
      <c r="D111" s="292">
        <v>0</v>
      </c>
      <c r="E111" s="446"/>
      <c r="F111" s="446"/>
      <c r="G111" s="292">
        <v>0</v>
      </c>
      <c r="H111" s="292">
        <v>0</v>
      </c>
      <c r="I111" s="292">
        <v>0</v>
      </c>
      <c r="J111" s="292">
        <v>0</v>
      </c>
      <c r="K111" s="292">
        <v>0</v>
      </c>
      <c r="L111" s="292">
        <v>0</v>
      </c>
      <c r="M111" s="292">
        <v>0</v>
      </c>
      <c r="N111" s="292">
        <v>0</v>
      </c>
      <c r="O111" s="292">
        <v>0</v>
      </c>
      <c r="P111" s="292">
        <v>0</v>
      </c>
      <c r="Q111" s="292">
        <v>0</v>
      </c>
      <c r="R111" s="292">
        <v>0</v>
      </c>
      <c r="S111" s="292">
        <v>0</v>
      </c>
      <c r="T111" s="410" t="e">
        <v>#DIV/0!</v>
      </c>
      <c r="U111" s="450">
        <v>0</v>
      </c>
      <c r="V111" s="450">
        <v>0</v>
      </c>
      <c r="W111" s="446"/>
      <c r="X111" s="446"/>
      <c r="Y111" s="446"/>
      <c r="Z111" s="446"/>
    </row>
    <row r="112" spans="1:26" x14ac:dyDescent="0.2">
      <c r="A112" s="409" t="s">
        <v>346</v>
      </c>
      <c r="B112" s="292">
        <v>0</v>
      </c>
      <c r="C112" s="292">
        <v>0</v>
      </c>
      <c r="D112" s="292">
        <v>0</v>
      </c>
      <c r="E112" s="446"/>
      <c r="F112" s="446"/>
      <c r="G112" s="292">
        <v>0</v>
      </c>
      <c r="H112" s="292">
        <v>0</v>
      </c>
      <c r="I112" s="292">
        <v>0</v>
      </c>
      <c r="J112" s="292">
        <v>0</v>
      </c>
      <c r="K112" s="292">
        <v>0</v>
      </c>
      <c r="L112" s="292">
        <v>0</v>
      </c>
      <c r="M112" s="292">
        <v>0</v>
      </c>
      <c r="N112" s="292">
        <v>0</v>
      </c>
      <c r="O112" s="292">
        <v>0</v>
      </c>
      <c r="P112" s="292">
        <v>0</v>
      </c>
      <c r="Q112" s="292">
        <v>0</v>
      </c>
      <c r="R112" s="292">
        <v>0</v>
      </c>
      <c r="S112" s="292">
        <v>0</v>
      </c>
      <c r="T112" s="410" t="e">
        <v>#DIV/0!</v>
      </c>
      <c r="U112" s="450">
        <v>0</v>
      </c>
      <c r="V112" s="450">
        <v>0</v>
      </c>
      <c r="W112" s="446"/>
      <c r="X112" s="446"/>
      <c r="Y112" s="446"/>
      <c r="Z112" s="446"/>
    </row>
    <row r="113" spans="1:26" x14ac:dyDescent="0.2">
      <c r="A113" s="409" t="s">
        <v>347</v>
      </c>
      <c r="B113" s="292">
        <v>0</v>
      </c>
      <c r="C113" s="292">
        <v>0</v>
      </c>
      <c r="D113" s="292">
        <v>0</v>
      </c>
      <c r="E113" s="446"/>
      <c r="F113" s="446"/>
      <c r="G113" s="292">
        <v>0</v>
      </c>
      <c r="H113" s="292">
        <v>0</v>
      </c>
      <c r="I113" s="292">
        <v>0</v>
      </c>
      <c r="J113" s="292">
        <v>0</v>
      </c>
      <c r="K113" s="292">
        <v>0</v>
      </c>
      <c r="L113" s="292">
        <v>0</v>
      </c>
      <c r="M113" s="292">
        <v>0</v>
      </c>
      <c r="N113" s="292">
        <v>0</v>
      </c>
      <c r="O113" s="292">
        <v>0</v>
      </c>
      <c r="P113" s="292">
        <v>0</v>
      </c>
      <c r="Q113" s="292">
        <v>0</v>
      </c>
      <c r="R113" s="292">
        <v>0</v>
      </c>
      <c r="S113" s="292">
        <v>0</v>
      </c>
      <c r="T113" s="410" t="e">
        <v>#DIV/0!</v>
      </c>
      <c r="U113" s="450">
        <v>0</v>
      </c>
      <c r="V113" s="450">
        <v>0</v>
      </c>
      <c r="W113" s="446"/>
      <c r="X113" s="446"/>
      <c r="Y113" s="446"/>
      <c r="Z113" s="446"/>
    </row>
    <row r="114" spans="1:26" x14ac:dyDescent="0.2">
      <c r="A114" s="409" t="s">
        <v>348</v>
      </c>
      <c r="B114" s="292">
        <v>0</v>
      </c>
      <c r="C114" s="292">
        <v>0</v>
      </c>
      <c r="D114" s="292">
        <v>0</v>
      </c>
      <c r="E114" s="446"/>
      <c r="F114" s="446"/>
      <c r="G114" s="292">
        <v>0</v>
      </c>
      <c r="H114" s="292">
        <v>0</v>
      </c>
      <c r="I114" s="292">
        <v>0</v>
      </c>
      <c r="J114" s="292">
        <v>0</v>
      </c>
      <c r="K114" s="292">
        <v>0</v>
      </c>
      <c r="L114" s="292">
        <v>0</v>
      </c>
      <c r="M114" s="292">
        <v>0</v>
      </c>
      <c r="N114" s="292">
        <v>0</v>
      </c>
      <c r="O114" s="292">
        <v>0</v>
      </c>
      <c r="P114" s="292">
        <v>0</v>
      </c>
      <c r="Q114" s="292">
        <v>0</v>
      </c>
      <c r="R114" s="292">
        <v>0</v>
      </c>
      <c r="S114" s="292">
        <v>0</v>
      </c>
      <c r="T114" s="410" t="e">
        <v>#DIV/0!</v>
      </c>
      <c r="U114" s="450">
        <v>0</v>
      </c>
      <c r="V114" s="450">
        <v>0</v>
      </c>
      <c r="W114" s="446"/>
      <c r="X114" s="446"/>
      <c r="Y114" s="446"/>
      <c r="Z114" s="446"/>
    </row>
    <row r="115" spans="1:26" x14ac:dyDescent="0.2">
      <c r="A115" s="409" t="s">
        <v>349</v>
      </c>
      <c r="B115" s="292">
        <v>0</v>
      </c>
      <c r="C115" s="292">
        <v>0</v>
      </c>
      <c r="D115" s="292">
        <v>0</v>
      </c>
      <c r="E115" s="446"/>
      <c r="F115" s="446"/>
      <c r="G115" s="292">
        <v>0</v>
      </c>
      <c r="H115" s="292">
        <v>0</v>
      </c>
      <c r="I115" s="292">
        <v>0</v>
      </c>
      <c r="J115" s="292">
        <v>0</v>
      </c>
      <c r="K115" s="292">
        <v>0</v>
      </c>
      <c r="L115" s="292">
        <v>0</v>
      </c>
      <c r="M115" s="292">
        <v>0</v>
      </c>
      <c r="N115" s="292">
        <v>0</v>
      </c>
      <c r="O115" s="292">
        <v>0</v>
      </c>
      <c r="P115" s="292">
        <v>0</v>
      </c>
      <c r="Q115" s="292">
        <v>0</v>
      </c>
      <c r="R115" s="292">
        <v>0</v>
      </c>
      <c r="S115" s="292">
        <v>0</v>
      </c>
      <c r="T115" s="410" t="e">
        <v>#DIV/0!</v>
      </c>
      <c r="U115" s="450">
        <v>0</v>
      </c>
      <c r="V115" s="450">
        <v>0</v>
      </c>
      <c r="W115" s="446"/>
      <c r="X115" s="446"/>
      <c r="Y115" s="446"/>
      <c r="Z115" s="446"/>
    </row>
    <row r="116" spans="1:26" x14ac:dyDescent="0.2">
      <c r="A116" s="409" t="s">
        <v>350</v>
      </c>
      <c r="B116" s="292">
        <v>0</v>
      </c>
      <c r="C116" s="292">
        <v>0</v>
      </c>
      <c r="D116" s="292">
        <v>0</v>
      </c>
      <c r="E116" s="446"/>
      <c r="F116" s="446"/>
      <c r="G116" s="292">
        <v>0</v>
      </c>
      <c r="H116" s="292">
        <v>0</v>
      </c>
      <c r="I116" s="292">
        <v>0</v>
      </c>
      <c r="J116" s="292">
        <v>0</v>
      </c>
      <c r="K116" s="292">
        <v>0</v>
      </c>
      <c r="L116" s="292">
        <v>0</v>
      </c>
      <c r="M116" s="292">
        <v>0</v>
      </c>
      <c r="N116" s="292">
        <v>0</v>
      </c>
      <c r="O116" s="292">
        <v>0</v>
      </c>
      <c r="P116" s="292">
        <v>0</v>
      </c>
      <c r="Q116" s="292">
        <v>0</v>
      </c>
      <c r="R116" s="292">
        <v>0</v>
      </c>
      <c r="S116" s="292">
        <v>0</v>
      </c>
      <c r="T116" s="410" t="e">
        <v>#DIV/0!</v>
      </c>
      <c r="U116" s="450">
        <v>0</v>
      </c>
      <c r="V116" s="450">
        <v>0</v>
      </c>
      <c r="W116" s="446"/>
      <c r="X116" s="446"/>
      <c r="Y116" s="446"/>
      <c r="Z116" s="446"/>
    </row>
    <row r="117" spans="1:26" x14ac:dyDescent="0.2">
      <c r="A117" s="409" t="s">
        <v>351</v>
      </c>
      <c r="B117" s="292">
        <v>0</v>
      </c>
      <c r="C117" s="292">
        <v>0</v>
      </c>
      <c r="D117" s="292">
        <v>0</v>
      </c>
      <c r="E117" s="446"/>
      <c r="F117" s="446"/>
      <c r="G117" s="292">
        <v>0</v>
      </c>
      <c r="H117" s="292">
        <v>0</v>
      </c>
      <c r="I117" s="292">
        <v>0</v>
      </c>
      <c r="J117" s="292">
        <v>0</v>
      </c>
      <c r="K117" s="292">
        <v>0</v>
      </c>
      <c r="L117" s="292">
        <v>0</v>
      </c>
      <c r="M117" s="292">
        <v>0</v>
      </c>
      <c r="N117" s="292">
        <v>0</v>
      </c>
      <c r="O117" s="292">
        <v>0</v>
      </c>
      <c r="P117" s="292">
        <v>0</v>
      </c>
      <c r="Q117" s="292">
        <v>0</v>
      </c>
      <c r="R117" s="292">
        <v>0</v>
      </c>
      <c r="S117" s="292">
        <v>0</v>
      </c>
      <c r="T117" s="410" t="e">
        <v>#DIV/0!</v>
      </c>
      <c r="U117" s="450">
        <v>0</v>
      </c>
      <c r="V117" s="450">
        <v>0</v>
      </c>
      <c r="W117" s="446"/>
      <c r="X117" s="446"/>
      <c r="Y117" s="446"/>
      <c r="Z117" s="446"/>
    </row>
    <row r="118" spans="1:26" x14ac:dyDescent="0.2">
      <c r="A118" s="404" t="s">
        <v>352</v>
      </c>
      <c r="B118" s="448">
        <v>0</v>
      </c>
      <c r="C118" s="448">
        <v>0</v>
      </c>
      <c r="D118" s="448">
        <v>0</v>
      </c>
      <c r="E118" s="443"/>
      <c r="F118" s="443"/>
      <c r="G118" s="448">
        <v>0</v>
      </c>
      <c r="H118" s="448">
        <v>0</v>
      </c>
      <c r="I118" s="448">
        <v>0</v>
      </c>
      <c r="J118" s="448">
        <v>0</v>
      </c>
      <c r="K118" s="448">
        <v>0</v>
      </c>
      <c r="L118" s="448">
        <v>0</v>
      </c>
      <c r="M118" s="448">
        <v>0</v>
      </c>
      <c r="N118" s="448">
        <v>0</v>
      </c>
      <c r="O118" s="448">
        <v>0</v>
      </c>
      <c r="P118" s="448">
        <v>0</v>
      </c>
      <c r="Q118" s="448">
        <v>0</v>
      </c>
      <c r="R118" s="448">
        <v>0</v>
      </c>
      <c r="S118" s="448">
        <v>0</v>
      </c>
      <c r="T118" s="407" t="e">
        <v>#DIV/0!</v>
      </c>
      <c r="U118" s="449">
        <v>0</v>
      </c>
      <c r="V118" s="449">
        <v>0</v>
      </c>
      <c r="W118" s="446"/>
      <c r="X118" s="446"/>
      <c r="Y118" s="446"/>
      <c r="Z118" s="446"/>
    </row>
    <row r="119" spans="1:26" x14ac:dyDescent="0.2">
      <c r="A119" s="409" t="s">
        <v>353</v>
      </c>
      <c r="B119" s="292">
        <v>0</v>
      </c>
      <c r="C119" s="292">
        <v>0</v>
      </c>
      <c r="D119" s="292">
        <v>0</v>
      </c>
      <c r="E119" s="446"/>
      <c r="F119" s="446"/>
      <c r="G119" s="292">
        <v>0</v>
      </c>
      <c r="H119" s="292">
        <v>0</v>
      </c>
      <c r="I119" s="292">
        <v>0</v>
      </c>
      <c r="J119" s="292">
        <v>0</v>
      </c>
      <c r="K119" s="292">
        <v>0</v>
      </c>
      <c r="L119" s="292">
        <v>0</v>
      </c>
      <c r="M119" s="292">
        <v>0</v>
      </c>
      <c r="N119" s="292">
        <v>0</v>
      </c>
      <c r="O119" s="292">
        <v>0</v>
      </c>
      <c r="P119" s="292">
        <v>0</v>
      </c>
      <c r="Q119" s="292">
        <v>0</v>
      </c>
      <c r="R119" s="292">
        <v>0</v>
      </c>
      <c r="S119" s="292">
        <v>0</v>
      </c>
      <c r="T119" s="410" t="e">
        <v>#DIV/0!</v>
      </c>
      <c r="U119" s="450">
        <v>0</v>
      </c>
      <c r="V119" s="450">
        <v>0</v>
      </c>
      <c r="W119" s="446"/>
      <c r="X119" s="446"/>
      <c r="Y119" s="446"/>
      <c r="Z119" s="446"/>
    </row>
    <row r="120" spans="1:26" x14ac:dyDescent="0.2">
      <c r="A120" s="409" t="s">
        <v>354</v>
      </c>
      <c r="B120" s="292">
        <v>0</v>
      </c>
      <c r="C120" s="292">
        <v>0</v>
      </c>
      <c r="D120" s="292">
        <v>0</v>
      </c>
      <c r="E120" s="446"/>
      <c r="F120" s="446"/>
      <c r="G120" s="292">
        <v>0</v>
      </c>
      <c r="H120" s="292">
        <v>0</v>
      </c>
      <c r="I120" s="292">
        <v>0</v>
      </c>
      <c r="J120" s="292">
        <v>0</v>
      </c>
      <c r="K120" s="292">
        <v>0</v>
      </c>
      <c r="L120" s="292">
        <v>0</v>
      </c>
      <c r="M120" s="292">
        <v>0</v>
      </c>
      <c r="N120" s="292">
        <v>0</v>
      </c>
      <c r="O120" s="292">
        <v>0</v>
      </c>
      <c r="P120" s="292">
        <v>0</v>
      </c>
      <c r="Q120" s="292">
        <v>0</v>
      </c>
      <c r="R120" s="292">
        <v>0</v>
      </c>
      <c r="S120" s="292">
        <v>0</v>
      </c>
      <c r="T120" s="410" t="e">
        <v>#DIV/0!</v>
      </c>
      <c r="U120" s="450">
        <v>0</v>
      </c>
      <c r="V120" s="450">
        <v>0</v>
      </c>
      <c r="W120" s="446"/>
      <c r="X120" s="446"/>
      <c r="Y120" s="446"/>
      <c r="Z120" s="446"/>
    </row>
    <row r="121" spans="1:26" x14ac:dyDescent="0.2">
      <c r="A121" s="409" t="s">
        <v>355</v>
      </c>
      <c r="B121" s="292">
        <v>0</v>
      </c>
      <c r="C121" s="292">
        <v>0</v>
      </c>
      <c r="D121" s="292">
        <v>0</v>
      </c>
      <c r="E121" s="446"/>
      <c r="F121" s="446"/>
      <c r="G121" s="292">
        <v>0</v>
      </c>
      <c r="H121" s="292">
        <v>0</v>
      </c>
      <c r="I121" s="292">
        <v>0</v>
      </c>
      <c r="J121" s="292">
        <v>0</v>
      </c>
      <c r="K121" s="292">
        <v>0</v>
      </c>
      <c r="L121" s="292">
        <v>0</v>
      </c>
      <c r="M121" s="292">
        <v>0</v>
      </c>
      <c r="N121" s="292">
        <v>0</v>
      </c>
      <c r="O121" s="292">
        <v>0</v>
      </c>
      <c r="P121" s="292">
        <v>0</v>
      </c>
      <c r="Q121" s="292">
        <v>0</v>
      </c>
      <c r="R121" s="292">
        <v>0</v>
      </c>
      <c r="S121" s="292">
        <v>0</v>
      </c>
      <c r="T121" s="410" t="e">
        <v>#DIV/0!</v>
      </c>
      <c r="U121" s="450">
        <v>0</v>
      </c>
      <c r="V121" s="450">
        <v>0</v>
      </c>
      <c r="W121" s="446"/>
      <c r="X121" s="446"/>
      <c r="Y121" s="446"/>
      <c r="Z121" s="446"/>
    </row>
    <row r="122" spans="1:26" x14ac:dyDescent="0.2">
      <c r="A122" s="409" t="s">
        <v>356</v>
      </c>
      <c r="B122" s="292">
        <v>0</v>
      </c>
      <c r="C122" s="292">
        <v>0</v>
      </c>
      <c r="D122" s="292">
        <v>0</v>
      </c>
      <c r="E122" s="446"/>
      <c r="F122" s="446"/>
      <c r="G122" s="292">
        <v>0</v>
      </c>
      <c r="H122" s="292">
        <v>0</v>
      </c>
      <c r="I122" s="292">
        <v>0</v>
      </c>
      <c r="J122" s="292">
        <v>0</v>
      </c>
      <c r="K122" s="292">
        <v>0</v>
      </c>
      <c r="L122" s="292">
        <v>0</v>
      </c>
      <c r="M122" s="292">
        <v>0</v>
      </c>
      <c r="N122" s="292">
        <v>0</v>
      </c>
      <c r="O122" s="292">
        <v>0</v>
      </c>
      <c r="P122" s="292">
        <v>0</v>
      </c>
      <c r="Q122" s="292">
        <v>0</v>
      </c>
      <c r="R122" s="292">
        <v>0</v>
      </c>
      <c r="S122" s="292">
        <v>0</v>
      </c>
      <c r="T122" s="410" t="e">
        <v>#DIV/0!</v>
      </c>
      <c r="U122" s="450">
        <v>0</v>
      </c>
      <c r="V122" s="450">
        <v>0</v>
      </c>
      <c r="W122" s="446"/>
      <c r="X122" s="446"/>
      <c r="Y122" s="446"/>
      <c r="Z122" s="446"/>
    </row>
    <row r="123" spans="1:26" x14ac:dyDescent="0.2">
      <c r="A123" s="409" t="s">
        <v>357</v>
      </c>
      <c r="B123" s="292">
        <v>0</v>
      </c>
      <c r="C123" s="292">
        <v>0</v>
      </c>
      <c r="D123" s="292">
        <v>0</v>
      </c>
      <c r="E123" s="446"/>
      <c r="F123" s="446"/>
      <c r="G123" s="292">
        <v>0</v>
      </c>
      <c r="H123" s="292">
        <v>0</v>
      </c>
      <c r="I123" s="292">
        <v>0</v>
      </c>
      <c r="J123" s="292">
        <v>0</v>
      </c>
      <c r="K123" s="292">
        <v>0</v>
      </c>
      <c r="L123" s="292">
        <v>0</v>
      </c>
      <c r="M123" s="292">
        <v>0</v>
      </c>
      <c r="N123" s="292">
        <v>0</v>
      </c>
      <c r="O123" s="292">
        <v>0</v>
      </c>
      <c r="P123" s="292">
        <v>0</v>
      </c>
      <c r="Q123" s="292">
        <v>0</v>
      </c>
      <c r="R123" s="292">
        <v>0</v>
      </c>
      <c r="S123" s="292">
        <v>0</v>
      </c>
      <c r="T123" s="410" t="e">
        <v>#DIV/0!</v>
      </c>
      <c r="U123" s="450">
        <v>0</v>
      </c>
      <c r="V123" s="450">
        <v>0</v>
      </c>
      <c r="W123" s="446"/>
      <c r="X123" s="446"/>
      <c r="Y123" s="446"/>
      <c r="Z123" s="446"/>
    </row>
    <row r="124" spans="1:26" x14ac:dyDescent="0.2">
      <c r="A124" s="409" t="s">
        <v>358</v>
      </c>
      <c r="B124" s="292">
        <v>0</v>
      </c>
      <c r="C124" s="292">
        <v>0</v>
      </c>
      <c r="D124" s="292">
        <v>0</v>
      </c>
      <c r="E124" s="446"/>
      <c r="F124" s="446"/>
      <c r="G124" s="292">
        <v>0</v>
      </c>
      <c r="H124" s="292">
        <v>0</v>
      </c>
      <c r="I124" s="292">
        <v>0</v>
      </c>
      <c r="J124" s="292">
        <v>0</v>
      </c>
      <c r="K124" s="292">
        <v>0</v>
      </c>
      <c r="L124" s="292">
        <v>0</v>
      </c>
      <c r="M124" s="292">
        <v>0</v>
      </c>
      <c r="N124" s="292">
        <v>0</v>
      </c>
      <c r="O124" s="292">
        <v>0</v>
      </c>
      <c r="P124" s="292">
        <v>0</v>
      </c>
      <c r="Q124" s="292">
        <v>0</v>
      </c>
      <c r="R124" s="292">
        <v>0</v>
      </c>
      <c r="S124" s="292">
        <v>0</v>
      </c>
      <c r="T124" s="410" t="e">
        <v>#DIV/0!</v>
      </c>
      <c r="U124" s="450">
        <v>0</v>
      </c>
      <c r="V124" s="450">
        <v>0</v>
      </c>
      <c r="W124" s="446"/>
      <c r="X124" s="446"/>
      <c r="Y124" s="446"/>
      <c r="Z124" s="446"/>
    </row>
    <row r="125" spans="1:26" x14ac:dyDescent="0.2">
      <c r="A125" s="409" t="s">
        <v>359</v>
      </c>
      <c r="B125" s="292">
        <v>0</v>
      </c>
      <c r="C125" s="292">
        <v>0</v>
      </c>
      <c r="D125" s="292">
        <v>0</v>
      </c>
      <c r="E125" s="446"/>
      <c r="F125" s="446"/>
      <c r="G125" s="292">
        <v>0</v>
      </c>
      <c r="H125" s="292">
        <v>0</v>
      </c>
      <c r="I125" s="292">
        <v>0</v>
      </c>
      <c r="J125" s="292">
        <v>0</v>
      </c>
      <c r="K125" s="292">
        <v>0</v>
      </c>
      <c r="L125" s="292">
        <v>0</v>
      </c>
      <c r="M125" s="292">
        <v>0</v>
      </c>
      <c r="N125" s="292">
        <v>0</v>
      </c>
      <c r="O125" s="292">
        <v>0</v>
      </c>
      <c r="P125" s="292">
        <v>0</v>
      </c>
      <c r="Q125" s="292">
        <v>0</v>
      </c>
      <c r="R125" s="292">
        <v>0</v>
      </c>
      <c r="S125" s="292">
        <v>0</v>
      </c>
      <c r="T125" s="410" t="e">
        <v>#DIV/0!</v>
      </c>
      <c r="U125" s="450">
        <v>0</v>
      </c>
      <c r="V125" s="450">
        <v>0</v>
      </c>
      <c r="W125" s="446"/>
      <c r="X125" s="446"/>
      <c r="Y125" s="446"/>
      <c r="Z125" s="446"/>
    </row>
    <row r="126" spans="1:26" x14ac:dyDescent="0.2">
      <c r="A126" s="409" t="s">
        <v>360</v>
      </c>
      <c r="B126" s="292">
        <v>0</v>
      </c>
      <c r="C126" s="292">
        <v>0</v>
      </c>
      <c r="D126" s="292">
        <v>0</v>
      </c>
      <c r="E126" s="446"/>
      <c r="F126" s="446"/>
      <c r="G126" s="292">
        <v>0</v>
      </c>
      <c r="H126" s="292">
        <v>0</v>
      </c>
      <c r="I126" s="292">
        <v>0</v>
      </c>
      <c r="J126" s="292">
        <v>0</v>
      </c>
      <c r="K126" s="292">
        <v>0</v>
      </c>
      <c r="L126" s="292">
        <v>0</v>
      </c>
      <c r="M126" s="292">
        <v>0</v>
      </c>
      <c r="N126" s="292">
        <v>0</v>
      </c>
      <c r="O126" s="292">
        <v>0</v>
      </c>
      <c r="P126" s="292">
        <v>0</v>
      </c>
      <c r="Q126" s="292">
        <v>0</v>
      </c>
      <c r="R126" s="292">
        <v>0</v>
      </c>
      <c r="S126" s="292">
        <v>0</v>
      </c>
      <c r="T126" s="410" t="e">
        <v>#DIV/0!</v>
      </c>
      <c r="U126" s="450">
        <v>0</v>
      </c>
      <c r="V126" s="450">
        <v>0</v>
      </c>
      <c r="W126" s="446"/>
      <c r="X126" s="446"/>
      <c r="Y126" s="446"/>
      <c r="Z126" s="446"/>
    </row>
    <row r="127" spans="1:26" x14ac:dyDescent="0.2">
      <c r="A127" s="409" t="s">
        <v>361</v>
      </c>
      <c r="B127" s="292">
        <v>0</v>
      </c>
      <c r="C127" s="292">
        <v>0</v>
      </c>
      <c r="D127" s="292">
        <v>0</v>
      </c>
      <c r="E127" s="446"/>
      <c r="F127" s="446"/>
      <c r="G127" s="292">
        <v>0</v>
      </c>
      <c r="H127" s="292">
        <v>0</v>
      </c>
      <c r="I127" s="292">
        <v>0</v>
      </c>
      <c r="J127" s="292">
        <v>0</v>
      </c>
      <c r="K127" s="292">
        <v>0</v>
      </c>
      <c r="L127" s="292">
        <v>0</v>
      </c>
      <c r="M127" s="292">
        <v>0</v>
      </c>
      <c r="N127" s="292">
        <v>0</v>
      </c>
      <c r="O127" s="292">
        <v>0</v>
      </c>
      <c r="P127" s="292">
        <v>0</v>
      </c>
      <c r="Q127" s="292">
        <v>0</v>
      </c>
      <c r="R127" s="292">
        <v>0</v>
      </c>
      <c r="S127" s="292">
        <v>0</v>
      </c>
      <c r="T127" s="410" t="e">
        <v>#DIV/0!</v>
      </c>
      <c r="U127" s="450">
        <v>0</v>
      </c>
      <c r="V127" s="450">
        <v>0</v>
      </c>
      <c r="W127" s="446"/>
      <c r="X127" s="446"/>
      <c r="Y127" s="446"/>
      <c r="Z127" s="446"/>
    </row>
    <row r="128" spans="1:26" x14ac:dyDescent="0.2">
      <c r="A128" s="409" t="s">
        <v>362</v>
      </c>
      <c r="B128" s="292">
        <v>0</v>
      </c>
      <c r="C128" s="292">
        <v>0</v>
      </c>
      <c r="D128" s="292">
        <v>0</v>
      </c>
      <c r="E128" s="446"/>
      <c r="F128" s="446"/>
      <c r="G128" s="292">
        <v>0</v>
      </c>
      <c r="H128" s="292">
        <v>0</v>
      </c>
      <c r="I128" s="292">
        <v>0</v>
      </c>
      <c r="J128" s="292">
        <v>0</v>
      </c>
      <c r="K128" s="292">
        <v>0</v>
      </c>
      <c r="L128" s="292">
        <v>0</v>
      </c>
      <c r="M128" s="292">
        <v>0</v>
      </c>
      <c r="N128" s="292">
        <v>0</v>
      </c>
      <c r="O128" s="292">
        <v>0</v>
      </c>
      <c r="P128" s="292">
        <v>0</v>
      </c>
      <c r="Q128" s="292">
        <v>0</v>
      </c>
      <c r="R128" s="292">
        <v>0</v>
      </c>
      <c r="S128" s="292">
        <v>0</v>
      </c>
      <c r="T128" s="410" t="e">
        <v>#DIV/0!</v>
      </c>
      <c r="U128" s="450">
        <v>0</v>
      </c>
      <c r="V128" s="450">
        <v>0</v>
      </c>
      <c r="W128" s="446"/>
      <c r="X128" s="446"/>
      <c r="Y128" s="446"/>
      <c r="Z128" s="446"/>
    </row>
    <row r="129" spans="1:26" x14ac:dyDescent="0.2">
      <c r="A129" s="409" t="s">
        <v>363</v>
      </c>
      <c r="B129" s="292">
        <v>0</v>
      </c>
      <c r="C129" s="292">
        <v>0</v>
      </c>
      <c r="D129" s="292">
        <v>0</v>
      </c>
      <c r="E129" s="446"/>
      <c r="F129" s="446"/>
      <c r="G129" s="292">
        <v>0</v>
      </c>
      <c r="H129" s="292">
        <v>0</v>
      </c>
      <c r="I129" s="292">
        <v>0</v>
      </c>
      <c r="J129" s="292">
        <v>0</v>
      </c>
      <c r="K129" s="292">
        <v>0</v>
      </c>
      <c r="L129" s="292">
        <v>0</v>
      </c>
      <c r="M129" s="292">
        <v>0</v>
      </c>
      <c r="N129" s="292">
        <v>0</v>
      </c>
      <c r="O129" s="292">
        <v>0</v>
      </c>
      <c r="P129" s="292">
        <v>0</v>
      </c>
      <c r="Q129" s="292">
        <v>0</v>
      </c>
      <c r="R129" s="292">
        <v>0</v>
      </c>
      <c r="S129" s="292">
        <v>0</v>
      </c>
      <c r="T129" s="410" t="e">
        <v>#DIV/0!</v>
      </c>
      <c r="U129" s="450">
        <v>0</v>
      </c>
      <c r="V129" s="450">
        <v>0</v>
      </c>
      <c r="W129" s="446"/>
      <c r="X129" s="446"/>
      <c r="Y129" s="446"/>
      <c r="Z129" s="446"/>
    </row>
    <row r="130" spans="1:26" x14ac:dyDescent="0.2">
      <c r="A130" s="409" t="s">
        <v>364</v>
      </c>
      <c r="B130" s="292">
        <v>0</v>
      </c>
      <c r="C130" s="292">
        <v>0</v>
      </c>
      <c r="D130" s="292">
        <v>0</v>
      </c>
      <c r="E130" s="446"/>
      <c r="F130" s="446"/>
      <c r="G130" s="292">
        <v>0</v>
      </c>
      <c r="H130" s="292">
        <v>0</v>
      </c>
      <c r="I130" s="292">
        <v>0</v>
      </c>
      <c r="J130" s="292">
        <v>0</v>
      </c>
      <c r="K130" s="292">
        <v>0</v>
      </c>
      <c r="L130" s="292">
        <v>0</v>
      </c>
      <c r="M130" s="292">
        <v>0</v>
      </c>
      <c r="N130" s="292">
        <v>0</v>
      </c>
      <c r="O130" s="292">
        <v>0</v>
      </c>
      <c r="P130" s="292">
        <v>0</v>
      </c>
      <c r="Q130" s="292">
        <v>0</v>
      </c>
      <c r="R130" s="292">
        <v>0</v>
      </c>
      <c r="S130" s="292">
        <v>0</v>
      </c>
      <c r="T130" s="410" t="e">
        <v>#DIV/0!</v>
      </c>
      <c r="U130" s="450">
        <v>0</v>
      </c>
      <c r="V130" s="450">
        <v>0</v>
      </c>
      <c r="W130" s="446"/>
      <c r="X130" s="446"/>
      <c r="Y130" s="446"/>
      <c r="Z130" s="446"/>
    </row>
    <row r="131" spans="1:26" x14ac:dyDescent="0.2">
      <c r="A131" s="409" t="s">
        <v>365</v>
      </c>
      <c r="B131" s="292">
        <v>0</v>
      </c>
      <c r="C131" s="292">
        <v>0</v>
      </c>
      <c r="D131" s="292">
        <v>0</v>
      </c>
      <c r="E131" s="446"/>
      <c r="F131" s="446"/>
      <c r="G131" s="292">
        <v>0</v>
      </c>
      <c r="H131" s="292">
        <v>0</v>
      </c>
      <c r="I131" s="292">
        <v>0</v>
      </c>
      <c r="J131" s="292">
        <v>0</v>
      </c>
      <c r="K131" s="292">
        <v>0</v>
      </c>
      <c r="L131" s="292">
        <v>0</v>
      </c>
      <c r="M131" s="292">
        <v>0</v>
      </c>
      <c r="N131" s="292">
        <v>0</v>
      </c>
      <c r="O131" s="292">
        <v>0</v>
      </c>
      <c r="P131" s="292">
        <v>0</v>
      </c>
      <c r="Q131" s="292">
        <v>0</v>
      </c>
      <c r="R131" s="292">
        <v>0</v>
      </c>
      <c r="S131" s="292">
        <v>0</v>
      </c>
      <c r="T131" s="410" t="e">
        <v>#DIV/0!</v>
      </c>
      <c r="U131" s="450">
        <v>0</v>
      </c>
      <c r="V131" s="450">
        <v>0</v>
      </c>
      <c r="W131" s="446"/>
      <c r="X131" s="446"/>
      <c r="Y131" s="446"/>
      <c r="Z131" s="446"/>
    </row>
    <row r="132" spans="1:26" x14ac:dyDescent="0.2">
      <c r="A132" s="409" t="s">
        <v>366</v>
      </c>
      <c r="B132" s="292">
        <v>0</v>
      </c>
      <c r="C132" s="292">
        <v>0</v>
      </c>
      <c r="D132" s="292">
        <v>0</v>
      </c>
      <c r="E132" s="446"/>
      <c r="F132" s="446"/>
      <c r="G132" s="292">
        <v>0</v>
      </c>
      <c r="H132" s="292">
        <v>0</v>
      </c>
      <c r="I132" s="292">
        <v>0</v>
      </c>
      <c r="J132" s="292">
        <v>0</v>
      </c>
      <c r="K132" s="292">
        <v>0</v>
      </c>
      <c r="L132" s="292">
        <v>0</v>
      </c>
      <c r="M132" s="292">
        <v>0</v>
      </c>
      <c r="N132" s="292">
        <v>0</v>
      </c>
      <c r="O132" s="292">
        <v>0</v>
      </c>
      <c r="P132" s="292">
        <v>0</v>
      </c>
      <c r="Q132" s="292">
        <v>0</v>
      </c>
      <c r="R132" s="292">
        <v>0</v>
      </c>
      <c r="S132" s="292">
        <v>0</v>
      </c>
      <c r="T132" s="410" t="e">
        <v>#DIV/0!</v>
      </c>
      <c r="U132" s="450">
        <v>0</v>
      </c>
      <c r="V132" s="450">
        <v>0</v>
      </c>
      <c r="W132" s="446"/>
      <c r="X132" s="446"/>
      <c r="Y132" s="446"/>
      <c r="Z132" s="446"/>
    </row>
    <row r="133" spans="1:26" x14ac:dyDescent="0.2">
      <c r="A133" s="409" t="s">
        <v>367</v>
      </c>
      <c r="B133" s="292">
        <v>0</v>
      </c>
      <c r="C133" s="292">
        <v>0</v>
      </c>
      <c r="D133" s="292">
        <v>0</v>
      </c>
      <c r="E133" s="446"/>
      <c r="F133" s="446"/>
      <c r="G133" s="292">
        <v>0</v>
      </c>
      <c r="H133" s="292">
        <v>0</v>
      </c>
      <c r="I133" s="292">
        <v>0</v>
      </c>
      <c r="J133" s="292">
        <v>0</v>
      </c>
      <c r="K133" s="292">
        <v>0</v>
      </c>
      <c r="L133" s="292">
        <v>0</v>
      </c>
      <c r="M133" s="292">
        <v>0</v>
      </c>
      <c r="N133" s="292">
        <v>0</v>
      </c>
      <c r="O133" s="292">
        <v>0</v>
      </c>
      <c r="P133" s="292">
        <v>0</v>
      </c>
      <c r="Q133" s="292">
        <v>0</v>
      </c>
      <c r="R133" s="292">
        <v>0</v>
      </c>
      <c r="S133" s="292">
        <v>0</v>
      </c>
      <c r="T133" s="410" t="e">
        <v>#DIV/0!</v>
      </c>
      <c r="U133" s="450">
        <v>0</v>
      </c>
      <c r="V133" s="450">
        <v>0</v>
      </c>
      <c r="W133" s="446"/>
      <c r="X133" s="446"/>
      <c r="Y133" s="446"/>
      <c r="Z133" s="446"/>
    </row>
    <row r="134" spans="1:26" x14ac:dyDescent="0.2">
      <c r="A134" s="409" t="s">
        <v>368</v>
      </c>
      <c r="B134" s="292">
        <v>0</v>
      </c>
      <c r="C134" s="292">
        <v>0</v>
      </c>
      <c r="D134" s="292">
        <v>0</v>
      </c>
      <c r="E134" s="446"/>
      <c r="F134" s="446"/>
      <c r="G134" s="292">
        <v>0</v>
      </c>
      <c r="H134" s="292">
        <v>0</v>
      </c>
      <c r="I134" s="292">
        <v>0</v>
      </c>
      <c r="J134" s="292">
        <v>0</v>
      </c>
      <c r="K134" s="292">
        <v>0</v>
      </c>
      <c r="L134" s="292">
        <v>0</v>
      </c>
      <c r="M134" s="292">
        <v>0</v>
      </c>
      <c r="N134" s="292">
        <v>0</v>
      </c>
      <c r="O134" s="292">
        <v>0</v>
      </c>
      <c r="P134" s="292">
        <v>0</v>
      </c>
      <c r="Q134" s="292">
        <v>0</v>
      </c>
      <c r="R134" s="292">
        <v>0</v>
      </c>
      <c r="S134" s="292">
        <v>0</v>
      </c>
      <c r="T134" s="410" t="e">
        <v>#DIV/0!</v>
      </c>
      <c r="U134" s="450">
        <v>0</v>
      </c>
      <c r="V134" s="450">
        <v>0</v>
      </c>
      <c r="W134" s="446"/>
      <c r="X134" s="446"/>
      <c r="Y134" s="446"/>
      <c r="Z134" s="446"/>
    </row>
    <row r="135" spans="1:26" x14ac:dyDescent="0.2">
      <c r="A135" s="409" t="s">
        <v>369</v>
      </c>
      <c r="B135" s="292">
        <v>0</v>
      </c>
      <c r="C135" s="292">
        <v>0</v>
      </c>
      <c r="D135" s="292">
        <v>0</v>
      </c>
      <c r="E135" s="446"/>
      <c r="F135" s="446"/>
      <c r="G135" s="292">
        <v>0</v>
      </c>
      <c r="H135" s="292">
        <v>0</v>
      </c>
      <c r="I135" s="292">
        <v>0</v>
      </c>
      <c r="J135" s="292">
        <v>0</v>
      </c>
      <c r="K135" s="292">
        <v>0</v>
      </c>
      <c r="L135" s="292">
        <v>0</v>
      </c>
      <c r="M135" s="292">
        <v>0</v>
      </c>
      <c r="N135" s="292">
        <v>0</v>
      </c>
      <c r="O135" s="292">
        <v>0</v>
      </c>
      <c r="P135" s="292">
        <v>0</v>
      </c>
      <c r="Q135" s="292">
        <v>0</v>
      </c>
      <c r="R135" s="292">
        <v>0</v>
      </c>
      <c r="S135" s="292">
        <v>0</v>
      </c>
      <c r="T135" s="410" t="e">
        <v>#DIV/0!</v>
      </c>
      <c r="U135" s="450">
        <v>0</v>
      </c>
      <c r="V135" s="450">
        <v>0</v>
      </c>
      <c r="W135" s="446"/>
      <c r="X135" s="446"/>
      <c r="Y135" s="446"/>
      <c r="Z135" s="446"/>
    </row>
    <row r="136" spans="1:26" x14ac:dyDescent="0.2">
      <c r="A136" s="454" t="s">
        <v>370</v>
      </c>
      <c r="B136" s="448">
        <v>0</v>
      </c>
      <c r="C136" s="448">
        <v>0</v>
      </c>
      <c r="D136" s="448">
        <v>0</v>
      </c>
      <c r="E136" s="443"/>
      <c r="F136" s="443"/>
      <c r="G136" s="448">
        <v>0</v>
      </c>
      <c r="H136" s="448">
        <v>0</v>
      </c>
      <c r="I136" s="448">
        <v>0</v>
      </c>
      <c r="J136" s="448">
        <v>0</v>
      </c>
      <c r="K136" s="448">
        <v>0</v>
      </c>
      <c r="L136" s="448">
        <v>0</v>
      </c>
      <c r="M136" s="448">
        <v>0</v>
      </c>
      <c r="N136" s="448">
        <v>0</v>
      </c>
      <c r="O136" s="448">
        <v>0</v>
      </c>
      <c r="P136" s="448">
        <v>0</v>
      </c>
      <c r="Q136" s="448">
        <v>0</v>
      </c>
      <c r="R136" s="448">
        <v>0</v>
      </c>
      <c r="S136" s="448">
        <v>0</v>
      </c>
      <c r="T136" s="407" t="e">
        <v>#DIV/0!</v>
      </c>
      <c r="U136" s="449">
        <v>0</v>
      </c>
      <c r="V136" s="449">
        <v>0</v>
      </c>
      <c r="W136" s="446"/>
      <c r="X136" s="446"/>
      <c r="Y136" s="446"/>
      <c r="Z136" s="446"/>
    </row>
    <row r="137" spans="1:26" x14ac:dyDescent="0.2">
      <c r="A137" s="409" t="s">
        <v>371</v>
      </c>
      <c r="B137" s="292">
        <v>0</v>
      </c>
      <c r="C137" s="292">
        <v>0</v>
      </c>
      <c r="D137" s="292">
        <v>0</v>
      </c>
      <c r="E137" s="446"/>
      <c r="F137" s="446"/>
      <c r="G137" s="292">
        <v>0</v>
      </c>
      <c r="H137" s="292">
        <v>0</v>
      </c>
      <c r="I137" s="292">
        <v>0</v>
      </c>
      <c r="J137" s="292">
        <v>0</v>
      </c>
      <c r="K137" s="292">
        <v>0</v>
      </c>
      <c r="L137" s="292">
        <v>0</v>
      </c>
      <c r="M137" s="292">
        <v>0</v>
      </c>
      <c r="N137" s="292">
        <v>0</v>
      </c>
      <c r="O137" s="292">
        <v>0</v>
      </c>
      <c r="P137" s="292">
        <v>0</v>
      </c>
      <c r="Q137" s="292">
        <v>0</v>
      </c>
      <c r="R137" s="292">
        <v>0</v>
      </c>
      <c r="S137" s="292">
        <v>0</v>
      </c>
      <c r="T137" s="410" t="e">
        <v>#DIV/0!</v>
      </c>
      <c r="U137" s="450">
        <v>0</v>
      </c>
      <c r="V137" s="450">
        <v>0</v>
      </c>
      <c r="W137" s="446"/>
      <c r="X137" s="446"/>
      <c r="Y137" s="446"/>
      <c r="Z137" s="446"/>
    </row>
    <row r="138" spans="1:26" x14ac:dyDescent="0.2">
      <c r="A138" s="409" t="s">
        <v>372</v>
      </c>
      <c r="B138" s="292">
        <v>0</v>
      </c>
      <c r="C138" s="292">
        <v>0</v>
      </c>
      <c r="D138" s="292">
        <v>0</v>
      </c>
      <c r="E138" s="446"/>
      <c r="F138" s="446"/>
      <c r="G138" s="292">
        <v>0</v>
      </c>
      <c r="H138" s="292">
        <v>0</v>
      </c>
      <c r="I138" s="292">
        <v>0</v>
      </c>
      <c r="J138" s="292">
        <v>0</v>
      </c>
      <c r="K138" s="292">
        <v>0</v>
      </c>
      <c r="L138" s="292">
        <v>0</v>
      </c>
      <c r="M138" s="292">
        <v>0</v>
      </c>
      <c r="N138" s="292">
        <v>0</v>
      </c>
      <c r="O138" s="292">
        <v>0</v>
      </c>
      <c r="P138" s="292">
        <v>0</v>
      </c>
      <c r="Q138" s="292">
        <v>0</v>
      </c>
      <c r="R138" s="292">
        <v>0</v>
      </c>
      <c r="S138" s="292">
        <v>0</v>
      </c>
      <c r="T138" s="410" t="e">
        <v>#DIV/0!</v>
      </c>
      <c r="U138" s="450">
        <v>0</v>
      </c>
      <c r="V138" s="450">
        <v>0</v>
      </c>
      <c r="W138" s="446"/>
      <c r="X138" s="446"/>
      <c r="Y138" s="446"/>
      <c r="Z138" s="446"/>
    </row>
    <row r="139" spans="1:26" x14ac:dyDescent="0.2">
      <c r="A139" s="409" t="s">
        <v>373</v>
      </c>
      <c r="B139" s="292">
        <v>0</v>
      </c>
      <c r="C139" s="292">
        <v>0</v>
      </c>
      <c r="D139" s="292">
        <v>0</v>
      </c>
      <c r="E139" s="446"/>
      <c r="F139" s="446"/>
      <c r="G139" s="292">
        <v>0</v>
      </c>
      <c r="H139" s="292">
        <v>0</v>
      </c>
      <c r="I139" s="292">
        <v>0</v>
      </c>
      <c r="J139" s="292">
        <v>0</v>
      </c>
      <c r="K139" s="292">
        <v>0</v>
      </c>
      <c r="L139" s="292">
        <v>0</v>
      </c>
      <c r="M139" s="292">
        <v>0</v>
      </c>
      <c r="N139" s="292">
        <v>0</v>
      </c>
      <c r="O139" s="292">
        <v>0</v>
      </c>
      <c r="P139" s="292">
        <v>0</v>
      </c>
      <c r="Q139" s="292">
        <v>0</v>
      </c>
      <c r="R139" s="292">
        <v>0</v>
      </c>
      <c r="S139" s="292">
        <v>0</v>
      </c>
      <c r="T139" s="410" t="e">
        <v>#DIV/0!</v>
      </c>
      <c r="U139" s="450">
        <v>0</v>
      </c>
      <c r="V139" s="450">
        <v>0</v>
      </c>
      <c r="W139" s="446"/>
      <c r="X139" s="446"/>
      <c r="Y139" s="446"/>
      <c r="Z139" s="446"/>
    </row>
    <row r="140" spans="1:26" x14ac:dyDescent="0.2">
      <c r="A140" s="409" t="s">
        <v>374</v>
      </c>
      <c r="B140" s="292">
        <v>0</v>
      </c>
      <c r="C140" s="292">
        <v>0</v>
      </c>
      <c r="D140" s="292">
        <v>0</v>
      </c>
      <c r="E140" s="446"/>
      <c r="F140" s="446"/>
      <c r="G140" s="292">
        <v>0</v>
      </c>
      <c r="H140" s="292">
        <v>0</v>
      </c>
      <c r="I140" s="292">
        <v>0</v>
      </c>
      <c r="J140" s="292">
        <v>0</v>
      </c>
      <c r="K140" s="292">
        <v>0</v>
      </c>
      <c r="L140" s="292">
        <v>0</v>
      </c>
      <c r="M140" s="292">
        <v>0</v>
      </c>
      <c r="N140" s="292">
        <v>0</v>
      </c>
      <c r="O140" s="292">
        <v>0</v>
      </c>
      <c r="P140" s="292">
        <v>0</v>
      </c>
      <c r="Q140" s="292">
        <v>0</v>
      </c>
      <c r="R140" s="292">
        <v>0</v>
      </c>
      <c r="S140" s="292">
        <v>0</v>
      </c>
      <c r="T140" s="410" t="e">
        <v>#DIV/0!</v>
      </c>
      <c r="U140" s="450">
        <v>0</v>
      </c>
      <c r="V140" s="450">
        <v>0</v>
      </c>
      <c r="W140" s="446"/>
      <c r="X140" s="446"/>
      <c r="Y140" s="446"/>
      <c r="Z140" s="446"/>
    </row>
    <row r="141" spans="1:26" x14ac:dyDescent="0.2">
      <c r="A141" s="409" t="s">
        <v>375</v>
      </c>
      <c r="B141" s="292">
        <v>0</v>
      </c>
      <c r="C141" s="292">
        <v>0</v>
      </c>
      <c r="D141" s="292">
        <v>0</v>
      </c>
      <c r="E141" s="446"/>
      <c r="F141" s="446"/>
      <c r="G141" s="292">
        <v>0</v>
      </c>
      <c r="H141" s="292">
        <v>0</v>
      </c>
      <c r="I141" s="292">
        <v>0</v>
      </c>
      <c r="J141" s="292">
        <v>0</v>
      </c>
      <c r="K141" s="292">
        <v>0</v>
      </c>
      <c r="L141" s="292">
        <v>0</v>
      </c>
      <c r="M141" s="292">
        <v>0</v>
      </c>
      <c r="N141" s="292">
        <v>0</v>
      </c>
      <c r="O141" s="292">
        <v>0</v>
      </c>
      <c r="P141" s="292">
        <v>0</v>
      </c>
      <c r="Q141" s="292">
        <v>0</v>
      </c>
      <c r="R141" s="292">
        <v>0</v>
      </c>
      <c r="S141" s="292">
        <v>0</v>
      </c>
      <c r="T141" s="410" t="e">
        <v>#DIV/0!</v>
      </c>
      <c r="U141" s="450">
        <v>0</v>
      </c>
      <c r="V141" s="450">
        <v>0</v>
      </c>
      <c r="W141" s="446"/>
      <c r="X141" s="446"/>
      <c r="Y141" s="446"/>
      <c r="Z141" s="446"/>
    </row>
    <row r="142" spans="1:26" x14ac:dyDescent="0.2">
      <c r="A142" s="409" t="s">
        <v>376</v>
      </c>
      <c r="B142" s="292">
        <v>0</v>
      </c>
      <c r="C142" s="292">
        <v>0</v>
      </c>
      <c r="D142" s="292">
        <v>0</v>
      </c>
      <c r="E142" s="446"/>
      <c r="F142" s="446"/>
      <c r="G142" s="292">
        <v>0</v>
      </c>
      <c r="H142" s="292">
        <v>0</v>
      </c>
      <c r="I142" s="292">
        <v>0</v>
      </c>
      <c r="J142" s="292">
        <v>0</v>
      </c>
      <c r="K142" s="292">
        <v>0</v>
      </c>
      <c r="L142" s="292">
        <v>0</v>
      </c>
      <c r="M142" s="292">
        <v>0</v>
      </c>
      <c r="N142" s="292">
        <v>0</v>
      </c>
      <c r="O142" s="292">
        <v>0</v>
      </c>
      <c r="P142" s="292">
        <v>0</v>
      </c>
      <c r="Q142" s="292">
        <v>0</v>
      </c>
      <c r="R142" s="292">
        <v>0</v>
      </c>
      <c r="S142" s="292">
        <v>0</v>
      </c>
      <c r="T142" s="410" t="e">
        <v>#DIV/0!</v>
      </c>
      <c r="U142" s="450">
        <v>0</v>
      </c>
      <c r="V142" s="450">
        <v>0</v>
      </c>
      <c r="W142" s="446"/>
      <c r="X142" s="446"/>
      <c r="Y142" s="446"/>
      <c r="Z142" s="446"/>
    </row>
    <row r="143" spans="1:26" x14ac:dyDescent="0.2">
      <c r="A143" s="409" t="s">
        <v>377</v>
      </c>
      <c r="B143" s="292">
        <v>0</v>
      </c>
      <c r="C143" s="292">
        <v>0</v>
      </c>
      <c r="D143" s="292">
        <v>0</v>
      </c>
      <c r="E143" s="446"/>
      <c r="F143" s="446"/>
      <c r="G143" s="292">
        <v>0</v>
      </c>
      <c r="H143" s="292">
        <v>0</v>
      </c>
      <c r="I143" s="292">
        <v>0</v>
      </c>
      <c r="J143" s="292">
        <v>0</v>
      </c>
      <c r="K143" s="292">
        <v>0</v>
      </c>
      <c r="L143" s="292">
        <v>0</v>
      </c>
      <c r="M143" s="292">
        <v>0</v>
      </c>
      <c r="N143" s="292">
        <v>0</v>
      </c>
      <c r="O143" s="292">
        <v>0</v>
      </c>
      <c r="P143" s="292">
        <v>0</v>
      </c>
      <c r="Q143" s="292">
        <v>0</v>
      </c>
      <c r="R143" s="292">
        <v>0</v>
      </c>
      <c r="S143" s="292">
        <v>0</v>
      </c>
      <c r="T143" s="410" t="e">
        <v>#DIV/0!</v>
      </c>
      <c r="U143" s="450">
        <v>0</v>
      </c>
      <c r="V143" s="450">
        <v>0</v>
      </c>
      <c r="W143" s="446"/>
      <c r="X143" s="446"/>
      <c r="Y143" s="446"/>
      <c r="Z143" s="446"/>
    </row>
    <row r="144" spans="1:26" x14ac:dyDescent="0.2">
      <c r="A144" s="409" t="s">
        <v>378</v>
      </c>
      <c r="B144" s="292">
        <v>0</v>
      </c>
      <c r="C144" s="292">
        <v>0</v>
      </c>
      <c r="D144" s="292">
        <v>0</v>
      </c>
      <c r="E144" s="446"/>
      <c r="F144" s="446"/>
      <c r="G144" s="292">
        <v>0</v>
      </c>
      <c r="H144" s="292">
        <v>0</v>
      </c>
      <c r="I144" s="292">
        <v>0</v>
      </c>
      <c r="J144" s="292">
        <v>0</v>
      </c>
      <c r="K144" s="292">
        <v>0</v>
      </c>
      <c r="L144" s="292">
        <v>0</v>
      </c>
      <c r="M144" s="292">
        <v>0</v>
      </c>
      <c r="N144" s="292">
        <v>0</v>
      </c>
      <c r="O144" s="292">
        <v>0</v>
      </c>
      <c r="P144" s="292">
        <v>0</v>
      </c>
      <c r="Q144" s="292">
        <v>0</v>
      </c>
      <c r="R144" s="292">
        <v>0</v>
      </c>
      <c r="S144" s="292">
        <v>0</v>
      </c>
      <c r="T144" s="410" t="e">
        <v>#DIV/0!</v>
      </c>
      <c r="U144" s="450">
        <v>0</v>
      </c>
      <c r="V144" s="450">
        <v>0</v>
      </c>
      <c r="W144" s="446"/>
      <c r="X144" s="446"/>
      <c r="Y144" s="446"/>
      <c r="Z144" s="446"/>
    </row>
    <row r="145" spans="1:26" x14ac:dyDescent="0.2">
      <c r="A145" s="409" t="s">
        <v>379</v>
      </c>
      <c r="B145" s="292">
        <v>0</v>
      </c>
      <c r="C145" s="292">
        <v>0</v>
      </c>
      <c r="D145" s="292">
        <v>0</v>
      </c>
      <c r="E145" s="446"/>
      <c r="F145" s="446"/>
      <c r="G145" s="292">
        <v>0</v>
      </c>
      <c r="H145" s="292">
        <v>0</v>
      </c>
      <c r="I145" s="292">
        <v>0</v>
      </c>
      <c r="J145" s="292">
        <v>0</v>
      </c>
      <c r="K145" s="292">
        <v>0</v>
      </c>
      <c r="L145" s="292">
        <v>0</v>
      </c>
      <c r="M145" s="292">
        <v>0</v>
      </c>
      <c r="N145" s="292">
        <v>0</v>
      </c>
      <c r="O145" s="292">
        <v>0</v>
      </c>
      <c r="P145" s="292">
        <v>0</v>
      </c>
      <c r="Q145" s="292">
        <v>0</v>
      </c>
      <c r="R145" s="292">
        <v>0</v>
      </c>
      <c r="S145" s="292">
        <v>0</v>
      </c>
      <c r="T145" s="410" t="e">
        <v>#DIV/0!</v>
      </c>
      <c r="U145" s="450">
        <v>0</v>
      </c>
      <c r="V145" s="450">
        <v>0</v>
      </c>
      <c r="W145" s="446"/>
      <c r="X145" s="446"/>
      <c r="Y145" s="446"/>
      <c r="Z145" s="446"/>
    </row>
    <row r="146" spans="1:26" x14ac:dyDescent="0.2">
      <c r="A146" s="409" t="s">
        <v>380</v>
      </c>
      <c r="B146" s="292">
        <v>0</v>
      </c>
      <c r="C146" s="292">
        <v>0</v>
      </c>
      <c r="D146" s="292">
        <v>0</v>
      </c>
      <c r="E146" s="446"/>
      <c r="F146" s="446"/>
      <c r="G146" s="292">
        <v>0</v>
      </c>
      <c r="H146" s="292">
        <v>0</v>
      </c>
      <c r="I146" s="292">
        <v>0</v>
      </c>
      <c r="J146" s="292">
        <v>0</v>
      </c>
      <c r="K146" s="292">
        <v>0</v>
      </c>
      <c r="L146" s="292">
        <v>0</v>
      </c>
      <c r="M146" s="292">
        <v>0</v>
      </c>
      <c r="N146" s="292">
        <v>0</v>
      </c>
      <c r="O146" s="292">
        <v>0</v>
      </c>
      <c r="P146" s="292">
        <v>0</v>
      </c>
      <c r="Q146" s="292">
        <v>0</v>
      </c>
      <c r="R146" s="292">
        <v>0</v>
      </c>
      <c r="S146" s="292">
        <v>0</v>
      </c>
      <c r="T146" s="410" t="e">
        <v>#DIV/0!</v>
      </c>
      <c r="U146" s="450">
        <v>0</v>
      </c>
      <c r="V146" s="450">
        <v>0</v>
      </c>
      <c r="W146" s="446"/>
      <c r="X146" s="446"/>
      <c r="Y146" s="446"/>
      <c r="Z146" s="446"/>
    </row>
    <row r="147" spans="1:26" x14ac:dyDescent="0.2">
      <c r="A147" s="454" t="s">
        <v>381</v>
      </c>
      <c r="B147" s="451">
        <v>0</v>
      </c>
      <c r="C147" s="451">
        <v>0</v>
      </c>
      <c r="D147" s="451">
        <v>0</v>
      </c>
      <c r="E147" s="452"/>
      <c r="F147" s="452"/>
      <c r="G147" s="451">
        <v>0</v>
      </c>
      <c r="H147" s="451">
        <v>0</v>
      </c>
      <c r="I147" s="451">
        <v>0</v>
      </c>
      <c r="J147" s="451">
        <v>0</v>
      </c>
      <c r="K147" s="451">
        <v>0</v>
      </c>
      <c r="L147" s="451">
        <v>0</v>
      </c>
      <c r="M147" s="451">
        <v>0</v>
      </c>
      <c r="N147" s="451">
        <v>0</v>
      </c>
      <c r="O147" s="451">
        <v>0</v>
      </c>
      <c r="P147" s="451">
        <v>0</v>
      </c>
      <c r="Q147" s="451">
        <v>0</v>
      </c>
      <c r="R147" s="451">
        <v>0</v>
      </c>
      <c r="S147" s="451">
        <v>0</v>
      </c>
      <c r="T147" s="407" t="e">
        <v>#DIV/0!</v>
      </c>
      <c r="U147" s="449">
        <v>0</v>
      </c>
      <c r="V147" s="449">
        <v>0</v>
      </c>
      <c r="W147" s="452"/>
      <c r="X147" s="452"/>
      <c r="Y147" s="446"/>
      <c r="Z147" s="446"/>
    </row>
    <row r="148" spans="1:26" x14ac:dyDescent="0.2">
      <c r="A148" s="441" t="s">
        <v>382</v>
      </c>
      <c r="B148" s="442">
        <v>0</v>
      </c>
      <c r="C148" s="442">
        <v>0</v>
      </c>
      <c r="D148" s="442">
        <v>0</v>
      </c>
      <c r="E148" s="443"/>
      <c r="F148" s="443"/>
      <c r="G148" s="442">
        <v>0</v>
      </c>
      <c r="H148" s="442">
        <v>0</v>
      </c>
      <c r="I148" s="442">
        <v>0</v>
      </c>
      <c r="J148" s="442">
        <v>0</v>
      </c>
      <c r="K148" s="442">
        <v>0</v>
      </c>
      <c r="L148" s="442">
        <v>0</v>
      </c>
      <c r="M148" s="442">
        <v>0</v>
      </c>
      <c r="N148" s="442">
        <v>0</v>
      </c>
      <c r="O148" s="442">
        <v>0</v>
      </c>
      <c r="P148" s="442">
        <v>0</v>
      </c>
      <c r="Q148" s="442">
        <v>0</v>
      </c>
      <c r="R148" s="442">
        <v>0</v>
      </c>
      <c r="S148" s="442">
        <v>0</v>
      </c>
      <c r="T148" s="444" t="e">
        <v>#DIV/0!</v>
      </c>
      <c r="U148" s="445">
        <v>0</v>
      </c>
      <c r="V148" s="445">
        <v>0</v>
      </c>
      <c r="W148" s="446"/>
      <c r="X148" s="446"/>
      <c r="Y148" s="446"/>
      <c r="Z148" s="446"/>
    </row>
    <row r="149" spans="1:26" x14ac:dyDescent="0.2">
      <c r="A149" s="454" t="s">
        <v>383</v>
      </c>
      <c r="B149" s="448">
        <v>0</v>
      </c>
      <c r="C149" s="448">
        <v>0</v>
      </c>
      <c r="D149" s="448">
        <v>0</v>
      </c>
      <c r="E149" s="443"/>
      <c r="F149" s="443"/>
      <c r="G149" s="448">
        <v>0</v>
      </c>
      <c r="H149" s="448">
        <v>0</v>
      </c>
      <c r="I149" s="448">
        <v>0</v>
      </c>
      <c r="J149" s="448">
        <v>0</v>
      </c>
      <c r="K149" s="448">
        <v>0</v>
      </c>
      <c r="L149" s="448">
        <v>0</v>
      </c>
      <c r="M149" s="448">
        <v>0</v>
      </c>
      <c r="N149" s="448">
        <v>0</v>
      </c>
      <c r="O149" s="448">
        <v>0</v>
      </c>
      <c r="P149" s="448">
        <v>0</v>
      </c>
      <c r="Q149" s="448">
        <v>0</v>
      </c>
      <c r="R149" s="448">
        <v>0</v>
      </c>
      <c r="S149" s="448">
        <v>0</v>
      </c>
      <c r="T149" s="407" t="e">
        <v>#DIV/0!</v>
      </c>
      <c r="U149" s="449">
        <v>0</v>
      </c>
      <c r="V149" s="449">
        <v>0</v>
      </c>
      <c r="W149" s="446"/>
      <c r="X149" s="446"/>
      <c r="Y149" s="446"/>
      <c r="Z149" s="446"/>
    </row>
    <row r="150" spans="1:26" x14ac:dyDescent="0.2">
      <c r="A150" s="409" t="s">
        <v>384</v>
      </c>
      <c r="B150" s="292">
        <v>0</v>
      </c>
      <c r="C150" s="292">
        <v>0</v>
      </c>
      <c r="D150" s="292">
        <v>0</v>
      </c>
      <c r="E150" s="446"/>
      <c r="F150" s="446"/>
      <c r="G150" s="292">
        <v>0</v>
      </c>
      <c r="H150" s="292">
        <v>0</v>
      </c>
      <c r="I150" s="292">
        <v>0</v>
      </c>
      <c r="J150" s="292">
        <v>0</v>
      </c>
      <c r="K150" s="292">
        <v>0</v>
      </c>
      <c r="L150" s="292">
        <v>0</v>
      </c>
      <c r="M150" s="292">
        <v>0</v>
      </c>
      <c r="N150" s="292">
        <v>0</v>
      </c>
      <c r="O150" s="292">
        <v>0</v>
      </c>
      <c r="P150" s="292">
        <v>0</v>
      </c>
      <c r="Q150" s="292">
        <v>0</v>
      </c>
      <c r="R150" s="292">
        <v>0</v>
      </c>
      <c r="S150" s="292">
        <v>0</v>
      </c>
      <c r="T150" s="410" t="e">
        <v>#DIV/0!</v>
      </c>
      <c r="U150" s="450">
        <v>0</v>
      </c>
      <c r="V150" s="450">
        <v>0</v>
      </c>
      <c r="W150" s="446"/>
      <c r="X150" s="446"/>
      <c r="Y150" s="446"/>
      <c r="Z150" s="446"/>
    </row>
    <row r="151" spans="1:26" x14ac:dyDescent="0.2">
      <c r="A151" s="409" t="s">
        <v>385</v>
      </c>
      <c r="B151" s="292">
        <v>0</v>
      </c>
      <c r="C151" s="292">
        <v>0</v>
      </c>
      <c r="D151" s="292">
        <v>0</v>
      </c>
      <c r="E151" s="446"/>
      <c r="F151" s="446"/>
      <c r="G151" s="292">
        <v>0</v>
      </c>
      <c r="H151" s="292">
        <v>0</v>
      </c>
      <c r="I151" s="292">
        <v>0</v>
      </c>
      <c r="J151" s="292">
        <v>0</v>
      </c>
      <c r="K151" s="292">
        <v>0</v>
      </c>
      <c r="L151" s="292">
        <v>0</v>
      </c>
      <c r="M151" s="292">
        <v>0</v>
      </c>
      <c r="N151" s="292">
        <v>0</v>
      </c>
      <c r="O151" s="292">
        <v>0</v>
      </c>
      <c r="P151" s="292">
        <v>0</v>
      </c>
      <c r="Q151" s="292">
        <v>0</v>
      </c>
      <c r="R151" s="292">
        <v>0</v>
      </c>
      <c r="S151" s="292">
        <v>0</v>
      </c>
      <c r="T151" s="410" t="e">
        <v>#DIV/0!</v>
      </c>
      <c r="U151" s="450">
        <v>0</v>
      </c>
      <c r="V151" s="450">
        <v>0</v>
      </c>
      <c r="W151" s="446"/>
      <c r="X151" s="446"/>
      <c r="Y151" s="446"/>
      <c r="Z151" s="446"/>
    </row>
    <row r="152" spans="1:26" x14ac:dyDescent="0.2">
      <c r="A152" s="409" t="s">
        <v>386</v>
      </c>
      <c r="B152" s="292">
        <v>0</v>
      </c>
      <c r="C152" s="292">
        <v>0</v>
      </c>
      <c r="D152" s="292">
        <v>0</v>
      </c>
      <c r="E152" s="446"/>
      <c r="F152" s="446"/>
      <c r="G152" s="292">
        <v>0</v>
      </c>
      <c r="H152" s="292">
        <v>0</v>
      </c>
      <c r="I152" s="292">
        <v>0</v>
      </c>
      <c r="J152" s="292">
        <v>0</v>
      </c>
      <c r="K152" s="292">
        <v>0</v>
      </c>
      <c r="L152" s="292">
        <v>0</v>
      </c>
      <c r="M152" s="292">
        <v>0</v>
      </c>
      <c r="N152" s="292">
        <v>0</v>
      </c>
      <c r="O152" s="292">
        <v>0</v>
      </c>
      <c r="P152" s="292">
        <v>0</v>
      </c>
      <c r="Q152" s="292">
        <v>0</v>
      </c>
      <c r="R152" s="292">
        <v>0</v>
      </c>
      <c r="S152" s="292">
        <v>0</v>
      </c>
      <c r="T152" s="410" t="e">
        <v>#DIV/0!</v>
      </c>
      <c r="U152" s="450">
        <v>0</v>
      </c>
      <c r="V152" s="450">
        <v>0</v>
      </c>
      <c r="W152" s="446"/>
      <c r="X152" s="446"/>
      <c r="Y152" s="446"/>
      <c r="Z152" s="446"/>
    </row>
    <row r="153" spans="1:26" x14ac:dyDescent="0.2">
      <c r="A153" s="409" t="s">
        <v>387</v>
      </c>
      <c r="B153" s="292">
        <v>0</v>
      </c>
      <c r="C153" s="292">
        <v>0</v>
      </c>
      <c r="D153" s="292">
        <v>0</v>
      </c>
      <c r="E153" s="446"/>
      <c r="F153" s="446"/>
      <c r="G153" s="292">
        <v>0</v>
      </c>
      <c r="H153" s="292">
        <v>0</v>
      </c>
      <c r="I153" s="292">
        <v>0</v>
      </c>
      <c r="J153" s="292">
        <v>0</v>
      </c>
      <c r="K153" s="292">
        <v>0</v>
      </c>
      <c r="L153" s="292">
        <v>0</v>
      </c>
      <c r="M153" s="292">
        <v>0</v>
      </c>
      <c r="N153" s="292">
        <v>0</v>
      </c>
      <c r="O153" s="292">
        <v>0</v>
      </c>
      <c r="P153" s="292">
        <v>0</v>
      </c>
      <c r="Q153" s="292">
        <v>0</v>
      </c>
      <c r="R153" s="292">
        <v>0</v>
      </c>
      <c r="S153" s="292">
        <v>0</v>
      </c>
      <c r="T153" s="410" t="e">
        <v>#DIV/0!</v>
      </c>
      <c r="U153" s="450">
        <v>0</v>
      </c>
      <c r="V153" s="450">
        <v>0</v>
      </c>
      <c r="W153" s="446"/>
      <c r="X153" s="446"/>
      <c r="Y153" s="446"/>
      <c r="Z153" s="446"/>
    </row>
    <row r="154" spans="1:26" x14ac:dyDescent="0.2">
      <c r="A154" s="409" t="s">
        <v>388</v>
      </c>
      <c r="B154" s="292">
        <v>0</v>
      </c>
      <c r="C154" s="292">
        <v>0</v>
      </c>
      <c r="D154" s="292">
        <v>0</v>
      </c>
      <c r="E154" s="446"/>
      <c r="F154" s="446"/>
      <c r="G154" s="292">
        <v>0</v>
      </c>
      <c r="H154" s="292">
        <v>0</v>
      </c>
      <c r="I154" s="292">
        <v>0</v>
      </c>
      <c r="J154" s="292">
        <v>0</v>
      </c>
      <c r="K154" s="292">
        <v>0</v>
      </c>
      <c r="L154" s="292">
        <v>0</v>
      </c>
      <c r="M154" s="292">
        <v>0</v>
      </c>
      <c r="N154" s="292">
        <v>0</v>
      </c>
      <c r="O154" s="292">
        <v>0</v>
      </c>
      <c r="P154" s="292">
        <v>0</v>
      </c>
      <c r="Q154" s="292">
        <v>0</v>
      </c>
      <c r="R154" s="292">
        <v>0</v>
      </c>
      <c r="S154" s="292">
        <v>0</v>
      </c>
      <c r="T154" s="410" t="e">
        <v>#DIV/0!</v>
      </c>
      <c r="U154" s="450">
        <v>0</v>
      </c>
      <c r="V154" s="450">
        <v>0</v>
      </c>
      <c r="W154" s="446"/>
      <c r="X154" s="446"/>
      <c r="Y154" s="446"/>
      <c r="Z154" s="446"/>
    </row>
    <row r="155" spans="1:26" x14ac:dyDescent="0.2">
      <c r="A155" s="409" t="s">
        <v>389</v>
      </c>
      <c r="B155" s="292">
        <v>0</v>
      </c>
      <c r="C155" s="292">
        <v>0</v>
      </c>
      <c r="D155" s="292">
        <v>0</v>
      </c>
      <c r="E155" s="446"/>
      <c r="F155" s="446"/>
      <c r="G155" s="292">
        <v>0</v>
      </c>
      <c r="H155" s="292">
        <v>0</v>
      </c>
      <c r="I155" s="292">
        <v>0</v>
      </c>
      <c r="J155" s="292">
        <v>0</v>
      </c>
      <c r="K155" s="292">
        <v>0</v>
      </c>
      <c r="L155" s="292">
        <v>0</v>
      </c>
      <c r="M155" s="292">
        <v>0</v>
      </c>
      <c r="N155" s="292">
        <v>0</v>
      </c>
      <c r="O155" s="292">
        <v>0</v>
      </c>
      <c r="P155" s="292">
        <v>0</v>
      </c>
      <c r="Q155" s="292">
        <v>0</v>
      </c>
      <c r="R155" s="292">
        <v>0</v>
      </c>
      <c r="S155" s="292">
        <v>0</v>
      </c>
      <c r="T155" s="410" t="e">
        <v>#DIV/0!</v>
      </c>
      <c r="U155" s="450">
        <v>0</v>
      </c>
      <c r="V155" s="450">
        <v>0</v>
      </c>
      <c r="W155" s="446"/>
      <c r="X155" s="446"/>
      <c r="Y155" s="446"/>
      <c r="Z155" s="446"/>
    </row>
    <row r="156" spans="1:26" x14ac:dyDescent="0.2">
      <c r="A156" s="404" t="s">
        <v>390</v>
      </c>
      <c r="B156" s="448">
        <v>0</v>
      </c>
      <c r="C156" s="448">
        <v>0</v>
      </c>
      <c r="D156" s="448">
        <v>0</v>
      </c>
      <c r="E156" s="443"/>
      <c r="F156" s="443"/>
      <c r="G156" s="448">
        <v>0</v>
      </c>
      <c r="H156" s="448">
        <v>0</v>
      </c>
      <c r="I156" s="448">
        <v>0</v>
      </c>
      <c r="J156" s="448">
        <v>0</v>
      </c>
      <c r="K156" s="448">
        <v>0</v>
      </c>
      <c r="L156" s="448">
        <v>0</v>
      </c>
      <c r="M156" s="448">
        <v>0</v>
      </c>
      <c r="N156" s="448">
        <v>0</v>
      </c>
      <c r="O156" s="448">
        <v>0</v>
      </c>
      <c r="P156" s="448">
        <v>0</v>
      </c>
      <c r="Q156" s="448">
        <v>0</v>
      </c>
      <c r="R156" s="448">
        <v>0</v>
      </c>
      <c r="S156" s="448">
        <v>0</v>
      </c>
      <c r="T156" s="407" t="e">
        <v>#DIV/0!</v>
      </c>
      <c r="U156" s="449">
        <v>0</v>
      </c>
      <c r="V156" s="449">
        <v>0</v>
      </c>
      <c r="W156" s="446"/>
      <c r="X156" s="446"/>
      <c r="Y156" s="446"/>
      <c r="Z156" s="446"/>
    </row>
    <row r="157" spans="1:26" x14ac:dyDescent="0.2">
      <c r="A157" s="412" t="s">
        <v>391</v>
      </c>
      <c r="B157" s="292">
        <v>0</v>
      </c>
      <c r="C157" s="292">
        <v>0</v>
      </c>
      <c r="D157" s="292">
        <v>0</v>
      </c>
      <c r="E157" s="446"/>
      <c r="F157" s="446"/>
      <c r="G157" s="292">
        <v>0</v>
      </c>
      <c r="H157" s="292">
        <v>0</v>
      </c>
      <c r="I157" s="292">
        <v>0</v>
      </c>
      <c r="J157" s="292">
        <v>0</v>
      </c>
      <c r="K157" s="292">
        <v>0</v>
      </c>
      <c r="L157" s="292">
        <v>0</v>
      </c>
      <c r="M157" s="292">
        <v>0</v>
      </c>
      <c r="N157" s="292">
        <v>0</v>
      </c>
      <c r="O157" s="292">
        <v>0</v>
      </c>
      <c r="P157" s="292">
        <v>0</v>
      </c>
      <c r="Q157" s="292">
        <v>0</v>
      </c>
      <c r="R157" s="292">
        <v>0</v>
      </c>
      <c r="S157" s="292">
        <v>0</v>
      </c>
      <c r="T157" s="410" t="e">
        <v>#DIV/0!</v>
      </c>
      <c r="U157" s="450">
        <v>0</v>
      </c>
      <c r="V157" s="450">
        <v>0</v>
      </c>
      <c r="W157" s="446"/>
      <c r="X157" s="446"/>
      <c r="Y157" s="446"/>
      <c r="Z157" s="446"/>
    </row>
    <row r="158" spans="1:26" x14ac:dyDescent="0.2">
      <c r="A158" s="412" t="s">
        <v>392</v>
      </c>
      <c r="B158" s="292">
        <v>0</v>
      </c>
      <c r="C158" s="292">
        <v>0</v>
      </c>
      <c r="D158" s="292">
        <v>0</v>
      </c>
      <c r="E158" s="446"/>
      <c r="F158" s="446"/>
      <c r="G158" s="292">
        <v>0</v>
      </c>
      <c r="H158" s="292">
        <v>0</v>
      </c>
      <c r="I158" s="292">
        <v>0</v>
      </c>
      <c r="J158" s="292">
        <v>0</v>
      </c>
      <c r="K158" s="292">
        <v>0</v>
      </c>
      <c r="L158" s="292">
        <v>0</v>
      </c>
      <c r="M158" s="292">
        <v>0</v>
      </c>
      <c r="N158" s="292">
        <v>0</v>
      </c>
      <c r="O158" s="292">
        <v>0</v>
      </c>
      <c r="P158" s="292">
        <v>0</v>
      </c>
      <c r="Q158" s="292">
        <v>0</v>
      </c>
      <c r="R158" s="292">
        <v>0</v>
      </c>
      <c r="S158" s="292">
        <v>0</v>
      </c>
      <c r="T158" s="410" t="e">
        <v>#DIV/0!</v>
      </c>
      <c r="U158" s="450">
        <v>0</v>
      </c>
      <c r="V158" s="450">
        <v>0</v>
      </c>
      <c r="W158" s="446"/>
      <c r="X158" s="446"/>
      <c r="Y158" s="446"/>
      <c r="Z158" s="446"/>
    </row>
    <row r="159" spans="1:26" x14ac:dyDescent="0.2">
      <c r="A159" s="412" t="s">
        <v>393</v>
      </c>
      <c r="B159" s="292">
        <v>0</v>
      </c>
      <c r="C159" s="292">
        <v>0</v>
      </c>
      <c r="D159" s="292">
        <v>0</v>
      </c>
      <c r="E159" s="446"/>
      <c r="F159" s="446"/>
      <c r="G159" s="292">
        <v>0</v>
      </c>
      <c r="H159" s="292">
        <v>0</v>
      </c>
      <c r="I159" s="292">
        <v>0</v>
      </c>
      <c r="J159" s="292">
        <v>0</v>
      </c>
      <c r="K159" s="292">
        <v>0</v>
      </c>
      <c r="L159" s="292">
        <v>0</v>
      </c>
      <c r="M159" s="292">
        <v>0</v>
      </c>
      <c r="N159" s="292">
        <v>0</v>
      </c>
      <c r="O159" s="292">
        <v>0</v>
      </c>
      <c r="P159" s="292">
        <v>0</v>
      </c>
      <c r="Q159" s="292">
        <v>0</v>
      </c>
      <c r="R159" s="292">
        <v>0</v>
      </c>
      <c r="S159" s="292">
        <v>0</v>
      </c>
      <c r="T159" s="410" t="e">
        <v>#DIV/0!</v>
      </c>
      <c r="U159" s="450">
        <v>0</v>
      </c>
      <c r="V159" s="450">
        <v>0</v>
      </c>
      <c r="W159" s="446"/>
      <c r="X159" s="446"/>
      <c r="Y159" s="446"/>
      <c r="Z159" s="446"/>
    </row>
    <row r="160" spans="1:26" x14ac:dyDescent="0.2">
      <c r="A160" s="441" t="s">
        <v>394</v>
      </c>
      <c r="B160" s="458">
        <v>0</v>
      </c>
      <c r="C160" s="458">
        <v>0</v>
      </c>
      <c r="D160" s="458">
        <v>0</v>
      </c>
      <c r="E160" s="452"/>
      <c r="F160" s="452"/>
      <c r="G160" s="458">
        <v>0</v>
      </c>
      <c r="H160" s="458">
        <v>0</v>
      </c>
      <c r="I160" s="458">
        <v>0</v>
      </c>
      <c r="J160" s="458">
        <v>0</v>
      </c>
      <c r="K160" s="458">
        <v>0</v>
      </c>
      <c r="L160" s="458">
        <v>0</v>
      </c>
      <c r="M160" s="458">
        <v>0</v>
      </c>
      <c r="N160" s="458">
        <v>0</v>
      </c>
      <c r="O160" s="458">
        <v>0</v>
      </c>
      <c r="P160" s="458">
        <v>0</v>
      </c>
      <c r="Q160" s="458">
        <v>0</v>
      </c>
      <c r="R160" s="458">
        <v>0</v>
      </c>
      <c r="S160" s="458">
        <v>0</v>
      </c>
      <c r="T160" s="444" t="e">
        <v>#DIV/0!</v>
      </c>
      <c r="U160" s="445">
        <v>0</v>
      </c>
      <c r="V160" s="445">
        <v>0</v>
      </c>
      <c r="W160" s="446"/>
      <c r="X160" s="446"/>
      <c r="Y160" s="446"/>
      <c r="Z160" s="446"/>
    </row>
    <row r="161" spans="1:27" x14ac:dyDescent="0.2">
      <c r="A161" s="459" t="s">
        <v>395</v>
      </c>
      <c r="B161" s="458">
        <v>0</v>
      </c>
      <c r="C161" s="458">
        <v>29857586.530000001</v>
      </c>
      <c r="D161" s="458">
        <v>29857586.509999998</v>
      </c>
      <c r="E161" s="452"/>
      <c r="F161" s="452"/>
      <c r="G161" s="458">
        <v>29857586.509999998</v>
      </c>
      <c r="H161" s="458">
        <v>0</v>
      </c>
      <c r="I161" s="458">
        <v>0</v>
      </c>
      <c r="J161" s="458">
        <v>0</v>
      </c>
      <c r="K161" s="458">
        <v>0</v>
      </c>
      <c r="L161" s="458">
        <v>0</v>
      </c>
      <c r="M161" s="458">
        <v>0</v>
      </c>
      <c r="N161" s="458">
        <v>0</v>
      </c>
      <c r="O161" s="458">
        <v>0</v>
      </c>
      <c r="P161" s="458">
        <v>0</v>
      </c>
      <c r="Q161" s="458">
        <v>0</v>
      </c>
      <c r="R161" s="458">
        <v>0</v>
      </c>
      <c r="S161" s="458">
        <v>29857586.509999998</v>
      </c>
      <c r="T161" s="444">
        <v>0.99999999933015338</v>
      </c>
      <c r="U161" s="445">
        <v>2.0000003278255463E-2</v>
      </c>
      <c r="V161" s="445">
        <v>0</v>
      </c>
      <c r="W161" s="446"/>
      <c r="X161" s="446"/>
      <c r="Y161" s="446"/>
      <c r="Z161" s="446"/>
    </row>
    <row r="162" spans="1:27" x14ac:dyDescent="0.2">
      <c r="A162" s="460" t="s">
        <v>396</v>
      </c>
      <c r="B162" s="461">
        <v>0</v>
      </c>
      <c r="C162" s="461">
        <v>0</v>
      </c>
      <c r="D162" s="461">
        <v>0</v>
      </c>
      <c r="E162" s="443"/>
      <c r="F162" s="443"/>
      <c r="G162" s="461">
        <v>0</v>
      </c>
      <c r="H162" s="461">
        <v>0</v>
      </c>
      <c r="I162" s="461">
        <v>0</v>
      </c>
      <c r="J162" s="461">
        <v>0</v>
      </c>
      <c r="K162" s="461">
        <v>0</v>
      </c>
      <c r="L162" s="461">
        <v>0</v>
      </c>
      <c r="M162" s="461">
        <v>0</v>
      </c>
      <c r="N162" s="461">
        <v>0</v>
      </c>
      <c r="O162" s="461">
        <v>0</v>
      </c>
      <c r="P162" s="461">
        <v>0</v>
      </c>
      <c r="Q162" s="461">
        <v>0</v>
      </c>
      <c r="R162" s="461">
        <v>0</v>
      </c>
      <c r="S162" s="461">
        <v>0</v>
      </c>
      <c r="T162" s="420" t="e">
        <v>#DIV/0!</v>
      </c>
      <c r="U162" s="462">
        <v>0</v>
      </c>
      <c r="V162" s="462">
        <v>0</v>
      </c>
      <c r="W162" s="446"/>
      <c r="X162" s="446"/>
      <c r="Y162" s="446"/>
      <c r="Z162" s="446"/>
    </row>
    <row r="163" spans="1:27" x14ac:dyDescent="0.2">
      <c r="A163" s="454" t="s">
        <v>397</v>
      </c>
      <c r="B163" s="451">
        <v>0</v>
      </c>
      <c r="C163" s="451">
        <v>0</v>
      </c>
      <c r="D163" s="451">
        <v>0</v>
      </c>
      <c r="E163" s="452"/>
      <c r="F163" s="452"/>
      <c r="G163" s="451">
        <v>0</v>
      </c>
      <c r="H163" s="451">
        <v>0</v>
      </c>
      <c r="I163" s="451">
        <v>0</v>
      </c>
      <c r="J163" s="451">
        <v>0</v>
      </c>
      <c r="K163" s="451">
        <v>0</v>
      </c>
      <c r="L163" s="451">
        <v>0</v>
      </c>
      <c r="M163" s="451">
        <v>0</v>
      </c>
      <c r="N163" s="451">
        <v>0</v>
      </c>
      <c r="O163" s="451">
        <v>0</v>
      </c>
      <c r="P163" s="451">
        <v>0</v>
      </c>
      <c r="Q163" s="451">
        <v>0</v>
      </c>
      <c r="R163" s="451">
        <v>0</v>
      </c>
      <c r="S163" s="451">
        <v>0</v>
      </c>
      <c r="T163" s="407" t="e">
        <v>#DIV/0!</v>
      </c>
      <c r="U163" s="449">
        <v>0</v>
      </c>
      <c r="V163" s="449">
        <v>0</v>
      </c>
      <c r="W163" s="452"/>
      <c r="X163" s="452"/>
      <c r="Y163" s="446"/>
      <c r="Z163" s="446"/>
    </row>
    <row r="164" spans="1:27" x14ac:dyDescent="0.2">
      <c r="A164" s="454" t="s">
        <v>398</v>
      </c>
      <c r="B164" s="451">
        <v>0</v>
      </c>
      <c r="C164" s="451">
        <v>0</v>
      </c>
      <c r="D164" s="451">
        <v>0</v>
      </c>
      <c r="E164" s="452"/>
      <c r="F164" s="452"/>
      <c r="G164" s="451">
        <v>0</v>
      </c>
      <c r="H164" s="451">
        <v>0</v>
      </c>
      <c r="I164" s="451">
        <v>0</v>
      </c>
      <c r="J164" s="451">
        <v>0</v>
      </c>
      <c r="K164" s="451">
        <v>0</v>
      </c>
      <c r="L164" s="451">
        <v>0</v>
      </c>
      <c r="M164" s="451">
        <v>0</v>
      </c>
      <c r="N164" s="451">
        <v>0</v>
      </c>
      <c r="O164" s="451">
        <v>0</v>
      </c>
      <c r="P164" s="451">
        <v>0</v>
      </c>
      <c r="Q164" s="451">
        <v>0</v>
      </c>
      <c r="R164" s="451">
        <v>0</v>
      </c>
      <c r="S164" s="451">
        <v>0</v>
      </c>
      <c r="T164" s="407" t="e">
        <v>#DIV/0!</v>
      </c>
      <c r="U164" s="449">
        <v>0</v>
      </c>
      <c r="V164" s="449">
        <v>0</v>
      </c>
      <c r="W164" s="452"/>
      <c r="X164" s="452"/>
      <c r="Y164" s="446"/>
      <c r="Z164" s="446"/>
    </row>
    <row r="165" spans="1:27" x14ac:dyDescent="0.2">
      <c r="A165" s="454" t="s">
        <v>399</v>
      </c>
      <c r="B165" s="448">
        <v>0</v>
      </c>
      <c r="C165" s="448">
        <v>0</v>
      </c>
      <c r="D165" s="448">
        <v>0</v>
      </c>
      <c r="E165" s="443"/>
      <c r="F165" s="443"/>
      <c r="G165" s="448">
        <v>0</v>
      </c>
      <c r="H165" s="448">
        <v>0</v>
      </c>
      <c r="I165" s="448">
        <v>0</v>
      </c>
      <c r="J165" s="448">
        <v>0</v>
      </c>
      <c r="K165" s="448">
        <v>0</v>
      </c>
      <c r="L165" s="448">
        <v>0</v>
      </c>
      <c r="M165" s="448">
        <v>0</v>
      </c>
      <c r="N165" s="448">
        <v>0</v>
      </c>
      <c r="O165" s="448">
        <v>0</v>
      </c>
      <c r="P165" s="448">
        <v>0</v>
      </c>
      <c r="Q165" s="448">
        <v>0</v>
      </c>
      <c r="R165" s="448">
        <v>0</v>
      </c>
      <c r="S165" s="448">
        <v>0</v>
      </c>
      <c r="T165" s="407" t="e">
        <v>#DIV/0!</v>
      </c>
      <c r="U165" s="449">
        <v>0</v>
      </c>
      <c r="V165" s="449">
        <v>0</v>
      </c>
      <c r="W165" s="452"/>
      <c r="X165" s="452"/>
      <c r="Y165" s="446"/>
      <c r="Z165" s="446"/>
    </row>
    <row r="166" spans="1:27" x14ac:dyDescent="0.2">
      <c r="A166" s="409" t="s">
        <v>400</v>
      </c>
      <c r="B166" s="292">
        <v>0</v>
      </c>
      <c r="C166" s="292">
        <v>0</v>
      </c>
      <c r="D166" s="292">
        <v>0</v>
      </c>
      <c r="E166" s="446"/>
      <c r="F166" s="446"/>
      <c r="G166" s="292">
        <v>0</v>
      </c>
      <c r="H166" s="292">
        <v>0</v>
      </c>
      <c r="I166" s="292">
        <v>0</v>
      </c>
      <c r="J166" s="292">
        <v>0</v>
      </c>
      <c r="K166" s="292">
        <v>0</v>
      </c>
      <c r="L166" s="292">
        <v>0</v>
      </c>
      <c r="M166" s="292">
        <v>0</v>
      </c>
      <c r="N166" s="292">
        <v>0</v>
      </c>
      <c r="O166" s="292">
        <v>0</v>
      </c>
      <c r="P166" s="292">
        <v>0</v>
      </c>
      <c r="Q166" s="292">
        <v>0</v>
      </c>
      <c r="R166" s="292">
        <v>0</v>
      </c>
      <c r="S166" s="292">
        <v>0</v>
      </c>
      <c r="T166" s="410" t="e">
        <v>#DIV/0!</v>
      </c>
      <c r="U166" s="450">
        <v>0</v>
      </c>
      <c r="V166" s="450">
        <v>0</v>
      </c>
      <c r="W166" s="446"/>
      <c r="X166" s="446"/>
      <c r="Y166" s="446"/>
      <c r="Z166" s="446"/>
    </row>
    <row r="167" spans="1:27" x14ac:dyDescent="0.2">
      <c r="A167" s="409" t="s">
        <v>401</v>
      </c>
      <c r="B167" s="292">
        <v>0</v>
      </c>
      <c r="C167" s="292">
        <v>0</v>
      </c>
      <c r="D167" s="292">
        <v>0</v>
      </c>
      <c r="E167" s="446"/>
      <c r="F167" s="446"/>
      <c r="G167" s="292">
        <v>0</v>
      </c>
      <c r="H167" s="292">
        <v>0</v>
      </c>
      <c r="I167" s="292">
        <v>0</v>
      </c>
      <c r="J167" s="292">
        <v>0</v>
      </c>
      <c r="K167" s="292">
        <v>0</v>
      </c>
      <c r="L167" s="292">
        <v>0</v>
      </c>
      <c r="M167" s="292">
        <v>0</v>
      </c>
      <c r="N167" s="292">
        <v>0</v>
      </c>
      <c r="O167" s="292">
        <v>0</v>
      </c>
      <c r="P167" s="292">
        <v>0</v>
      </c>
      <c r="Q167" s="292">
        <v>0</v>
      </c>
      <c r="R167" s="292">
        <v>0</v>
      </c>
      <c r="S167" s="292">
        <v>0</v>
      </c>
      <c r="T167" s="410" t="e">
        <v>#DIV/0!</v>
      </c>
      <c r="U167" s="450">
        <v>0</v>
      </c>
      <c r="V167" s="450">
        <v>0</v>
      </c>
      <c r="W167" s="446"/>
      <c r="X167" s="446"/>
      <c r="Y167" s="446"/>
      <c r="Z167" s="446"/>
    </row>
    <row r="168" spans="1:27" x14ac:dyDescent="0.2">
      <c r="A168" s="409" t="s">
        <v>402</v>
      </c>
      <c r="B168" s="292">
        <v>0</v>
      </c>
      <c r="C168" s="292">
        <v>0</v>
      </c>
      <c r="D168" s="292">
        <v>0</v>
      </c>
      <c r="E168" s="446"/>
      <c r="F168" s="446"/>
      <c r="G168" s="292">
        <v>0</v>
      </c>
      <c r="H168" s="292">
        <v>0</v>
      </c>
      <c r="I168" s="292">
        <v>0</v>
      </c>
      <c r="J168" s="292">
        <v>0</v>
      </c>
      <c r="K168" s="292">
        <v>0</v>
      </c>
      <c r="L168" s="292">
        <v>0</v>
      </c>
      <c r="M168" s="292">
        <v>0</v>
      </c>
      <c r="N168" s="292">
        <v>0</v>
      </c>
      <c r="O168" s="292">
        <v>0</v>
      </c>
      <c r="P168" s="292">
        <v>0</v>
      </c>
      <c r="Q168" s="292">
        <v>0</v>
      </c>
      <c r="R168" s="292">
        <v>0</v>
      </c>
      <c r="S168" s="292">
        <v>0</v>
      </c>
      <c r="T168" s="410" t="e">
        <v>#DIV/0!</v>
      </c>
      <c r="U168" s="450">
        <v>0</v>
      </c>
      <c r="V168" s="450">
        <v>0</v>
      </c>
      <c r="W168" s="446"/>
      <c r="X168" s="446"/>
      <c r="Y168" s="446"/>
      <c r="Z168" s="446"/>
    </row>
    <row r="169" spans="1:27" x14ac:dyDescent="0.2">
      <c r="A169" s="454" t="s">
        <v>403</v>
      </c>
      <c r="B169" s="451">
        <v>0</v>
      </c>
      <c r="C169" s="451">
        <v>0</v>
      </c>
      <c r="D169" s="451">
        <v>0</v>
      </c>
      <c r="E169" s="446"/>
      <c r="F169" s="446"/>
      <c r="G169" s="451">
        <v>0</v>
      </c>
      <c r="H169" s="451">
        <v>0</v>
      </c>
      <c r="I169" s="451">
        <v>0</v>
      </c>
      <c r="J169" s="451">
        <v>0</v>
      </c>
      <c r="K169" s="451">
        <v>0</v>
      </c>
      <c r="L169" s="451">
        <v>0</v>
      </c>
      <c r="M169" s="451">
        <v>0</v>
      </c>
      <c r="N169" s="451">
        <v>0</v>
      </c>
      <c r="O169" s="451">
        <v>0</v>
      </c>
      <c r="P169" s="451">
        <v>0</v>
      </c>
      <c r="Q169" s="451">
        <v>0</v>
      </c>
      <c r="R169" s="451">
        <v>0</v>
      </c>
      <c r="S169" s="451">
        <v>0</v>
      </c>
      <c r="T169" s="407" t="e">
        <v>#DIV/0!</v>
      </c>
      <c r="U169" s="449">
        <v>0</v>
      </c>
      <c r="V169" s="449">
        <v>0</v>
      </c>
      <c r="W169" s="452"/>
      <c r="X169" s="452"/>
      <c r="Y169" s="452"/>
      <c r="Z169" s="446"/>
    </row>
    <row r="170" spans="1:27" x14ac:dyDescent="0.2">
      <c r="A170" s="463" t="s">
        <v>53</v>
      </c>
      <c r="B170" s="464">
        <v>62649205</v>
      </c>
      <c r="C170" s="464">
        <v>90155769.439999998</v>
      </c>
      <c r="D170" s="464">
        <v>56023674.019999996</v>
      </c>
      <c r="E170" s="446"/>
      <c r="F170" s="446"/>
      <c r="G170" s="464">
        <v>39862597.531999998</v>
      </c>
      <c r="H170" s="464">
        <v>2354534.629999999</v>
      </c>
      <c r="I170" s="464">
        <v>8636802.1380000003</v>
      </c>
      <c r="J170" s="464">
        <v>2335512.1189999995</v>
      </c>
      <c r="K170" s="464">
        <v>5465202.4160000011</v>
      </c>
      <c r="L170" s="464">
        <v>5231878.0530000003</v>
      </c>
      <c r="M170" s="464">
        <v>3086923.628</v>
      </c>
      <c r="N170" s="464">
        <v>5768373.4860000005</v>
      </c>
      <c r="O170" s="464">
        <v>6387623.6660000002</v>
      </c>
      <c r="P170" s="464">
        <v>0</v>
      </c>
      <c r="Q170" s="464">
        <v>0</v>
      </c>
      <c r="R170" s="464">
        <v>0</v>
      </c>
      <c r="S170" s="464">
        <v>79129447.668000013</v>
      </c>
      <c r="T170" s="465">
        <v>0.8776969922114839</v>
      </c>
      <c r="U170" s="466">
        <v>11026321.771999985</v>
      </c>
      <c r="V170" s="466">
        <v>-23105773.648000017</v>
      </c>
      <c r="W170" s="452"/>
      <c r="X170" s="452"/>
      <c r="Y170" s="452"/>
      <c r="Z170" s="452"/>
      <c r="AA170" s="453"/>
    </row>
    <row r="171" spans="1:27" x14ac:dyDescent="0.2">
      <c r="A171" s="467" t="s">
        <v>54</v>
      </c>
      <c r="B171" s="468">
        <v>62649205</v>
      </c>
      <c r="C171" s="468">
        <v>90152719.439999998</v>
      </c>
      <c r="D171" s="468">
        <v>56023674.019999996</v>
      </c>
      <c r="E171" s="446"/>
      <c r="F171" s="446"/>
      <c r="G171" s="468">
        <v>39862597.531999998</v>
      </c>
      <c r="H171" s="468">
        <v>2354534.629999999</v>
      </c>
      <c r="I171" s="468">
        <v>8636802.1380000003</v>
      </c>
      <c r="J171" s="468">
        <v>2335512.1189999995</v>
      </c>
      <c r="K171" s="468">
        <v>5465202.4160000011</v>
      </c>
      <c r="L171" s="468">
        <v>5231878.0530000003</v>
      </c>
      <c r="M171" s="468">
        <v>3086923.628</v>
      </c>
      <c r="N171" s="468">
        <v>5768373.4860000005</v>
      </c>
      <c r="O171" s="468">
        <v>6387623.6660000002</v>
      </c>
      <c r="P171" s="468">
        <v>0</v>
      </c>
      <c r="Q171" s="468">
        <v>0</v>
      </c>
      <c r="R171" s="468">
        <v>0</v>
      </c>
      <c r="S171" s="468">
        <v>79129447.668000013</v>
      </c>
      <c r="T171" s="469">
        <v>0.87772668600045523</v>
      </c>
      <c r="U171" s="470">
        <v>11023271.771999985</v>
      </c>
      <c r="V171" s="470">
        <v>-23105773.648000017</v>
      </c>
      <c r="W171" s="452"/>
      <c r="X171" s="452"/>
      <c r="Y171" s="452"/>
      <c r="Z171" s="452"/>
      <c r="AA171" s="453"/>
    </row>
    <row r="172" spans="1:27" x14ac:dyDescent="0.2">
      <c r="A172" s="467" t="s">
        <v>55</v>
      </c>
      <c r="B172" s="468">
        <v>62649205</v>
      </c>
      <c r="C172" s="468">
        <v>60298182.909999996</v>
      </c>
      <c r="D172" s="468">
        <v>26166087.509999998</v>
      </c>
      <c r="E172" s="446"/>
      <c r="F172" s="446"/>
      <c r="G172" s="468">
        <v>10005011.022</v>
      </c>
      <c r="H172" s="468">
        <v>2354534.629999999</v>
      </c>
      <c r="I172" s="468">
        <v>8636802.1380000003</v>
      </c>
      <c r="J172" s="468">
        <v>2335512.1189999995</v>
      </c>
      <c r="K172" s="468">
        <v>5465202.4160000011</v>
      </c>
      <c r="L172" s="468">
        <v>5231878.0530000003</v>
      </c>
      <c r="M172" s="468">
        <v>3086923.628</v>
      </c>
      <c r="N172" s="468">
        <v>5768373.4860000005</v>
      </c>
      <c r="O172" s="468">
        <v>6387623.6660000002</v>
      </c>
      <c r="P172" s="468">
        <v>0</v>
      </c>
      <c r="Q172" s="468">
        <v>0</v>
      </c>
      <c r="R172" s="468">
        <v>0</v>
      </c>
      <c r="S172" s="468">
        <v>49271861.158000015</v>
      </c>
      <c r="T172" s="469">
        <v>0.8171367490715653</v>
      </c>
      <c r="U172" s="470">
        <v>11026321.751999982</v>
      </c>
      <c r="V172" s="470">
        <v>-23105773.648000017</v>
      </c>
      <c r="W172" s="452"/>
      <c r="X172" s="452"/>
      <c r="Y172" s="452"/>
      <c r="Z172" s="452"/>
      <c r="AA172" s="453"/>
    </row>
    <row r="173" spans="1:27" x14ac:dyDescent="0.2">
      <c r="A173" s="467" t="s">
        <v>56</v>
      </c>
      <c r="B173" s="468">
        <v>62649205</v>
      </c>
      <c r="C173" s="468">
        <v>60295132.909999996</v>
      </c>
      <c r="D173" s="468">
        <v>26166087.509999998</v>
      </c>
      <c r="E173" s="446"/>
      <c r="F173" s="446"/>
      <c r="G173" s="468">
        <v>10005011.022</v>
      </c>
      <c r="H173" s="468">
        <v>2354534.629999999</v>
      </c>
      <c r="I173" s="468">
        <v>8636802.1380000003</v>
      </c>
      <c r="J173" s="468">
        <v>2335512.1189999995</v>
      </c>
      <c r="K173" s="468">
        <v>5465202.4160000011</v>
      </c>
      <c r="L173" s="468">
        <v>5231878.0530000003</v>
      </c>
      <c r="M173" s="468">
        <v>3086923.628</v>
      </c>
      <c r="N173" s="468">
        <v>5768373.4860000005</v>
      </c>
      <c r="O173" s="468">
        <v>6387623.6660000002</v>
      </c>
      <c r="P173" s="468">
        <v>0</v>
      </c>
      <c r="Q173" s="468">
        <v>0</v>
      </c>
      <c r="R173" s="468">
        <v>0</v>
      </c>
      <c r="S173" s="468">
        <v>49271861.158000015</v>
      </c>
      <c r="T173" s="469">
        <v>0.81717808353695887</v>
      </c>
      <c r="U173" s="470">
        <v>11023271.751999982</v>
      </c>
      <c r="V173" s="470">
        <v>-23105773.648000017</v>
      </c>
      <c r="W173" s="452"/>
      <c r="X173" s="452"/>
      <c r="Y173" s="452"/>
      <c r="Z173" s="452"/>
      <c r="AA173" s="453"/>
    </row>
    <row r="174" spans="1:27" s="263" customFormat="1" x14ac:dyDescent="0.2">
      <c r="A174" s="551" t="s">
        <v>34</v>
      </c>
      <c r="B174" s="551"/>
      <c r="C174" s="551"/>
      <c r="D174" s="551"/>
      <c r="E174" s="551"/>
      <c r="F174" s="551"/>
      <c r="G174" s="551"/>
      <c r="H174" s="551"/>
      <c r="I174" s="551"/>
      <c r="J174" s="551"/>
      <c r="K174" s="551"/>
      <c r="L174" s="551"/>
      <c r="M174" s="551"/>
      <c r="N174" s="551"/>
      <c r="O174" s="551"/>
      <c r="P174" s="551"/>
      <c r="Q174" s="551"/>
      <c r="R174" s="551"/>
      <c r="S174" s="551"/>
      <c r="T174" s="551"/>
      <c r="U174" s="551"/>
      <c r="V174" s="551"/>
      <c r="W174" s="551"/>
      <c r="X174" s="551"/>
      <c r="Y174" s="551"/>
      <c r="Z174" s="551"/>
    </row>
    <row r="175" spans="1:27" s="263" customFormat="1" x14ac:dyDescent="0.2">
      <c r="A175" s="553" t="s">
        <v>145</v>
      </c>
      <c r="B175" s="553" t="s">
        <v>2</v>
      </c>
      <c r="C175" s="553" t="s">
        <v>3</v>
      </c>
      <c r="D175" s="471" t="s">
        <v>57</v>
      </c>
      <c r="E175" s="471" t="s">
        <v>30</v>
      </c>
      <c r="F175" s="471" t="s">
        <v>58</v>
      </c>
      <c r="G175" s="552" t="s">
        <v>5</v>
      </c>
      <c r="H175" s="552" t="s">
        <v>6</v>
      </c>
      <c r="I175" s="552" t="s">
        <v>7</v>
      </c>
      <c r="J175" s="552" t="s">
        <v>8</v>
      </c>
      <c r="K175" s="552" t="s">
        <v>9</v>
      </c>
      <c r="L175" s="552" t="s">
        <v>10</v>
      </c>
      <c r="M175" s="552" t="s">
        <v>11</v>
      </c>
      <c r="N175" s="552" t="s">
        <v>12</v>
      </c>
      <c r="O175" s="552" t="s">
        <v>13</v>
      </c>
      <c r="P175" s="552" t="s">
        <v>14</v>
      </c>
      <c r="Q175" s="552" t="s">
        <v>15</v>
      </c>
      <c r="R175" s="552" t="s">
        <v>16</v>
      </c>
      <c r="S175" s="471" t="s">
        <v>17</v>
      </c>
      <c r="T175" s="471" t="s">
        <v>18</v>
      </c>
      <c r="U175" s="552" t="s">
        <v>59</v>
      </c>
      <c r="V175" s="552" t="s">
        <v>60</v>
      </c>
      <c r="W175" s="552" t="s">
        <v>32</v>
      </c>
      <c r="X175" s="552" t="s">
        <v>31</v>
      </c>
      <c r="Y175" s="552" t="s">
        <v>61</v>
      </c>
      <c r="Z175" s="552" t="s">
        <v>62</v>
      </c>
    </row>
    <row r="176" spans="1:27" s="263" customFormat="1" ht="24" x14ac:dyDescent="0.2">
      <c r="A176" s="553"/>
      <c r="B176" s="553"/>
      <c r="C176" s="553"/>
      <c r="D176" s="472" t="s">
        <v>1426</v>
      </c>
      <c r="E176" s="472" t="s">
        <v>1426</v>
      </c>
      <c r="F176" s="472" t="s">
        <v>1426</v>
      </c>
      <c r="G176" s="552"/>
      <c r="H176" s="552"/>
      <c r="I176" s="552"/>
      <c r="J176" s="552"/>
      <c r="K176" s="552"/>
      <c r="L176" s="552"/>
      <c r="M176" s="552"/>
      <c r="N176" s="552"/>
      <c r="O176" s="552"/>
      <c r="P176" s="552"/>
      <c r="Q176" s="552"/>
      <c r="R176" s="552"/>
      <c r="S176" s="472" t="s">
        <v>1426</v>
      </c>
      <c r="T176" s="472" t="s">
        <v>1426</v>
      </c>
      <c r="U176" s="552"/>
      <c r="V176" s="552"/>
      <c r="W176" s="552"/>
      <c r="X176" s="552"/>
      <c r="Y176" s="552"/>
      <c r="Z176" s="552"/>
    </row>
    <row r="177" spans="1:26" s="263" customFormat="1" x14ac:dyDescent="0.2">
      <c r="A177" s="553"/>
      <c r="B177" s="473" t="s">
        <v>20</v>
      </c>
      <c r="C177" s="473" t="s">
        <v>21</v>
      </c>
      <c r="D177" s="473" t="s">
        <v>22</v>
      </c>
      <c r="E177" s="473" t="s">
        <v>23</v>
      </c>
      <c r="F177" s="473" t="s">
        <v>24</v>
      </c>
      <c r="G177" s="473" t="s">
        <v>63</v>
      </c>
      <c r="H177" s="473" t="s">
        <v>63</v>
      </c>
      <c r="I177" s="473" t="s">
        <v>63</v>
      </c>
      <c r="J177" s="473" t="s">
        <v>63</v>
      </c>
      <c r="K177" s="473" t="s">
        <v>63</v>
      </c>
      <c r="L177" s="473" t="s">
        <v>63</v>
      </c>
      <c r="M177" s="473" t="s">
        <v>63</v>
      </c>
      <c r="N177" s="473" t="s">
        <v>63</v>
      </c>
      <c r="O177" s="473" t="s">
        <v>63</v>
      </c>
      <c r="P177" s="473" t="s">
        <v>63</v>
      </c>
      <c r="Q177" s="473" t="s">
        <v>63</v>
      </c>
      <c r="R177" s="473" t="s">
        <v>63</v>
      </c>
      <c r="S177" s="473" t="s">
        <v>64</v>
      </c>
      <c r="T177" s="473" t="s">
        <v>65</v>
      </c>
      <c r="U177" s="473" t="s">
        <v>66</v>
      </c>
      <c r="V177" s="473" t="s">
        <v>67</v>
      </c>
      <c r="W177" s="473" t="s">
        <v>68</v>
      </c>
      <c r="X177" s="473" t="s">
        <v>69</v>
      </c>
      <c r="Y177" s="473" t="s">
        <v>70</v>
      </c>
      <c r="Z177" s="473" t="s">
        <v>71</v>
      </c>
    </row>
    <row r="178" spans="1:26" x14ac:dyDescent="0.2">
      <c r="A178" s="399" t="s">
        <v>404</v>
      </c>
      <c r="B178" s="474">
        <v>0</v>
      </c>
      <c r="C178" s="474">
        <v>0</v>
      </c>
      <c r="D178" s="474">
        <v>0</v>
      </c>
      <c r="E178" s="474">
        <v>0</v>
      </c>
      <c r="F178" s="474">
        <v>0</v>
      </c>
      <c r="G178" s="474">
        <v>0</v>
      </c>
      <c r="H178" s="474">
        <v>0</v>
      </c>
      <c r="I178" s="474">
        <v>0</v>
      </c>
      <c r="J178" s="474">
        <v>0</v>
      </c>
      <c r="K178" s="474">
        <v>0</v>
      </c>
      <c r="L178" s="474">
        <v>0</v>
      </c>
      <c r="M178" s="474">
        <v>0</v>
      </c>
      <c r="N178" s="474">
        <v>0</v>
      </c>
      <c r="O178" s="474">
        <v>0</v>
      </c>
      <c r="P178" s="474">
        <v>0</v>
      </c>
      <c r="Q178" s="474">
        <v>0</v>
      </c>
      <c r="R178" s="474">
        <v>0</v>
      </c>
      <c r="S178" s="474">
        <v>0</v>
      </c>
      <c r="T178" s="402" t="e">
        <v>#DIV/0!</v>
      </c>
      <c r="U178" s="401">
        <v>0</v>
      </c>
      <c r="V178" s="401">
        <v>0</v>
      </c>
      <c r="W178" s="401">
        <v>0</v>
      </c>
      <c r="X178" s="401">
        <v>0</v>
      </c>
      <c r="Y178" s="401">
        <v>0</v>
      </c>
      <c r="Z178" s="401">
        <v>0</v>
      </c>
    </row>
    <row r="179" spans="1:26" x14ac:dyDescent="0.2">
      <c r="A179" s="404" t="s">
        <v>405</v>
      </c>
      <c r="B179" s="448">
        <v>0</v>
      </c>
      <c r="C179" s="448">
        <v>0</v>
      </c>
      <c r="D179" s="448">
        <v>0</v>
      </c>
      <c r="E179" s="448">
        <v>0</v>
      </c>
      <c r="F179" s="448">
        <v>0</v>
      </c>
      <c r="G179" s="448">
        <v>0</v>
      </c>
      <c r="H179" s="448">
        <v>0</v>
      </c>
      <c r="I179" s="448">
        <v>0</v>
      </c>
      <c r="J179" s="448">
        <v>0</v>
      </c>
      <c r="K179" s="448">
        <v>0</v>
      </c>
      <c r="L179" s="448">
        <v>0</v>
      </c>
      <c r="M179" s="448">
        <v>0</v>
      </c>
      <c r="N179" s="448">
        <v>0</v>
      </c>
      <c r="O179" s="448">
        <v>0</v>
      </c>
      <c r="P179" s="448">
        <v>0</v>
      </c>
      <c r="Q179" s="448">
        <v>0</v>
      </c>
      <c r="R179" s="448">
        <v>0</v>
      </c>
      <c r="S179" s="448">
        <v>0</v>
      </c>
      <c r="T179" s="407" t="e">
        <v>#DIV/0!</v>
      </c>
      <c r="U179" s="406">
        <v>0</v>
      </c>
      <c r="V179" s="406">
        <v>0</v>
      </c>
      <c r="W179" s="406">
        <v>0</v>
      </c>
      <c r="X179" s="406">
        <v>0</v>
      </c>
      <c r="Y179" s="406">
        <v>0</v>
      </c>
      <c r="Z179" s="406">
        <v>0</v>
      </c>
    </row>
    <row r="180" spans="1:26" x14ac:dyDescent="0.2">
      <c r="A180" s="409" t="s">
        <v>406</v>
      </c>
      <c r="B180" s="457">
        <v>0</v>
      </c>
      <c r="C180" s="457">
        <v>0</v>
      </c>
      <c r="D180" s="457">
        <v>0</v>
      </c>
      <c r="E180" s="457">
        <v>0</v>
      </c>
      <c r="F180" s="457">
        <v>0</v>
      </c>
      <c r="G180" s="457">
        <v>0</v>
      </c>
      <c r="H180" s="457">
        <v>0</v>
      </c>
      <c r="I180" s="457">
        <v>0</v>
      </c>
      <c r="J180" s="457">
        <v>0</v>
      </c>
      <c r="K180" s="457">
        <v>0</v>
      </c>
      <c r="L180" s="457">
        <v>0</v>
      </c>
      <c r="M180" s="457">
        <v>0</v>
      </c>
      <c r="N180" s="457">
        <v>0</v>
      </c>
      <c r="O180" s="457">
        <v>0</v>
      </c>
      <c r="P180" s="457">
        <v>0</v>
      </c>
      <c r="Q180" s="457">
        <v>0</v>
      </c>
      <c r="R180" s="457">
        <v>0</v>
      </c>
      <c r="S180" s="457">
        <v>0</v>
      </c>
      <c r="T180" s="410" t="e">
        <v>#DIV/0!</v>
      </c>
      <c r="U180" s="285">
        <v>0</v>
      </c>
      <c r="V180" s="285">
        <v>0</v>
      </c>
      <c r="W180" s="285">
        <v>0</v>
      </c>
      <c r="X180" s="285">
        <v>0</v>
      </c>
      <c r="Y180" s="285">
        <v>0</v>
      </c>
      <c r="Z180" s="285">
        <v>0</v>
      </c>
    </row>
    <row r="181" spans="1:26" x14ac:dyDescent="0.2">
      <c r="A181" s="409" t="s">
        <v>407</v>
      </c>
      <c r="B181" s="457">
        <v>0</v>
      </c>
      <c r="C181" s="457">
        <v>0</v>
      </c>
      <c r="D181" s="457">
        <v>0</v>
      </c>
      <c r="E181" s="457">
        <v>0</v>
      </c>
      <c r="F181" s="457">
        <v>0</v>
      </c>
      <c r="G181" s="457">
        <v>0</v>
      </c>
      <c r="H181" s="457">
        <v>0</v>
      </c>
      <c r="I181" s="457">
        <v>0</v>
      </c>
      <c r="J181" s="457">
        <v>0</v>
      </c>
      <c r="K181" s="457">
        <v>0</v>
      </c>
      <c r="L181" s="457">
        <v>0</v>
      </c>
      <c r="M181" s="457">
        <v>0</v>
      </c>
      <c r="N181" s="457">
        <v>0</v>
      </c>
      <c r="O181" s="457">
        <v>0</v>
      </c>
      <c r="P181" s="457">
        <v>0</v>
      </c>
      <c r="Q181" s="457">
        <v>0</v>
      </c>
      <c r="R181" s="457">
        <v>0</v>
      </c>
      <c r="S181" s="457">
        <v>0</v>
      </c>
      <c r="T181" s="410" t="e">
        <v>#DIV/0!</v>
      </c>
      <c r="U181" s="285">
        <v>0</v>
      </c>
      <c r="V181" s="285">
        <v>0</v>
      </c>
      <c r="W181" s="285">
        <v>0</v>
      </c>
      <c r="X181" s="285">
        <v>0</v>
      </c>
      <c r="Y181" s="285">
        <v>0</v>
      </c>
      <c r="Z181" s="285">
        <v>0</v>
      </c>
    </row>
    <row r="182" spans="1:26" x14ac:dyDescent="0.2">
      <c r="A182" s="409" t="s">
        <v>408</v>
      </c>
      <c r="B182" s="457">
        <v>0</v>
      </c>
      <c r="C182" s="457">
        <v>0</v>
      </c>
      <c r="D182" s="457">
        <v>0</v>
      </c>
      <c r="E182" s="457">
        <v>0</v>
      </c>
      <c r="F182" s="457">
        <v>0</v>
      </c>
      <c r="G182" s="457">
        <v>0</v>
      </c>
      <c r="H182" s="457">
        <v>0</v>
      </c>
      <c r="I182" s="457">
        <v>0</v>
      </c>
      <c r="J182" s="457">
        <v>0</v>
      </c>
      <c r="K182" s="457">
        <v>0</v>
      </c>
      <c r="L182" s="457">
        <v>0</v>
      </c>
      <c r="M182" s="457">
        <v>0</v>
      </c>
      <c r="N182" s="457">
        <v>0</v>
      </c>
      <c r="O182" s="457">
        <v>0</v>
      </c>
      <c r="P182" s="457">
        <v>0</v>
      </c>
      <c r="Q182" s="457">
        <v>0</v>
      </c>
      <c r="R182" s="457">
        <v>0</v>
      </c>
      <c r="S182" s="457">
        <v>0</v>
      </c>
      <c r="T182" s="410" t="e">
        <v>#DIV/0!</v>
      </c>
      <c r="U182" s="285">
        <v>0</v>
      </c>
      <c r="V182" s="285">
        <v>0</v>
      </c>
      <c r="W182" s="285">
        <v>0</v>
      </c>
      <c r="X182" s="285">
        <v>0</v>
      </c>
      <c r="Y182" s="285">
        <v>0</v>
      </c>
      <c r="Z182" s="285">
        <v>0</v>
      </c>
    </row>
    <row r="183" spans="1:26" x14ac:dyDescent="0.2">
      <c r="A183" s="409" t="s">
        <v>409</v>
      </c>
      <c r="B183" s="457">
        <v>0</v>
      </c>
      <c r="C183" s="457">
        <v>0</v>
      </c>
      <c r="D183" s="457">
        <v>0</v>
      </c>
      <c r="E183" s="457">
        <v>0</v>
      </c>
      <c r="F183" s="457">
        <v>0</v>
      </c>
      <c r="G183" s="457">
        <v>0</v>
      </c>
      <c r="H183" s="457">
        <v>0</v>
      </c>
      <c r="I183" s="457">
        <v>0</v>
      </c>
      <c r="J183" s="457">
        <v>0</v>
      </c>
      <c r="K183" s="457">
        <v>0</v>
      </c>
      <c r="L183" s="457">
        <v>0</v>
      </c>
      <c r="M183" s="457">
        <v>0</v>
      </c>
      <c r="N183" s="457">
        <v>0</v>
      </c>
      <c r="O183" s="457">
        <v>0</v>
      </c>
      <c r="P183" s="457">
        <v>0</v>
      </c>
      <c r="Q183" s="457">
        <v>0</v>
      </c>
      <c r="R183" s="457">
        <v>0</v>
      </c>
      <c r="S183" s="457">
        <v>0</v>
      </c>
      <c r="T183" s="410" t="e">
        <v>#DIV/0!</v>
      </c>
      <c r="U183" s="285">
        <v>0</v>
      </c>
      <c r="V183" s="285">
        <v>0</v>
      </c>
      <c r="W183" s="285">
        <v>0</v>
      </c>
      <c r="X183" s="285">
        <v>0</v>
      </c>
      <c r="Y183" s="285">
        <v>0</v>
      </c>
      <c r="Z183" s="285">
        <v>0</v>
      </c>
    </row>
    <row r="184" spans="1:26" x14ac:dyDescent="0.2">
      <c r="A184" s="409" t="s">
        <v>410</v>
      </c>
      <c r="B184" s="457">
        <v>0</v>
      </c>
      <c r="C184" s="457">
        <v>0</v>
      </c>
      <c r="D184" s="457">
        <v>0</v>
      </c>
      <c r="E184" s="457">
        <v>0</v>
      </c>
      <c r="F184" s="457">
        <v>0</v>
      </c>
      <c r="G184" s="457">
        <v>0</v>
      </c>
      <c r="H184" s="457">
        <v>0</v>
      </c>
      <c r="I184" s="457">
        <v>0</v>
      </c>
      <c r="J184" s="457">
        <v>0</v>
      </c>
      <c r="K184" s="457">
        <v>0</v>
      </c>
      <c r="L184" s="457">
        <v>0</v>
      </c>
      <c r="M184" s="457">
        <v>0</v>
      </c>
      <c r="N184" s="457">
        <v>0</v>
      </c>
      <c r="O184" s="457">
        <v>0</v>
      </c>
      <c r="P184" s="457">
        <v>0</v>
      </c>
      <c r="Q184" s="457">
        <v>0</v>
      </c>
      <c r="R184" s="457">
        <v>0</v>
      </c>
      <c r="S184" s="457">
        <v>0</v>
      </c>
      <c r="T184" s="410" t="e">
        <v>#DIV/0!</v>
      </c>
      <c r="U184" s="285">
        <v>0</v>
      </c>
      <c r="V184" s="285">
        <v>0</v>
      </c>
      <c r="W184" s="285">
        <v>0</v>
      </c>
      <c r="X184" s="285">
        <v>0</v>
      </c>
      <c r="Y184" s="285">
        <v>0</v>
      </c>
      <c r="Z184" s="285">
        <v>0</v>
      </c>
    </row>
    <row r="185" spans="1:26" x14ac:dyDescent="0.2">
      <c r="A185" s="409" t="s">
        <v>411</v>
      </c>
      <c r="B185" s="457">
        <v>0</v>
      </c>
      <c r="C185" s="457">
        <v>0</v>
      </c>
      <c r="D185" s="457">
        <v>0</v>
      </c>
      <c r="E185" s="457">
        <v>0</v>
      </c>
      <c r="F185" s="457">
        <v>0</v>
      </c>
      <c r="G185" s="457">
        <v>0</v>
      </c>
      <c r="H185" s="457">
        <v>0</v>
      </c>
      <c r="I185" s="457">
        <v>0</v>
      </c>
      <c r="J185" s="457">
        <v>0</v>
      </c>
      <c r="K185" s="457">
        <v>0</v>
      </c>
      <c r="L185" s="457">
        <v>0</v>
      </c>
      <c r="M185" s="457">
        <v>0</v>
      </c>
      <c r="N185" s="457">
        <v>0</v>
      </c>
      <c r="O185" s="457">
        <v>0</v>
      </c>
      <c r="P185" s="457">
        <v>0</v>
      </c>
      <c r="Q185" s="457">
        <v>0</v>
      </c>
      <c r="R185" s="457">
        <v>0</v>
      </c>
      <c r="S185" s="457">
        <v>0</v>
      </c>
      <c r="T185" s="410" t="e">
        <v>#DIV/0!</v>
      </c>
      <c r="U185" s="285">
        <v>0</v>
      </c>
      <c r="V185" s="285">
        <v>0</v>
      </c>
      <c r="W185" s="285">
        <v>0</v>
      </c>
      <c r="X185" s="285">
        <v>0</v>
      </c>
      <c r="Y185" s="285">
        <v>0</v>
      </c>
      <c r="Z185" s="285">
        <v>0</v>
      </c>
    </row>
    <row r="186" spans="1:26" ht="24" x14ac:dyDescent="0.2">
      <c r="A186" s="409" t="s">
        <v>412</v>
      </c>
      <c r="B186" s="457">
        <v>0</v>
      </c>
      <c r="C186" s="457">
        <v>0</v>
      </c>
      <c r="D186" s="457">
        <v>0</v>
      </c>
      <c r="E186" s="457">
        <v>0</v>
      </c>
      <c r="F186" s="457">
        <v>0</v>
      </c>
      <c r="G186" s="457">
        <v>0</v>
      </c>
      <c r="H186" s="457">
        <v>0</v>
      </c>
      <c r="I186" s="457">
        <v>0</v>
      </c>
      <c r="J186" s="457">
        <v>0</v>
      </c>
      <c r="K186" s="457">
        <v>0</v>
      </c>
      <c r="L186" s="457">
        <v>0</v>
      </c>
      <c r="M186" s="457">
        <v>0</v>
      </c>
      <c r="N186" s="457">
        <v>0</v>
      </c>
      <c r="O186" s="457">
        <v>0</v>
      </c>
      <c r="P186" s="457">
        <v>0</v>
      </c>
      <c r="Q186" s="457">
        <v>0</v>
      </c>
      <c r="R186" s="457">
        <v>0</v>
      </c>
      <c r="S186" s="457">
        <v>0</v>
      </c>
      <c r="T186" s="410" t="e">
        <v>#DIV/0!</v>
      </c>
      <c r="U186" s="285">
        <v>0</v>
      </c>
      <c r="V186" s="285">
        <v>0</v>
      </c>
      <c r="W186" s="285">
        <v>0</v>
      </c>
      <c r="X186" s="285">
        <v>0</v>
      </c>
      <c r="Y186" s="285">
        <v>0</v>
      </c>
      <c r="Z186" s="285">
        <v>0</v>
      </c>
    </row>
    <row r="187" spans="1:26" ht="24" x14ac:dyDescent="0.2">
      <c r="A187" s="409" t="s">
        <v>413</v>
      </c>
      <c r="B187" s="457">
        <v>0</v>
      </c>
      <c r="C187" s="457">
        <v>0</v>
      </c>
      <c r="D187" s="457">
        <v>0</v>
      </c>
      <c r="E187" s="457">
        <v>0</v>
      </c>
      <c r="F187" s="457">
        <v>0</v>
      </c>
      <c r="G187" s="457">
        <v>0</v>
      </c>
      <c r="H187" s="457">
        <v>0</v>
      </c>
      <c r="I187" s="457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10" t="e">
        <v>#DIV/0!</v>
      </c>
      <c r="U187" s="285">
        <v>0</v>
      </c>
      <c r="V187" s="285">
        <v>0</v>
      </c>
      <c r="W187" s="285">
        <v>0</v>
      </c>
      <c r="X187" s="285">
        <v>0</v>
      </c>
      <c r="Y187" s="285">
        <v>0</v>
      </c>
      <c r="Z187" s="285">
        <v>0</v>
      </c>
    </row>
    <row r="188" spans="1:26" x14ac:dyDescent="0.2">
      <c r="A188" s="409" t="s">
        <v>414</v>
      </c>
      <c r="B188" s="457">
        <v>0</v>
      </c>
      <c r="C188" s="457">
        <v>0</v>
      </c>
      <c r="D188" s="457">
        <v>0</v>
      </c>
      <c r="E188" s="457">
        <v>0</v>
      </c>
      <c r="F188" s="457">
        <v>0</v>
      </c>
      <c r="G188" s="457">
        <v>0</v>
      </c>
      <c r="H188" s="457">
        <v>0</v>
      </c>
      <c r="I188" s="457">
        <v>0</v>
      </c>
      <c r="J188" s="457">
        <v>0</v>
      </c>
      <c r="K188" s="457">
        <v>0</v>
      </c>
      <c r="L188" s="457">
        <v>0</v>
      </c>
      <c r="M188" s="457">
        <v>0</v>
      </c>
      <c r="N188" s="457">
        <v>0</v>
      </c>
      <c r="O188" s="457">
        <v>0</v>
      </c>
      <c r="P188" s="457">
        <v>0</v>
      </c>
      <c r="Q188" s="457">
        <v>0</v>
      </c>
      <c r="R188" s="457">
        <v>0</v>
      </c>
      <c r="S188" s="457">
        <v>0</v>
      </c>
      <c r="T188" s="410" t="e">
        <v>#DIV/0!</v>
      </c>
      <c r="U188" s="285">
        <v>0</v>
      </c>
      <c r="V188" s="285">
        <v>0</v>
      </c>
      <c r="W188" s="285">
        <v>0</v>
      </c>
      <c r="X188" s="285">
        <v>0</v>
      </c>
      <c r="Y188" s="285">
        <v>0</v>
      </c>
      <c r="Z188" s="285">
        <v>0</v>
      </c>
    </row>
    <row r="189" spans="1:26" x14ac:dyDescent="0.2">
      <c r="A189" s="409" t="s">
        <v>415</v>
      </c>
      <c r="B189" s="457">
        <v>0</v>
      </c>
      <c r="C189" s="457">
        <v>0</v>
      </c>
      <c r="D189" s="457">
        <v>0</v>
      </c>
      <c r="E189" s="457">
        <v>0</v>
      </c>
      <c r="F189" s="457">
        <v>0</v>
      </c>
      <c r="G189" s="457">
        <v>0</v>
      </c>
      <c r="H189" s="457">
        <v>0</v>
      </c>
      <c r="I189" s="457">
        <v>0</v>
      </c>
      <c r="J189" s="457">
        <v>0</v>
      </c>
      <c r="K189" s="457">
        <v>0</v>
      </c>
      <c r="L189" s="457">
        <v>0</v>
      </c>
      <c r="M189" s="457">
        <v>0</v>
      </c>
      <c r="N189" s="457">
        <v>0</v>
      </c>
      <c r="O189" s="457">
        <v>0</v>
      </c>
      <c r="P189" s="457">
        <v>0</v>
      </c>
      <c r="Q189" s="457">
        <v>0</v>
      </c>
      <c r="R189" s="457">
        <v>0</v>
      </c>
      <c r="S189" s="457">
        <v>0</v>
      </c>
      <c r="T189" s="410" t="e">
        <v>#DIV/0!</v>
      </c>
      <c r="U189" s="285">
        <v>0</v>
      </c>
      <c r="V189" s="285">
        <v>0</v>
      </c>
      <c r="W189" s="285">
        <v>0</v>
      </c>
      <c r="X189" s="285">
        <v>0</v>
      </c>
      <c r="Y189" s="285">
        <v>0</v>
      </c>
      <c r="Z189" s="285">
        <v>0</v>
      </c>
    </row>
    <row r="190" spans="1:26" x14ac:dyDescent="0.2">
      <c r="A190" s="409" t="s">
        <v>416</v>
      </c>
      <c r="B190" s="457">
        <v>0</v>
      </c>
      <c r="C190" s="457">
        <v>0</v>
      </c>
      <c r="D190" s="457">
        <v>0</v>
      </c>
      <c r="E190" s="457">
        <v>0</v>
      </c>
      <c r="F190" s="457">
        <v>0</v>
      </c>
      <c r="G190" s="457">
        <v>0</v>
      </c>
      <c r="H190" s="457">
        <v>0</v>
      </c>
      <c r="I190" s="457">
        <v>0</v>
      </c>
      <c r="J190" s="457">
        <v>0</v>
      </c>
      <c r="K190" s="457">
        <v>0</v>
      </c>
      <c r="L190" s="457">
        <v>0</v>
      </c>
      <c r="M190" s="457">
        <v>0</v>
      </c>
      <c r="N190" s="457">
        <v>0</v>
      </c>
      <c r="O190" s="457">
        <v>0</v>
      </c>
      <c r="P190" s="457">
        <v>0</v>
      </c>
      <c r="Q190" s="457">
        <v>0</v>
      </c>
      <c r="R190" s="457">
        <v>0</v>
      </c>
      <c r="S190" s="457">
        <v>0</v>
      </c>
      <c r="T190" s="410" t="e">
        <v>#DIV/0!</v>
      </c>
      <c r="U190" s="285">
        <v>0</v>
      </c>
      <c r="V190" s="285">
        <v>0</v>
      </c>
      <c r="W190" s="285">
        <v>0</v>
      </c>
      <c r="X190" s="285">
        <v>0</v>
      </c>
      <c r="Y190" s="285">
        <v>0</v>
      </c>
      <c r="Z190" s="285">
        <v>0</v>
      </c>
    </row>
    <row r="191" spans="1:26" x14ac:dyDescent="0.2">
      <c r="A191" s="409" t="s">
        <v>417</v>
      </c>
      <c r="B191" s="457">
        <v>0</v>
      </c>
      <c r="C191" s="457">
        <v>0</v>
      </c>
      <c r="D191" s="457">
        <v>0</v>
      </c>
      <c r="E191" s="457">
        <v>0</v>
      </c>
      <c r="F191" s="457">
        <v>0</v>
      </c>
      <c r="G191" s="457">
        <v>0</v>
      </c>
      <c r="H191" s="457">
        <v>0</v>
      </c>
      <c r="I191" s="457">
        <v>0</v>
      </c>
      <c r="J191" s="457">
        <v>0</v>
      </c>
      <c r="K191" s="457">
        <v>0</v>
      </c>
      <c r="L191" s="457">
        <v>0</v>
      </c>
      <c r="M191" s="457">
        <v>0</v>
      </c>
      <c r="N191" s="457">
        <v>0</v>
      </c>
      <c r="O191" s="457">
        <v>0</v>
      </c>
      <c r="P191" s="457">
        <v>0</v>
      </c>
      <c r="Q191" s="457">
        <v>0</v>
      </c>
      <c r="R191" s="457">
        <v>0</v>
      </c>
      <c r="S191" s="457">
        <v>0</v>
      </c>
      <c r="T191" s="410" t="e">
        <v>#DIV/0!</v>
      </c>
      <c r="U191" s="285">
        <v>0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</row>
    <row r="192" spans="1:26" x14ac:dyDescent="0.2">
      <c r="A192" s="404" t="s">
        <v>418</v>
      </c>
      <c r="B192" s="448">
        <v>0</v>
      </c>
      <c r="C192" s="448">
        <v>0</v>
      </c>
      <c r="D192" s="448">
        <v>0</v>
      </c>
      <c r="E192" s="448">
        <v>0</v>
      </c>
      <c r="F192" s="448">
        <v>0</v>
      </c>
      <c r="G192" s="448">
        <v>0</v>
      </c>
      <c r="H192" s="448">
        <v>0</v>
      </c>
      <c r="I192" s="448">
        <v>0</v>
      </c>
      <c r="J192" s="448">
        <v>0</v>
      </c>
      <c r="K192" s="448">
        <v>0</v>
      </c>
      <c r="L192" s="448">
        <v>0</v>
      </c>
      <c r="M192" s="448">
        <v>0</v>
      </c>
      <c r="N192" s="448">
        <v>0</v>
      </c>
      <c r="O192" s="448">
        <v>0</v>
      </c>
      <c r="P192" s="448">
        <v>0</v>
      </c>
      <c r="Q192" s="448">
        <v>0</v>
      </c>
      <c r="R192" s="448">
        <v>0</v>
      </c>
      <c r="S192" s="448">
        <v>0</v>
      </c>
      <c r="T192" s="407" t="e">
        <v>#DIV/0!</v>
      </c>
      <c r="U192" s="406">
        <v>0</v>
      </c>
      <c r="V192" s="406">
        <v>0</v>
      </c>
      <c r="W192" s="406">
        <v>0</v>
      </c>
      <c r="X192" s="406">
        <v>0</v>
      </c>
      <c r="Y192" s="406">
        <v>0</v>
      </c>
      <c r="Z192" s="406">
        <v>0</v>
      </c>
    </row>
    <row r="193" spans="1:26" x14ac:dyDescent="0.2">
      <c r="A193" s="409" t="s">
        <v>419</v>
      </c>
      <c r="B193" s="457">
        <v>0</v>
      </c>
      <c r="C193" s="457">
        <v>0</v>
      </c>
      <c r="D193" s="457">
        <v>0</v>
      </c>
      <c r="E193" s="457">
        <v>0</v>
      </c>
      <c r="F193" s="457">
        <v>0</v>
      </c>
      <c r="G193" s="457">
        <v>0</v>
      </c>
      <c r="H193" s="457">
        <v>0</v>
      </c>
      <c r="I193" s="457">
        <v>0</v>
      </c>
      <c r="J193" s="457">
        <v>0</v>
      </c>
      <c r="K193" s="457">
        <v>0</v>
      </c>
      <c r="L193" s="457">
        <v>0</v>
      </c>
      <c r="M193" s="457">
        <v>0</v>
      </c>
      <c r="N193" s="457">
        <v>0</v>
      </c>
      <c r="O193" s="457">
        <v>0</v>
      </c>
      <c r="P193" s="457">
        <v>0</v>
      </c>
      <c r="Q193" s="457">
        <v>0</v>
      </c>
      <c r="R193" s="457">
        <v>0</v>
      </c>
      <c r="S193" s="457">
        <v>0</v>
      </c>
      <c r="T193" s="410" t="e">
        <v>#DIV/0!</v>
      </c>
      <c r="U193" s="285">
        <v>0</v>
      </c>
      <c r="V193" s="285">
        <v>0</v>
      </c>
      <c r="W193" s="285">
        <v>0</v>
      </c>
      <c r="X193" s="285">
        <v>0</v>
      </c>
      <c r="Y193" s="285">
        <v>0</v>
      </c>
      <c r="Z193" s="285">
        <v>0</v>
      </c>
    </row>
    <row r="194" spans="1:26" x14ac:dyDescent="0.2">
      <c r="A194" s="409" t="s">
        <v>420</v>
      </c>
      <c r="B194" s="457">
        <v>0</v>
      </c>
      <c r="C194" s="457">
        <v>0</v>
      </c>
      <c r="D194" s="457">
        <v>0</v>
      </c>
      <c r="E194" s="457">
        <v>0</v>
      </c>
      <c r="F194" s="457">
        <v>0</v>
      </c>
      <c r="G194" s="457">
        <v>0</v>
      </c>
      <c r="H194" s="457">
        <v>0</v>
      </c>
      <c r="I194" s="457">
        <v>0</v>
      </c>
      <c r="J194" s="457">
        <v>0</v>
      </c>
      <c r="K194" s="457">
        <v>0</v>
      </c>
      <c r="L194" s="457">
        <v>0</v>
      </c>
      <c r="M194" s="457">
        <v>0</v>
      </c>
      <c r="N194" s="457">
        <v>0</v>
      </c>
      <c r="O194" s="457">
        <v>0</v>
      </c>
      <c r="P194" s="457">
        <v>0</v>
      </c>
      <c r="Q194" s="457">
        <v>0</v>
      </c>
      <c r="R194" s="457">
        <v>0</v>
      </c>
      <c r="S194" s="457">
        <v>0</v>
      </c>
      <c r="T194" s="410" t="e">
        <v>#DIV/0!</v>
      </c>
      <c r="U194" s="285">
        <v>0</v>
      </c>
      <c r="V194" s="285">
        <v>0</v>
      </c>
      <c r="W194" s="285">
        <v>0</v>
      </c>
      <c r="X194" s="285">
        <v>0</v>
      </c>
      <c r="Y194" s="285">
        <v>0</v>
      </c>
      <c r="Z194" s="285">
        <v>0</v>
      </c>
    </row>
    <row r="195" spans="1:26" x14ac:dyDescent="0.2">
      <c r="A195" s="409" t="s">
        <v>421</v>
      </c>
      <c r="B195" s="457">
        <v>0</v>
      </c>
      <c r="C195" s="457">
        <v>0</v>
      </c>
      <c r="D195" s="457">
        <v>0</v>
      </c>
      <c r="E195" s="457">
        <v>0</v>
      </c>
      <c r="F195" s="457">
        <v>0</v>
      </c>
      <c r="G195" s="457">
        <v>0</v>
      </c>
      <c r="H195" s="457">
        <v>0</v>
      </c>
      <c r="I195" s="457">
        <v>0</v>
      </c>
      <c r="J195" s="457">
        <v>0</v>
      </c>
      <c r="K195" s="457">
        <v>0</v>
      </c>
      <c r="L195" s="457">
        <v>0</v>
      </c>
      <c r="M195" s="457">
        <v>0</v>
      </c>
      <c r="N195" s="457">
        <v>0</v>
      </c>
      <c r="O195" s="457">
        <v>0</v>
      </c>
      <c r="P195" s="457">
        <v>0</v>
      </c>
      <c r="Q195" s="457">
        <v>0</v>
      </c>
      <c r="R195" s="457">
        <v>0</v>
      </c>
      <c r="S195" s="457">
        <v>0</v>
      </c>
      <c r="T195" s="410" t="e">
        <v>#DIV/0!</v>
      </c>
      <c r="U195" s="285">
        <v>0</v>
      </c>
      <c r="V195" s="285">
        <v>0</v>
      </c>
      <c r="W195" s="285">
        <v>0</v>
      </c>
      <c r="X195" s="285">
        <v>0</v>
      </c>
      <c r="Y195" s="285">
        <v>0</v>
      </c>
      <c r="Z195" s="285">
        <v>0</v>
      </c>
    </row>
    <row r="196" spans="1:26" x14ac:dyDescent="0.2">
      <c r="A196" s="409" t="s">
        <v>422</v>
      </c>
      <c r="B196" s="457">
        <v>0</v>
      </c>
      <c r="C196" s="457">
        <v>0</v>
      </c>
      <c r="D196" s="457">
        <v>0</v>
      </c>
      <c r="E196" s="457">
        <v>0</v>
      </c>
      <c r="F196" s="457">
        <v>0</v>
      </c>
      <c r="G196" s="457">
        <v>0</v>
      </c>
      <c r="H196" s="457">
        <v>0</v>
      </c>
      <c r="I196" s="457">
        <v>0</v>
      </c>
      <c r="J196" s="457">
        <v>0</v>
      </c>
      <c r="K196" s="457">
        <v>0</v>
      </c>
      <c r="L196" s="457">
        <v>0</v>
      </c>
      <c r="M196" s="457">
        <v>0</v>
      </c>
      <c r="N196" s="457">
        <v>0</v>
      </c>
      <c r="O196" s="457">
        <v>0</v>
      </c>
      <c r="P196" s="457">
        <v>0</v>
      </c>
      <c r="Q196" s="457">
        <v>0</v>
      </c>
      <c r="R196" s="457">
        <v>0</v>
      </c>
      <c r="S196" s="457">
        <v>0</v>
      </c>
      <c r="T196" s="410" t="e">
        <v>#DIV/0!</v>
      </c>
      <c r="U196" s="285">
        <v>0</v>
      </c>
      <c r="V196" s="285">
        <v>0</v>
      </c>
      <c r="W196" s="285">
        <v>0</v>
      </c>
      <c r="X196" s="285">
        <v>0</v>
      </c>
      <c r="Y196" s="285">
        <v>0</v>
      </c>
      <c r="Z196" s="285">
        <v>0</v>
      </c>
    </row>
    <row r="197" spans="1:26" ht="24" x14ac:dyDescent="0.2">
      <c r="A197" s="409" t="s">
        <v>423</v>
      </c>
      <c r="B197" s="457">
        <v>0</v>
      </c>
      <c r="C197" s="457">
        <v>0</v>
      </c>
      <c r="D197" s="457">
        <v>0</v>
      </c>
      <c r="E197" s="457">
        <v>0</v>
      </c>
      <c r="F197" s="457">
        <v>0</v>
      </c>
      <c r="G197" s="457">
        <v>0</v>
      </c>
      <c r="H197" s="457">
        <v>0</v>
      </c>
      <c r="I197" s="457">
        <v>0</v>
      </c>
      <c r="J197" s="457">
        <v>0</v>
      </c>
      <c r="K197" s="457">
        <v>0</v>
      </c>
      <c r="L197" s="457">
        <v>0</v>
      </c>
      <c r="M197" s="457">
        <v>0</v>
      </c>
      <c r="N197" s="457">
        <v>0</v>
      </c>
      <c r="O197" s="457">
        <v>0</v>
      </c>
      <c r="P197" s="457">
        <v>0</v>
      </c>
      <c r="Q197" s="457">
        <v>0</v>
      </c>
      <c r="R197" s="457">
        <v>0</v>
      </c>
      <c r="S197" s="457">
        <v>0</v>
      </c>
      <c r="T197" s="410" t="e">
        <v>#DIV/0!</v>
      </c>
      <c r="U197" s="285">
        <v>0</v>
      </c>
      <c r="V197" s="285">
        <v>0</v>
      </c>
      <c r="W197" s="285">
        <v>0</v>
      </c>
      <c r="X197" s="285">
        <v>0</v>
      </c>
      <c r="Y197" s="285">
        <v>0</v>
      </c>
      <c r="Z197" s="285">
        <v>0</v>
      </c>
    </row>
    <row r="198" spans="1:26" x14ac:dyDescent="0.2">
      <c r="A198" s="409" t="s">
        <v>424</v>
      </c>
      <c r="B198" s="457">
        <v>0</v>
      </c>
      <c r="C198" s="457">
        <v>0</v>
      </c>
      <c r="D198" s="457">
        <v>0</v>
      </c>
      <c r="E198" s="457">
        <v>0</v>
      </c>
      <c r="F198" s="457">
        <v>0</v>
      </c>
      <c r="G198" s="457">
        <v>0</v>
      </c>
      <c r="H198" s="457">
        <v>0</v>
      </c>
      <c r="I198" s="457">
        <v>0</v>
      </c>
      <c r="J198" s="457">
        <v>0</v>
      </c>
      <c r="K198" s="457">
        <v>0</v>
      </c>
      <c r="L198" s="457">
        <v>0</v>
      </c>
      <c r="M198" s="457">
        <v>0</v>
      </c>
      <c r="N198" s="457">
        <v>0</v>
      </c>
      <c r="O198" s="457">
        <v>0</v>
      </c>
      <c r="P198" s="457">
        <v>0</v>
      </c>
      <c r="Q198" s="457">
        <v>0</v>
      </c>
      <c r="R198" s="457">
        <v>0</v>
      </c>
      <c r="S198" s="457">
        <v>0</v>
      </c>
      <c r="T198" s="410" t="e">
        <v>#DIV/0!</v>
      </c>
      <c r="U198" s="285">
        <v>0</v>
      </c>
      <c r="V198" s="285">
        <v>0</v>
      </c>
      <c r="W198" s="285">
        <v>0</v>
      </c>
      <c r="X198" s="285">
        <v>0</v>
      </c>
      <c r="Y198" s="285">
        <v>0</v>
      </c>
      <c r="Z198" s="285">
        <v>0</v>
      </c>
    </row>
    <row r="199" spans="1:26" x14ac:dyDescent="0.2">
      <c r="A199" s="409" t="s">
        <v>425</v>
      </c>
      <c r="B199" s="457">
        <v>0</v>
      </c>
      <c r="C199" s="457">
        <v>0</v>
      </c>
      <c r="D199" s="457">
        <v>0</v>
      </c>
      <c r="E199" s="457">
        <v>0</v>
      </c>
      <c r="F199" s="457">
        <v>0</v>
      </c>
      <c r="G199" s="457">
        <v>0</v>
      </c>
      <c r="H199" s="457">
        <v>0</v>
      </c>
      <c r="I199" s="457">
        <v>0</v>
      </c>
      <c r="J199" s="457">
        <v>0</v>
      </c>
      <c r="K199" s="457">
        <v>0</v>
      </c>
      <c r="L199" s="457">
        <v>0</v>
      </c>
      <c r="M199" s="457">
        <v>0</v>
      </c>
      <c r="N199" s="457">
        <v>0</v>
      </c>
      <c r="O199" s="457">
        <v>0</v>
      </c>
      <c r="P199" s="457">
        <v>0</v>
      </c>
      <c r="Q199" s="457">
        <v>0</v>
      </c>
      <c r="R199" s="457">
        <v>0</v>
      </c>
      <c r="S199" s="457">
        <v>0</v>
      </c>
      <c r="T199" s="410" t="e">
        <v>#DIV/0!</v>
      </c>
      <c r="U199" s="285">
        <v>0</v>
      </c>
      <c r="V199" s="285">
        <v>0</v>
      </c>
      <c r="W199" s="285">
        <v>0</v>
      </c>
      <c r="X199" s="285">
        <v>0</v>
      </c>
      <c r="Y199" s="285">
        <v>0</v>
      </c>
      <c r="Z199" s="285">
        <v>0</v>
      </c>
    </row>
    <row r="200" spans="1:26" x14ac:dyDescent="0.2">
      <c r="A200" s="409" t="s">
        <v>426</v>
      </c>
      <c r="B200" s="457">
        <v>0</v>
      </c>
      <c r="C200" s="457">
        <v>0</v>
      </c>
      <c r="D200" s="457">
        <v>0</v>
      </c>
      <c r="E200" s="457">
        <v>0</v>
      </c>
      <c r="F200" s="457">
        <v>0</v>
      </c>
      <c r="G200" s="457">
        <v>0</v>
      </c>
      <c r="H200" s="457">
        <v>0</v>
      </c>
      <c r="I200" s="457">
        <v>0</v>
      </c>
      <c r="J200" s="457">
        <v>0</v>
      </c>
      <c r="K200" s="457">
        <v>0</v>
      </c>
      <c r="L200" s="457">
        <v>0</v>
      </c>
      <c r="M200" s="457">
        <v>0</v>
      </c>
      <c r="N200" s="457">
        <v>0</v>
      </c>
      <c r="O200" s="457">
        <v>0</v>
      </c>
      <c r="P200" s="457">
        <v>0</v>
      </c>
      <c r="Q200" s="457">
        <v>0</v>
      </c>
      <c r="R200" s="457">
        <v>0</v>
      </c>
      <c r="S200" s="457">
        <v>0</v>
      </c>
      <c r="T200" s="410" t="e">
        <v>#DIV/0!</v>
      </c>
      <c r="U200" s="285">
        <v>0</v>
      </c>
      <c r="V200" s="285">
        <v>0</v>
      </c>
      <c r="W200" s="285">
        <v>0</v>
      </c>
      <c r="X200" s="285">
        <v>0</v>
      </c>
      <c r="Y200" s="285">
        <v>0</v>
      </c>
      <c r="Z200" s="285">
        <v>0</v>
      </c>
    </row>
    <row r="201" spans="1:26" x14ac:dyDescent="0.2">
      <c r="A201" s="409" t="s">
        <v>427</v>
      </c>
      <c r="B201" s="457">
        <v>0</v>
      </c>
      <c r="C201" s="457">
        <v>0</v>
      </c>
      <c r="D201" s="457">
        <v>0</v>
      </c>
      <c r="E201" s="457">
        <v>0</v>
      </c>
      <c r="F201" s="457">
        <v>0</v>
      </c>
      <c r="G201" s="457">
        <v>0</v>
      </c>
      <c r="H201" s="457">
        <v>0</v>
      </c>
      <c r="I201" s="457">
        <v>0</v>
      </c>
      <c r="J201" s="457">
        <v>0</v>
      </c>
      <c r="K201" s="457">
        <v>0</v>
      </c>
      <c r="L201" s="457">
        <v>0</v>
      </c>
      <c r="M201" s="457">
        <v>0</v>
      </c>
      <c r="N201" s="457">
        <v>0</v>
      </c>
      <c r="O201" s="457">
        <v>0</v>
      </c>
      <c r="P201" s="457">
        <v>0</v>
      </c>
      <c r="Q201" s="457">
        <v>0</v>
      </c>
      <c r="R201" s="457">
        <v>0</v>
      </c>
      <c r="S201" s="457">
        <v>0</v>
      </c>
      <c r="T201" s="410" t="e">
        <v>#DIV/0!</v>
      </c>
      <c r="U201" s="285">
        <v>0</v>
      </c>
      <c r="V201" s="285">
        <v>0</v>
      </c>
      <c r="W201" s="285">
        <v>0</v>
      </c>
      <c r="X201" s="285">
        <v>0</v>
      </c>
      <c r="Y201" s="285">
        <v>0</v>
      </c>
      <c r="Z201" s="285">
        <v>0</v>
      </c>
    </row>
    <row r="202" spans="1:26" ht="24" x14ac:dyDescent="0.2">
      <c r="A202" s="404" t="s">
        <v>428</v>
      </c>
      <c r="B202" s="247">
        <v>0</v>
      </c>
      <c r="C202" s="247">
        <v>0</v>
      </c>
      <c r="D202" s="247">
        <v>0</v>
      </c>
      <c r="E202" s="247">
        <v>0</v>
      </c>
      <c r="F202" s="247">
        <v>0</v>
      </c>
      <c r="G202" s="247">
        <v>0</v>
      </c>
      <c r="H202" s="247">
        <v>0</v>
      </c>
      <c r="I202" s="247">
        <v>0</v>
      </c>
      <c r="J202" s="247">
        <v>0</v>
      </c>
      <c r="K202" s="247">
        <v>0</v>
      </c>
      <c r="L202" s="247">
        <v>0</v>
      </c>
      <c r="M202" s="247">
        <v>0</v>
      </c>
      <c r="N202" s="247">
        <v>0</v>
      </c>
      <c r="O202" s="247">
        <v>0</v>
      </c>
      <c r="P202" s="247">
        <v>0</v>
      </c>
      <c r="Q202" s="247">
        <v>0</v>
      </c>
      <c r="R202" s="247">
        <v>0</v>
      </c>
      <c r="S202" s="247">
        <v>0</v>
      </c>
      <c r="T202" s="407" t="e">
        <v>#DIV/0!</v>
      </c>
      <c r="U202" s="406">
        <v>0</v>
      </c>
      <c r="V202" s="406">
        <v>0</v>
      </c>
      <c r="W202" s="406">
        <v>0</v>
      </c>
      <c r="X202" s="406">
        <v>0</v>
      </c>
      <c r="Y202" s="406">
        <v>0</v>
      </c>
      <c r="Z202" s="406">
        <v>0</v>
      </c>
    </row>
    <row r="203" spans="1:26" x14ac:dyDescent="0.2">
      <c r="A203" s="404" t="s">
        <v>429</v>
      </c>
      <c r="B203" s="247">
        <v>0</v>
      </c>
      <c r="C203" s="247">
        <v>0</v>
      </c>
      <c r="D203" s="247">
        <v>0</v>
      </c>
      <c r="E203" s="247">
        <v>0</v>
      </c>
      <c r="F203" s="247">
        <v>0</v>
      </c>
      <c r="G203" s="247">
        <v>0</v>
      </c>
      <c r="H203" s="247">
        <v>0</v>
      </c>
      <c r="I203" s="247">
        <v>0</v>
      </c>
      <c r="J203" s="247">
        <v>0</v>
      </c>
      <c r="K203" s="247">
        <v>0</v>
      </c>
      <c r="L203" s="247">
        <v>0</v>
      </c>
      <c r="M203" s="247">
        <v>0</v>
      </c>
      <c r="N203" s="247">
        <v>0</v>
      </c>
      <c r="O203" s="247">
        <v>0</v>
      </c>
      <c r="P203" s="247">
        <v>0</v>
      </c>
      <c r="Q203" s="247">
        <v>0</v>
      </c>
      <c r="R203" s="247">
        <v>0</v>
      </c>
      <c r="S203" s="247">
        <v>0</v>
      </c>
      <c r="T203" s="407" t="e">
        <v>#DIV/0!</v>
      </c>
      <c r="U203" s="406">
        <v>0</v>
      </c>
      <c r="V203" s="406">
        <v>0</v>
      </c>
      <c r="W203" s="406">
        <v>0</v>
      </c>
      <c r="X203" s="406">
        <v>0</v>
      </c>
      <c r="Y203" s="406">
        <v>0</v>
      </c>
      <c r="Z203" s="406">
        <v>0</v>
      </c>
    </row>
    <row r="204" spans="1:26" x14ac:dyDescent="0.2">
      <c r="A204" s="399" t="s">
        <v>430</v>
      </c>
      <c r="B204" s="474">
        <v>0</v>
      </c>
      <c r="C204" s="474">
        <v>0</v>
      </c>
      <c r="D204" s="474">
        <v>0</v>
      </c>
      <c r="E204" s="474">
        <v>0</v>
      </c>
      <c r="F204" s="474">
        <v>0</v>
      </c>
      <c r="G204" s="474">
        <v>0</v>
      </c>
      <c r="H204" s="474">
        <v>0</v>
      </c>
      <c r="I204" s="474">
        <v>0</v>
      </c>
      <c r="J204" s="474">
        <v>0</v>
      </c>
      <c r="K204" s="474">
        <v>0</v>
      </c>
      <c r="L204" s="474">
        <v>0</v>
      </c>
      <c r="M204" s="474">
        <v>0</v>
      </c>
      <c r="N204" s="474">
        <v>0</v>
      </c>
      <c r="O204" s="474">
        <v>0</v>
      </c>
      <c r="P204" s="474">
        <v>0</v>
      </c>
      <c r="Q204" s="474">
        <v>0</v>
      </c>
      <c r="R204" s="474">
        <v>0</v>
      </c>
      <c r="S204" s="474">
        <v>0</v>
      </c>
      <c r="T204" s="402" t="e">
        <v>#DIV/0!</v>
      </c>
      <c r="U204" s="401">
        <v>0</v>
      </c>
      <c r="V204" s="401">
        <v>0</v>
      </c>
      <c r="W204" s="401">
        <v>0</v>
      </c>
      <c r="X204" s="401">
        <v>0</v>
      </c>
      <c r="Y204" s="401">
        <v>0</v>
      </c>
      <c r="Z204" s="401">
        <v>0</v>
      </c>
    </row>
    <row r="205" spans="1:26" x14ac:dyDescent="0.2">
      <c r="A205" s="404" t="s">
        <v>431</v>
      </c>
      <c r="B205" s="247">
        <v>0</v>
      </c>
      <c r="C205" s="247">
        <v>0</v>
      </c>
      <c r="D205" s="247">
        <v>0</v>
      </c>
      <c r="E205" s="247">
        <v>0</v>
      </c>
      <c r="F205" s="247">
        <v>0</v>
      </c>
      <c r="G205" s="247">
        <v>0</v>
      </c>
      <c r="H205" s="247">
        <v>0</v>
      </c>
      <c r="I205" s="247">
        <v>0</v>
      </c>
      <c r="J205" s="247">
        <v>0</v>
      </c>
      <c r="K205" s="247">
        <v>0</v>
      </c>
      <c r="L205" s="247">
        <v>0</v>
      </c>
      <c r="M205" s="247">
        <v>0</v>
      </c>
      <c r="N205" s="247">
        <v>0</v>
      </c>
      <c r="O205" s="247">
        <v>0</v>
      </c>
      <c r="P205" s="247">
        <v>0</v>
      </c>
      <c r="Q205" s="247">
        <v>0</v>
      </c>
      <c r="R205" s="247">
        <v>0</v>
      </c>
      <c r="S205" s="247">
        <v>0</v>
      </c>
      <c r="T205" s="407" t="e">
        <v>#DIV/0!</v>
      </c>
      <c r="U205" s="406">
        <v>0</v>
      </c>
      <c r="V205" s="406">
        <v>0</v>
      </c>
      <c r="W205" s="406">
        <v>0</v>
      </c>
      <c r="X205" s="406">
        <v>0</v>
      </c>
      <c r="Y205" s="406">
        <v>0</v>
      </c>
      <c r="Z205" s="406">
        <v>0</v>
      </c>
    </row>
    <row r="206" spans="1:26" x14ac:dyDescent="0.2">
      <c r="A206" s="404" t="s">
        <v>432</v>
      </c>
      <c r="B206" s="247">
        <v>0</v>
      </c>
      <c r="C206" s="247">
        <v>0</v>
      </c>
      <c r="D206" s="247">
        <v>0</v>
      </c>
      <c r="E206" s="247">
        <v>0</v>
      </c>
      <c r="F206" s="247">
        <v>0</v>
      </c>
      <c r="G206" s="247">
        <v>0</v>
      </c>
      <c r="H206" s="247">
        <v>0</v>
      </c>
      <c r="I206" s="247">
        <v>0</v>
      </c>
      <c r="J206" s="247">
        <v>0</v>
      </c>
      <c r="K206" s="247">
        <v>0</v>
      </c>
      <c r="L206" s="247">
        <v>0</v>
      </c>
      <c r="M206" s="247">
        <v>0</v>
      </c>
      <c r="N206" s="247">
        <v>0</v>
      </c>
      <c r="O206" s="247">
        <v>0</v>
      </c>
      <c r="P206" s="247">
        <v>0</v>
      </c>
      <c r="Q206" s="247">
        <v>0</v>
      </c>
      <c r="R206" s="247">
        <v>0</v>
      </c>
      <c r="S206" s="247">
        <v>0</v>
      </c>
      <c r="T206" s="407" t="e">
        <v>#DIV/0!</v>
      </c>
      <c r="U206" s="406">
        <v>0</v>
      </c>
      <c r="V206" s="406">
        <v>0</v>
      </c>
      <c r="W206" s="406">
        <v>0</v>
      </c>
      <c r="X206" s="406">
        <v>0</v>
      </c>
      <c r="Y206" s="406">
        <v>0</v>
      </c>
      <c r="Z206" s="406">
        <v>0</v>
      </c>
    </row>
    <row r="207" spans="1:26" x14ac:dyDescent="0.2">
      <c r="A207" s="404" t="s">
        <v>433</v>
      </c>
      <c r="B207" s="448">
        <v>0</v>
      </c>
      <c r="C207" s="448">
        <v>0</v>
      </c>
      <c r="D207" s="448">
        <v>0</v>
      </c>
      <c r="E207" s="448">
        <v>0</v>
      </c>
      <c r="F207" s="448">
        <v>0</v>
      </c>
      <c r="G207" s="448">
        <v>0</v>
      </c>
      <c r="H207" s="448">
        <v>0</v>
      </c>
      <c r="I207" s="448">
        <v>0</v>
      </c>
      <c r="J207" s="448">
        <v>0</v>
      </c>
      <c r="K207" s="448">
        <v>0</v>
      </c>
      <c r="L207" s="448">
        <v>0</v>
      </c>
      <c r="M207" s="448">
        <v>0</v>
      </c>
      <c r="N207" s="448">
        <v>0</v>
      </c>
      <c r="O207" s="448">
        <v>0</v>
      </c>
      <c r="P207" s="448">
        <v>0</v>
      </c>
      <c r="Q207" s="448">
        <v>0</v>
      </c>
      <c r="R207" s="448">
        <v>0</v>
      </c>
      <c r="S207" s="448">
        <v>0</v>
      </c>
      <c r="T207" s="407" t="e">
        <v>#DIV/0!</v>
      </c>
      <c r="U207" s="406">
        <v>0</v>
      </c>
      <c r="V207" s="406">
        <v>0</v>
      </c>
      <c r="W207" s="406">
        <v>0</v>
      </c>
      <c r="X207" s="406">
        <v>0</v>
      </c>
      <c r="Y207" s="406">
        <v>0</v>
      </c>
      <c r="Z207" s="406">
        <v>0</v>
      </c>
    </row>
    <row r="208" spans="1:26" x14ac:dyDescent="0.2">
      <c r="A208" s="409" t="s">
        <v>434</v>
      </c>
      <c r="B208" s="457">
        <v>0</v>
      </c>
      <c r="C208" s="457">
        <v>0</v>
      </c>
      <c r="D208" s="457">
        <v>0</v>
      </c>
      <c r="E208" s="457">
        <v>0</v>
      </c>
      <c r="F208" s="457">
        <v>0</v>
      </c>
      <c r="G208" s="457">
        <v>0</v>
      </c>
      <c r="H208" s="457">
        <v>0</v>
      </c>
      <c r="I208" s="457">
        <v>0</v>
      </c>
      <c r="J208" s="457">
        <v>0</v>
      </c>
      <c r="K208" s="457">
        <v>0</v>
      </c>
      <c r="L208" s="457">
        <v>0</v>
      </c>
      <c r="M208" s="457">
        <v>0</v>
      </c>
      <c r="N208" s="457">
        <v>0</v>
      </c>
      <c r="O208" s="457">
        <v>0</v>
      </c>
      <c r="P208" s="457">
        <v>0</v>
      </c>
      <c r="Q208" s="457">
        <v>0</v>
      </c>
      <c r="R208" s="457">
        <v>0</v>
      </c>
      <c r="S208" s="457">
        <v>0</v>
      </c>
      <c r="T208" s="410" t="e">
        <v>#DIV/0!</v>
      </c>
      <c r="U208" s="285">
        <v>0</v>
      </c>
      <c r="V208" s="285">
        <v>0</v>
      </c>
      <c r="W208" s="285">
        <v>0</v>
      </c>
      <c r="X208" s="285">
        <v>0</v>
      </c>
      <c r="Y208" s="285">
        <v>0</v>
      </c>
      <c r="Z208" s="285">
        <v>0</v>
      </c>
    </row>
    <row r="209" spans="1:26" x14ac:dyDescent="0.2">
      <c r="A209" s="409" t="s">
        <v>435</v>
      </c>
      <c r="B209" s="457">
        <v>0</v>
      </c>
      <c r="C209" s="457">
        <v>0</v>
      </c>
      <c r="D209" s="457">
        <v>0</v>
      </c>
      <c r="E209" s="457">
        <v>0</v>
      </c>
      <c r="F209" s="457">
        <v>0</v>
      </c>
      <c r="G209" s="457">
        <v>0</v>
      </c>
      <c r="H209" s="457">
        <v>0</v>
      </c>
      <c r="I209" s="457">
        <v>0</v>
      </c>
      <c r="J209" s="457">
        <v>0</v>
      </c>
      <c r="K209" s="457">
        <v>0</v>
      </c>
      <c r="L209" s="457">
        <v>0</v>
      </c>
      <c r="M209" s="457">
        <v>0</v>
      </c>
      <c r="N209" s="457">
        <v>0</v>
      </c>
      <c r="O209" s="457">
        <v>0</v>
      </c>
      <c r="P209" s="457">
        <v>0</v>
      </c>
      <c r="Q209" s="457">
        <v>0</v>
      </c>
      <c r="R209" s="457">
        <v>0</v>
      </c>
      <c r="S209" s="457">
        <v>0</v>
      </c>
      <c r="T209" s="410" t="e">
        <v>#DIV/0!</v>
      </c>
      <c r="U209" s="285">
        <v>0</v>
      </c>
      <c r="V209" s="285">
        <v>0</v>
      </c>
      <c r="W209" s="285">
        <v>0</v>
      </c>
      <c r="X209" s="285">
        <v>0</v>
      </c>
      <c r="Y209" s="285">
        <v>0</v>
      </c>
      <c r="Z209" s="285">
        <v>0</v>
      </c>
    </row>
    <row r="210" spans="1:26" x14ac:dyDescent="0.2">
      <c r="A210" s="404" t="s">
        <v>436</v>
      </c>
      <c r="B210" s="448">
        <v>0</v>
      </c>
      <c r="C210" s="448">
        <v>0</v>
      </c>
      <c r="D210" s="448">
        <v>0</v>
      </c>
      <c r="E210" s="448">
        <v>0</v>
      </c>
      <c r="F210" s="448">
        <v>0</v>
      </c>
      <c r="G210" s="448">
        <v>0</v>
      </c>
      <c r="H210" s="448">
        <v>0</v>
      </c>
      <c r="I210" s="448">
        <v>0</v>
      </c>
      <c r="J210" s="448">
        <v>0</v>
      </c>
      <c r="K210" s="448">
        <v>0</v>
      </c>
      <c r="L210" s="448">
        <v>0</v>
      </c>
      <c r="M210" s="448">
        <v>0</v>
      </c>
      <c r="N210" s="448">
        <v>0</v>
      </c>
      <c r="O210" s="448">
        <v>0</v>
      </c>
      <c r="P210" s="448">
        <v>0</v>
      </c>
      <c r="Q210" s="448">
        <v>0</v>
      </c>
      <c r="R210" s="448">
        <v>0</v>
      </c>
      <c r="S210" s="448">
        <v>0</v>
      </c>
      <c r="T210" s="407" t="e">
        <v>#DIV/0!</v>
      </c>
      <c r="U210" s="406">
        <v>0</v>
      </c>
      <c r="V210" s="406">
        <v>0</v>
      </c>
      <c r="W210" s="406">
        <v>0</v>
      </c>
      <c r="X210" s="406">
        <v>0</v>
      </c>
      <c r="Y210" s="406">
        <v>0</v>
      </c>
      <c r="Z210" s="406">
        <v>0</v>
      </c>
    </row>
    <row r="211" spans="1:26" x14ac:dyDescent="0.2">
      <c r="A211" s="409" t="s">
        <v>437</v>
      </c>
      <c r="B211" s="457">
        <v>0</v>
      </c>
      <c r="C211" s="457">
        <v>0</v>
      </c>
      <c r="D211" s="457">
        <v>0</v>
      </c>
      <c r="E211" s="457">
        <v>0</v>
      </c>
      <c r="F211" s="457">
        <v>0</v>
      </c>
      <c r="G211" s="457">
        <v>0</v>
      </c>
      <c r="H211" s="457">
        <v>0</v>
      </c>
      <c r="I211" s="457">
        <v>0</v>
      </c>
      <c r="J211" s="457">
        <v>0</v>
      </c>
      <c r="K211" s="457">
        <v>0</v>
      </c>
      <c r="L211" s="457">
        <v>0</v>
      </c>
      <c r="M211" s="457">
        <v>0</v>
      </c>
      <c r="N211" s="457">
        <v>0</v>
      </c>
      <c r="O211" s="457">
        <v>0</v>
      </c>
      <c r="P211" s="457">
        <v>0</v>
      </c>
      <c r="Q211" s="457">
        <v>0</v>
      </c>
      <c r="R211" s="457">
        <v>0</v>
      </c>
      <c r="S211" s="457">
        <v>0</v>
      </c>
      <c r="T211" s="410" t="e">
        <v>#DIV/0!</v>
      </c>
      <c r="U211" s="285">
        <v>0</v>
      </c>
      <c r="V211" s="285">
        <v>0</v>
      </c>
      <c r="W211" s="285">
        <v>0</v>
      </c>
      <c r="X211" s="285">
        <v>0</v>
      </c>
      <c r="Y211" s="285">
        <v>0</v>
      </c>
      <c r="Z211" s="285">
        <v>0</v>
      </c>
    </row>
    <row r="212" spans="1:26" x14ac:dyDescent="0.2">
      <c r="A212" s="409" t="s">
        <v>438</v>
      </c>
      <c r="B212" s="457">
        <v>0</v>
      </c>
      <c r="C212" s="457">
        <v>0</v>
      </c>
      <c r="D212" s="457">
        <v>0</v>
      </c>
      <c r="E212" s="457">
        <v>0</v>
      </c>
      <c r="F212" s="457">
        <v>0</v>
      </c>
      <c r="G212" s="457">
        <v>0</v>
      </c>
      <c r="H212" s="457">
        <v>0</v>
      </c>
      <c r="I212" s="457">
        <v>0</v>
      </c>
      <c r="J212" s="457">
        <v>0</v>
      </c>
      <c r="K212" s="457">
        <v>0</v>
      </c>
      <c r="L212" s="457">
        <v>0</v>
      </c>
      <c r="M212" s="457">
        <v>0</v>
      </c>
      <c r="N212" s="457">
        <v>0</v>
      </c>
      <c r="O212" s="457">
        <v>0</v>
      </c>
      <c r="P212" s="457">
        <v>0</v>
      </c>
      <c r="Q212" s="457">
        <v>0</v>
      </c>
      <c r="R212" s="457">
        <v>0</v>
      </c>
      <c r="S212" s="457">
        <v>0</v>
      </c>
      <c r="T212" s="410" t="e">
        <v>#DIV/0!</v>
      </c>
      <c r="U212" s="285">
        <v>0</v>
      </c>
      <c r="V212" s="285">
        <v>0</v>
      </c>
      <c r="W212" s="285">
        <v>0</v>
      </c>
      <c r="X212" s="285">
        <v>0</v>
      </c>
      <c r="Y212" s="285">
        <v>0</v>
      </c>
      <c r="Z212" s="285">
        <v>0</v>
      </c>
    </row>
    <row r="213" spans="1:26" x14ac:dyDescent="0.2">
      <c r="A213" s="409" t="s">
        <v>439</v>
      </c>
      <c r="B213" s="457">
        <v>0</v>
      </c>
      <c r="C213" s="457">
        <v>0</v>
      </c>
      <c r="D213" s="457">
        <v>0</v>
      </c>
      <c r="E213" s="457">
        <v>0</v>
      </c>
      <c r="F213" s="457">
        <v>0</v>
      </c>
      <c r="G213" s="457">
        <v>0</v>
      </c>
      <c r="H213" s="457">
        <v>0</v>
      </c>
      <c r="I213" s="457">
        <v>0</v>
      </c>
      <c r="J213" s="457">
        <v>0</v>
      </c>
      <c r="K213" s="457">
        <v>0</v>
      </c>
      <c r="L213" s="457">
        <v>0</v>
      </c>
      <c r="M213" s="457">
        <v>0</v>
      </c>
      <c r="N213" s="457">
        <v>0</v>
      </c>
      <c r="O213" s="457">
        <v>0</v>
      </c>
      <c r="P213" s="457">
        <v>0</v>
      </c>
      <c r="Q213" s="457">
        <v>0</v>
      </c>
      <c r="R213" s="457">
        <v>0</v>
      </c>
      <c r="S213" s="457">
        <v>0</v>
      </c>
      <c r="T213" s="410" t="e">
        <v>#DIV/0!</v>
      </c>
      <c r="U213" s="285">
        <v>0</v>
      </c>
      <c r="V213" s="285">
        <v>0</v>
      </c>
      <c r="W213" s="285">
        <v>0</v>
      </c>
      <c r="X213" s="285">
        <v>0</v>
      </c>
      <c r="Y213" s="285">
        <v>0</v>
      </c>
      <c r="Z213" s="285">
        <v>0</v>
      </c>
    </row>
    <row r="214" spans="1:26" x14ac:dyDescent="0.2">
      <c r="A214" s="409" t="s">
        <v>440</v>
      </c>
      <c r="B214" s="457">
        <v>0</v>
      </c>
      <c r="C214" s="457">
        <v>0</v>
      </c>
      <c r="D214" s="457">
        <v>0</v>
      </c>
      <c r="E214" s="457">
        <v>0</v>
      </c>
      <c r="F214" s="457">
        <v>0</v>
      </c>
      <c r="G214" s="457">
        <v>0</v>
      </c>
      <c r="H214" s="457">
        <v>0</v>
      </c>
      <c r="I214" s="457">
        <v>0</v>
      </c>
      <c r="J214" s="457">
        <v>0</v>
      </c>
      <c r="K214" s="457">
        <v>0</v>
      </c>
      <c r="L214" s="457">
        <v>0</v>
      </c>
      <c r="M214" s="457">
        <v>0</v>
      </c>
      <c r="N214" s="457">
        <v>0</v>
      </c>
      <c r="O214" s="457">
        <v>0</v>
      </c>
      <c r="P214" s="457">
        <v>0</v>
      </c>
      <c r="Q214" s="457">
        <v>0</v>
      </c>
      <c r="R214" s="457">
        <v>0</v>
      </c>
      <c r="S214" s="457">
        <v>0</v>
      </c>
      <c r="T214" s="410" t="e">
        <v>#DIV/0!</v>
      </c>
      <c r="U214" s="285">
        <v>0</v>
      </c>
      <c r="V214" s="285">
        <v>0</v>
      </c>
      <c r="W214" s="285">
        <v>0</v>
      </c>
      <c r="X214" s="285">
        <v>0</v>
      </c>
      <c r="Y214" s="285">
        <v>0</v>
      </c>
      <c r="Z214" s="285">
        <v>0</v>
      </c>
    </row>
    <row r="215" spans="1:26" x14ac:dyDescent="0.2">
      <c r="A215" s="404" t="s">
        <v>441</v>
      </c>
      <c r="B215" s="448">
        <v>0</v>
      </c>
      <c r="C215" s="448">
        <v>0</v>
      </c>
      <c r="D215" s="448">
        <v>0</v>
      </c>
      <c r="E215" s="448">
        <v>0</v>
      </c>
      <c r="F215" s="448">
        <v>0</v>
      </c>
      <c r="G215" s="448">
        <v>0</v>
      </c>
      <c r="H215" s="448">
        <v>0</v>
      </c>
      <c r="I215" s="448">
        <v>0</v>
      </c>
      <c r="J215" s="448">
        <v>0</v>
      </c>
      <c r="K215" s="448">
        <v>0</v>
      </c>
      <c r="L215" s="448">
        <v>0</v>
      </c>
      <c r="M215" s="448">
        <v>0</v>
      </c>
      <c r="N215" s="448">
        <v>0</v>
      </c>
      <c r="O215" s="448">
        <v>0</v>
      </c>
      <c r="P215" s="448">
        <v>0</v>
      </c>
      <c r="Q215" s="448">
        <v>0</v>
      </c>
      <c r="R215" s="448">
        <v>0</v>
      </c>
      <c r="S215" s="448">
        <v>0</v>
      </c>
      <c r="T215" s="407" t="e">
        <v>#DIV/0!</v>
      </c>
      <c r="U215" s="406">
        <v>0</v>
      </c>
      <c r="V215" s="406">
        <v>0</v>
      </c>
      <c r="W215" s="406">
        <v>0</v>
      </c>
      <c r="X215" s="406">
        <v>0</v>
      </c>
      <c r="Y215" s="406">
        <v>0</v>
      </c>
      <c r="Z215" s="406">
        <v>0</v>
      </c>
    </row>
    <row r="216" spans="1:26" x14ac:dyDescent="0.2">
      <c r="A216" s="409" t="s">
        <v>442</v>
      </c>
      <c r="B216" s="457">
        <v>0</v>
      </c>
      <c r="C216" s="457">
        <v>0</v>
      </c>
      <c r="D216" s="457">
        <v>0</v>
      </c>
      <c r="E216" s="457">
        <v>0</v>
      </c>
      <c r="F216" s="457">
        <v>0</v>
      </c>
      <c r="G216" s="457">
        <v>0</v>
      </c>
      <c r="H216" s="457">
        <v>0</v>
      </c>
      <c r="I216" s="457">
        <v>0</v>
      </c>
      <c r="J216" s="457">
        <v>0</v>
      </c>
      <c r="K216" s="457">
        <v>0</v>
      </c>
      <c r="L216" s="457">
        <v>0</v>
      </c>
      <c r="M216" s="457">
        <v>0</v>
      </c>
      <c r="N216" s="457">
        <v>0</v>
      </c>
      <c r="O216" s="457">
        <v>0</v>
      </c>
      <c r="P216" s="457">
        <v>0</v>
      </c>
      <c r="Q216" s="457">
        <v>0</v>
      </c>
      <c r="R216" s="457">
        <v>0</v>
      </c>
      <c r="S216" s="457">
        <v>0</v>
      </c>
      <c r="T216" s="410" t="e">
        <v>#DIV/0!</v>
      </c>
      <c r="U216" s="285">
        <v>0</v>
      </c>
      <c r="V216" s="285">
        <v>0</v>
      </c>
      <c r="W216" s="285">
        <v>0</v>
      </c>
      <c r="X216" s="285">
        <v>0</v>
      </c>
      <c r="Y216" s="285">
        <v>0</v>
      </c>
      <c r="Z216" s="285">
        <v>0</v>
      </c>
    </row>
    <row r="217" spans="1:26" x14ac:dyDescent="0.2">
      <c r="A217" s="409" t="s">
        <v>443</v>
      </c>
      <c r="B217" s="457">
        <v>0</v>
      </c>
      <c r="C217" s="457">
        <v>0</v>
      </c>
      <c r="D217" s="457">
        <v>0</v>
      </c>
      <c r="E217" s="457">
        <v>0</v>
      </c>
      <c r="F217" s="457">
        <v>0</v>
      </c>
      <c r="G217" s="457">
        <v>0</v>
      </c>
      <c r="H217" s="457">
        <v>0</v>
      </c>
      <c r="I217" s="457">
        <v>0</v>
      </c>
      <c r="J217" s="457">
        <v>0</v>
      </c>
      <c r="K217" s="457">
        <v>0</v>
      </c>
      <c r="L217" s="457">
        <v>0</v>
      </c>
      <c r="M217" s="457">
        <v>0</v>
      </c>
      <c r="N217" s="457">
        <v>0</v>
      </c>
      <c r="O217" s="457">
        <v>0</v>
      </c>
      <c r="P217" s="457">
        <v>0</v>
      </c>
      <c r="Q217" s="457">
        <v>0</v>
      </c>
      <c r="R217" s="457">
        <v>0</v>
      </c>
      <c r="S217" s="457">
        <v>0</v>
      </c>
      <c r="T217" s="410" t="e">
        <v>#DIV/0!</v>
      </c>
      <c r="U217" s="285">
        <v>0</v>
      </c>
      <c r="V217" s="285">
        <v>0</v>
      </c>
      <c r="W217" s="285">
        <v>0</v>
      </c>
      <c r="X217" s="285">
        <v>0</v>
      </c>
      <c r="Y217" s="285">
        <v>0</v>
      </c>
      <c r="Z217" s="285">
        <v>0</v>
      </c>
    </row>
    <row r="218" spans="1:26" x14ac:dyDescent="0.2">
      <c r="A218" s="409" t="s">
        <v>444</v>
      </c>
      <c r="B218" s="457">
        <v>0</v>
      </c>
      <c r="C218" s="457">
        <v>0</v>
      </c>
      <c r="D218" s="457">
        <v>0</v>
      </c>
      <c r="E218" s="457">
        <v>0</v>
      </c>
      <c r="F218" s="457">
        <v>0</v>
      </c>
      <c r="G218" s="457">
        <v>0</v>
      </c>
      <c r="H218" s="457">
        <v>0</v>
      </c>
      <c r="I218" s="457">
        <v>0</v>
      </c>
      <c r="J218" s="457">
        <v>0</v>
      </c>
      <c r="K218" s="457">
        <v>0</v>
      </c>
      <c r="L218" s="457">
        <v>0</v>
      </c>
      <c r="M218" s="457">
        <v>0</v>
      </c>
      <c r="N218" s="457">
        <v>0</v>
      </c>
      <c r="O218" s="457">
        <v>0</v>
      </c>
      <c r="P218" s="457">
        <v>0</v>
      </c>
      <c r="Q218" s="457">
        <v>0</v>
      </c>
      <c r="R218" s="457">
        <v>0</v>
      </c>
      <c r="S218" s="457">
        <v>0</v>
      </c>
      <c r="T218" s="410" t="e">
        <v>#DIV/0!</v>
      </c>
      <c r="U218" s="285">
        <v>0</v>
      </c>
      <c r="V218" s="285">
        <v>0</v>
      </c>
      <c r="W218" s="285">
        <v>0</v>
      </c>
      <c r="X218" s="285">
        <v>0</v>
      </c>
      <c r="Y218" s="285">
        <v>0</v>
      </c>
      <c r="Z218" s="285">
        <v>0</v>
      </c>
    </row>
    <row r="219" spans="1:26" x14ac:dyDescent="0.2">
      <c r="A219" s="409" t="s">
        <v>445</v>
      </c>
      <c r="B219" s="457">
        <v>0</v>
      </c>
      <c r="C219" s="457">
        <v>0</v>
      </c>
      <c r="D219" s="457">
        <v>0</v>
      </c>
      <c r="E219" s="457">
        <v>0</v>
      </c>
      <c r="F219" s="457">
        <v>0</v>
      </c>
      <c r="G219" s="457">
        <v>0</v>
      </c>
      <c r="H219" s="457">
        <v>0</v>
      </c>
      <c r="I219" s="457">
        <v>0</v>
      </c>
      <c r="J219" s="457">
        <v>0</v>
      </c>
      <c r="K219" s="457">
        <v>0</v>
      </c>
      <c r="L219" s="457">
        <v>0</v>
      </c>
      <c r="M219" s="457">
        <v>0</v>
      </c>
      <c r="N219" s="457">
        <v>0</v>
      </c>
      <c r="O219" s="457">
        <v>0</v>
      </c>
      <c r="P219" s="457">
        <v>0</v>
      </c>
      <c r="Q219" s="457">
        <v>0</v>
      </c>
      <c r="R219" s="457">
        <v>0</v>
      </c>
      <c r="S219" s="457">
        <v>0</v>
      </c>
      <c r="T219" s="410" t="e">
        <v>#DIV/0!</v>
      </c>
      <c r="U219" s="285">
        <v>0</v>
      </c>
      <c r="V219" s="285">
        <v>0</v>
      </c>
      <c r="W219" s="285">
        <v>0</v>
      </c>
      <c r="X219" s="285">
        <v>0</v>
      </c>
      <c r="Y219" s="285">
        <v>0</v>
      </c>
      <c r="Z219" s="285">
        <v>0</v>
      </c>
    </row>
    <row r="220" spans="1:26" x14ac:dyDescent="0.2">
      <c r="A220" s="404" t="s">
        <v>446</v>
      </c>
      <c r="B220" s="247">
        <v>0</v>
      </c>
      <c r="C220" s="247">
        <v>0</v>
      </c>
      <c r="D220" s="247">
        <v>0</v>
      </c>
      <c r="E220" s="247">
        <v>0</v>
      </c>
      <c r="F220" s="247">
        <v>0</v>
      </c>
      <c r="G220" s="247">
        <v>0</v>
      </c>
      <c r="H220" s="247">
        <v>0</v>
      </c>
      <c r="I220" s="247">
        <v>0</v>
      </c>
      <c r="J220" s="247">
        <v>0</v>
      </c>
      <c r="K220" s="247">
        <v>0</v>
      </c>
      <c r="L220" s="247">
        <v>0</v>
      </c>
      <c r="M220" s="247">
        <v>0</v>
      </c>
      <c r="N220" s="247">
        <v>0</v>
      </c>
      <c r="O220" s="247">
        <v>0</v>
      </c>
      <c r="P220" s="247">
        <v>0</v>
      </c>
      <c r="Q220" s="247">
        <v>0</v>
      </c>
      <c r="R220" s="247">
        <v>0</v>
      </c>
      <c r="S220" s="247">
        <v>0</v>
      </c>
      <c r="T220" s="407" t="e">
        <v>#DIV/0!</v>
      </c>
      <c r="U220" s="406">
        <v>0</v>
      </c>
      <c r="V220" s="406">
        <v>0</v>
      </c>
      <c r="W220" s="406">
        <v>0</v>
      </c>
      <c r="X220" s="406">
        <v>0</v>
      </c>
      <c r="Y220" s="406">
        <v>0</v>
      </c>
      <c r="Z220" s="406">
        <v>0</v>
      </c>
    </row>
    <row r="221" spans="1:26" x14ac:dyDescent="0.2">
      <c r="A221" s="404" t="s">
        <v>447</v>
      </c>
      <c r="B221" s="247">
        <v>0</v>
      </c>
      <c r="C221" s="247">
        <v>0</v>
      </c>
      <c r="D221" s="247">
        <v>0</v>
      </c>
      <c r="E221" s="247">
        <v>0</v>
      </c>
      <c r="F221" s="247">
        <v>0</v>
      </c>
      <c r="G221" s="247">
        <v>0</v>
      </c>
      <c r="H221" s="247">
        <v>0</v>
      </c>
      <c r="I221" s="247">
        <v>0</v>
      </c>
      <c r="J221" s="247">
        <v>0</v>
      </c>
      <c r="K221" s="247">
        <v>0</v>
      </c>
      <c r="L221" s="247">
        <v>0</v>
      </c>
      <c r="M221" s="247">
        <v>0</v>
      </c>
      <c r="N221" s="247">
        <v>0</v>
      </c>
      <c r="O221" s="247">
        <v>0</v>
      </c>
      <c r="P221" s="247">
        <v>0</v>
      </c>
      <c r="Q221" s="247">
        <v>0</v>
      </c>
      <c r="R221" s="247">
        <v>0</v>
      </c>
      <c r="S221" s="247">
        <v>0</v>
      </c>
      <c r="T221" s="407" t="e">
        <v>#DIV/0!</v>
      </c>
      <c r="U221" s="406">
        <v>0</v>
      </c>
      <c r="V221" s="406">
        <v>0</v>
      </c>
      <c r="W221" s="406">
        <v>0</v>
      </c>
      <c r="X221" s="406">
        <v>0</v>
      </c>
      <c r="Y221" s="406">
        <v>0</v>
      </c>
      <c r="Z221" s="406">
        <v>0</v>
      </c>
    </row>
    <row r="222" spans="1:26" x14ac:dyDescent="0.2">
      <c r="A222" s="404" t="s">
        <v>448</v>
      </c>
      <c r="B222" s="247">
        <v>0</v>
      </c>
      <c r="C222" s="247">
        <v>0</v>
      </c>
      <c r="D222" s="247">
        <v>0</v>
      </c>
      <c r="E222" s="247">
        <v>0</v>
      </c>
      <c r="F222" s="247">
        <v>0</v>
      </c>
      <c r="G222" s="247">
        <v>0</v>
      </c>
      <c r="H222" s="247">
        <v>0</v>
      </c>
      <c r="I222" s="247">
        <v>0</v>
      </c>
      <c r="J222" s="247">
        <v>0</v>
      </c>
      <c r="K222" s="247">
        <v>0</v>
      </c>
      <c r="L222" s="247">
        <v>0</v>
      </c>
      <c r="M222" s="247">
        <v>0</v>
      </c>
      <c r="N222" s="247">
        <v>0</v>
      </c>
      <c r="O222" s="247">
        <v>0</v>
      </c>
      <c r="P222" s="247">
        <v>0</v>
      </c>
      <c r="Q222" s="247">
        <v>0</v>
      </c>
      <c r="R222" s="247">
        <v>0</v>
      </c>
      <c r="S222" s="247">
        <v>0</v>
      </c>
      <c r="T222" s="407" t="e">
        <v>#DIV/0!</v>
      </c>
      <c r="U222" s="406">
        <v>0</v>
      </c>
      <c r="V222" s="406">
        <v>0</v>
      </c>
      <c r="W222" s="406">
        <v>0</v>
      </c>
      <c r="X222" s="406">
        <v>0</v>
      </c>
      <c r="Y222" s="406">
        <v>0</v>
      </c>
      <c r="Z222" s="406">
        <v>0</v>
      </c>
    </row>
    <row r="223" spans="1:26" x14ac:dyDescent="0.2">
      <c r="A223" s="404" t="s">
        <v>449</v>
      </c>
      <c r="B223" s="247">
        <v>0</v>
      </c>
      <c r="C223" s="247">
        <v>0</v>
      </c>
      <c r="D223" s="247">
        <v>0</v>
      </c>
      <c r="E223" s="247">
        <v>0</v>
      </c>
      <c r="F223" s="247">
        <v>0</v>
      </c>
      <c r="G223" s="247">
        <v>0</v>
      </c>
      <c r="H223" s="247">
        <v>0</v>
      </c>
      <c r="I223" s="247">
        <v>0</v>
      </c>
      <c r="J223" s="247">
        <v>0</v>
      </c>
      <c r="K223" s="247">
        <v>0</v>
      </c>
      <c r="L223" s="247">
        <v>0</v>
      </c>
      <c r="M223" s="247">
        <v>0</v>
      </c>
      <c r="N223" s="247">
        <v>0</v>
      </c>
      <c r="O223" s="247">
        <v>0</v>
      </c>
      <c r="P223" s="247">
        <v>0</v>
      </c>
      <c r="Q223" s="247">
        <v>0</v>
      </c>
      <c r="R223" s="247">
        <v>0</v>
      </c>
      <c r="S223" s="247">
        <v>0</v>
      </c>
      <c r="T223" s="407" t="e">
        <v>#DIV/0!</v>
      </c>
      <c r="U223" s="406">
        <v>0</v>
      </c>
      <c r="V223" s="406">
        <v>0</v>
      </c>
      <c r="W223" s="406">
        <v>0</v>
      </c>
      <c r="X223" s="406">
        <v>0</v>
      </c>
      <c r="Y223" s="406">
        <v>0</v>
      </c>
      <c r="Z223" s="406">
        <v>0</v>
      </c>
    </row>
    <row r="224" spans="1:26" x14ac:dyDescent="0.2">
      <c r="A224" s="404" t="s">
        <v>450</v>
      </c>
      <c r="B224" s="448">
        <v>0</v>
      </c>
      <c r="C224" s="448">
        <v>0</v>
      </c>
      <c r="D224" s="448">
        <v>0</v>
      </c>
      <c r="E224" s="448">
        <v>0</v>
      </c>
      <c r="F224" s="448">
        <v>0</v>
      </c>
      <c r="G224" s="448">
        <v>0</v>
      </c>
      <c r="H224" s="448">
        <v>0</v>
      </c>
      <c r="I224" s="448">
        <v>0</v>
      </c>
      <c r="J224" s="448">
        <v>0</v>
      </c>
      <c r="K224" s="448">
        <v>0</v>
      </c>
      <c r="L224" s="448">
        <v>0</v>
      </c>
      <c r="M224" s="448">
        <v>0</v>
      </c>
      <c r="N224" s="448">
        <v>0</v>
      </c>
      <c r="O224" s="448">
        <v>0</v>
      </c>
      <c r="P224" s="448">
        <v>0</v>
      </c>
      <c r="Q224" s="448">
        <v>0</v>
      </c>
      <c r="R224" s="448">
        <v>0</v>
      </c>
      <c r="S224" s="448">
        <v>0</v>
      </c>
      <c r="T224" s="407" t="e">
        <v>#DIV/0!</v>
      </c>
      <c r="U224" s="406">
        <v>0</v>
      </c>
      <c r="V224" s="406">
        <v>0</v>
      </c>
      <c r="W224" s="406">
        <v>0</v>
      </c>
      <c r="X224" s="406">
        <v>0</v>
      </c>
      <c r="Y224" s="406">
        <v>0</v>
      </c>
      <c r="Z224" s="406">
        <v>0</v>
      </c>
    </row>
    <row r="225" spans="1:26" x14ac:dyDescent="0.2">
      <c r="A225" s="409" t="s">
        <v>451</v>
      </c>
      <c r="B225" s="457">
        <v>0</v>
      </c>
      <c r="C225" s="457">
        <v>0</v>
      </c>
      <c r="D225" s="457">
        <v>0</v>
      </c>
      <c r="E225" s="457">
        <v>0</v>
      </c>
      <c r="F225" s="457">
        <v>0</v>
      </c>
      <c r="G225" s="457">
        <v>0</v>
      </c>
      <c r="H225" s="457">
        <v>0</v>
      </c>
      <c r="I225" s="457">
        <v>0</v>
      </c>
      <c r="J225" s="457">
        <v>0</v>
      </c>
      <c r="K225" s="457">
        <v>0</v>
      </c>
      <c r="L225" s="457">
        <v>0</v>
      </c>
      <c r="M225" s="457">
        <v>0</v>
      </c>
      <c r="N225" s="457">
        <v>0</v>
      </c>
      <c r="O225" s="457">
        <v>0</v>
      </c>
      <c r="P225" s="457">
        <v>0</v>
      </c>
      <c r="Q225" s="457">
        <v>0</v>
      </c>
      <c r="R225" s="457">
        <v>0</v>
      </c>
      <c r="S225" s="457">
        <v>0</v>
      </c>
      <c r="T225" s="410" t="e">
        <v>#DIV/0!</v>
      </c>
      <c r="U225" s="285">
        <v>0</v>
      </c>
      <c r="V225" s="285">
        <v>0</v>
      </c>
      <c r="W225" s="285">
        <v>0</v>
      </c>
      <c r="X225" s="285">
        <v>0</v>
      </c>
      <c r="Y225" s="285">
        <v>0</v>
      </c>
      <c r="Z225" s="285">
        <v>0</v>
      </c>
    </row>
    <row r="226" spans="1:26" x14ac:dyDescent="0.2">
      <c r="A226" s="409" t="s">
        <v>452</v>
      </c>
      <c r="B226" s="457">
        <v>0</v>
      </c>
      <c r="C226" s="457">
        <v>0</v>
      </c>
      <c r="D226" s="457">
        <v>0</v>
      </c>
      <c r="E226" s="457">
        <v>0</v>
      </c>
      <c r="F226" s="457">
        <v>0</v>
      </c>
      <c r="G226" s="457">
        <v>0</v>
      </c>
      <c r="H226" s="457">
        <v>0</v>
      </c>
      <c r="I226" s="457">
        <v>0</v>
      </c>
      <c r="J226" s="457">
        <v>0</v>
      </c>
      <c r="K226" s="457">
        <v>0</v>
      </c>
      <c r="L226" s="457">
        <v>0</v>
      </c>
      <c r="M226" s="457">
        <v>0</v>
      </c>
      <c r="N226" s="457">
        <v>0</v>
      </c>
      <c r="O226" s="457">
        <v>0</v>
      </c>
      <c r="P226" s="457">
        <v>0</v>
      </c>
      <c r="Q226" s="457">
        <v>0</v>
      </c>
      <c r="R226" s="457">
        <v>0</v>
      </c>
      <c r="S226" s="457">
        <v>0</v>
      </c>
      <c r="T226" s="410" t="e">
        <v>#DIV/0!</v>
      </c>
      <c r="U226" s="285">
        <v>0</v>
      </c>
      <c r="V226" s="285">
        <v>0</v>
      </c>
      <c r="W226" s="285">
        <v>0</v>
      </c>
      <c r="X226" s="285">
        <v>0</v>
      </c>
      <c r="Y226" s="285">
        <v>0</v>
      </c>
      <c r="Z226" s="285">
        <v>0</v>
      </c>
    </row>
    <row r="227" spans="1:26" x14ac:dyDescent="0.2">
      <c r="A227" s="409" t="s">
        <v>453</v>
      </c>
      <c r="B227" s="457">
        <v>0</v>
      </c>
      <c r="C227" s="457">
        <v>0</v>
      </c>
      <c r="D227" s="457">
        <v>0</v>
      </c>
      <c r="E227" s="457">
        <v>0</v>
      </c>
      <c r="F227" s="457">
        <v>0</v>
      </c>
      <c r="G227" s="457">
        <v>0</v>
      </c>
      <c r="H227" s="457">
        <v>0</v>
      </c>
      <c r="I227" s="457">
        <v>0</v>
      </c>
      <c r="J227" s="457">
        <v>0</v>
      </c>
      <c r="K227" s="457">
        <v>0</v>
      </c>
      <c r="L227" s="457">
        <v>0</v>
      </c>
      <c r="M227" s="457">
        <v>0</v>
      </c>
      <c r="N227" s="457">
        <v>0</v>
      </c>
      <c r="O227" s="457">
        <v>0</v>
      </c>
      <c r="P227" s="457">
        <v>0</v>
      </c>
      <c r="Q227" s="457">
        <v>0</v>
      </c>
      <c r="R227" s="457">
        <v>0</v>
      </c>
      <c r="S227" s="457">
        <v>0</v>
      </c>
      <c r="T227" s="410" t="e">
        <v>#DIV/0!</v>
      </c>
      <c r="U227" s="285">
        <v>0</v>
      </c>
      <c r="V227" s="285">
        <v>0</v>
      </c>
      <c r="W227" s="285">
        <v>0</v>
      </c>
      <c r="X227" s="285">
        <v>0</v>
      </c>
      <c r="Y227" s="285">
        <v>0</v>
      </c>
      <c r="Z227" s="285">
        <v>0</v>
      </c>
    </row>
    <row r="228" spans="1:26" x14ac:dyDescent="0.2">
      <c r="A228" s="409" t="s">
        <v>454</v>
      </c>
      <c r="B228" s="457">
        <v>0</v>
      </c>
      <c r="C228" s="457">
        <v>0</v>
      </c>
      <c r="D228" s="457">
        <v>0</v>
      </c>
      <c r="E228" s="457">
        <v>0</v>
      </c>
      <c r="F228" s="457">
        <v>0</v>
      </c>
      <c r="G228" s="457">
        <v>0</v>
      </c>
      <c r="H228" s="457">
        <v>0</v>
      </c>
      <c r="I228" s="457">
        <v>0</v>
      </c>
      <c r="J228" s="457">
        <v>0</v>
      </c>
      <c r="K228" s="457">
        <v>0</v>
      </c>
      <c r="L228" s="457">
        <v>0</v>
      </c>
      <c r="M228" s="457">
        <v>0</v>
      </c>
      <c r="N228" s="457">
        <v>0</v>
      </c>
      <c r="O228" s="457">
        <v>0</v>
      </c>
      <c r="P228" s="457">
        <v>0</v>
      </c>
      <c r="Q228" s="457">
        <v>0</v>
      </c>
      <c r="R228" s="457">
        <v>0</v>
      </c>
      <c r="S228" s="457">
        <v>0</v>
      </c>
      <c r="T228" s="410" t="e">
        <v>#DIV/0!</v>
      </c>
      <c r="U228" s="285">
        <v>0</v>
      </c>
      <c r="V228" s="285">
        <v>0</v>
      </c>
      <c r="W228" s="285">
        <v>0</v>
      </c>
      <c r="X228" s="285">
        <v>0</v>
      </c>
      <c r="Y228" s="285">
        <v>0</v>
      </c>
      <c r="Z228" s="285">
        <v>0</v>
      </c>
    </row>
    <row r="229" spans="1:26" x14ac:dyDescent="0.2">
      <c r="A229" s="409" t="s">
        <v>455</v>
      </c>
      <c r="B229" s="457">
        <v>0</v>
      </c>
      <c r="C229" s="457">
        <v>0</v>
      </c>
      <c r="D229" s="457">
        <v>0</v>
      </c>
      <c r="E229" s="457">
        <v>0</v>
      </c>
      <c r="F229" s="457">
        <v>0</v>
      </c>
      <c r="G229" s="457">
        <v>0</v>
      </c>
      <c r="H229" s="457">
        <v>0</v>
      </c>
      <c r="I229" s="457">
        <v>0</v>
      </c>
      <c r="J229" s="457">
        <v>0</v>
      </c>
      <c r="K229" s="457">
        <v>0</v>
      </c>
      <c r="L229" s="457">
        <v>0</v>
      </c>
      <c r="M229" s="457">
        <v>0</v>
      </c>
      <c r="N229" s="457">
        <v>0</v>
      </c>
      <c r="O229" s="457">
        <v>0</v>
      </c>
      <c r="P229" s="457">
        <v>0</v>
      </c>
      <c r="Q229" s="457">
        <v>0</v>
      </c>
      <c r="R229" s="457">
        <v>0</v>
      </c>
      <c r="S229" s="457">
        <v>0</v>
      </c>
      <c r="T229" s="410" t="e">
        <v>#DIV/0!</v>
      </c>
      <c r="U229" s="285">
        <v>0</v>
      </c>
      <c r="V229" s="285">
        <v>0</v>
      </c>
      <c r="W229" s="285">
        <v>0</v>
      </c>
      <c r="X229" s="285">
        <v>0</v>
      </c>
      <c r="Y229" s="285">
        <v>0</v>
      </c>
      <c r="Z229" s="285">
        <v>0</v>
      </c>
    </row>
    <row r="230" spans="1:26" x14ac:dyDescent="0.2">
      <c r="A230" s="404" t="s">
        <v>456</v>
      </c>
      <c r="B230" s="448">
        <v>0</v>
      </c>
      <c r="C230" s="448">
        <v>0</v>
      </c>
      <c r="D230" s="448">
        <v>0</v>
      </c>
      <c r="E230" s="448">
        <v>0</v>
      </c>
      <c r="F230" s="448">
        <v>0</v>
      </c>
      <c r="G230" s="448">
        <v>0</v>
      </c>
      <c r="H230" s="448">
        <v>0</v>
      </c>
      <c r="I230" s="448">
        <v>0</v>
      </c>
      <c r="J230" s="448">
        <v>0</v>
      </c>
      <c r="K230" s="448">
        <v>0</v>
      </c>
      <c r="L230" s="448">
        <v>0</v>
      </c>
      <c r="M230" s="448">
        <v>0</v>
      </c>
      <c r="N230" s="448">
        <v>0</v>
      </c>
      <c r="O230" s="448">
        <v>0</v>
      </c>
      <c r="P230" s="448">
        <v>0</v>
      </c>
      <c r="Q230" s="448">
        <v>0</v>
      </c>
      <c r="R230" s="448">
        <v>0</v>
      </c>
      <c r="S230" s="448">
        <v>0</v>
      </c>
      <c r="T230" s="407" t="e">
        <v>#DIV/0!</v>
      </c>
      <c r="U230" s="406">
        <v>0</v>
      </c>
      <c r="V230" s="406">
        <v>0</v>
      </c>
      <c r="W230" s="406">
        <v>0</v>
      </c>
      <c r="X230" s="406">
        <v>0</v>
      </c>
      <c r="Y230" s="406">
        <v>0</v>
      </c>
      <c r="Z230" s="406">
        <v>0</v>
      </c>
    </row>
    <row r="231" spans="1:26" x14ac:dyDescent="0.2">
      <c r="A231" s="409" t="s">
        <v>457</v>
      </c>
      <c r="B231" s="457">
        <v>0</v>
      </c>
      <c r="C231" s="457">
        <v>0</v>
      </c>
      <c r="D231" s="457">
        <v>0</v>
      </c>
      <c r="E231" s="457">
        <v>0</v>
      </c>
      <c r="F231" s="457">
        <v>0</v>
      </c>
      <c r="G231" s="457">
        <v>0</v>
      </c>
      <c r="H231" s="457">
        <v>0</v>
      </c>
      <c r="I231" s="457">
        <v>0</v>
      </c>
      <c r="J231" s="457">
        <v>0</v>
      </c>
      <c r="K231" s="457">
        <v>0</v>
      </c>
      <c r="L231" s="457">
        <v>0</v>
      </c>
      <c r="M231" s="457">
        <v>0</v>
      </c>
      <c r="N231" s="457">
        <v>0</v>
      </c>
      <c r="O231" s="457">
        <v>0</v>
      </c>
      <c r="P231" s="457">
        <v>0</v>
      </c>
      <c r="Q231" s="457">
        <v>0</v>
      </c>
      <c r="R231" s="457">
        <v>0</v>
      </c>
      <c r="S231" s="457">
        <v>0</v>
      </c>
      <c r="T231" s="410" t="e">
        <v>#DIV/0!</v>
      </c>
      <c r="U231" s="285">
        <v>0</v>
      </c>
      <c r="V231" s="285">
        <v>0</v>
      </c>
      <c r="W231" s="285">
        <v>0</v>
      </c>
      <c r="X231" s="285">
        <v>0</v>
      </c>
      <c r="Y231" s="285">
        <v>0</v>
      </c>
      <c r="Z231" s="285">
        <v>0</v>
      </c>
    </row>
    <row r="232" spans="1:26" x14ac:dyDescent="0.2">
      <c r="A232" s="409" t="s">
        <v>458</v>
      </c>
      <c r="B232" s="457">
        <v>0</v>
      </c>
      <c r="C232" s="457">
        <v>0</v>
      </c>
      <c r="D232" s="457">
        <v>0</v>
      </c>
      <c r="E232" s="457">
        <v>0</v>
      </c>
      <c r="F232" s="457">
        <v>0</v>
      </c>
      <c r="G232" s="457">
        <v>0</v>
      </c>
      <c r="H232" s="457">
        <v>0</v>
      </c>
      <c r="I232" s="457">
        <v>0</v>
      </c>
      <c r="J232" s="457">
        <v>0</v>
      </c>
      <c r="K232" s="457">
        <v>0</v>
      </c>
      <c r="L232" s="457">
        <v>0</v>
      </c>
      <c r="M232" s="457">
        <v>0</v>
      </c>
      <c r="N232" s="457">
        <v>0</v>
      </c>
      <c r="O232" s="457">
        <v>0</v>
      </c>
      <c r="P232" s="457">
        <v>0</v>
      </c>
      <c r="Q232" s="457">
        <v>0</v>
      </c>
      <c r="R232" s="457">
        <v>0</v>
      </c>
      <c r="S232" s="457">
        <v>0</v>
      </c>
      <c r="T232" s="410" t="e">
        <v>#DIV/0!</v>
      </c>
      <c r="U232" s="285">
        <v>0</v>
      </c>
      <c r="V232" s="285">
        <v>0</v>
      </c>
      <c r="W232" s="285">
        <v>0</v>
      </c>
      <c r="X232" s="285">
        <v>0</v>
      </c>
      <c r="Y232" s="285">
        <v>0</v>
      </c>
      <c r="Z232" s="285">
        <v>0</v>
      </c>
    </row>
    <row r="233" spans="1:26" x14ac:dyDescent="0.2">
      <c r="A233" s="409" t="s">
        <v>459</v>
      </c>
      <c r="B233" s="457">
        <v>0</v>
      </c>
      <c r="C233" s="457">
        <v>0</v>
      </c>
      <c r="D233" s="457">
        <v>0</v>
      </c>
      <c r="E233" s="457">
        <v>0</v>
      </c>
      <c r="F233" s="457">
        <v>0</v>
      </c>
      <c r="G233" s="457">
        <v>0</v>
      </c>
      <c r="H233" s="457">
        <v>0</v>
      </c>
      <c r="I233" s="457">
        <v>0</v>
      </c>
      <c r="J233" s="457">
        <v>0</v>
      </c>
      <c r="K233" s="457">
        <v>0</v>
      </c>
      <c r="L233" s="457">
        <v>0</v>
      </c>
      <c r="M233" s="457">
        <v>0</v>
      </c>
      <c r="N233" s="457">
        <v>0</v>
      </c>
      <c r="O233" s="457">
        <v>0</v>
      </c>
      <c r="P233" s="457">
        <v>0</v>
      </c>
      <c r="Q233" s="457">
        <v>0</v>
      </c>
      <c r="R233" s="457">
        <v>0</v>
      </c>
      <c r="S233" s="457">
        <v>0</v>
      </c>
      <c r="T233" s="410" t="e">
        <v>#DIV/0!</v>
      </c>
      <c r="U233" s="285">
        <v>0</v>
      </c>
      <c r="V233" s="285">
        <v>0</v>
      </c>
      <c r="W233" s="285">
        <v>0</v>
      </c>
      <c r="X233" s="285">
        <v>0</v>
      </c>
      <c r="Y233" s="285">
        <v>0</v>
      </c>
      <c r="Z233" s="285">
        <v>0</v>
      </c>
    </row>
    <row r="234" spans="1:26" x14ac:dyDescent="0.2">
      <c r="A234" s="409" t="s">
        <v>460</v>
      </c>
      <c r="B234" s="457">
        <v>0</v>
      </c>
      <c r="C234" s="457">
        <v>0</v>
      </c>
      <c r="D234" s="457">
        <v>0</v>
      </c>
      <c r="E234" s="457">
        <v>0</v>
      </c>
      <c r="F234" s="457">
        <v>0</v>
      </c>
      <c r="G234" s="457">
        <v>0</v>
      </c>
      <c r="H234" s="457">
        <v>0</v>
      </c>
      <c r="I234" s="457">
        <v>0</v>
      </c>
      <c r="J234" s="457">
        <v>0</v>
      </c>
      <c r="K234" s="457">
        <v>0</v>
      </c>
      <c r="L234" s="457">
        <v>0</v>
      </c>
      <c r="M234" s="457">
        <v>0</v>
      </c>
      <c r="N234" s="457">
        <v>0</v>
      </c>
      <c r="O234" s="457">
        <v>0</v>
      </c>
      <c r="P234" s="457">
        <v>0</v>
      </c>
      <c r="Q234" s="457">
        <v>0</v>
      </c>
      <c r="R234" s="457">
        <v>0</v>
      </c>
      <c r="S234" s="457">
        <v>0</v>
      </c>
      <c r="T234" s="410" t="e">
        <v>#DIV/0!</v>
      </c>
      <c r="U234" s="285">
        <v>0</v>
      </c>
      <c r="V234" s="285">
        <v>0</v>
      </c>
      <c r="W234" s="285">
        <v>0</v>
      </c>
      <c r="X234" s="285">
        <v>0</v>
      </c>
      <c r="Y234" s="285">
        <v>0</v>
      </c>
      <c r="Z234" s="285">
        <v>0</v>
      </c>
    </row>
    <row r="235" spans="1:26" x14ac:dyDescent="0.2">
      <c r="A235" s="409" t="s">
        <v>461</v>
      </c>
      <c r="B235" s="457">
        <v>0</v>
      </c>
      <c r="C235" s="457">
        <v>0</v>
      </c>
      <c r="D235" s="457">
        <v>0</v>
      </c>
      <c r="E235" s="457">
        <v>0</v>
      </c>
      <c r="F235" s="457">
        <v>0</v>
      </c>
      <c r="G235" s="457">
        <v>0</v>
      </c>
      <c r="H235" s="457">
        <v>0</v>
      </c>
      <c r="I235" s="457">
        <v>0</v>
      </c>
      <c r="J235" s="457">
        <v>0</v>
      </c>
      <c r="K235" s="457">
        <v>0</v>
      </c>
      <c r="L235" s="457">
        <v>0</v>
      </c>
      <c r="M235" s="457">
        <v>0</v>
      </c>
      <c r="N235" s="457">
        <v>0</v>
      </c>
      <c r="O235" s="457">
        <v>0</v>
      </c>
      <c r="P235" s="457">
        <v>0</v>
      </c>
      <c r="Q235" s="457">
        <v>0</v>
      </c>
      <c r="R235" s="457">
        <v>0</v>
      </c>
      <c r="S235" s="457">
        <v>0</v>
      </c>
      <c r="T235" s="410" t="e">
        <v>#DIV/0!</v>
      </c>
      <c r="U235" s="285">
        <v>0</v>
      </c>
      <c r="V235" s="285">
        <v>0</v>
      </c>
      <c r="W235" s="285">
        <v>0</v>
      </c>
      <c r="X235" s="285">
        <v>0</v>
      </c>
      <c r="Y235" s="285">
        <v>0</v>
      </c>
      <c r="Z235" s="285">
        <v>0</v>
      </c>
    </row>
    <row r="236" spans="1:26" x14ac:dyDescent="0.2">
      <c r="A236" s="409" t="s">
        <v>462</v>
      </c>
      <c r="B236" s="457">
        <v>0</v>
      </c>
      <c r="C236" s="457">
        <v>0</v>
      </c>
      <c r="D236" s="457">
        <v>0</v>
      </c>
      <c r="E236" s="457">
        <v>0</v>
      </c>
      <c r="F236" s="457">
        <v>0</v>
      </c>
      <c r="G236" s="457">
        <v>0</v>
      </c>
      <c r="H236" s="457">
        <v>0</v>
      </c>
      <c r="I236" s="457">
        <v>0</v>
      </c>
      <c r="J236" s="457">
        <v>0</v>
      </c>
      <c r="K236" s="457">
        <v>0</v>
      </c>
      <c r="L236" s="457">
        <v>0</v>
      </c>
      <c r="M236" s="457">
        <v>0</v>
      </c>
      <c r="N236" s="457">
        <v>0</v>
      </c>
      <c r="O236" s="457">
        <v>0</v>
      </c>
      <c r="P236" s="457">
        <v>0</v>
      </c>
      <c r="Q236" s="457">
        <v>0</v>
      </c>
      <c r="R236" s="457">
        <v>0</v>
      </c>
      <c r="S236" s="457">
        <v>0</v>
      </c>
      <c r="T236" s="410" t="e">
        <v>#DIV/0!</v>
      </c>
      <c r="U236" s="285">
        <v>0</v>
      </c>
      <c r="V236" s="285">
        <v>0</v>
      </c>
      <c r="W236" s="285">
        <v>0</v>
      </c>
      <c r="X236" s="285">
        <v>0</v>
      </c>
      <c r="Y236" s="285">
        <v>0</v>
      </c>
      <c r="Z236" s="285">
        <v>0</v>
      </c>
    </row>
    <row r="237" spans="1:26" x14ac:dyDescent="0.2">
      <c r="A237" s="404" t="s">
        <v>463</v>
      </c>
      <c r="B237" s="448">
        <v>0</v>
      </c>
      <c r="C237" s="448">
        <v>0</v>
      </c>
      <c r="D237" s="448">
        <v>0</v>
      </c>
      <c r="E237" s="448">
        <v>0</v>
      </c>
      <c r="F237" s="448">
        <v>0</v>
      </c>
      <c r="G237" s="448">
        <v>0</v>
      </c>
      <c r="H237" s="448">
        <v>0</v>
      </c>
      <c r="I237" s="448">
        <v>0</v>
      </c>
      <c r="J237" s="448">
        <v>0</v>
      </c>
      <c r="K237" s="448">
        <v>0</v>
      </c>
      <c r="L237" s="448">
        <v>0</v>
      </c>
      <c r="M237" s="448">
        <v>0</v>
      </c>
      <c r="N237" s="448">
        <v>0</v>
      </c>
      <c r="O237" s="448">
        <v>0</v>
      </c>
      <c r="P237" s="448">
        <v>0</v>
      </c>
      <c r="Q237" s="448">
        <v>0</v>
      </c>
      <c r="R237" s="448">
        <v>0</v>
      </c>
      <c r="S237" s="448">
        <v>0</v>
      </c>
      <c r="T237" s="407" t="e">
        <v>#DIV/0!</v>
      </c>
      <c r="U237" s="406">
        <v>0</v>
      </c>
      <c r="V237" s="406">
        <v>0</v>
      </c>
      <c r="W237" s="406">
        <v>0</v>
      </c>
      <c r="X237" s="406">
        <v>0</v>
      </c>
      <c r="Y237" s="406">
        <v>0</v>
      </c>
      <c r="Z237" s="406">
        <v>0</v>
      </c>
    </row>
    <row r="238" spans="1:26" x14ac:dyDescent="0.2">
      <c r="A238" s="409" t="s">
        <v>464</v>
      </c>
      <c r="B238" s="457">
        <v>0</v>
      </c>
      <c r="C238" s="457">
        <v>0</v>
      </c>
      <c r="D238" s="457">
        <v>0</v>
      </c>
      <c r="E238" s="457">
        <v>0</v>
      </c>
      <c r="F238" s="457">
        <v>0</v>
      </c>
      <c r="G238" s="457">
        <v>0</v>
      </c>
      <c r="H238" s="457">
        <v>0</v>
      </c>
      <c r="I238" s="457">
        <v>0</v>
      </c>
      <c r="J238" s="457">
        <v>0</v>
      </c>
      <c r="K238" s="457">
        <v>0</v>
      </c>
      <c r="L238" s="457">
        <v>0</v>
      </c>
      <c r="M238" s="457">
        <v>0</v>
      </c>
      <c r="N238" s="457">
        <v>0</v>
      </c>
      <c r="O238" s="457">
        <v>0</v>
      </c>
      <c r="P238" s="457">
        <v>0</v>
      </c>
      <c r="Q238" s="457">
        <v>0</v>
      </c>
      <c r="R238" s="457">
        <v>0</v>
      </c>
      <c r="S238" s="457">
        <v>0</v>
      </c>
      <c r="T238" s="410" t="e">
        <v>#DIV/0!</v>
      </c>
      <c r="U238" s="285">
        <v>0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</row>
    <row r="239" spans="1:26" x14ac:dyDescent="0.2">
      <c r="A239" s="409" t="s">
        <v>465</v>
      </c>
      <c r="B239" s="457">
        <v>0</v>
      </c>
      <c r="C239" s="457">
        <v>0</v>
      </c>
      <c r="D239" s="457">
        <v>0</v>
      </c>
      <c r="E239" s="457">
        <v>0</v>
      </c>
      <c r="F239" s="457">
        <v>0</v>
      </c>
      <c r="G239" s="457">
        <v>0</v>
      </c>
      <c r="H239" s="457">
        <v>0</v>
      </c>
      <c r="I239" s="457">
        <v>0</v>
      </c>
      <c r="J239" s="457">
        <v>0</v>
      </c>
      <c r="K239" s="457">
        <v>0</v>
      </c>
      <c r="L239" s="457">
        <v>0</v>
      </c>
      <c r="M239" s="457">
        <v>0</v>
      </c>
      <c r="N239" s="457">
        <v>0</v>
      </c>
      <c r="O239" s="457">
        <v>0</v>
      </c>
      <c r="P239" s="457">
        <v>0</v>
      </c>
      <c r="Q239" s="457">
        <v>0</v>
      </c>
      <c r="R239" s="457">
        <v>0</v>
      </c>
      <c r="S239" s="457">
        <v>0</v>
      </c>
      <c r="T239" s="410" t="e">
        <v>#DIV/0!</v>
      </c>
      <c r="U239" s="285">
        <v>0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</row>
    <row r="240" spans="1:26" x14ac:dyDescent="0.2">
      <c r="A240" s="404" t="s">
        <v>466</v>
      </c>
      <c r="B240" s="247">
        <v>0</v>
      </c>
      <c r="C240" s="247">
        <v>0</v>
      </c>
      <c r="D240" s="247">
        <v>0</v>
      </c>
      <c r="E240" s="247">
        <v>0</v>
      </c>
      <c r="F240" s="247">
        <v>0</v>
      </c>
      <c r="G240" s="247">
        <v>0</v>
      </c>
      <c r="H240" s="247">
        <v>0</v>
      </c>
      <c r="I240" s="247">
        <v>0</v>
      </c>
      <c r="J240" s="247">
        <v>0</v>
      </c>
      <c r="K240" s="247">
        <v>0</v>
      </c>
      <c r="L240" s="247">
        <v>0</v>
      </c>
      <c r="M240" s="247">
        <v>0</v>
      </c>
      <c r="N240" s="247">
        <v>0</v>
      </c>
      <c r="O240" s="247">
        <v>0</v>
      </c>
      <c r="P240" s="247">
        <v>0</v>
      </c>
      <c r="Q240" s="247">
        <v>0</v>
      </c>
      <c r="R240" s="247">
        <v>0</v>
      </c>
      <c r="S240" s="247">
        <v>0</v>
      </c>
      <c r="T240" s="407" t="e">
        <v>#DIV/0!</v>
      </c>
      <c r="U240" s="406">
        <v>0</v>
      </c>
      <c r="V240" s="406">
        <v>0</v>
      </c>
      <c r="W240" s="406">
        <v>0</v>
      </c>
      <c r="X240" s="406">
        <v>0</v>
      </c>
      <c r="Y240" s="406">
        <v>0</v>
      </c>
      <c r="Z240" s="406">
        <v>0</v>
      </c>
    </row>
    <row r="241" spans="1:26" x14ac:dyDescent="0.2">
      <c r="A241" s="404" t="s">
        <v>467</v>
      </c>
      <c r="B241" s="247">
        <v>0</v>
      </c>
      <c r="C241" s="247">
        <v>0</v>
      </c>
      <c r="D241" s="247">
        <v>0</v>
      </c>
      <c r="E241" s="247">
        <v>0</v>
      </c>
      <c r="F241" s="247">
        <v>0</v>
      </c>
      <c r="G241" s="247">
        <v>0</v>
      </c>
      <c r="H241" s="247">
        <v>0</v>
      </c>
      <c r="I241" s="247">
        <v>0</v>
      </c>
      <c r="J241" s="247">
        <v>0</v>
      </c>
      <c r="K241" s="247">
        <v>0</v>
      </c>
      <c r="L241" s="247">
        <v>0</v>
      </c>
      <c r="M241" s="247">
        <v>0</v>
      </c>
      <c r="N241" s="247">
        <v>0</v>
      </c>
      <c r="O241" s="247">
        <v>0</v>
      </c>
      <c r="P241" s="247">
        <v>0</v>
      </c>
      <c r="Q241" s="247">
        <v>0</v>
      </c>
      <c r="R241" s="247">
        <v>0</v>
      </c>
      <c r="S241" s="247">
        <v>0</v>
      </c>
      <c r="T241" s="407" t="e">
        <v>#DIV/0!</v>
      </c>
      <c r="U241" s="406">
        <v>0</v>
      </c>
      <c r="V241" s="406">
        <v>0</v>
      </c>
      <c r="W241" s="406">
        <v>0</v>
      </c>
      <c r="X241" s="406">
        <v>0</v>
      </c>
      <c r="Y241" s="406">
        <v>0</v>
      </c>
      <c r="Z241" s="406">
        <v>0</v>
      </c>
    </row>
    <row r="242" spans="1:26" x14ac:dyDescent="0.2">
      <c r="A242" s="404" t="s">
        <v>468</v>
      </c>
      <c r="B242" s="247">
        <v>0</v>
      </c>
      <c r="C242" s="247">
        <v>0</v>
      </c>
      <c r="D242" s="247">
        <v>0</v>
      </c>
      <c r="E242" s="247">
        <v>0</v>
      </c>
      <c r="F242" s="247">
        <v>0</v>
      </c>
      <c r="G242" s="247">
        <v>0</v>
      </c>
      <c r="H242" s="247">
        <v>0</v>
      </c>
      <c r="I242" s="247">
        <v>0</v>
      </c>
      <c r="J242" s="247">
        <v>0</v>
      </c>
      <c r="K242" s="247">
        <v>0</v>
      </c>
      <c r="L242" s="247">
        <v>0</v>
      </c>
      <c r="M242" s="247">
        <v>0</v>
      </c>
      <c r="N242" s="247">
        <v>0</v>
      </c>
      <c r="O242" s="247">
        <v>0</v>
      </c>
      <c r="P242" s="247">
        <v>0</v>
      </c>
      <c r="Q242" s="247">
        <v>0</v>
      </c>
      <c r="R242" s="247">
        <v>0</v>
      </c>
      <c r="S242" s="247">
        <v>0</v>
      </c>
      <c r="T242" s="407" t="e">
        <v>#DIV/0!</v>
      </c>
      <c r="U242" s="406">
        <v>0</v>
      </c>
      <c r="V242" s="406">
        <v>0</v>
      </c>
      <c r="W242" s="406">
        <v>0</v>
      </c>
      <c r="X242" s="406">
        <v>0</v>
      </c>
      <c r="Y242" s="406">
        <v>0</v>
      </c>
      <c r="Z242" s="406">
        <v>0</v>
      </c>
    </row>
    <row r="243" spans="1:26" x14ac:dyDescent="0.2">
      <c r="A243" s="404" t="s">
        <v>469</v>
      </c>
      <c r="B243" s="448">
        <v>0</v>
      </c>
      <c r="C243" s="448">
        <v>0</v>
      </c>
      <c r="D243" s="448">
        <v>0</v>
      </c>
      <c r="E243" s="448">
        <v>0</v>
      </c>
      <c r="F243" s="448">
        <v>0</v>
      </c>
      <c r="G243" s="448">
        <v>0</v>
      </c>
      <c r="H243" s="448">
        <v>0</v>
      </c>
      <c r="I243" s="448">
        <v>0</v>
      </c>
      <c r="J243" s="448">
        <v>0</v>
      </c>
      <c r="K243" s="448">
        <v>0</v>
      </c>
      <c r="L243" s="448">
        <v>0</v>
      </c>
      <c r="M243" s="448">
        <v>0</v>
      </c>
      <c r="N243" s="448">
        <v>0</v>
      </c>
      <c r="O243" s="448">
        <v>0</v>
      </c>
      <c r="P243" s="448">
        <v>0</v>
      </c>
      <c r="Q243" s="448">
        <v>0</v>
      </c>
      <c r="R243" s="448">
        <v>0</v>
      </c>
      <c r="S243" s="448">
        <v>0</v>
      </c>
      <c r="T243" s="407" t="e">
        <v>#DIV/0!</v>
      </c>
      <c r="U243" s="406">
        <v>0</v>
      </c>
      <c r="V243" s="406">
        <v>0</v>
      </c>
      <c r="W243" s="406">
        <v>0</v>
      </c>
      <c r="X243" s="406">
        <v>0</v>
      </c>
      <c r="Y243" s="406">
        <v>0</v>
      </c>
      <c r="Z243" s="406">
        <v>0</v>
      </c>
    </row>
    <row r="244" spans="1:26" x14ac:dyDescent="0.2">
      <c r="A244" s="409" t="s">
        <v>470</v>
      </c>
      <c r="B244" s="457">
        <v>0</v>
      </c>
      <c r="C244" s="457">
        <v>0</v>
      </c>
      <c r="D244" s="457">
        <v>0</v>
      </c>
      <c r="E244" s="457">
        <v>0</v>
      </c>
      <c r="F244" s="457">
        <v>0</v>
      </c>
      <c r="G244" s="457">
        <v>0</v>
      </c>
      <c r="H244" s="457">
        <v>0</v>
      </c>
      <c r="I244" s="457">
        <v>0</v>
      </c>
      <c r="J244" s="457">
        <v>0</v>
      </c>
      <c r="K244" s="457">
        <v>0</v>
      </c>
      <c r="L244" s="457">
        <v>0</v>
      </c>
      <c r="M244" s="457">
        <v>0</v>
      </c>
      <c r="N244" s="457">
        <v>0</v>
      </c>
      <c r="O244" s="457">
        <v>0</v>
      </c>
      <c r="P244" s="457">
        <v>0</v>
      </c>
      <c r="Q244" s="457">
        <v>0</v>
      </c>
      <c r="R244" s="457">
        <v>0</v>
      </c>
      <c r="S244" s="457">
        <v>0</v>
      </c>
      <c r="T244" s="410" t="e">
        <v>#DIV/0!</v>
      </c>
      <c r="U244" s="285">
        <v>0</v>
      </c>
      <c r="V244" s="285">
        <v>0</v>
      </c>
      <c r="W244" s="285">
        <v>0</v>
      </c>
      <c r="X244" s="285">
        <v>0</v>
      </c>
      <c r="Y244" s="285">
        <v>0</v>
      </c>
      <c r="Z244" s="285">
        <v>0</v>
      </c>
    </row>
    <row r="245" spans="1:26" x14ac:dyDescent="0.2">
      <c r="A245" s="409" t="s">
        <v>471</v>
      </c>
      <c r="B245" s="457">
        <v>0</v>
      </c>
      <c r="C245" s="457">
        <v>0</v>
      </c>
      <c r="D245" s="457">
        <v>0</v>
      </c>
      <c r="E245" s="457">
        <v>0</v>
      </c>
      <c r="F245" s="457">
        <v>0</v>
      </c>
      <c r="G245" s="457">
        <v>0</v>
      </c>
      <c r="H245" s="457">
        <v>0</v>
      </c>
      <c r="I245" s="457">
        <v>0</v>
      </c>
      <c r="J245" s="457">
        <v>0</v>
      </c>
      <c r="K245" s="457">
        <v>0</v>
      </c>
      <c r="L245" s="457">
        <v>0</v>
      </c>
      <c r="M245" s="457">
        <v>0</v>
      </c>
      <c r="N245" s="457">
        <v>0</v>
      </c>
      <c r="O245" s="457">
        <v>0</v>
      </c>
      <c r="P245" s="457">
        <v>0</v>
      </c>
      <c r="Q245" s="457">
        <v>0</v>
      </c>
      <c r="R245" s="457">
        <v>0</v>
      </c>
      <c r="S245" s="457">
        <v>0</v>
      </c>
      <c r="T245" s="410" t="e">
        <v>#DIV/0!</v>
      </c>
      <c r="U245" s="285">
        <v>0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</row>
    <row r="246" spans="1:26" x14ac:dyDescent="0.2">
      <c r="A246" s="404" t="s">
        <v>472</v>
      </c>
      <c r="B246" s="448">
        <v>0</v>
      </c>
      <c r="C246" s="448">
        <v>0</v>
      </c>
      <c r="D246" s="448">
        <v>0</v>
      </c>
      <c r="E246" s="448">
        <v>0</v>
      </c>
      <c r="F246" s="448">
        <v>0</v>
      </c>
      <c r="G246" s="448">
        <v>0</v>
      </c>
      <c r="H246" s="448">
        <v>0</v>
      </c>
      <c r="I246" s="448">
        <v>0</v>
      </c>
      <c r="J246" s="448">
        <v>0</v>
      </c>
      <c r="K246" s="448">
        <v>0</v>
      </c>
      <c r="L246" s="448">
        <v>0</v>
      </c>
      <c r="M246" s="448">
        <v>0</v>
      </c>
      <c r="N246" s="448">
        <v>0</v>
      </c>
      <c r="O246" s="448">
        <v>0</v>
      </c>
      <c r="P246" s="448">
        <v>0</v>
      </c>
      <c r="Q246" s="448">
        <v>0</v>
      </c>
      <c r="R246" s="448">
        <v>0</v>
      </c>
      <c r="S246" s="448">
        <v>0</v>
      </c>
      <c r="T246" s="407" t="e">
        <v>#DIV/0!</v>
      </c>
      <c r="U246" s="406">
        <v>0</v>
      </c>
      <c r="V246" s="406">
        <v>0</v>
      </c>
      <c r="W246" s="406">
        <v>0</v>
      </c>
      <c r="X246" s="406">
        <v>0</v>
      </c>
      <c r="Y246" s="406">
        <v>0</v>
      </c>
      <c r="Z246" s="406">
        <v>0</v>
      </c>
    </row>
    <row r="247" spans="1:26" x14ac:dyDescent="0.2">
      <c r="A247" s="412" t="s">
        <v>473</v>
      </c>
      <c r="B247" s="457">
        <v>0</v>
      </c>
      <c r="C247" s="457">
        <v>0</v>
      </c>
      <c r="D247" s="457">
        <v>0</v>
      </c>
      <c r="E247" s="457">
        <v>0</v>
      </c>
      <c r="F247" s="457">
        <v>0</v>
      </c>
      <c r="G247" s="457">
        <v>0</v>
      </c>
      <c r="H247" s="457">
        <v>0</v>
      </c>
      <c r="I247" s="457">
        <v>0</v>
      </c>
      <c r="J247" s="457">
        <v>0</v>
      </c>
      <c r="K247" s="457">
        <v>0</v>
      </c>
      <c r="L247" s="457">
        <v>0</v>
      </c>
      <c r="M247" s="457">
        <v>0</v>
      </c>
      <c r="N247" s="457">
        <v>0</v>
      </c>
      <c r="O247" s="457">
        <v>0</v>
      </c>
      <c r="P247" s="457">
        <v>0</v>
      </c>
      <c r="Q247" s="457">
        <v>0</v>
      </c>
      <c r="R247" s="457">
        <v>0</v>
      </c>
      <c r="S247" s="457">
        <v>0</v>
      </c>
      <c r="T247" s="410" t="e">
        <v>#DIV/0!</v>
      </c>
      <c r="U247" s="285">
        <v>0</v>
      </c>
      <c r="V247" s="285">
        <v>0</v>
      </c>
      <c r="W247" s="285">
        <v>0</v>
      </c>
      <c r="X247" s="285">
        <v>0</v>
      </c>
      <c r="Y247" s="285">
        <v>0</v>
      </c>
      <c r="Z247" s="285">
        <v>0</v>
      </c>
    </row>
    <row r="248" spans="1:26" x14ac:dyDescent="0.2">
      <c r="A248" s="412" t="s">
        <v>474</v>
      </c>
      <c r="B248" s="457">
        <v>0</v>
      </c>
      <c r="C248" s="457">
        <v>0</v>
      </c>
      <c r="D248" s="457">
        <v>0</v>
      </c>
      <c r="E248" s="457">
        <v>0</v>
      </c>
      <c r="F248" s="457">
        <v>0</v>
      </c>
      <c r="G248" s="457">
        <v>0</v>
      </c>
      <c r="H248" s="457">
        <v>0</v>
      </c>
      <c r="I248" s="457">
        <v>0</v>
      </c>
      <c r="J248" s="457">
        <v>0</v>
      </c>
      <c r="K248" s="457">
        <v>0</v>
      </c>
      <c r="L248" s="457">
        <v>0</v>
      </c>
      <c r="M248" s="457">
        <v>0</v>
      </c>
      <c r="N248" s="457">
        <v>0</v>
      </c>
      <c r="O248" s="457">
        <v>0</v>
      </c>
      <c r="P248" s="457">
        <v>0</v>
      </c>
      <c r="Q248" s="457">
        <v>0</v>
      </c>
      <c r="R248" s="457">
        <v>0</v>
      </c>
      <c r="S248" s="457">
        <v>0</v>
      </c>
      <c r="T248" s="410" t="e">
        <v>#DIV/0!</v>
      </c>
      <c r="U248" s="285">
        <v>0</v>
      </c>
      <c r="V248" s="285">
        <v>0</v>
      </c>
      <c r="W248" s="285">
        <v>0</v>
      </c>
      <c r="X248" s="285">
        <v>0</v>
      </c>
      <c r="Y248" s="285">
        <v>0</v>
      </c>
      <c r="Z248" s="285">
        <v>0</v>
      </c>
    </row>
    <row r="249" spans="1:26" x14ac:dyDescent="0.2">
      <c r="A249" s="412" t="s">
        <v>475</v>
      </c>
      <c r="B249" s="457">
        <v>0</v>
      </c>
      <c r="C249" s="457">
        <v>0</v>
      </c>
      <c r="D249" s="457">
        <v>0</v>
      </c>
      <c r="E249" s="457">
        <v>0</v>
      </c>
      <c r="F249" s="457">
        <v>0</v>
      </c>
      <c r="G249" s="457">
        <v>0</v>
      </c>
      <c r="H249" s="457">
        <v>0</v>
      </c>
      <c r="I249" s="457">
        <v>0</v>
      </c>
      <c r="J249" s="457">
        <v>0</v>
      </c>
      <c r="K249" s="457">
        <v>0</v>
      </c>
      <c r="L249" s="457">
        <v>0</v>
      </c>
      <c r="M249" s="457">
        <v>0</v>
      </c>
      <c r="N249" s="457">
        <v>0</v>
      </c>
      <c r="O249" s="457">
        <v>0</v>
      </c>
      <c r="P249" s="457">
        <v>0</v>
      </c>
      <c r="Q249" s="457">
        <v>0</v>
      </c>
      <c r="R249" s="457">
        <v>0</v>
      </c>
      <c r="S249" s="457">
        <v>0</v>
      </c>
      <c r="T249" s="410" t="e">
        <v>#DIV/0!</v>
      </c>
      <c r="U249" s="285">
        <v>0</v>
      </c>
      <c r="V249" s="285">
        <v>0</v>
      </c>
      <c r="W249" s="285">
        <v>0</v>
      </c>
      <c r="X249" s="285">
        <v>0</v>
      </c>
      <c r="Y249" s="285">
        <v>0</v>
      </c>
      <c r="Z249" s="285">
        <v>0</v>
      </c>
    </row>
    <row r="250" spans="1:26" x14ac:dyDescent="0.2">
      <c r="A250" s="412" t="s">
        <v>476</v>
      </c>
      <c r="B250" s="457">
        <v>0</v>
      </c>
      <c r="C250" s="457">
        <v>0</v>
      </c>
      <c r="D250" s="457">
        <v>0</v>
      </c>
      <c r="E250" s="457">
        <v>0</v>
      </c>
      <c r="F250" s="457">
        <v>0</v>
      </c>
      <c r="G250" s="457">
        <v>0</v>
      </c>
      <c r="H250" s="457">
        <v>0</v>
      </c>
      <c r="I250" s="457">
        <v>0</v>
      </c>
      <c r="J250" s="457">
        <v>0</v>
      </c>
      <c r="K250" s="457">
        <v>0</v>
      </c>
      <c r="L250" s="457">
        <v>0</v>
      </c>
      <c r="M250" s="457">
        <v>0</v>
      </c>
      <c r="N250" s="457">
        <v>0</v>
      </c>
      <c r="O250" s="457">
        <v>0</v>
      </c>
      <c r="P250" s="457">
        <v>0</v>
      </c>
      <c r="Q250" s="457">
        <v>0</v>
      </c>
      <c r="R250" s="457">
        <v>0</v>
      </c>
      <c r="S250" s="457">
        <v>0</v>
      </c>
      <c r="T250" s="410" t="e">
        <v>#DIV/0!</v>
      </c>
      <c r="U250" s="285">
        <v>0</v>
      </c>
      <c r="V250" s="285">
        <v>0</v>
      </c>
      <c r="W250" s="285">
        <v>0</v>
      </c>
      <c r="X250" s="285">
        <v>0</v>
      </c>
      <c r="Y250" s="285">
        <v>0</v>
      </c>
      <c r="Z250" s="285">
        <v>0</v>
      </c>
    </row>
    <row r="251" spans="1:26" x14ac:dyDescent="0.2">
      <c r="A251" s="412" t="s">
        <v>477</v>
      </c>
      <c r="B251" s="457">
        <v>0</v>
      </c>
      <c r="C251" s="457">
        <v>0</v>
      </c>
      <c r="D251" s="457">
        <v>0</v>
      </c>
      <c r="E251" s="457">
        <v>0</v>
      </c>
      <c r="F251" s="457">
        <v>0</v>
      </c>
      <c r="G251" s="457">
        <v>0</v>
      </c>
      <c r="H251" s="457">
        <v>0</v>
      </c>
      <c r="I251" s="457">
        <v>0</v>
      </c>
      <c r="J251" s="457">
        <v>0</v>
      </c>
      <c r="K251" s="457">
        <v>0</v>
      </c>
      <c r="L251" s="457">
        <v>0</v>
      </c>
      <c r="M251" s="457">
        <v>0</v>
      </c>
      <c r="N251" s="457">
        <v>0</v>
      </c>
      <c r="O251" s="457">
        <v>0</v>
      </c>
      <c r="P251" s="457">
        <v>0</v>
      </c>
      <c r="Q251" s="457">
        <v>0</v>
      </c>
      <c r="R251" s="457">
        <v>0</v>
      </c>
      <c r="S251" s="457">
        <v>0</v>
      </c>
      <c r="T251" s="410" t="e">
        <v>#DIV/0!</v>
      </c>
      <c r="U251" s="285">
        <v>0</v>
      </c>
      <c r="V251" s="285">
        <v>0</v>
      </c>
      <c r="W251" s="285">
        <v>0</v>
      </c>
      <c r="X251" s="285">
        <v>0</v>
      </c>
      <c r="Y251" s="285">
        <v>0</v>
      </c>
      <c r="Z251" s="285">
        <v>0</v>
      </c>
    </row>
    <row r="252" spans="1:26" x14ac:dyDescent="0.2">
      <c r="A252" s="412" t="s">
        <v>478</v>
      </c>
      <c r="B252" s="457">
        <v>0</v>
      </c>
      <c r="C252" s="457">
        <v>0</v>
      </c>
      <c r="D252" s="457">
        <v>0</v>
      </c>
      <c r="E252" s="457">
        <v>0</v>
      </c>
      <c r="F252" s="457">
        <v>0</v>
      </c>
      <c r="G252" s="457">
        <v>0</v>
      </c>
      <c r="H252" s="457">
        <v>0</v>
      </c>
      <c r="I252" s="457">
        <v>0</v>
      </c>
      <c r="J252" s="457">
        <v>0</v>
      </c>
      <c r="K252" s="457">
        <v>0</v>
      </c>
      <c r="L252" s="457">
        <v>0</v>
      </c>
      <c r="M252" s="457">
        <v>0</v>
      </c>
      <c r="N252" s="457">
        <v>0</v>
      </c>
      <c r="O252" s="457">
        <v>0</v>
      </c>
      <c r="P252" s="457">
        <v>0</v>
      </c>
      <c r="Q252" s="457">
        <v>0</v>
      </c>
      <c r="R252" s="457">
        <v>0</v>
      </c>
      <c r="S252" s="457">
        <v>0</v>
      </c>
      <c r="T252" s="410" t="e">
        <v>#DIV/0!</v>
      </c>
      <c r="U252" s="285">
        <v>0</v>
      </c>
      <c r="V252" s="285">
        <v>0</v>
      </c>
      <c r="W252" s="285">
        <v>0</v>
      </c>
      <c r="X252" s="285">
        <v>0</v>
      </c>
      <c r="Y252" s="285">
        <v>0</v>
      </c>
      <c r="Z252" s="285">
        <v>0</v>
      </c>
    </row>
    <row r="253" spans="1:26" x14ac:dyDescent="0.2">
      <c r="A253" s="412" t="s">
        <v>479</v>
      </c>
      <c r="B253" s="457">
        <v>0</v>
      </c>
      <c r="C253" s="457">
        <v>0</v>
      </c>
      <c r="D253" s="457">
        <v>0</v>
      </c>
      <c r="E253" s="457">
        <v>0</v>
      </c>
      <c r="F253" s="457">
        <v>0</v>
      </c>
      <c r="G253" s="457">
        <v>0</v>
      </c>
      <c r="H253" s="457">
        <v>0</v>
      </c>
      <c r="I253" s="457">
        <v>0</v>
      </c>
      <c r="J253" s="457">
        <v>0</v>
      </c>
      <c r="K253" s="457">
        <v>0</v>
      </c>
      <c r="L253" s="457">
        <v>0</v>
      </c>
      <c r="M253" s="457">
        <v>0</v>
      </c>
      <c r="N253" s="457">
        <v>0</v>
      </c>
      <c r="O253" s="457">
        <v>0</v>
      </c>
      <c r="P253" s="457">
        <v>0</v>
      </c>
      <c r="Q253" s="457">
        <v>0</v>
      </c>
      <c r="R253" s="457">
        <v>0</v>
      </c>
      <c r="S253" s="457">
        <v>0</v>
      </c>
      <c r="T253" s="410" t="e">
        <v>#DIV/0!</v>
      </c>
      <c r="U253" s="285">
        <v>0</v>
      </c>
      <c r="V253" s="285">
        <v>0</v>
      </c>
      <c r="W253" s="285">
        <v>0</v>
      </c>
      <c r="X253" s="285">
        <v>0</v>
      </c>
      <c r="Y253" s="285">
        <v>0</v>
      </c>
      <c r="Z253" s="285">
        <v>0</v>
      </c>
    </row>
    <row r="254" spans="1:26" x14ac:dyDescent="0.2">
      <c r="A254" s="412" t="s">
        <v>480</v>
      </c>
      <c r="B254" s="457">
        <v>0</v>
      </c>
      <c r="C254" s="457">
        <v>0</v>
      </c>
      <c r="D254" s="457">
        <v>0</v>
      </c>
      <c r="E254" s="457">
        <v>0</v>
      </c>
      <c r="F254" s="457">
        <v>0</v>
      </c>
      <c r="G254" s="457">
        <v>0</v>
      </c>
      <c r="H254" s="457">
        <v>0</v>
      </c>
      <c r="I254" s="457">
        <v>0</v>
      </c>
      <c r="J254" s="457">
        <v>0</v>
      </c>
      <c r="K254" s="457">
        <v>0</v>
      </c>
      <c r="L254" s="457">
        <v>0</v>
      </c>
      <c r="M254" s="457">
        <v>0</v>
      </c>
      <c r="N254" s="457">
        <v>0</v>
      </c>
      <c r="O254" s="457">
        <v>0</v>
      </c>
      <c r="P254" s="457">
        <v>0</v>
      </c>
      <c r="Q254" s="457">
        <v>0</v>
      </c>
      <c r="R254" s="457">
        <v>0</v>
      </c>
      <c r="S254" s="457">
        <v>0</v>
      </c>
      <c r="T254" s="410" t="e">
        <v>#DIV/0!</v>
      </c>
      <c r="U254" s="285">
        <v>0</v>
      </c>
      <c r="V254" s="285">
        <v>0</v>
      </c>
      <c r="W254" s="285">
        <v>0</v>
      </c>
      <c r="X254" s="285">
        <v>0</v>
      </c>
      <c r="Y254" s="285">
        <v>0</v>
      </c>
      <c r="Z254" s="285">
        <v>0</v>
      </c>
    </row>
    <row r="255" spans="1:26" x14ac:dyDescent="0.2">
      <c r="A255" s="412" t="s">
        <v>481</v>
      </c>
      <c r="B255" s="457">
        <v>0</v>
      </c>
      <c r="C255" s="457">
        <v>0</v>
      </c>
      <c r="D255" s="457">
        <v>0</v>
      </c>
      <c r="E255" s="457">
        <v>0</v>
      </c>
      <c r="F255" s="457">
        <v>0</v>
      </c>
      <c r="G255" s="457">
        <v>0</v>
      </c>
      <c r="H255" s="457">
        <v>0</v>
      </c>
      <c r="I255" s="457">
        <v>0</v>
      </c>
      <c r="J255" s="457">
        <v>0</v>
      </c>
      <c r="K255" s="457">
        <v>0</v>
      </c>
      <c r="L255" s="457">
        <v>0</v>
      </c>
      <c r="M255" s="457">
        <v>0</v>
      </c>
      <c r="N255" s="457">
        <v>0</v>
      </c>
      <c r="O255" s="457">
        <v>0</v>
      </c>
      <c r="P255" s="457">
        <v>0</v>
      </c>
      <c r="Q255" s="457">
        <v>0</v>
      </c>
      <c r="R255" s="457">
        <v>0</v>
      </c>
      <c r="S255" s="457">
        <v>0</v>
      </c>
      <c r="T255" s="410" t="e">
        <v>#DIV/0!</v>
      </c>
      <c r="U255" s="285">
        <v>0</v>
      </c>
      <c r="V255" s="285">
        <v>0</v>
      </c>
      <c r="W255" s="285">
        <v>0</v>
      </c>
      <c r="X255" s="285">
        <v>0</v>
      </c>
      <c r="Y255" s="285">
        <v>0</v>
      </c>
      <c r="Z255" s="285">
        <v>0</v>
      </c>
    </row>
    <row r="256" spans="1:26" x14ac:dyDescent="0.2">
      <c r="A256" s="412" t="s">
        <v>482</v>
      </c>
      <c r="B256" s="457">
        <v>0</v>
      </c>
      <c r="C256" s="457">
        <v>0</v>
      </c>
      <c r="D256" s="457">
        <v>0</v>
      </c>
      <c r="E256" s="457">
        <v>0</v>
      </c>
      <c r="F256" s="457">
        <v>0</v>
      </c>
      <c r="G256" s="457">
        <v>0</v>
      </c>
      <c r="H256" s="457">
        <v>0</v>
      </c>
      <c r="I256" s="457">
        <v>0</v>
      </c>
      <c r="J256" s="457">
        <v>0</v>
      </c>
      <c r="K256" s="457">
        <v>0</v>
      </c>
      <c r="L256" s="457">
        <v>0</v>
      </c>
      <c r="M256" s="457">
        <v>0</v>
      </c>
      <c r="N256" s="457">
        <v>0</v>
      </c>
      <c r="O256" s="457">
        <v>0</v>
      </c>
      <c r="P256" s="457">
        <v>0</v>
      </c>
      <c r="Q256" s="457">
        <v>0</v>
      </c>
      <c r="R256" s="457">
        <v>0</v>
      </c>
      <c r="S256" s="457">
        <v>0</v>
      </c>
      <c r="T256" s="410" t="e">
        <v>#DIV/0!</v>
      </c>
      <c r="U256" s="285">
        <v>0</v>
      </c>
      <c r="V256" s="285">
        <v>0</v>
      </c>
      <c r="W256" s="285">
        <v>0</v>
      </c>
      <c r="X256" s="285">
        <v>0</v>
      </c>
      <c r="Y256" s="285">
        <v>0</v>
      </c>
      <c r="Z256" s="285">
        <v>0</v>
      </c>
    </row>
    <row r="257" spans="1:26" x14ac:dyDescent="0.2">
      <c r="A257" s="412" t="s">
        <v>483</v>
      </c>
      <c r="B257" s="457">
        <v>0</v>
      </c>
      <c r="C257" s="457">
        <v>0</v>
      </c>
      <c r="D257" s="457">
        <v>0</v>
      </c>
      <c r="E257" s="457">
        <v>0</v>
      </c>
      <c r="F257" s="457">
        <v>0</v>
      </c>
      <c r="G257" s="457">
        <v>0</v>
      </c>
      <c r="H257" s="457">
        <v>0</v>
      </c>
      <c r="I257" s="457">
        <v>0</v>
      </c>
      <c r="J257" s="457">
        <v>0</v>
      </c>
      <c r="K257" s="457">
        <v>0</v>
      </c>
      <c r="L257" s="457">
        <v>0</v>
      </c>
      <c r="M257" s="457">
        <v>0</v>
      </c>
      <c r="N257" s="457">
        <v>0</v>
      </c>
      <c r="O257" s="457">
        <v>0</v>
      </c>
      <c r="P257" s="457">
        <v>0</v>
      </c>
      <c r="Q257" s="457">
        <v>0</v>
      </c>
      <c r="R257" s="457">
        <v>0</v>
      </c>
      <c r="S257" s="457">
        <v>0</v>
      </c>
      <c r="T257" s="410" t="e">
        <v>#DIV/0!</v>
      </c>
      <c r="U257" s="285">
        <v>0</v>
      </c>
      <c r="V257" s="285">
        <v>0</v>
      </c>
      <c r="W257" s="285">
        <v>0</v>
      </c>
      <c r="X257" s="285">
        <v>0</v>
      </c>
      <c r="Y257" s="285">
        <v>0</v>
      </c>
      <c r="Z257" s="285">
        <v>0</v>
      </c>
    </row>
    <row r="258" spans="1:26" x14ac:dyDescent="0.2">
      <c r="A258" s="412" t="s">
        <v>484</v>
      </c>
      <c r="B258" s="457">
        <v>0</v>
      </c>
      <c r="C258" s="457">
        <v>0</v>
      </c>
      <c r="D258" s="457">
        <v>0</v>
      </c>
      <c r="E258" s="457">
        <v>0</v>
      </c>
      <c r="F258" s="457">
        <v>0</v>
      </c>
      <c r="G258" s="457">
        <v>0</v>
      </c>
      <c r="H258" s="457">
        <v>0</v>
      </c>
      <c r="I258" s="457">
        <v>0</v>
      </c>
      <c r="J258" s="457">
        <v>0</v>
      </c>
      <c r="K258" s="457">
        <v>0</v>
      </c>
      <c r="L258" s="457">
        <v>0</v>
      </c>
      <c r="M258" s="457">
        <v>0</v>
      </c>
      <c r="N258" s="457">
        <v>0</v>
      </c>
      <c r="O258" s="457">
        <v>0</v>
      </c>
      <c r="P258" s="457">
        <v>0</v>
      </c>
      <c r="Q258" s="457">
        <v>0</v>
      </c>
      <c r="R258" s="457">
        <v>0</v>
      </c>
      <c r="S258" s="457">
        <v>0</v>
      </c>
      <c r="T258" s="410" t="e">
        <v>#DIV/0!</v>
      </c>
      <c r="U258" s="285">
        <v>0</v>
      </c>
      <c r="V258" s="285">
        <v>0</v>
      </c>
      <c r="W258" s="285">
        <v>0</v>
      </c>
      <c r="X258" s="285">
        <v>0</v>
      </c>
      <c r="Y258" s="285">
        <v>0</v>
      </c>
      <c r="Z258" s="285">
        <v>0</v>
      </c>
    </row>
    <row r="259" spans="1:26" x14ac:dyDescent="0.2">
      <c r="A259" s="412" t="s">
        <v>485</v>
      </c>
      <c r="B259" s="457">
        <v>0</v>
      </c>
      <c r="C259" s="457">
        <v>0</v>
      </c>
      <c r="D259" s="457">
        <v>0</v>
      </c>
      <c r="E259" s="457">
        <v>0</v>
      </c>
      <c r="F259" s="457">
        <v>0</v>
      </c>
      <c r="G259" s="457">
        <v>0</v>
      </c>
      <c r="H259" s="457">
        <v>0</v>
      </c>
      <c r="I259" s="457">
        <v>0</v>
      </c>
      <c r="J259" s="457">
        <v>0</v>
      </c>
      <c r="K259" s="457">
        <v>0</v>
      </c>
      <c r="L259" s="457">
        <v>0</v>
      </c>
      <c r="M259" s="457">
        <v>0</v>
      </c>
      <c r="N259" s="457">
        <v>0</v>
      </c>
      <c r="O259" s="457">
        <v>0</v>
      </c>
      <c r="P259" s="457">
        <v>0</v>
      </c>
      <c r="Q259" s="457">
        <v>0</v>
      </c>
      <c r="R259" s="457">
        <v>0</v>
      </c>
      <c r="S259" s="457">
        <v>0</v>
      </c>
      <c r="T259" s="410" t="e">
        <v>#DIV/0!</v>
      </c>
      <c r="U259" s="285">
        <v>0</v>
      </c>
      <c r="V259" s="285">
        <v>0</v>
      </c>
      <c r="W259" s="285">
        <v>0</v>
      </c>
      <c r="X259" s="285">
        <v>0</v>
      </c>
      <c r="Y259" s="285">
        <v>0</v>
      </c>
      <c r="Z259" s="285">
        <v>0</v>
      </c>
    </row>
    <row r="260" spans="1:26" x14ac:dyDescent="0.2">
      <c r="A260" s="412" t="s">
        <v>486</v>
      </c>
      <c r="B260" s="457">
        <v>0</v>
      </c>
      <c r="C260" s="457">
        <v>0</v>
      </c>
      <c r="D260" s="457">
        <v>0</v>
      </c>
      <c r="E260" s="457">
        <v>0</v>
      </c>
      <c r="F260" s="457">
        <v>0</v>
      </c>
      <c r="G260" s="457">
        <v>0</v>
      </c>
      <c r="H260" s="457">
        <v>0</v>
      </c>
      <c r="I260" s="457">
        <v>0</v>
      </c>
      <c r="J260" s="457">
        <v>0</v>
      </c>
      <c r="K260" s="457">
        <v>0</v>
      </c>
      <c r="L260" s="457">
        <v>0</v>
      </c>
      <c r="M260" s="457">
        <v>0</v>
      </c>
      <c r="N260" s="457">
        <v>0</v>
      </c>
      <c r="O260" s="457">
        <v>0</v>
      </c>
      <c r="P260" s="457">
        <v>0</v>
      </c>
      <c r="Q260" s="457">
        <v>0</v>
      </c>
      <c r="R260" s="457">
        <v>0</v>
      </c>
      <c r="S260" s="457">
        <v>0</v>
      </c>
      <c r="T260" s="410" t="e">
        <v>#DIV/0!</v>
      </c>
      <c r="U260" s="285">
        <v>0</v>
      </c>
      <c r="V260" s="285">
        <v>0</v>
      </c>
      <c r="W260" s="285">
        <v>0</v>
      </c>
      <c r="X260" s="285">
        <v>0</v>
      </c>
      <c r="Y260" s="285">
        <v>0</v>
      </c>
      <c r="Z260" s="285">
        <v>0</v>
      </c>
    </row>
    <row r="261" spans="1:26" x14ac:dyDescent="0.2">
      <c r="A261" s="412" t="s">
        <v>487</v>
      </c>
      <c r="B261" s="457">
        <v>0</v>
      </c>
      <c r="C261" s="457">
        <v>0</v>
      </c>
      <c r="D261" s="457">
        <v>0</v>
      </c>
      <c r="E261" s="457">
        <v>0</v>
      </c>
      <c r="F261" s="457">
        <v>0</v>
      </c>
      <c r="G261" s="457">
        <v>0</v>
      </c>
      <c r="H261" s="457">
        <v>0</v>
      </c>
      <c r="I261" s="457">
        <v>0</v>
      </c>
      <c r="J261" s="457">
        <v>0</v>
      </c>
      <c r="K261" s="457">
        <v>0</v>
      </c>
      <c r="L261" s="457">
        <v>0</v>
      </c>
      <c r="M261" s="457">
        <v>0</v>
      </c>
      <c r="N261" s="457">
        <v>0</v>
      </c>
      <c r="O261" s="457">
        <v>0</v>
      </c>
      <c r="P261" s="457">
        <v>0</v>
      </c>
      <c r="Q261" s="457">
        <v>0</v>
      </c>
      <c r="R261" s="457">
        <v>0</v>
      </c>
      <c r="S261" s="457">
        <v>0</v>
      </c>
      <c r="T261" s="410" t="e">
        <v>#DIV/0!</v>
      </c>
      <c r="U261" s="285">
        <v>0</v>
      </c>
      <c r="V261" s="285">
        <v>0</v>
      </c>
      <c r="W261" s="285">
        <v>0</v>
      </c>
      <c r="X261" s="285">
        <v>0</v>
      </c>
      <c r="Y261" s="285">
        <v>0</v>
      </c>
      <c r="Z261" s="285">
        <v>0</v>
      </c>
    </row>
    <row r="262" spans="1:26" x14ac:dyDescent="0.2">
      <c r="A262" s="412" t="s">
        <v>488</v>
      </c>
      <c r="B262" s="457">
        <v>0</v>
      </c>
      <c r="C262" s="457">
        <v>0</v>
      </c>
      <c r="D262" s="457">
        <v>0</v>
      </c>
      <c r="E262" s="457">
        <v>0</v>
      </c>
      <c r="F262" s="457">
        <v>0</v>
      </c>
      <c r="G262" s="457">
        <v>0</v>
      </c>
      <c r="H262" s="457">
        <v>0</v>
      </c>
      <c r="I262" s="457">
        <v>0</v>
      </c>
      <c r="J262" s="457">
        <v>0</v>
      </c>
      <c r="K262" s="457">
        <v>0</v>
      </c>
      <c r="L262" s="457">
        <v>0</v>
      </c>
      <c r="M262" s="457">
        <v>0</v>
      </c>
      <c r="N262" s="457">
        <v>0</v>
      </c>
      <c r="O262" s="457">
        <v>0</v>
      </c>
      <c r="P262" s="457">
        <v>0</v>
      </c>
      <c r="Q262" s="457">
        <v>0</v>
      </c>
      <c r="R262" s="457">
        <v>0</v>
      </c>
      <c r="S262" s="457">
        <v>0</v>
      </c>
      <c r="T262" s="410" t="e">
        <v>#DIV/0!</v>
      </c>
      <c r="U262" s="285">
        <v>0</v>
      </c>
      <c r="V262" s="285">
        <v>0</v>
      </c>
      <c r="W262" s="285">
        <v>0</v>
      </c>
      <c r="X262" s="285">
        <v>0</v>
      </c>
      <c r="Y262" s="285">
        <v>0</v>
      </c>
      <c r="Z262" s="285">
        <v>0</v>
      </c>
    </row>
    <row r="263" spans="1:26" x14ac:dyDescent="0.2">
      <c r="A263" s="412" t="s">
        <v>489</v>
      </c>
      <c r="B263" s="457">
        <v>0</v>
      </c>
      <c r="C263" s="457">
        <v>0</v>
      </c>
      <c r="D263" s="457">
        <v>0</v>
      </c>
      <c r="E263" s="457">
        <v>0</v>
      </c>
      <c r="F263" s="457">
        <v>0</v>
      </c>
      <c r="G263" s="457">
        <v>0</v>
      </c>
      <c r="H263" s="457">
        <v>0</v>
      </c>
      <c r="I263" s="457">
        <v>0</v>
      </c>
      <c r="J263" s="457">
        <v>0</v>
      </c>
      <c r="K263" s="457">
        <v>0</v>
      </c>
      <c r="L263" s="457">
        <v>0</v>
      </c>
      <c r="M263" s="457">
        <v>0</v>
      </c>
      <c r="N263" s="457">
        <v>0</v>
      </c>
      <c r="O263" s="457">
        <v>0</v>
      </c>
      <c r="P263" s="457">
        <v>0</v>
      </c>
      <c r="Q263" s="457">
        <v>0</v>
      </c>
      <c r="R263" s="457">
        <v>0</v>
      </c>
      <c r="S263" s="457">
        <v>0</v>
      </c>
      <c r="T263" s="410" t="e">
        <v>#DIV/0!</v>
      </c>
      <c r="U263" s="285">
        <v>0</v>
      </c>
      <c r="V263" s="285">
        <v>0</v>
      </c>
      <c r="W263" s="285">
        <v>0</v>
      </c>
      <c r="X263" s="285">
        <v>0</v>
      </c>
      <c r="Y263" s="285">
        <v>0</v>
      </c>
      <c r="Z263" s="285">
        <v>0</v>
      </c>
    </row>
    <row r="264" spans="1:26" x14ac:dyDescent="0.2">
      <c r="A264" s="412" t="s">
        <v>490</v>
      </c>
      <c r="B264" s="457">
        <v>0</v>
      </c>
      <c r="C264" s="457">
        <v>0</v>
      </c>
      <c r="D264" s="457">
        <v>0</v>
      </c>
      <c r="E264" s="457">
        <v>0</v>
      </c>
      <c r="F264" s="457">
        <v>0</v>
      </c>
      <c r="G264" s="457">
        <v>0</v>
      </c>
      <c r="H264" s="457">
        <v>0</v>
      </c>
      <c r="I264" s="457">
        <v>0</v>
      </c>
      <c r="J264" s="457">
        <v>0</v>
      </c>
      <c r="K264" s="457">
        <v>0</v>
      </c>
      <c r="L264" s="457">
        <v>0</v>
      </c>
      <c r="M264" s="457">
        <v>0</v>
      </c>
      <c r="N264" s="457">
        <v>0</v>
      </c>
      <c r="O264" s="457">
        <v>0</v>
      </c>
      <c r="P264" s="457">
        <v>0</v>
      </c>
      <c r="Q264" s="457">
        <v>0</v>
      </c>
      <c r="R264" s="457">
        <v>0</v>
      </c>
      <c r="S264" s="457">
        <v>0</v>
      </c>
      <c r="T264" s="410" t="e">
        <v>#DIV/0!</v>
      </c>
      <c r="U264" s="285">
        <v>0</v>
      </c>
      <c r="V264" s="285">
        <v>0</v>
      </c>
      <c r="W264" s="285">
        <v>0</v>
      </c>
      <c r="X264" s="285">
        <v>0</v>
      </c>
      <c r="Y264" s="285">
        <v>0</v>
      </c>
      <c r="Z264" s="285">
        <v>0</v>
      </c>
    </row>
    <row r="265" spans="1:26" ht="24" x14ac:dyDescent="0.2">
      <c r="A265" s="412" t="s">
        <v>491</v>
      </c>
      <c r="B265" s="457">
        <v>0</v>
      </c>
      <c r="C265" s="457">
        <v>0</v>
      </c>
      <c r="D265" s="457">
        <v>0</v>
      </c>
      <c r="E265" s="457">
        <v>0</v>
      </c>
      <c r="F265" s="457">
        <v>0</v>
      </c>
      <c r="G265" s="457">
        <v>0</v>
      </c>
      <c r="H265" s="457">
        <v>0</v>
      </c>
      <c r="I265" s="457">
        <v>0</v>
      </c>
      <c r="J265" s="457">
        <v>0</v>
      </c>
      <c r="K265" s="457">
        <v>0</v>
      </c>
      <c r="L265" s="457">
        <v>0</v>
      </c>
      <c r="M265" s="457">
        <v>0</v>
      </c>
      <c r="N265" s="457">
        <v>0</v>
      </c>
      <c r="O265" s="457">
        <v>0</v>
      </c>
      <c r="P265" s="457">
        <v>0</v>
      </c>
      <c r="Q265" s="457">
        <v>0</v>
      </c>
      <c r="R265" s="457">
        <v>0</v>
      </c>
      <c r="S265" s="457">
        <v>0</v>
      </c>
      <c r="T265" s="410" t="e">
        <v>#DIV/0!</v>
      </c>
      <c r="U265" s="285">
        <v>0</v>
      </c>
      <c r="V265" s="285">
        <v>0</v>
      </c>
      <c r="W265" s="285">
        <v>0</v>
      </c>
      <c r="X265" s="285">
        <v>0</v>
      </c>
      <c r="Y265" s="285">
        <v>0</v>
      </c>
      <c r="Z265" s="285">
        <v>0</v>
      </c>
    </row>
    <row r="266" spans="1:26" x14ac:dyDescent="0.2">
      <c r="A266" s="412" t="s">
        <v>492</v>
      </c>
      <c r="B266" s="457">
        <v>0</v>
      </c>
      <c r="C266" s="457">
        <v>0</v>
      </c>
      <c r="D266" s="457">
        <v>0</v>
      </c>
      <c r="E266" s="457">
        <v>0</v>
      </c>
      <c r="F266" s="457">
        <v>0</v>
      </c>
      <c r="G266" s="457">
        <v>0</v>
      </c>
      <c r="H266" s="457">
        <v>0</v>
      </c>
      <c r="I266" s="457">
        <v>0</v>
      </c>
      <c r="J266" s="457">
        <v>0</v>
      </c>
      <c r="K266" s="457">
        <v>0</v>
      </c>
      <c r="L266" s="457">
        <v>0</v>
      </c>
      <c r="M266" s="457">
        <v>0</v>
      </c>
      <c r="N266" s="457">
        <v>0</v>
      </c>
      <c r="O266" s="457">
        <v>0</v>
      </c>
      <c r="P266" s="457">
        <v>0</v>
      </c>
      <c r="Q266" s="457">
        <v>0</v>
      </c>
      <c r="R266" s="457">
        <v>0</v>
      </c>
      <c r="S266" s="457">
        <v>0</v>
      </c>
      <c r="T266" s="410" t="e">
        <v>#DIV/0!</v>
      </c>
      <c r="U266" s="285">
        <v>0</v>
      </c>
      <c r="V266" s="285">
        <v>0</v>
      </c>
      <c r="W266" s="285">
        <v>0</v>
      </c>
      <c r="X266" s="285">
        <v>0</v>
      </c>
      <c r="Y266" s="285">
        <v>0</v>
      </c>
      <c r="Z266" s="285">
        <v>0</v>
      </c>
    </row>
    <row r="267" spans="1:26" x14ac:dyDescent="0.2">
      <c r="A267" s="412" t="s">
        <v>493</v>
      </c>
      <c r="B267" s="457">
        <v>0</v>
      </c>
      <c r="C267" s="457">
        <v>0</v>
      </c>
      <c r="D267" s="457">
        <v>0</v>
      </c>
      <c r="E267" s="457">
        <v>0</v>
      </c>
      <c r="F267" s="457">
        <v>0</v>
      </c>
      <c r="G267" s="457">
        <v>0</v>
      </c>
      <c r="H267" s="457">
        <v>0</v>
      </c>
      <c r="I267" s="457">
        <v>0</v>
      </c>
      <c r="J267" s="457">
        <v>0</v>
      </c>
      <c r="K267" s="457">
        <v>0</v>
      </c>
      <c r="L267" s="457">
        <v>0</v>
      </c>
      <c r="M267" s="457">
        <v>0</v>
      </c>
      <c r="N267" s="457">
        <v>0</v>
      </c>
      <c r="O267" s="457">
        <v>0</v>
      </c>
      <c r="P267" s="457">
        <v>0</v>
      </c>
      <c r="Q267" s="457">
        <v>0</v>
      </c>
      <c r="R267" s="457">
        <v>0</v>
      </c>
      <c r="S267" s="457">
        <v>0</v>
      </c>
      <c r="T267" s="410" t="e">
        <v>#DIV/0!</v>
      </c>
      <c r="U267" s="285">
        <v>0</v>
      </c>
      <c r="V267" s="285">
        <v>0</v>
      </c>
      <c r="W267" s="285">
        <v>0</v>
      </c>
      <c r="X267" s="285">
        <v>0</v>
      </c>
      <c r="Y267" s="285">
        <v>0</v>
      </c>
      <c r="Z267" s="285">
        <v>0</v>
      </c>
    </row>
    <row r="268" spans="1:26" ht="24" x14ac:dyDescent="0.2">
      <c r="A268" s="412" t="s">
        <v>494</v>
      </c>
      <c r="B268" s="457">
        <v>0</v>
      </c>
      <c r="C268" s="457">
        <v>0</v>
      </c>
      <c r="D268" s="457">
        <v>0</v>
      </c>
      <c r="E268" s="457">
        <v>0</v>
      </c>
      <c r="F268" s="457">
        <v>0</v>
      </c>
      <c r="G268" s="457">
        <v>0</v>
      </c>
      <c r="H268" s="457">
        <v>0</v>
      </c>
      <c r="I268" s="457">
        <v>0</v>
      </c>
      <c r="J268" s="457">
        <v>0</v>
      </c>
      <c r="K268" s="457">
        <v>0</v>
      </c>
      <c r="L268" s="457">
        <v>0</v>
      </c>
      <c r="M268" s="457">
        <v>0</v>
      </c>
      <c r="N268" s="457">
        <v>0</v>
      </c>
      <c r="O268" s="457">
        <v>0</v>
      </c>
      <c r="P268" s="457">
        <v>0</v>
      </c>
      <c r="Q268" s="457">
        <v>0</v>
      </c>
      <c r="R268" s="457">
        <v>0</v>
      </c>
      <c r="S268" s="457">
        <v>0</v>
      </c>
      <c r="T268" s="410" t="e">
        <v>#DIV/0!</v>
      </c>
      <c r="U268" s="285">
        <v>0</v>
      </c>
      <c r="V268" s="285">
        <v>0</v>
      </c>
      <c r="W268" s="285">
        <v>0</v>
      </c>
      <c r="X268" s="285">
        <v>0</v>
      </c>
      <c r="Y268" s="285">
        <v>0</v>
      </c>
      <c r="Z268" s="285">
        <v>0</v>
      </c>
    </row>
    <row r="269" spans="1:26" ht="24" x14ac:dyDescent="0.2">
      <c r="A269" s="412" t="s">
        <v>495</v>
      </c>
      <c r="B269" s="457">
        <v>0</v>
      </c>
      <c r="C269" s="457">
        <v>0</v>
      </c>
      <c r="D269" s="457">
        <v>0</v>
      </c>
      <c r="E269" s="457">
        <v>0</v>
      </c>
      <c r="F269" s="457">
        <v>0</v>
      </c>
      <c r="G269" s="457">
        <v>0</v>
      </c>
      <c r="H269" s="457">
        <v>0</v>
      </c>
      <c r="I269" s="457">
        <v>0</v>
      </c>
      <c r="J269" s="457">
        <v>0</v>
      </c>
      <c r="K269" s="457">
        <v>0</v>
      </c>
      <c r="L269" s="457">
        <v>0</v>
      </c>
      <c r="M269" s="457">
        <v>0</v>
      </c>
      <c r="N269" s="457">
        <v>0</v>
      </c>
      <c r="O269" s="457">
        <v>0</v>
      </c>
      <c r="P269" s="457">
        <v>0</v>
      </c>
      <c r="Q269" s="457">
        <v>0</v>
      </c>
      <c r="R269" s="457">
        <v>0</v>
      </c>
      <c r="S269" s="457">
        <v>0</v>
      </c>
      <c r="T269" s="410" t="e">
        <v>#DIV/0!</v>
      </c>
      <c r="U269" s="285">
        <v>0</v>
      </c>
      <c r="V269" s="285">
        <v>0</v>
      </c>
      <c r="W269" s="285">
        <v>0</v>
      </c>
      <c r="X269" s="285">
        <v>0</v>
      </c>
      <c r="Y269" s="285">
        <v>0</v>
      </c>
      <c r="Z269" s="285">
        <v>0</v>
      </c>
    </row>
    <row r="270" spans="1:26" x14ac:dyDescent="0.2">
      <c r="A270" s="412" t="s">
        <v>496</v>
      </c>
      <c r="B270" s="457">
        <v>0</v>
      </c>
      <c r="C270" s="457">
        <v>0</v>
      </c>
      <c r="D270" s="457">
        <v>0</v>
      </c>
      <c r="E270" s="457">
        <v>0</v>
      </c>
      <c r="F270" s="457">
        <v>0</v>
      </c>
      <c r="G270" s="457">
        <v>0</v>
      </c>
      <c r="H270" s="457">
        <v>0</v>
      </c>
      <c r="I270" s="457">
        <v>0</v>
      </c>
      <c r="J270" s="457">
        <v>0</v>
      </c>
      <c r="K270" s="457">
        <v>0</v>
      </c>
      <c r="L270" s="457">
        <v>0</v>
      </c>
      <c r="M270" s="457">
        <v>0</v>
      </c>
      <c r="N270" s="457">
        <v>0</v>
      </c>
      <c r="O270" s="457">
        <v>0</v>
      </c>
      <c r="P270" s="457">
        <v>0</v>
      </c>
      <c r="Q270" s="457">
        <v>0</v>
      </c>
      <c r="R270" s="457">
        <v>0</v>
      </c>
      <c r="S270" s="457">
        <v>0</v>
      </c>
      <c r="T270" s="410" t="e">
        <v>#DIV/0!</v>
      </c>
      <c r="U270" s="285">
        <v>0</v>
      </c>
      <c r="V270" s="285">
        <v>0</v>
      </c>
      <c r="W270" s="285">
        <v>0</v>
      </c>
      <c r="X270" s="285">
        <v>0</v>
      </c>
      <c r="Y270" s="285">
        <v>0</v>
      </c>
      <c r="Z270" s="285">
        <v>0</v>
      </c>
    </row>
    <row r="271" spans="1:26" x14ac:dyDescent="0.2">
      <c r="A271" s="412" t="s">
        <v>497</v>
      </c>
      <c r="B271" s="457">
        <v>0</v>
      </c>
      <c r="C271" s="457">
        <v>0</v>
      </c>
      <c r="D271" s="457">
        <v>0</v>
      </c>
      <c r="E271" s="457">
        <v>0</v>
      </c>
      <c r="F271" s="457">
        <v>0</v>
      </c>
      <c r="G271" s="457">
        <v>0</v>
      </c>
      <c r="H271" s="457">
        <v>0</v>
      </c>
      <c r="I271" s="457">
        <v>0</v>
      </c>
      <c r="J271" s="457">
        <v>0</v>
      </c>
      <c r="K271" s="457">
        <v>0</v>
      </c>
      <c r="L271" s="457">
        <v>0</v>
      </c>
      <c r="M271" s="457">
        <v>0</v>
      </c>
      <c r="N271" s="457">
        <v>0</v>
      </c>
      <c r="O271" s="457">
        <v>0</v>
      </c>
      <c r="P271" s="457">
        <v>0</v>
      </c>
      <c r="Q271" s="457">
        <v>0</v>
      </c>
      <c r="R271" s="457">
        <v>0</v>
      </c>
      <c r="S271" s="457">
        <v>0</v>
      </c>
      <c r="T271" s="410" t="e">
        <v>#DIV/0!</v>
      </c>
      <c r="U271" s="285">
        <v>0</v>
      </c>
      <c r="V271" s="285">
        <v>0</v>
      </c>
      <c r="W271" s="285">
        <v>0</v>
      </c>
      <c r="X271" s="285">
        <v>0</v>
      </c>
      <c r="Y271" s="285">
        <v>0</v>
      </c>
      <c r="Z271" s="285">
        <v>0</v>
      </c>
    </row>
    <row r="272" spans="1:26" x14ac:dyDescent="0.2">
      <c r="A272" s="412" t="s">
        <v>498</v>
      </c>
      <c r="B272" s="457">
        <v>0</v>
      </c>
      <c r="C272" s="457">
        <v>0</v>
      </c>
      <c r="D272" s="457">
        <v>0</v>
      </c>
      <c r="E272" s="457">
        <v>0</v>
      </c>
      <c r="F272" s="457">
        <v>0</v>
      </c>
      <c r="G272" s="457">
        <v>0</v>
      </c>
      <c r="H272" s="457">
        <v>0</v>
      </c>
      <c r="I272" s="457">
        <v>0</v>
      </c>
      <c r="J272" s="457">
        <v>0</v>
      </c>
      <c r="K272" s="457">
        <v>0</v>
      </c>
      <c r="L272" s="457">
        <v>0</v>
      </c>
      <c r="M272" s="457">
        <v>0</v>
      </c>
      <c r="N272" s="457">
        <v>0</v>
      </c>
      <c r="O272" s="457">
        <v>0</v>
      </c>
      <c r="P272" s="457">
        <v>0</v>
      </c>
      <c r="Q272" s="457">
        <v>0</v>
      </c>
      <c r="R272" s="457">
        <v>0</v>
      </c>
      <c r="S272" s="457">
        <v>0</v>
      </c>
      <c r="T272" s="410" t="e">
        <v>#DIV/0!</v>
      </c>
      <c r="U272" s="285">
        <v>0</v>
      </c>
      <c r="V272" s="285">
        <v>0</v>
      </c>
      <c r="W272" s="285">
        <v>0</v>
      </c>
      <c r="X272" s="285">
        <v>0</v>
      </c>
      <c r="Y272" s="285">
        <v>0</v>
      </c>
      <c r="Z272" s="285">
        <v>0</v>
      </c>
    </row>
    <row r="273" spans="1:26" x14ac:dyDescent="0.2">
      <c r="A273" s="404" t="s">
        <v>499</v>
      </c>
      <c r="B273" s="448">
        <v>0</v>
      </c>
      <c r="C273" s="448">
        <v>0</v>
      </c>
      <c r="D273" s="448">
        <v>0</v>
      </c>
      <c r="E273" s="448">
        <v>0</v>
      </c>
      <c r="F273" s="448">
        <v>0</v>
      </c>
      <c r="G273" s="448">
        <v>0</v>
      </c>
      <c r="H273" s="448">
        <v>0</v>
      </c>
      <c r="I273" s="448">
        <v>0</v>
      </c>
      <c r="J273" s="448">
        <v>0</v>
      </c>
      <c r="K273" s="448">
        <v>0</v>
      </c>
      <c r="L273" s="448">
        <v>0</v>
      </c>
      <c r="M273" s="448">
        <v>0</v>
      </c>
      <c r="N273" s="448">
        <v>0</v>
      </c>
      <c r="O273" s="448">
        <v>0</v>
      </c>
      <c r="P273" s="448">
        <v>0</v>
      </c>
      <c r="Q273" s="448">
        <v>0</v>
      </c>
      <c r="R273" s="448">
        <v>0</v>
      </c>
      <c r="S273" s="448">
        <v>0</v>
      </c>
      <c r="T273" s="407" t="e">
        <v>#DIV/0!</v>
      </c>
      <c r="U273" s="406">
        <v>0</v>
      </c>
      <c r="V273" s="406">
        <v>0</v>
      </c>
      <c r="W273" s="406">
        <v>0</v>
      </c>
      <c r="X273" s="406">
        <v>0</v>
      </c>
      <c r="Y273" s="406">
        <v>0</v>
      </c>
      <c r="Z273" s="406">
        <v>0</v>
      </c>
    </row>
    <row r="274" spans="1:26" x14ac:dyDescent="0.2">
      <c r="A274" s="412" t="s">
        <v>500</v>
      </c>
      <c r="B274" s="457">
        <v>0</v>
      </c>
      <c r="C274" s="457">
        <v>0</v>
      </c>
      <c r="D274" s="457">
        <v>0</v>
      </c>
      <c r="E274" s="457">
        <v>0</v>
      </c>
      <c r="F274" s="457">
        <v>0</v>
      </c>
      <c r="G274" s="457">
        <v>0</v>
      </c>
      <c r="H274" s="457">
        <v>0</v>
      </c>
      <c r="I274" s="457">
        <v>0</v>
      </c>
      <c r="J274" s="457">
        <v>0</v>
      </c>
      <c r="K274" s="457">
        <v>0</v>
      </c>
      <c r="L274" s="457">
        <v>0</v>
      </c>
      <c r="M274" s="457">
        <v>0</v>
      </c>
      <c r="N274" s="457">
        <v>0</v>
      </c>
      <c r="O274" s="457">
        <v>0</v>
      </c>
      <c r="P274" s="457">
        <v>0</v>
      </c>
      <c r="Q274" s="457">
        <v>0</v>
      </c>
      <c r="R274" s="457">
        <v>0</v>
      </c>
      <c r="S274" s="457">
        <v>0</v>
      </c>
      <c r="T274" s="410" t="e">
        <v>#DIV/0!</v>
      </c>
      <c r="U274" s="285">
        <v>0</v>
      </c>
      <c r="V274" s="285">
        <v>0</v>
      </c>
      <c r="W274" s="285">
        <v>0</v>
      </c>
      <c r="X274" s="285">
        <v>0</v>
      </c>
      <c r="Y274" s="285">
        <v>0</v>
      </c>
      <c r="Z274" s="285">
        <v>0</v>
      </c>
    </row>
    <row r="275" spans="1:26" x14ac:dyDescent="0.2">
      <c r="A275" s="412" t="s">
        <v>501</v>
      </c>
      <c r="B275" s="457">
        <v>0</v>
      </c>
      <c r="C275" s="457">
        <v>0</v>
      </c>
      <c r="D275" s="457">
        <v>0</v>
      </c>
      <c r="E275" s="457">
        <v>0</v>
      </c>
      <c r="F275" s="457">
        <v>0</v>
      </c>
      <c r="G275" s="457">
        <v>0</v>
      </c>
      <c r="H275" s="457">
        <v>0</v>
      </c>
      <c r="I275" s="457">
        <v>0</v>
      </c>
      <c r="J275" s="457">
        <v>0</v>
      </c>
      <c r="K275" s="457">
        <v>0</v>
      </c>
      <c r="L275" s="457">
        <v>0</v>
      </c>
      <c r="M275" s="457">
        <v>0</v>
      </c>
      <c r="N275" s="457">
        <v>0</v>
      </c>
      <c r="O275" s="457">
        <v>0</v>
      </c>
      <c r="P275" s="457">
        <v>0</v>
      </c>
      <c r="Q275" s="457">
        <v>0</v>
      </c>
      <c r="R275" s="457">
        <v>0</v>
      </c>
      <c r="S275" s="457">
        <v>0</v>
      </c>
      <c r="T275" s="410" t="e">
        <v>#DIV/0!</v>
      </c>
      <c r="U275" s="285">
        <v>0</v>
      </c>
      <c r="V275" s="285">
        <v>0</v>
      </c>
      <c r="W275" s="285">
        <v>0</v>
      </c>
      <c r="X275" s="285">
        <v>0</v>
      </c>
      <c r="Y275" s="285">
        <v>0</v>
      </c>
      <c r="Z275" s="285">
        <v>0</v>
      </c>
    </row>
    <row r="276" spans="1:26" x14ac:dyDescent="0.2">
      <c r="A276" s="412" t="s">
        <v>502</v>
      </c>
      <c r="B276" s="457">
        <v>0</v>
      </c>
      <c r="C276" s="457">
        <v>0</v>
      </c>
      <c r="D276" s="457">
        <v>0</v>
      </c>
      <c r="E276" s="457">
        <v>0</v>
      </c>
      <c r="F276" s="457">
        <v>0</v>
      </c>
      <c r="G276" s="457">
        <v>0</v>
      </c>
      <c r="H276" s="457">
        <v>0</v>
      </c>
      <c r="I276" s="457">
        <v>0</v>
      </c>
      <c r="J276" s="457">
        <v>0</v>
      </c>
      <c r="K276" s="457">
        <v>0</v>
      </c>
      <c r="L276" s="457">
        <v>0</v>
      </c>
      <c r="M276" s="457">
        <v>0</v>
      </c>
      <c r="N276" s="457">
        <v>0</v>
      </c>
      <c r="O276" s="457">
        <v>0</v>
      </c>
      <c r="P276" s="457">
        <v>0</v>
      </c>
      <c r="Q276" s="457">
        <v>0</v>
      </c>
      <c r="R276" s="457">
        <v>0</v>
      </c>
      <c r="S276" s="457">
        <v>0</v>
      </c>
      <c r="T276" s="410" t="e">
        <v>#DIV/0!</v>
      </c>
      <c r="U276" s="285">
        <v>0</v>
      </c>
      <c r="V276" s="285">
        <v>0</v>
      </c>
      <c r="W276" s="285">
        <v>0</v>
      </c>
      <c r="X276" s="285">
        <v>0</v>
      </c>
      <c r="Y276" s="285">
        <v>0</v>
      </c>
      <c r="Z276" s="285">
        <v>0</v>
      </c>
    </row>
    <row r="277" spans="1:26" x14ac:dyDescent="0.2">
      <c r="A277" s="412" t="s">
        <v>503</v>
      </c>
      <c r="B277" s="457">
        <v>0</v>
      </c>
      <c r="C277" s="457">
        <v>0</v>
      </c>
      <c r="D277" s="457">
        <v>0</v>
      </c>
      <c r="E277" s="457">
        <v>0</v>
      </c>
      <c r="F277" s="457">
        <v>0</v>
      </c>
      <c r="G277" s="457">
        <v>0</v>
      </c>
      <c r="H277" s="457">
        <v>0</v>
      </c>
      <c r="I277" s="457">
        <v>0</v>
      </c>
      <c r="J277" s="457">
        <v>0</v>
      </c>
      <c r="K277" s="457">
        <v>0</v>
      </c>
      <c r="L277" s="457">
        <v>0</v>
      </c>
      <c r="M277" s="457">
        <v>0</v>
      </c>
      <c r="N277" s="457">
        <v>0</v>
      </c>
      <c r="O277" s="457">
        <v>0</v>
      </c>
      <c r="P277" s="457">
        <v>0</v>
      </c>
      <c r="Q277" s="457">
        <v>0</v>
      </c>
      <c r="R277" s="457">
        <v>0</v>
      </c>
      <c r="S277" s="457">
        <v>0</v>
      </c>
      <c r="T277" s="410" t="e">
        <v>#DIV/0!</v>
      </c>
      <c r="U277" s="285">
        <v>0</v>
      </c>
      <c r="V277" s="285">
        <v>0</v>
      </c>
      <c r="W277" s="285">
        <v>0</v>
      </c>
      <c r="X277" s="285">
        <v>0</v>
      </c>
      <c r="Y277" s="285">
        <v>0</v>
      </c>
      <c r="Z277" s="285">
        <v>0</v>
      </c>
    </row>
    <row r="278" spans="1:26" x14ac:dyDescent="0.2">
      <c r="A278" s="404" t="s">
        <v>504</v>
      </c>
      <c r="B278" s="448">
        <v>0</v>
      </c>
      <c r="C278" s="448">
        <v>0</v>
      </c>
      <c r="D278" s="448">
        <v>0</v>
      </c>
      <c r="E278" s="448">
        <v>0</v>
      </c>
      <c r="F278" s="448">
        <v>0</v>
      </c>
      <c r="G278" s="448">
        <v>0</v>
      </c>
      <c r="H278" s="448">
        <v>0</v>
      </c>
      <c r="I278" s="448">
        <v>0</v>
      </c>
      <c r="J278" s="448">
        <v>0</v>
      </c>
      <c r="K278" s="448">
        <v>0</v>
      </c>
      <c r="L278" s="448">
        <v>0</v>
      </c>
      <c r="M278" s="448">
        <v>0</v>
      </c>
      <c r="N278" s="448">
        <v>0</v>
      </c>
      <c r="O278" s="448">
        <v>0</v>
      </c>
      <c r="P278" s="448">
        <v>0</v>
      </c>
      <c r="Q278" s="448">
        <v>0</v>
      </c>
      <c r="R278" s="448">
        <v>0</v>
      </c>
      <c r="S278" s="448">
        <v>0</v>
      </c>
      <c r="T278" s="407" t="e">
        <v>#DIV/0!</v>
      </c>
      <c r="U278" s="406">
        <v>0</v>
      </c>
      <c r="V278" s="406">
        <v>0</v>
      </c>
      <c r="W278" s="406">
        <v>0</v>
      </c>
      <c r="X278" s="406">
        <v>0</v>
      </c>
      <c r="Y278" s="406">
        <v>0</v>
      </c>
      <c r="Z278" s="406">
        <v>0</v>
      </c>
    </row>
    <row r="279" spans="1:26" x14ac:dyDescent="0.2">
      <c r="A279" s="412" t="s">
        <v>505</v>
      </c>
      <c r="B279" s="457">
        <v>0</v>
      </c>
      <c r="C279" s="457">
        <v>0</v>
      </c>
      <c r="D279" s="457">
        <v>0</v>
      </c>
      <c r="E279" s="457">
        <v>0</v>
      </c>
      <c r="F279" s="457">
        <v>0</v>
      </c>
      <c r="G279" s="457">
        <v>0</v>
      </c>
      <c r="H279" s="457">
        <v>0</v>
      </c>
      <c r="I279" s="457">
        <v>0</v>
      </c>
      <c r="J279" s="457">
        <v>0</v>
      </c>
      <c r="K279" s="457">
        <v>0</v>
      </c>
      <c r="L279" s="457">
        <v>0</v>
      </c>
      <c r="M279" s="457">
        <v>0</v>
      </c>
      <c r="N279" s="457">
        <v>0</v>
      </c>
      <c r="O279" s="457">
        <v>0</v>
      </c>
      <c r="P279" s="457">
        <v>0</v>
      </c>
      <c r="Q279" s="457">
        <v>0</v>
      </c>
      <c r="R279" s="457">
        <v>0</v>
      </c>
      <c r="S279" s="457">
        <v>0</v>
      </c>
      <c r="T279" s="410" t="e">
        <v>#DIV/0!</v>
      </c>
      <c r="U279" s="285">
        <v>0</v>
      </c>
      <c r="V279" s="285">
        <v>0</v>
      </c>
      <c r="W279" s="285">
        <v>0</v>
      </c>
      <c r="X279" s="285">
        <v>0</v>
      </c>
      <c r="Y279" s="285">
        <v>0</v>
      </c>
      <c r="Z279" s="285">
        <v>0</v>
      </c>
    </row>
    <row r="280" spans="1:26" x14ac:dyDescent="0.2">
      <c r="A280" s="412" t="s">
        <v>506</v>
      </c>
      <c r="B280" s="457">
        <v>0</v>
      </c>
      <c r="C280" s="457">
        <v>0</v>
      </c>
      <c r="D280" s="457">
        <v>0</v>
      </c>
      <c r="E280" s="457">
        <v>0</v>
      </c>
      <c r="F280" s="457">
        <v>0</v>
      </c>
      <c r="G280" s="457">
        <v>0</v>
      </c>
      <c r="H280" s="457">
        <v>0</v>
      </c>
      <c r="I280" s="457">
        <v>0</v>
      </c>
      <c r="J280" s="457">
        <v>0</v>
      </c>
      <c r="K280" s="457">
        <v>0</v>
      </c>
      <c r="L280" s="457">
        <v>0</v>
      </c>
      <c r="M280" s="457">
        <v>0</v>
      </c>
      <c r="N280" s="457">
        <v>0</v>
      </c>
      <c r="O280" s="457">
        <v>0</v>
      </c>
      <c r="P280" s="457">
        <v>0</v>
      </c>
      <c r="Q280" s="457">
        <v>0</v>
      </c>
      <c r="R280" s="457">
        <v>0</v>
      </c>
      <c r="S280" s="457">
        <v>0</v>
      </c>
      <c r="T280" s="410" t="e">
        <v>#DIV/0!</v>
      </c>
      <c r="U280" s="285">
        <v>0</v>
      </c>
      <c r="V280" s="285">
        <v>0</v>
      </c>
      <c r="W280" s="285">
        <v>0</v>
      </c>
      <c r="X280" s="285">
        <v>0</v>
      </c>
      <c r="Y280" s="285">
        <v>0</v>
      </c>
      <c r="Z280" s="285">
        <v>0</v>
      </c>
    </row>
    <row r="281" spans="1:26" x14ac:dyDescent="0.2">
      <c r="A281" s="412" t="s">
        <v>507</v>
      </c>
      <c r="B281" s="457">
        <v>0</v>
      </c>
      <c r="C281" s="457">
        <v>0</v>
      </c>
      <c r="D281" s="457">
        <v>0</v>
      </c>
      <c r="E281" s="457">
        <v>0</v>
      </c>
      <c r="F281" s="457">
        <v>0</v>
      </c>
      <c r="G281" s="457">
        <v>0</v>
      </c>
      <c r="H281" s="457">
        <v>0</v>
      </c>
      <c r="I281" s="457">
        <v>0</v>
      </c>
      <c r="J281" s="457">
        <v>0</v>
      </c>
      <c r="K281" s="457">
        <v>0</v>
      </c>
      <c r="L281" s="457">
        <v>0</v>
      </c>
      <c r="M281" s="457">
        <v>0</v>
      </c>
      <c r="N281" s="457">
        <v>0</v>
      </c>
      <c r="O281" s="457">
        <v>0</v>
      </c>
      <c r="P281" s="457">
        <v>0</v>
      </c>
      <c r="Q281" s="457">
        <v>0</v>
      </c>
      <c r="R281" s="457">
        <v>0</v>
      </c>
      <c r="S281" s="457">
        <v>0</v>
      </c>
      <c r="T281" s="410" t="e">
        <v>#DIV/0!</v>
      </c>
      <c r="U281" s="285">
        <v>0</v>
      </c>
      <c r="V281" s="285">
        <v>0</v>
      </c>
      <c r="W281" s="285">
        <v>0</v>
      </c>
      <c r="X281" s="285">
        <v>0</v>
      </c>
      <c r="Y281" s="285">
        <v>0</v>
      </c>
      <c r="Z281" s="285">
        <v>0</v>
      </c>
    </row>
    <row r="282" spans="1:26" x14ac:dyDescent="0.2">
      <c r="A282" s="412" t="s">
        <v>508</v>
      </c>
      <c r="B282" s="457">
        <v>0</v>
      </c>
      <c r="C282" s="457">
        <v>0</v>
      </c>
      <c r="D282" s="457">
        <v>0</v>
      </c>
      <c r="E282" s="457">
        <v>0</v>
      </c>
      <c r="F282" s="457">
        <v>0</v>
      </c>
      <c r="G282" s="457">
        <v>0</v>
      </c>
      <c r="H282" s="457">
        <v>0</v>
      </c>
      <c r="I282" s="457">
        <v>0</v>
      </c>
      <c r="J282" s="457">
        <v>0</v>
      </c>
      <c r="K282" s="457">
        <v>0</v>
      </c>
      <c r="L282" s="457">
        <v>0</v>
      </c>
      <c r="M282" s="457">
        <v>0</v>
      </c>
      <c r="N282" s="457">
        <v>0</v>
      </c>
      <c r="O282" s="457">
        <v>0</v>
      </c>
      <c r="P282" s="457">
        <v>0</v>
      </c>
      <c r="Q282" s="457">
        <v>0</v>
      </c>
      <c r="R282" s="457">
        <v>0</v>
      </c>
      <c r="S282" s="457">
        <v>0</v>
      </c>
      <c r="T282" s="410" t="e">
        <v>#DIV/0!</v>
      </c>
      <c r="U282" s="285">
        <v>0</v>
      </c>
      <c r="V282" s="285">
        <v>0</v>
      </c>
      <c r="W282" s="285">
        <v>0</v>
      </c>
      <c r="X282" s="285">
        <v>0</v>
      </c>
      <c r="Y282" s="285">
        <v>0</v>
      </c>
      <c r="Z282" s="285">
        <v>0</v>
      </c>
    </row>
    <row r="283" spans="1:26" x14ac:dyDescent="0.2">
      <c r="A283" s="412" t="s">
        <v>509</v>
      </c>
      <c r="B283" s="457">
        <v>0</v>
      </c>
      <c r="C283" s="457">
        <v>0</v>
      </c>
      <c r="D283" s="457">
        <v>0</v>
      </c>
      <c r="E283" s="457">
        <v>0</v>
      </c>
      <c r="F283" s="457">
        <v>0</v>
      </c>
      <c r="G283" s="457">
        <v>0</v>
      </c>
      <c r="H283" s="457">
        <v>0</v>
      </c>
      <c r="I283" s="457">
        <v>0</v>
      </c>
      <c r="J283" s="457">
        <v>0</v>
      </c>
      <c r="K283" s="457">
        <v>0</v>
      </c>
      <c r="L283" s="457">
        <v>0</v>
      </c>
      <c r="M283" s="457">
        <v>0</v>
      </c>
      <c r="N283" s="457">
        <v>0</v>
      </c>
      <c r="O283" s="457">
        <v>0</v>
      </c>
      <c r="P283" s="457">
        <v>0</v>
      </c>
      <c r="Q283" s="457">
        <v>0</v>
      </c>
      <c r="R283" s="457">
        <v>0</v>
      </c>
      <c r="S283" s="457">
        <v>0</v>
      </c>
      <c r="T283" s="410" t="e">
        <v>#DIV/0!</v>
      </c>
      <c r="U283" s="285">
        <v>0</v>
      </c>
      <c r="V283" s="285">
        <v>0</v>
      </c>
      <c r="W283" s="285">
        <v>0</v>
      </c>
      <c r="X283" s="285">
        <v>0</v>
      </c>
      <c r="Y283" s="285">
        <v>0</v>
      </c>
      <c r="Z283" s="285">
        <v>0</v>
      </c>
    </row>
    <row r="284" spans="1:26" x14ac:dyDescent="0.2">
      <c r="A284" s="412" t="s">
        <v>510</v>
      </c>
      <c r="B284" s="457">
        <v>0</v>
      </c>
      <c r="C284" s="457">
        <v>0</v>
      </c>
      <c r="D284" s="457">
        <v>0</v>
      </c>
      <c r="E284" s="457">
        <v>0</v>
      </c>
      <c r="F284" s="457">
        <v>0</v>
      </c>
      <c r="G284" s="457">
        <v>0</v>
      </c>
      <c r="H284" s="457">
        <v>0</v>
      </c>
      <c r="I284" s="457">
        <v>0</v>
      </c>
      <c r="J284" s="457">
        <v>0</v>
      </c>
      <c r="K284" s="457">
        <v>0</v>
      </c>
      <c r="L284" s="457">
        <v>0</v>
      </c>
      <c r="M284" s="457">
        <v>0</v>
      </c>
      <c r="N284" s="457">
        <v>0</v>
      </c>
      <c r="O284" s="457">
        <v>0</v>
      </c>
      <c r="P284" s="457">
        <v>0</v>
      </c>
      <c r="Q284" s="457">
        <v>0</v>
      </c>
      <c r="R284" s="457">
        <v>0</v>
      </c>
      <c r="S284" s="457">
        <v>0</v>
      </c>
      <c r="T284" s="410" t="e">
        <v>#DIV/0!</v>
      </c>
      <c r="U284" s="285">
        <v>0</v>
      </c>
      <c r="V284" s="285">
        <v>0</v>
      </c>
      <c r="W284" s="285">
        <v>0</v>
      </c>
      <c r="X284" s="285">
        <v>0</v>
      </c>
      <c r="Y284" s="285">
        <v>0</v>
      </c>
      <c r="Z284" s="285">
        <v>0</v>
      </c>
    </row>
    <row r="285" spans="1:26" x14ac:dyDescent="0.2">
      <c r="A285" s="404" t="s">
        <v>511</v>
      </c>
      <c r="B285" s="448">
        <v>0</v>
      </c>
      <c r="C285" s="448">
        <v>0</v>
      </c>
      <c r="D285" s="448">
        <v>0</v>
      </c>
      <c r="E285" s="448">
        <v>0</v>
      </c>
      <c r="F285" s="448">
        <v>0</v>
      </c>
      <c r="G285" s="448">
        <v>0</v>
      </c>
      <c r="H285" s="448">
        <v>0</v>
      </c>
      <c r="I285" s="448">
        <v>0</v>
      </c>
      <c r="J285" s="448">
        <v>0</v>
      </c>
      <c r="K285" s="448">
        <v>0</v>
      </c>
      <c r="L285" s="448">
        <v>0</v>
      </c>
      <c r="M285" s="448">
        <v>0</v>
      </c>
      <c r="N285" s="448">
        <v>0</v>
      </c>
      <c r="O285" s="448">
        <v>0</v>
      </c>
      <c r="P285" s="448">
        <v>0</v>
      </c>
      <c r="Q285" s="448">
        <v>0</v>
      </c>
      <c r="R285" s="448">
        <v>0</v>
      </c>
      <c r="S285" s="448">
        <v>0</v>
      </c>
      <c r="T285" s="407" t="e">
        <v>#DIV/0!</v>
      </c>
      <c r="U285" s="406">
        <v>0</v>
      </c>
      <c r="V285" s="406">
        <v>0</v>
      </c>
      <c r="W285" s="406">
        <v>0</v>
      </c>
      <c r="X285" s="406">
        <v>0</v>
      </c>
      <c r="Y285" s="406">
        <v>0</v>
      </c>
      <c r="Z285" s="406">
        <v>0</v>
      </c>
    </row>
    <row r="286" spans="1:26" x14ac:dyDescent="0.2">
      <c r="A286" s="412" t="s">
        <v>512</v>
      </c>
      <c r="B286" s="457">
        <v>0</v>
      </c>
      <c r="C286" s="457">
        <v>0</v>
      </c>
      <c r="D286" s="457">
        <v>0</v>
      </c>
      <c r="E286" s="457">
        <v>0</v>
      </c>
      <c r="F286" s="457">
        <v>0</v>
      </c>
      <c r="G286" s="457">
        <v>0</v>
      </c>
      <c r="H286" s="457">
        <v>0</v>
      </c>
      <c r="I286" s="457">
        <v>0</v>
      </c>
      <c r="J286" s="457">
        <v>0</v>
      </c>
      <c r="K286" s="457">
        <v>0</v>
      </c>
      <c r="L286" s="457">
        <v>0</v>
      </c>
      <c r="M286" s="457">
        <v>0</v>
      </c>
      <c r="N286" s="457">
        <v>0</v>
      </c>
      <c r="O286" s="457">
        <v>0</v>
      </c>
      <c r="P286" s="457">
        <v>0</v>
      </c>
      <c r="Q286" s="457">
        <v>0</v>
      </c>
      <c r="R286" s="457">
        <v>0</v>
      </c>
      <c r="S286" s="457">
        <v>0</v>
      </c>
      <c r="T286" s="410" t="e">
        <v>#DIV/0!</v>
      </c>
      <c r="U286" s="285">
        <v>0</v>
      </c>
      <c r="V286" s="285">
        <v>0</v>
      </c>
      <c r="W286" s="285">
        <v>0</v>
      </c>
      <c r="X286" s="285">
        <v>0</v>
      </c>
      <c r="Y286" s="285">
        <v>0</v>
      </c>
      <c r="Z286" s="285">
        <v>0</v>
      </c>
    </row>
    <row r="287" spans="1:26" x14ac:dyDescent="0.2">
      <c r="A287" s="412" t="s">
        <v>513</v>
      </c>
      <c r="B287" s="457">
        <v>0</v>
      </c>
      <c r="C287" s="457">
        <v>0</v>
      </c>
      <c r="D287" s="457">
        <v>0</v>
      </c>
      <c r="E287" s="457">
        <v>0</v>
      </c>
      <c r="F287" s="457">
        <v>0</v>
      </c>
      <c r="G287" s="457">
        <v>0</v>
      </c>
      <c r="H287" s="457">
        <v>0</v>
      </c>
      <c r="I287" s="457">
        <v>0</v>
      </c>
      <c r="J287" s="457">
        <v>0</v>
      </c>
      <c r="K287" s="457">
        <v>0</v>
      </c>
      <c r="L287" s="457">
        <v>0</v>
      </c>
      <c r="M287" s="457">
        <v>0</v>
      </c>
      <c r="N287" s="457">
        <v>0</v>
      </c>
      <c r="O287" s="457">
        <v>0</v>
      </c>
      <c r="P287" s="457">
        <v>0</v>
      </c>
      <c r="Q287" s="457">
        <v>0</v>
      </c>
      <c r="R287" s="457">
        <v>0</v>
      </c>
      <c r="S287" s="457">
        <v>0</v>
      </c>
      <c r="T287" s="410" t="e">
        <v>#DIV/0!</v>
      </c>
      <c r="U287" s="285">
        <v>0</v>
      </c>
      <c r="V287" s="285">
        <v>0</v>
      </c>
      <c r="W287" s="285">
        <v>0</v>
      </c>
      <c r="X287" s="285">
        <v>0</v>
      </c>
      <c r="Y287" s="285">
        <v>0</v>
      </c>
      <c r="Z287" s="285">
        <v>0</v>
      </c>
    </row>
    <row r="288" spans="1:26" x14ac:dyDescent="0.2">
      <c r="A288" s="404" t="s">
        <v>514</v>
      </c>
      <c r="B288" s="247">
        <v>0</v>
      </c>
      <c r="C288" s="247">
        <v>0</v>
      </c>
      <c r="D288" s="247">
        <v>0</v>
      </c>
      <c r="E288" s="247">
        <v>0</v>
      </c>
      <c r="F288" s="247">
        <v>0</v>
      </c>
      <c r="G288" s="247">
        <v>0</v>
      </c>
      <c r="H288" s="247">
        <v>0</v>
      </c>
      <c r="I288" s="247">
        <v>0</v>
      </c>
      <c r="J288" s="247">
        <v>0</v>
      </c>
      <c r="K288" s="247">
        <v>0</v>
      </c>
      <c r="L288" s="247">
        <v>0</v>
      </c>
      <c r="M288" s="247">
        <v>0</v>
      </c>
      <c r="N288" s="247">
        <v>0</v>
      </c>
      <c r="O288" s="247">
        <v>0</v>
      </c>
      <c r="P288" s="247">
        <v>0</v>
      </c>
      <c r="Q288" s="247">
        <v>0</v>
      </c>
      <c r="R288" s="247">
        <v>0</v>
      </c>
      <c r="S288" s="247">
        <v>0</v>
      </c>
      <c r="T288" s="407" t="e">
        <v>#DIV/0!</v>
      </c>
      <c r="U288" s="406">
        <v>0</v>
      </c>
      <c r="V288" s="406">
        <v>0</v>
      </c>
      <c r="W288" s="406">
        <v>0</v>
      </c>
      <c r="X288" s="406">
        <v>0</v>
      </c>
      <c r="Y288" s="406">
        <v>0</v>
      </c>
      <c r="Z288" s="406">
        <v>0</v>
      </c>
    </row>
    <row r="289" spans="1:26" x14ac:dyDescent="0.2">
      <c r="A289" s="404" t="s">
        <v>515</v>
      </c>
      <c r="B289" s="448">
        <v>0</v>
      </c>
      <c r="C289" s="448">
        <v>0</v>
      </c>
      <c r="D289" s="448">
        <v>0</v>
      </c>
      <c r="E289" s="448">
        <v>0</v>
      </c>
      <c r="F289" s="448">
        <v>0</v>
      </c>
      <c r="G289" s="448">
        <v>0</v>
      </c>
      <c r="H289" s="448">
        <v>0</v>
      </c>
      <c r="I289" s="448">
        <v>0</v>
      </c>
      <c r="J289" s="448">
        <v>0</v>
      </c>
      <c r="K289" s="448">
        <v>0</v>
      </c>
      <c r="L289" s="448">
        <v>0</v>
      </c>
      <c r="M289" s="448">
        <v>0</v>
      </c>
      <c r="N289" s="448">
        <v>0</v>
      </c>
      <c r="O289" s="448">
        <v>0</v>
      </c>
      <c r="P289" s="448">
        <v>0</v>
      </c>
      <c r="Q289" s="448">
        <v>0</v>
      </c>
      <c r="R289" s="448">
        <v>0</v>
      </c>
      <c r="S289" s="448">
        <v>0</v>
      </c>
      <c r="T289" s="407" t="e">
        <v>#DIV/0!</v>
      </c>
      <c r="U289" s="406">
        <v>0</v>
      </c>
      <c r="V289" s="406">
        <v>0</v>
      </c>
      <c r="W289" s="406">
        <v>0</v>
      </c>
      <c r="X289" s="406">
        <v>0</v>
      </c>
      <c r="Y289" s="406">
        <v>0</v>
      </c>
      <c r="Z289" s="406">
        <v>0</v>
      </c>
    </row>
    <row r="290" spans="1:26" x14ac:dyDescent="0.2">
      <c r="A290" s="412" t="s">
        <v>516</v>
      </c>
      <c r="B290" s="457">
        <v>0</v>
      </c>
      <c r="C290" s="457">
        <v>0</v>
      </c>
      <c r="D290" s="457">
        <v>0</v>
      </c>
      <c r="E290" s="457">
        <v>0</v>
      </c>
      <c r="F290" s="457">
        <v>0</v>
      </c>
      <c r="G290" s="457">
        <v>0</v>
      </c>
      <c r="H290" s="457">
        <v>0</v>
      </c>
      <c r="I290" s="457">
        <v>0</v>
      </c>
      <c r="J290" s="457">
        <v>0</v>
      </c>
      <c r="K290" s="457">
        <v>0</v>
      </c>
      <c r="L290" s="457">
        <v>0</v>
      </c>
      <c r="M290" s="457">
        <v>0</v>
      </c>
      <c r="N290" s="457">
        <v>0</v>
      </c>
      <c r="O290" s="457">
        <v>0</v>
      </c>
      <c r="P290" s="457">
        <v>0</v>
      </c>
      <c r="Q290" s="457">
        <v>0</v>
      </c>
      <c r="R290" s="457">
        <v>0</v>
      </c>
      <c r="S290" s="457">
        <v>0</v>
      </c>
      <c r="T290" s="410" t="e">
        <v>#DIV/0!</v>
      </c>
      <c r="U290" s="285">
        <v>0</v>
      </c>
      <c r="V290" s="285">
        <v>0</v>
      </c>
      <c r="W290" s="285">
        <v>0</v>
      </c>
      <c r="X290" s="285">
        <v>0</v>
      </c>
      <c r="Y290" s="285">
        <v>0</v>
      </c>
      <c r="Z290" s="285">
        <v>0</v>
      </c>
    </row>
    <row r="291" spans="1:26" x14ac:dyDescent="0.2">
      <c r="A291" s="412" t="s">
        <v>517</v>
      </c>
      <c r="B291" s="457">
        <v>0</v>
      </c>
      <c r="C291" s="457">
        <v>0</v>
      </c>
      <c r="D291" s="457">
        <v>0</v>
      </c>
      <c r="E291" s="457">
        <v>0</v>
      </c>
      <c r="F291" s="457">
        <v>0</v>
      </c>
      <c r="G291" s="457">
        <v>0</v>
      </c>
      <c r="H291" s="457">
        <v>0</v>
      </c>
      <c r="I291" s="457">
        <v>0</v>
      </c>
      <c r="J291" s="457">
        <v>0</v>
      </c>
      <c r="K291" s="457">
        <v>0</v>
      </c>
      <c r="L291" s="457">
        <v>0</v>
      </c>
      <c r="M291" s="457">
        <v>0</v>
      </c>
      <c r="N291" s="457">
        <v>0</v>
      </c>
      <c r="O291" s="457">
        <v>0</v>
      </c>
      <c r="P291" s="457">
        <v>0</v>
      </c>
      <c r="Q291" s="457">
        <v>0</v>
      </c>
      <c r="R291" s="457">
        <v>0</v>
      </c>
      <c r="S291" s="457">
        <v>0</v>
      </c>
      <c r="T291" s="410" t="e">
        <v>#DIV/0!</v>
      </c>
      <c r="U291" s="285">
        <v>0</v>
      </c>
      <c r="V291" s="285">
        <v>0</v>
      </c>
      <c r="W291" s="285">
        <v>0</v>
      </c>
      <c r="X291" s="285">
        <v>0</v>
      </c>
      <c r="Y291" s="285">
        <v>0</v>
      </c>
      <c r="Z291" s="285">
        <v>0</v>
      </c>
    </row>
    <row r="292" spans="1:26" x14ac:dyDescent="0.2">
      <c r="A292" s="404" t="s">
        <v>518</v>
      </c>
      <c r="B292" s="448">
        <v>0</v>
      </c>
      <c r="C292" s="448">
        <v>0</v>
      </c>
      <c r="D292" s="448">
        <v>0</v>
      </c>
      <c r="E292" s="448">
        <v>0</v>
      </c>
      <c r="F292" s="448">
        <v>0</v>
      </c>
      <c r="G292" s="448">
        <v>0</v>
      </c>
      <c r="H292" s="448">
        <v>0</v>
      </c>
      <c r="I292" s="448">
        <v>0</v>
      </c>
      <c r="J292" s="448">
        <v>0</v>
      </c>
      <c r="K292" s="448">
        <v>0</v>
      </c>
      <c r="L292" s="448">
        <v>0</v>
      </c>
      <c r="M292" s="448">
        <v>0</v>
      </c>
      <c r="N292" s="448">
        <v>0</v>
      </c>
      <c r="O292" s="448">
        <v>0</v>
      </c>
      <c r="P292" s="448">
        <v>0</v>
      </c>
      <c r="Q292" s="448">
        <v>0</v>
      </c>
      <c r="R292" s="448">
        <v>0</v>
      </c>
      <c r="S292" s="448">
        <v>0</v>
      </c>
      <c r="T292" s="407" t="e">
        <v>#DIV/0!</v>
      </c>
      <c r="U292" s="406">
        <v>0</v>
      </c>
      <c r="V292" s="406">
        <v>0</v>
      </c>
      <c r="W292" s="406">
        <v>0</v>
      </c>
      <c r="X292" s="406">
        <v>0</v>
      </c>
      <c r="Y292" s="406">
        <v>0</v>
      </c>
      <c r="Z292" s="406">
        <v>0</v>
      </c>
    </row>
    <row r="293" spans="1:26" x14ac:dyDescent="0.2">
      <c r="A293" s="412" t="s">
        <v>519</v>
      </c>
      <c r="B293" s="457">
        <v>0</v>
      </c>
      <c r="C293" s="457">
        <v>0</v>
      </c>
      <c r="D293" s="457">
        <v>0</v>
      </c>
      <c r="E293" s="457">
        <v>0</v>
      </c>
      <c r="F293" s="457">
        <v>0</v>
      </c>
      <c r="G293" s="457">
        <v>0</v>
      </c>
      <c r="H293" s="457">
        <v>0</v>
      </c>
      <c r="I293" s="457">
        <v>0</v>
      </c>
      <c r="J293" s="457">
        <v>0</v>
      </c>
      <c r="K293" s="457">
        <v>0</v>
      </c>
      <c r="L293" s="457">
        <v>0</v>
      </c>
      <c r="M293" s="457">
        <v>0</v>
      </c>
      <c r="N293" s="457">
        <v>0</v>
      </c>
      <c r="O293" s="457">
        <v>0</v>
      </c>
      <c r="P293" s="457">
        <v>0</v>
      </c>
      <c r="Q293" s="457">
        <v>0</v>
      </c>
      <c r="R293" s="457">
        <v>0</v>
      </c>
      <c r="S293" s="457">
        <v>0</v>
      </c>
      <c r="T293" s="410" t="e">
        <v>#DIV/0!</v>
      </c>
      <c r="U293" s="285">
        <v>0</v>
      </c>
      <c r="V293" s="285">
        <v>0</v>
      </c>
      <c r="W293" s="285">
        <v>0</v>
      </c>
      <c r="X293" s="285">
        <v>0</v>
      </c>
      <c r="Y293" s="285">
        <v>0</v>
      </c>
      <c r="Z293" s="285">
        <v>0</v>
      </c>
    </row>
    <row r="294" spans="1:26" x14ac:dyDescent="0.2">
      <c r="A294" s="412" t="s">
        <v>520</v>
      </c>
      <c r="B294" s="457">
        <v>0</v>
      </c>
      <c r="C294" s="457">
        <v>0</v>
      </c>
      <c r="D294" s="457">
        <v>0</v>
      </c>
      <c r="E294" s="457">
        <v>0</v>
      </c>
      <c r="F294" s="457">
        <v>0</v>
      </c>
      <c r="G294" s="457">
        <v>0</v>
      </c>
      <c r="H294" s="457">
        <v>0</v>
      </c>
      <c r="I294" s="457">
        <v>0</v>
      </c>
      <c r="J294" s="457">
        <v>0</v>
      </c>
      <c r="K294" s="457">
        <v>0</v>
      </c>
      <c r="L294" s="457">
        <v>0</v>
      </c>
      <c r="M294" s="457">
        <v>0</v>
      </c>
      <c r="N294" s="457">
        <v>0</v>
      </c>
      <c r="O294" s="457">
        <v>0</v>
      </c>
      <c r="P294" s="457">
        <v>0</v>
      </c>
      <c r="Q294" s="457">
        <v>0</v>
      </c>
      <c r="R294" s="457">
        <v>0</v>
      </c>
      <c r="S294" s="457">
        <v>0</v>
      </c>
      <c r="T294" s="410" t="e">
        <v>#DIV/0!</v>
      </c>
      <c r="U294" s="285">
        <v>0</v>
      </c>
      <c r="V294" s="285">
        <v>0</v>
      </c>
      <c r="W294" s="285">
        <v>0</v>
      </c>
      <c r="X294" s="285">
        <v>0</v>
      </c>
      <c r="Y294" s="285">
        <v>0</v>
      </c>
      <c r="Z294" s="285">
        <v>0</v>
      </c>
    </row>
    <row r="295" spans="1:26" x14ac:dyDescent="0.2">
      <c r="A295" s="404" t="s">
        <v>521</v>
      </c>
      <c r="B295" s="448">
        <v>0</v>
      </c>
      <c r="C295" s="448">
        <v>0</v>
      </c>
      <c r="D295" s="448">
        <v>0</v>
      </c>
      <c r="E295" s="448">
        <v>0</v>
      </c>
      <c r="F295" s="448">
        <v>0</v>
      </c>
      <c r="G295" s="448">
        <v>0</v>
      </c>
      <c r="H295" s="448">
        <v>0</v>
      </c>
      <c r="I295" s="448">
        <v>0</v>
      </c>
      <c r="J295" s="448">
        <v>0</v>
      </c>
      <c r="K295" s="448">
        <v>0</v>
      </c>
      <c r="L295" s="448">
        <v>0</v>
      </c>
      <c r="M295" s="448">
        <v>0</v>
      </c>
      <c r="N295" s="448">
        <v>0</v>
      </c>
      <c r="O295" s="448">
        <v>0</v>
      </c>
      <c r="P295" s="448">
        <v>0</v>
      </c>
      <c r="Q295" s="448">
        <v>0</v>
      </c>
      <c r="R295" s="448">
        <v>0</v>
      </c>
      <c r="S295" s="448">
        <v>0</v>
      </c>
      <c r="T295" s="407" t="e">
        <v>#DIV/0!</v>
      </c>
      <c r="U295" s="406">
        <v>0</v>
      </c>
      <c r="V295" s="406">
        <v>0</v>
      </c>
      <c r="W295" s="406">
        <v>0</v>
      </c>
      <c r="X295" s="406">
        <v>0</v>
      </c>
      <c r="Y295" s="406">
        <v>0</v>
      </c>
      <c r="Z295" s="406">
        <v>0</v>
      </c>
    </row>
    <row r="296" spans="1:26" x14ac:dyDescent="0.2">
      <c r="A296" s="409" t="s">
        <v>522</v>
      </c>
      <c r="B296" s="457">
        <v>0</v>
      </c>
      <c r="C296" s="457">
        <v>0</v>
      </c>
      <c r="D296" s="457">
        <v>0</v>
      </c>
      <c r="E296" s="457">
        <v>0</v>
      </c>
      <c r="F296" s="457">
        <v>0</v>
      </c>
      <c r="G296" s="457">
        <v>0</v>
      </c>
      <c r="H296" s="457">
        <v>0</v>
      </c>
      <c r="I296" s="457">
        <v>0</v>
      </c>
      <c r="J296" s="457">
        <v>0</v>
      </c>
      <c r="K296" s="457">
        <v>0</v>
      </c>
      <c r="L296" s="457">
        <v>0</v>
      </c>
      <c r="M296" s="457">
        <v>0</v>
      </c>
      <c r="N296" s="457">
        <v>0</v>
      </c>
      <c r="O296" s="457">
        <v>0</v>
      </c>
      <c r="P296" s="457">
        <v>0</v>
      </c>
      <c r="Q296" s="457">
        <v>0</v>
      </c>
      <c r="R296" s="457">
        <v>0</v>
      </c>
      <c r="S296" s="457">
        <v>0</v>
      </c>
      <c r="T296" s="410" t="e">
        <v>#DIV/0!</v>
      </c>
      <c r="U296" s="285">
        <v>0</v>
      </c>
      <c r="V296" s="285">
        <v>0</v>
      </c>
      <c r="W296" s="285">
        <v>0</v>
      </c>
      <c r="X296" s="285">
        <v>0</v>
      </c>
      <c r="Y296" s="285">
        <v>0</v>
      </c>
      <c r="Z296" s="285">
        <v>0</v>
      </c>
    </row>
    <row r="297" spans="1:26" ht="24" x14ac:dyDescent="0.2">
      <c r="A297" s="409" t="s">
        <v>523</v>
      </c>
      <c r="B297" s="457">
        <v>0</v>
      </c>
      <c r="C297" s="457">
        <v>0</v>
      </c>
      <c r="D297" s="457">
        <v>0</v>
      </c>
      <c r="E297" s="457">
        <v>0</v>
      </c>
      <c r="F297" s="457">
        <v>0</v>
      </c>
      <c r="G297" s="457">
        <v>0</v>
      </c>
      <c r="H297" s="457">
        <v>0</v>
      </c>
      <c r="I297" s="457">
        <v>0</v>
      </c>
      <c r="J297" s="457">
        <v>0</v>
      </c>
      <c r="K297" s="457">
        <v>0</v>
      </c>
      <c r="L297" s="457">
        <v>0</v>
      </c>
      <c r="M297" s="457">
        <v>0</v>
      </c>
      <c r="N297" s="457">
        <v>0</v>
      </c>
      <c r="O297" s="457">
        <v>0</v>
      </c>
      <c r="P297" s="457">
        <v>0</v>
      </c>
      <c r="Q297" s="457">
        <v>0</v>
      </c>
      <c r="R297" s="457">
        <v>0</v>
      </c>
      <c r="S297" s="457">
        <v>0</v>
      </c>
      <c r="T297" s="410" t="e">
        <v>#DIV/0!</v>
      </c>
      <c r="U297" s="285">
        <v>0</v>
      </c>
      <c r="V297" s="285">
        <v>0</v>
      </c>
      <c r="W297" s="285">
        <v>0</v>
      </c>
      <c r="X297" s="285">
        <v>0</v>
      </c>
      <c r="Y297" s="285">
        <v>0</v>
      </c>
      <c r="Z297" s="285">
        <v>0</v>
      </c>
    </row>
    <row r="298" spans="1:26" ht="24" x14ac:dyDescent="0.2">
      <c r="A298" s="409" t="s">
        <v>524</v>
      </c>
      <c r="B298" s="457">
        <v>0</v>
      </c>
      <c r="C298" s="457">
        <v>0</v>
      </c>
      <c r="D298" s="457">
        <v>0</v>
      </c>
      <c r="E298" s="457">
        <v>0</v>
      </c>
      <c r="F298" s="457">
        <v>0</v>
      </c>
      <c r="G298" s="457">
        <v>0</v>
      </c>
      <c r="H298" s="457">
        <v>0</v>
      </c>
      <c r="I298" s="457">
        <v>0</v>
      </c>
      <c r="J298" s="457">
        <v>0</v>
      </c>
      <c r="K298" s="457">
        <v>0</v>
      </c>
      <c r="L298" s="457">
        <v>0</v>
      </c>
      <c r="M298" s="457">
        <v>0</v>
      </c>
      <c r="N298" s="457">
        <v>0</v>
      </c>
      <c r="O298" s="457">
        <v>0</v>
      </c>
      <c r="P298" s="457">
        <v>0</v>
      </c>
      <c r="Q298" s="457">
        <v>0</v>
      </c>
      <c r="R298" s="457">
        <v>0</v>
      </c>
      <c r="S298" s="457">
        <v>0</v>
      </c>
      <c r="T298" s="410" t="e">
        <v>#DIV/0!</v>
      </c>
      <c r="U298" s="285">
        <v>0</v>
      </c>
      <c r="V298" s="285">
        <v>0</v>
      </c>
      <c r="W298" s="285">
        <v>0</v>
      </c>
      <c r="X298" s="285">
        <v>0</v>
      </c>
      <c r="Y298" s="285">
        <v>0</v>
      </c>
      <c r="Z298" s="285">
        <v>0</v>
      </c>
    </row>
    <row r="299" spans="1:26" x14ac:dyDescent="0.2">
      <c r="A299" s="404" t="s">
        <v>525</v>
      </c>
      <c r="B299" s="448">
        <v>0</v>
      </c>
      <c r="C299" s="448">
        <v>0</v>
      </c>
      <c r="D299" s="448">
        <v>0</v>
      </c>
      <c r="E299" s="448">
        <v>0</v>
      </c>
      <c r="F299" s="448">
        <v>0</v>
      </c>
      <c r="G299" s="448">
        <v>0</v>
      </c>
      <c r="H299" s="448">
        <v>0</v>
      </c>
      <c r="I299" s="448">
        <v>0</v>
      </c>
      <c r="J299" s="448">
        <v>0</v>
      </c>
      <c r="K299" s="448">
        <v>0</v>
      </c>
      <c r="L299" s="448">
        <v>0</v>
      </c>
      <c r="M299" s="448">
        <v>0</v>
      </c>
      <c r="N299" s="448">
        <v>0</v>
      </c>
      <c r="O299" s="448">
        <v>0</v>
      </c>
      <c r="P299" s="448">
        <v>0</v>
      </c>
      <c r="Q299" s="448">
        <v>0</v>
      </c>
      <c r="R299" s="448">
        <v>0</v>
      </c>
      <c r="S299" s="448">
        <v>0</v>
      </c>
      <c r="T299" s="407" t="e">
        <v>#DIV/0!</v>
      </c>
      <c r="U299" s="406">
        <v>0</v>
      </c>
      <c r="V299" s="406">
        <v>0</v>
      </c>
      <c r="W299" s="406">
        <v>0</v>
      </c>
      <c r="X299" s="406">
        <v>0</v>
      </c>
      <c r="Y299" s="406">
        <v>0</v>
      </c>
      <c r="Z299" s="406">
        <v>0</v>
      </c>
    </row>
    <row r="300" spans="1:26" x14ac:dyDescent="0.2">
      <c r="A300" s="412" t="s">
        <v>526</v>
      </c>
      <c r="B300" s="457">
        <v>0</v>
      </c>
      <c r="C300" s="457">
        <v>0</v>
      </c>
      <c r="D300" s="457">
        <v>0</v>
      </c>
      <c r="E300" s="457">
        <v>0</v>
      </c>
      <c r="F300" s="457">
        <v>0</v>
      </c>
      <c r="G300" s="457">
        <v>0</v>
      </c>
      <c r="H300" s="457">
        <v>0</v>
      </c>
      <c r="I300" s="457">
        <v>0</v>
      </c>
      <c r="J300" s="457">
        <v>0</v>
      </c>
      <c r="K300" s="457">
        <v>0</v>
      </c>
      <c r="L300" s="457">
        <v>0</v>
      </c>
      <c r="M300" s="457">
        <v>0</v>
      </c>
      <c r="N300" s="457">
        <v>0</v>
      </c>
      <c r="O300" s="457">
        <v>0</v>
      </c>
      <c r="P300" s="457">
        <v>0</v>
      </c>
      <c r="Q300" s="457">
        <v>0</v>
      </c>
      <c r="R300" s="457">
        <v>0</v>
      </c>
      <c r="S300" s="457">
        <v>0</v>
      </c>
      <c r="T300" s="410" t="e">
        <v>#DIV/0!</v>
      </c>
      <c r="U300" s="285">
        <v>0</v>
      </c>
      <c r="V300" s="285">
        <v>0</v>
      </c>
      <c r="W300" s="285">
        <v>0</v>
      </c>
      <c r="X300" s="285">
        <v>0</v>
      </c>
      <c r="Y300" s="285">
        <v>0</v>
      </c>
      <c r="Z300" s="285">
        <v>0</v>
      </c>
    </row>
    <row r="301" spans="1:26" x14ac:dyDescent="0.2">
      <c r="A301" s="412" t="s">
        <v>527</v>
      </c>
      <c r="B301" s="457">
        <v>0</v>
      </c>
      <c r="C301" s="457">
        <v>0</v>
      </c>
      <c r="D301" s="457">
        <v>0</v>
      </c>
      <c r="E301" s="457">
        <v>0</v>
      </c>
      <c r="F301" s="457">
        <v>0</v>
      </c>
      <c r="G301" s="457">
        <v>0</v>
      </c>
      <c r="H301" s="457">
        <v>0</v>
      </c>
      <c r="I301" s="457">
        <v>0</v>
      </c>
      <c r="J301" s="457">
        <v>0</v>
      </c>
      <c r="K301" s="457">
        <v>0</v>
      </c>
      <c r="L301" s="457">
        <v>0</v>
      </c>
      <c r="M301" s="457">
        <v>0</v>
      </c>
      <c r="N301" s="457">
        <v>0</v>
      </c>
      <c r="O301" s="457">
        <v>0</v>
      </c>
      <c r="P301" s="457">
        <v>0</v>
      </c>
      <c r="Q301" s="457">
        <v>0</v>
      </c>
      <c r="R301" s="457">
        <v>0</v>
      </c>
      <c r="S301" s="457">
        <v>0</v>
      </c>
      <c r="T301" s="410" t="e">
        <v>#DIV/0!</v>
      </c>
      <c r="U301" s="285">
        <v>0</v>
      </c>
      <c r="V301" s="285">
        <v>0</v>
      </c>
      <c r="W301" s="285">
        <v>0</v>
      </c>
      <c r="X301" s="285">
        <v>0</v>
      </c>
      <c r="Y301" s="285">
        <v>0</v>
      </c>
      <c r="Z301" s="285">
        <v>0</v>
      </c>
    </row>
    <row r="302" spans="1:26" x14ac:dyDescent="0.2">
      <c r="A302" s="412" t="s">
        <v>528</v>
      </c>
      <c r="B302" s="457">
        <v>0</v>
      </c>
      <c r="C302" s="457">
        <v>0</v>
      </c>
      <c r="D302" s="457">
        <v>0</v>
      </c>
      <c r="E302" s="457">
        <v>0</v>
      </c>
      <c r="F302" s="457">
        <v>0</v>
      </c>
      <c r="G302" s="457">
        <v>0</v>
      </c>
      <c r="H302" s="457">
        <v>0</v>
      </c>
      <c r="I302" s="457">
        <v>0</v>
      </c>
      <c r="J302" s="457">
        <v>0</v>
      </c>
      <c r="K302" s="457">
        <v>0</v>
      </c>
      <c r="L302" s="457">
        <v>0</v>
      </c>
      <c r="M302" s="457">
        <v>0</v>
      </c>
      <c r="N302" s="457">
        <v>0</v>
      </c>
      <c r="O302" s="457">
        <v>0</v>
      </c>
      <c r="P302" s="457">
        <v>0</v>
      </c>
      <c r="Q302" s="457">
        <v>0</v>
      </c>
      <c r="R302" s="457">
        <v>0</v>
      </c>
      <c r="S302" s="457">
        <v>0</v>
      </c>
      <c r="T302" s="410" t="e">
        <v>#DIV/0!</v>
      </c>
      <c r="U302" s="285">
        <v>0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</row>
    <row r="303" spans="1:26" x14ac:dyDescent="0.2">
      <c r="A303" s="412" t="s">
        <v>529</v>
      </c>
      <c r="B303" s="457">
        <v>0</v>
      </c>
      <c r="C303" s="457">
        <v>0</v>
      </c>
      <c r="D303" s="457">
        <v>0</v>
      </c>
      <c r="E303" s="457">
        <v>0</v>
      </c>
      <c r="F303" s="457">
        <v>0</v>
      </c>
      <c r="G303" s="457">
        <v>0</v>
      </c>
      <c r="H303" s="457">
        <v>0</v>
      </c>
      <c r="I303" s="457">
        <v>0</v>
      </c>
      <c r="J303" s="457">
        <v>0</v>
      </c>
      <c r="K303" s="457">
        <v>0</v>
      </c>
      <c r="L303" s="457">
        <v>0</v>
      </c>
      <c r="M303" s="457">
        <v>0</v>
      </c>
      <c r="N303" s="457">
        <v>0</v>
      </c>
      <c r="O303" s="457">
        <v>0</v>
      </c>
      <c r="P303" s="457">
        <v>0</v>
      </c>
      <c r="Q303" s="457">
        <v>0</v>
      </c>
      <c r="R303" s="457">
        <v>0</v>
      </c>
      <c r="S303" s="457">
        <v>0</v>
      </c>
      <c r="T303" s="410" t="e">
        <v>#DIV/0!</v>
      </c>
      <c r="U303" s="285">
        <v>0</v>
      </c>
      <c r="V303" s="285">
        <v>0</v>
      </c>
      <c r="W303" s="285">
        <v>0</v>
      </c>
      <c r="X303" s="285">
        <v>0</v>
      </c>
      <c r="Y303" s="285">
        <v>0</v>
      </c>
      <c r="Z303" s="285">
        <v>0</v>
      </c>
    </row>
    <row r="304" spans="1:26" x14ac:dyDescent="0.2">
      <c r="A304" s="412" t="s">
        <v>530</v>
      </c>
      <c r="B304" s="457">
        <v>0</v>
      </c>
      <c r="C304" s="457">
        <v>0</v>
      </c>
      <c r="D304" s="457">
        <v>0</v>
      </c>
      <c r="E304" s="457">
        <v>0</v>
      </c>
      <c r="F304" s="457">
        <v>0</v>
      </c>
      <c r="G304" s="457">
        <v>0</v>
      </c>
      <c r="H304" s="457">
        <v>0</v>
      </c>
      <c r="I304" s="457">
        <v>0</v>
      </c>
      <c r="J304" s="457">
        <v>0</v>
      </c>
      <c r="K304" s="457">
        <v>0</v>
      </c>
      <c r="L304" s="457">
        <v>0</v>
      </c>
      <c r="M304" s="457">
        <v>0</v>
      </c>
      <c r="N304" s="457">
        <v>0</v>
      </c>
      <c r="O304" s="457">
        <v>0</v>
      </c>
      <c r="P304" s="457">
        <v>0</v>
      </c>
      <c r="Q304" s="457">
        <v>0</v>
      </c>
      <c r="R304" s="457">
        <v>0</v>
      </c>
      <c r="S304" s="457">
        <v>0</v>
      </c>
      <c r="T304" s="410" t="e">
        <v>#DIV/0!</v>
      </c>
      <c r="U304" s="285">
        <v>0</v>
      </c>
      <c r="V304" s="285">
        <v>0</v>
      </c>
      <c r="W304" s="285">
        <v>0</v>
      </c>
      <c r="X304" s="285">
        <v>0</v>
      </c>
      <c r="Y304" s="285">
        <v>0</v>
      </c>
      <c r="Z304" s="285">
        <v>0</v>
      </c>
    </row>
    <row r="305" spans="1:26" x14ac:dyDescent="0.2">
      <c r="A305" s="412" t="s">
        <v>531</v>
      </c>
      <c r="B305" s="457">
        <v>0</v>
      </c>
      <c r="C305" s="457">
        <v>0</v>
      </c>
      <c r="D305" s="457">
        <v>0</v>
      </c>
      <c r="E305" s="457">
        <v>0</v>
      </c>
      <c r="F305" s="457">
        <v>0</v>
      </c>
      <c r="G305" s="457">
        <v>0</v>
      </c>
      <c r="H305" s="457">
        <v>0</v>
      </c>
      <c r="I305" s="457">
        <v>0</v>
      </c>
      <c r="J305" s="457">
        <v>0</v>
      </c>
      <c r="K305" s="457">
        <v>0</v>
      </c>
      <c r="L305" s="457">
        <v>0</v>
      </c>
      <c r="M305" s="457">
        <v>0</v>
      </c>
      <c r="N305" s="457">
        <v>0</v>
      </c>
      <c r="O305" s="457">
        <v>0</v>
      </c>
      <c r="P305" s="457">
        <v>0</v>
      </c>
      <c r="Q305" s="457">
        <v>0</v>
      </c>
      <c r="R305" s="457">
        <v>0</v>
      </c>
      <c r="S305" s="457">
        <v>0</v>
      </c>
      <c r="T305" s="410" t="e">
        <v>#DIV/0!</v>
      </c>
      <c r="U305" s="285">
        <v>0</v>
      </c>
      <c r="V305" s="285">
        <v>0</v>
      </c>
      <c r="W305" s="285">
        <v>0</v>
      </c>
      <c r="X305" s="285">
        <v>0</v>
      </c>
      <c r="Y305" s="285">
        <v>0</v>
      </c>
      <c r="Z305" s="285">
        <v>0</v>
      </c>
    </row>
    <row r="306" spans="1:26" x14ac:dyDescent="0.2">
      <c r="A306" s="412" t="s">
        <v>532</v>
      </c>
      <c r="B306" s="457">
        <v>0</v>
      </c>
      <c r="C306" s="457">
        <v>0</v>
      </c>
      <c r="D306" s="457">
        <v>0</v>
      </c>
      <c r="E306" s="457">
        <v>0</v>
      </c>
      <c r="F306" s="457">
        <v>0</v>
      </c>
      <c r="G306" s="457">
        <v>0</v>
      </c>
      <c r="H306" s="457">
        <v>0</v>
      </c>
      <c r="I306" s="457">
        <v>0</v>
      </c>
      <c r="J306" s="457">
        <v>0</v>
      </c>
      <c r="K306" s="457">
        <v>0</v>
      </c>
      <c r="L306" s="457">
        <v>0</v>
      </c>
      <c r="M306" s="457">
        <v>0</v>
      </c>
      <c r="N306" s="457">
        <v>0</v>
      </c>
      <c r="O306" s="457">
        <v>0</v>
      </c>
      <c r="P306" s="457">
        <v>0</v>
      </c>
      <c r="Q306" s="457">
        <v>0</v>
      </c>
      <c r="R306" s="457">
        <v>0</v>
      </c>
      <c r="S306" s="457">
        <v>0</v>
      </c>
      <c r="T306" s="410" t="e">
        <v>#DIV/0!</v>
      </c>
      <c r="U306" s="285">
        <v>0</v>
      </c>
      <c r="V306" s="285">
        <v>0</v>
      </c>
      <c r="W306" s="285">
        <v>0</v>
      </c>
      <c r="X306" s="285">
        <v>0</v>
      </c>
      <c r="Y306" s="285">
        <v>0</v>
      </c>
      <c r="Z306" s="285">
        <v>0</v>
      </c>
    </row>
    <row r="307" spans="1:26" x14ac:dyDescent="0.2">
      <c r="A307" s="404" t="s">
        <v>533</v>
      </c>
      <c r="B307" s="247">
        <v>0</v>
      </c>
      <c r="C307" s="247">
        <v>0</v>
      </c>
      <c r="D307" s="247">
        <v>0</v>
      </c>
      <c r="E307" s="247">
        <v>0</v>
      </c>
      <c r="F307" s="247">
        <v>0</v>
      </c>
      <c r="G307" s="247">
        <v>0</v>
      </c>
      <c r="H307" s="247">
        <v>0</v>
      </c>
      <c r="I307" s="247">
        <v>0</v>
      </c>
      <c r="J307" s="247">
        <v>0</v>
      </c>
      <c r="K307" s="247">
        <v>0</v>
      </c>
      <c r="L307" s="247">
        <v>0</v>
      </c>
      <c r="M307" s="247">
        <v>0</v>
      </c>
      <c r="N307" s="247">
        <v>0</v>
      </c>
      <c r="O307" s="247">
        <v>0</v>
      </c>
      <c r="P307" s="247">
        <v>0</v>
      </c>
      <c r="Q307" s="247">
        <v>0</v>
      </c>
      <c r="R307" s="247">
        <v>0</v>
      </c>
      <c r="S307" s="247">
        <v>0</v>
      </c>
      <c r="T307" s="407" t="e">
        <v>#DIV/0!</v>
      </c>
      <c r="U307" s="406">
        <v>0</v>
      </c>
      <c r="V307" s="406">
        <v>0</v>
      </c>
      <c r="W307" s="406">
        <v>0</v>
      </c>
      <c r="X307" s="406">
        <v>0</v>
      </c>
      <c r="Y307" s="406">
        <v>0</v>
      </c>
      <c r="Z307" s="406">
        <v>0</v>
      </c>
    </row>
    <row r="308" spans="1:26" x14ac:dyDescent="0.2">
      <c r="A308" s="404" t="s">
        <v>534</v>
      </c>
      <c r="B308" s="247">
        <v>0</v>
      </c>
      <c r="C308" s="247">
        <v>0</v>
      </c>
      <c r="D308" s="247">
        <v>0</v>
      </c>
      <c r="E308" s="247">
        <v>0</v>
      </c>
      <c r="F308" s="247">
        <v>0</v>
      </c>
      <c r="G308" s="247">
        <v>0</v>
      </c>
      <c r="H308" s="247">
        <v>0</v>
      </c>
      <c r="I308" s="247">
        <v>0</v>
      </c>
      <c r="J308" s="247">
        <v>0</v>
      </c>
      <c r="K308" s="247">
        <v>0</v>
      </c>
      <c r="L308" s="247">
        <v>0</v>
      </c>
      <c r="M308" s="247">
        <v>0</v>
      </c>
      <c r="N308" s="247">
        <v>0</v>
      </c>
      <c r="O308" s="247">
        <v>0</v>
      </c>
      <c r="P308" s="247">
        <v>0</v>
      </c>
      <c r="Q308" s="247">
        <v>0</v>
      </c>
      <c r="R308" s="247">
        <v>0</v>
      </c>
      <c r="S308" s="247">
        <v>0</v>
      </c>
      <c r="T308" s="407" t="e">
        <v>#DIV/0!</v>
      </c>
      <c r="U308" s="406">
        <v>0</v>
      </c>
      <c r="V308" s="406">
        <v>0</v>
      </c>
      <c r="W308" s="406">
        <v>0</v>
      </c>
      <c r="X308" s="406">
        <v>0</v>
      </c>
      <c r="Y308" s="406">
        <v>0</v>
      </c>
      <c r="Z308" s="406">
        <v>0</v>
      </c>
    </row>
    <row r="309" spans="1:26" x14ac:dyDescent="0.2">
      <c r="A309" s="404" t="s">
        <v>535</v>
      </c>
      <c r="B309" s="448">
        <v>0</v>
      </c>
      <c r="C309" s="448">
        <v>0</v>
      </c>
      <c r="D309" s="448">
        <v>0</v>
      </c>
      <c r="E309" s="448">
        <v>0</v>
      </c>
      <c r="F309" s="448">
        <v>0</v>
      </c>
      <c r="G309" s="448">
        <v>0</v>
      </c>
      <c r="H309" s="448">
        <v>0</v>
      </c>
      <c r="I309" s="448">
        <v>0</v>
      </c>
      <c r="J309" s="448">
        <v>0</v>
      </c>
      <c r="K309" s="448">
        <v>0</v>
      </c>
      <c r="L309" s="448">
        <v>0</v>
      </c>
      <c r="M309" s="448">
        <v>0</v>
      </c>
      <c r="N309" s="448">
        <v>0</v>
      </c>
      <c r="O309" s="448">
        <v>0</v>
      </c>
      <c r="P309" s="448">
        <v>0</v>
      </c>
      <c r="Q309" s="448">
        <v>0</v>
      </c>
      <c r="R309" s="448">
        <v>0</v>
      </c>
      <c r="S309" s="448">
        <v>0</v>
      </c>
      <c r="T309" s="407" t="e">
        <v>#DIV/0!</v>
      </c>
      <c r="U309" s="406">
        <v>0</v>
      </c>
      <c r="V309" s="406">
        <v>0</v>
      </c>
      <c r="W309" s="406">
        <v>0</v>
      </c>
      <c r="X309" s="406">
        <v>0</v>
      </c>
      <c r="Y309" s="406">
        <v>0</v>
      </c>
      <c r="Z309" s="406">
        <v>0</v>
      </c>
    </row>
    <row r="310" spans="1:26" x14ac:dyDescent="0.2">
      <c r="A310" s="412" t="s">
        <v>536</v>
      </c>
      <c r="B310" s="457">
        <v>0</v>
      </c>
      <c r="C310" s="457">
        <v>0</v>
      </c>
      <c r="D310" s="457">
        <v>0</v>
      </c>
      <c r="E310" s="457">
        <v>0</v>
      </c>
      <c r="F310" s="457">
        <v>0</v>
      </c>
      <c r="G310" s="457">
        <v>0</v>
      </c>
      <c r="H310" s="457">
        <v>0</v>
      </c>
      <c r="I310" s="457">
        <v>0</v>
      </c>
      <c r="J310" s="457">
        <v>0</v>
      </c>
      <c r="K310" s="457">
        <v>0</v>
      </c>
      <c r="L310" s="457">
        <v>0</v>
      </c>
      <c r="M310" s="457">
        <v>0</v>
      </c>
      <c r="N310" s="457">
        <v>0</v>
      </c>
      <c r="O310" s="457">
        <v>0</v>
      </c>
      <c r="P310" s="457">
        <v>0</v>
      </c>
      <c r="Q310" s="457">
        <v>0</v>
      </c>
      <c r="R310" s="457">
        <v>0</v>
      </c>
      <c r="S310" s="457">
        <v>0</v>
      </c>
      <c r="T310" s="410" t="e">
        <v>#DIV/0!</v>
      </c>
      <c r="U310" s="285">
        <v>0</v>
      </c>
      <c r="V310" s="285">
        <v>0</v>
      </c>
      <c r="W310" s="285">
        <v>0</v>
      </c>
      <c r="X310" s="285">
        <v>0</v>
      </c>
      <c r="Y310" s="285">
        <v>0</v>
      </c>
      <c r="Z310" s="285">
        <v>0</v>
      </c>
    </row>
    <row r="311" spans="1:26" x14ac:dyDescent="0.2">
      <c r="A311" s="412" t="s">
        <v>537</v>
      </c>
      <c r="B311" s="457">
        <v>0</v>
      </c>
      <c r="C311" s="457">
        <v>0</v>
      </c>
      <c r="D311" s="457">
        <v>0</v>
      </c>
      <c r="E311" s="457">
        <v>0</v>
      </c>
      <c r="F311" s="457">
        <v>0</v>
      </c>
      <c r="G311" s="457">
        <v>0</v>
      </c>
      <c r="H311" s="457">
        <v>0</v>
      </c>
      <c r="I311" s="457">
        <v>0</v>
      </c>
      <c r="J311" s="457">
        <v>0</v>
      </c>
      <c r="K311" s="457">
        <v>0</v>
      </c>
      <c r="L311" s="457">
        <v>0</v>
      </c>
      <c r="M311" s="457">
        <v>0</v>
      </c>
      <c r="N311" s="457">
        <v>0</v>
      </c>
      <c r="O311" s="457">
        <v>0</v>
      </c>
      <c r="P311" s="457">
        <v>0</v>
      </c>
      <c r="Q311" s="457">
        <v>0</v>
      </c>
      <c r="R311" s="457">
        <v>0</v>
      </c>
      <c r="S311" s="457">
        <v>0</v>
      </c>
      <c r="T311" s="410" t="e">
        <v>#DIV/0!</v>
      </c>
      <c r="U311" s="285">
        <v>0</v>
      </c>
      <c r="V311" s="285">
        <v>0</v>
      </c>
      <c r="W311" s="285">
        <v>0</v>
      </c>
      <c r="X311" s="285">
        <v>0</v>
      </c>
      <c r="Y311" s="285">
        <v>0</v>
      </c>
      <c r="Z311" s="285">
        <v>0</v>
      </c>
    </row>
    <row r="312" spans="1:26" x14ac:dyDescent="0.2">
      <c r="A312" s="412" t="s">
        <v>538</v>
      </c>
      <c r="B312" s="457">
        <v>0</v>
      </c>
      <c r="C312" s="457">
        <v>0</v>
      </c>
      <c r="D312" s="457">
        <v>0</v>
      </c>
      <c r="E312" s="457">
        <v>0</v>
      </c>
      <c r="F312" s="457">
        <v>0</v>
      </c>
      <c r="G312" s="457">
        <v>0</v>
      </c>
      <c r="H312" s="457">
        <v>0</v>
      </c>
      <c r="I312" s="457">
        <v>0</v>
      </c>
      <c r="J312" s="457">
        <v>0</v>
      </c>
      <c r="K312" s="457">
        <v>0</v>
      </c>
      <c r="L312" s="457">
        <v>0</v>
      </c>
      <c r="M312" s="457">
        <v>0</v>
      </c>
      <c r="N312" s="457">
        <v>0</v>
      </c>
      <c r="O312" s="457">
        <v>0</v>
      </c>
      <c r="P312" s="457">
        <v>0</v>
      </c>
      <c r="Q312" s="457">
        <v>0</v>
      </c>
      <c r="R312" s="457">
        <v>0</v>
      </c>
      <c r="S312" s="457">
        <v>0</v>
      </c>
      <c r="T312" s="410" t="e">
        <v>#DIV/0!</v>
      </c>
      <c r="U312" s="285">
        <v>0</v>
      </c>
      <c r="V312" s="285">
        <v>0</v>
      </c>
      <c r="W312" s="285">
        <v>0</v>
      </c>
      <c r="X312" s="285">
        <v>0</v>
      </c>
      <c r="Y312" s="285">
        <v>0</v>
      </c>
      <c r="Z312" s="285">
        <v>0</v>
      </c>
    </row>
    <row r="313" spans="1:26" x14ac:dyDescent="0.2">
      <c r="A313" s="412" t="s">
        <v>539</v>
      </c>
      <c r="B313" s="457">
        <v>0</v>
      </c>
      <c r="C313" s="457">
        <v>0</v>
      </c>
      <c r="D313" s="457">
        <v>0</v>
      </c>
      <c r="E313" s="457">
        <v>0</v>
      </c>
      <c r="F313" s="457">
        <v>0</v>
      </c>
      <c r="G313" s="457">
        <v>0</v>
      </c>
      <c r="H313" s="457">
        <v>0</v>
      </c>
      <c r="I313" s="457">
        <v>0</v>
      </c>
      <c r="J313" s="457">
        <v>0</v>
      </c>
      <c r="K313" s="457">
        <v>0</v>
      </c>
      <c r="L313" s="457">
        <v>0</v>
      </c>
      <c r="M313" s="457">
        <v>0</v>
      </c>
      <c r="N313" s="457">
        <v>0</v>
      </c>
      <c r="O313" s="457">
        <v>0</v>
      </c>
      <c r="P313" s="457">
        <v>0</v>
      </c>
      <c r="Q313" s="457">
        <v>0</v>
      </c>
      <c r="R313" s="457">
        <v>0</v>
      </c>
      <c r="S313" s="457">
        <v>0</v>
      </c>
      <c r="T313" s="410" t="e">
        <v>#DIV/0!</v>
      </c>
      <c r="U313" s="285">
        <v>0</v>
      </c>
      <c r="V313" s="285">
        <v>0</v>
      </c>
      <c r="W313" s="285">
        <v>0</v>
      </c>
      <c r="X313" s="285">
        <v>0</v>
      </c>
      <c r="Y313" s="285">
        <v>0</v>
      </c>
      <c r="Z313" s="285">
        <v>0</v>
      </c>
    </row>
    <row r="314" spans="1:26" x14ac:dyDescent="0.2">
      <c r="A314" s="412" t="s">
        <v>540</v>
      </c>
      <c r="B314" s="457">
        <v>0</v>
      </c>
      <c r="C314" s="457">
        <v>0</v>
      </c>
      <c r="D314" s="457">
        <v>0</v>
      </c>
      <c r="E314" s="457">
        <v>0</v>
      </c>
      <c r="F314" s="457">
        <v>0</v>
      </c>
      <c r="G314" s="457">
        <v>0</v>
      </c>
      <c r="H314" s="457">
        <v>0</v>
      </c>
      <c r="I314" s="457">
        <v>0</v>
      </c>
      <c r="J314" s="457">
        <v>0</v>
      </c>
      <c r="K314" s="457">
        <v>0</v>
      </c>
      <c r="L314" s="457">
        <v>0</v>
      </c>
      <c r="M314" s="457">
        <v>0</v>
      </c>
      <c r="N314" s="457">
        <v>0</v>
      </c>
      <c r="O314" s="457">
        <v>0</v>
      </c>
      <c r="P314" s="457">
        <v>0</v>
      </c>
      <c r="Q314" s="457">
        <v>0</v>
      </c>
      <c r="R314" s="457">
        <v>0</v>
      </c>
      <c r="S314" s="457">
        <v>0</v>
      </c>
      <c r="T314" s="410" t="e">
        <v>#DIV/0!</v>
      </c>
      <c r="U314" s="285">
        <v>0</v>
      </c>
      <c r="V314" s="285">
        <v>0</v>
      </c>
      <c r="W314" s="285">
        <v>0</v>
      </c>
      <c r="X314" s="285">
        <v>0</v>
      </c>
      <c r="Y314" s="285">
        <v>0</v>
      </c>
      <c r="Z314" s="285">
        <v>0</v>
      </c>
    </row>
    <row r="315" spans="1:26" x14ac:dyDescent="0.2">
      <c r="A315" s="412" t="s">
        <v>541</v>
      </c>
      <c r="B315" s="457">
        <v>0</v>
      </c>
      <c r="C315" s="457">
        <v>0</v>
      </c>
      <c r="D315" s="457">
        <v>0</v>
      </c>
      <c r="E315" s="457">
        <v>0</v>
      </c>
      <c r="F315" s="457">
        <v>0</v>
      </c>
      <c r="G315" s="457">
        <v>0</v>
      </c>
      <c r="H315" s="457">
        <v>0</v>
      </c>
      <c r="I315" s="457">
        <v>0</v>
      </c>
      <c r="J315" s="457">
        <v>0</v>
      </c>
      <c r="K315" s="457">
        <v>0</v>
      </c>
      <c r="L315" s="457">
        <v>0</v>
      </c>
      <c r="M315" s="457">
        <v>0</v>
      </c>
      <c r="N315" s="457">
        <v>0</v>
      </c>
      <c r="O315" s="457">
        <v>0</v>
      </c>
      <c r="P315" s="457">
        <v>0</v>
      </c>
      <c r="Q315" s="457">
        <v>0</v>
      </c>
      <c r="R315" s="457">
        <v>0</v>
      </c>
      <c r="S315" s="457">
        <v>0</v>
      </c>
      <c r="T315" s="410" t="e">
        <v>#DIV/0!</v>
      </c>
      <c r="U315" s="285">
        <v>0</v>
      </c>
      <c r="V315" s="285">
        <v>0</v>
      </c>
      <c r="W315" s="285">
        <v>0</v>
      </c>
      <c r="X315" s="285">
        <v>0</v>
      </c>
      <c r="Y315" s="285">
        <v>0</v>
      </c>
      <c r="Z315" s="285">
        <v>0</v>
      </c>
    </row>
    <row r="316" spans="1:26" x14ac:dyDescent="0.2">
      <c r="A316" s="404" t="s">
        <v>542</v>
      </c>
      <c r="B316" s="247">
        <v>0</v>
      </c>
      <c r="C316" s="247">
        <v>0</v>
      </c>
      <c r="D316" s="247">
        <v>0</v>
      </c>
      <c r="E316" s="247">
        <v>0</v>
      </c>
      <c r="F316" s="247">
        <v>0</v>
      </c>
      <c r="G316" s="247">
        <v>0</v>
      </c>
      <c r="H316" s="247">
        <v>0</v>
      </c>
      <c r="I316" s="247">
        <v>0</v>
      </c>
      <c r="J316" s="247">
        <v>0</v>
      </c>
      <c r="K316" s="247">
        <v>0</v>
      </c>
      <c r="L316" s="247">
        <v>0</v>
      </c>
      <c r="M316" s="247">
        <v>0</v>
      </c>
      <c r="N316" s="247">
        <v>0</v>
      </c>
      <c r="O316" s="247">
        <v>0</v>
      </c>
      <c r="P316" s="247">
        <v>0</v>
      </c>
      <c r="Q316" s="247">
        <v>0</v>
      </c>
      <c r="R316" s="247">
        <v>0</v>
      </c>
      <c r="S316" s="247">
        <v>0</v>
      </c>
      <c r="T316" s="407" t="e">
        <v>#DIV/0!</v>
      </c>
      <c r="U316" s="406">
        <v>0</v>
      </c>
      <c r="V316" s="406">
        <v>0</v>
      </c>
      <c r="W316" s="406">
        <v>0</v>
      </c>
      <c r="X316" s="406">
        <v>0</v>
      </c>
      <c r="Y316" s="406">
        <v>0</v>
      </c>
      <c r="Z316" s="406">
        <v>0</v>
      </c>
    </row>
    <row r="317" spans="1:26" x14ac:dyDescent="0.2">
      <c r="A317" s="404" t="s">
        <v>543</v>
      </c>
      <c r="B317" s="247">
        <v>0</v>
      </c>
      <c r="C317" s="247">
        <v>0</v>
      </c>
      <c r="D317" s="247">
        <v>0</v>
      </c>
      <c r="E317" s="247">
        <v>0</v>
      </c>
      <c r="F317" s="247">
        <v>0</v>
      </c>
      <c r="G317" s="247">
        <v>0</v>
      </c>
      <c r="H317" s="247">
        <v>0</v>
      </c>
      <c r="I317" s="247">
        <v>0</v>
      </c>
      <c r="J317" s="247">
        <v>0</v>
      </c>
      <c r="K317" s="247">
        <v>0</v>
      </c>
      <c r="L317" s="247">
        <v>0</v>
      </c>
      <c r="M317" s="247">
        <v>0</v>
      </c>
      <c r="N317" s="247">
        <v>0</v>
      </c>
      <c r="O317" s="247">
        <v>0</v>
      </c>
      <c r="P317" s="247">
        <v>0</v>
      </c>
      <c r="Q317" s="247">
        <v>0</v>
      </c>
      <c r="R317" s="247">
        <v>0</v>
      </c>
      <c r="S317" s="247">
        <v>0</v>
      </c>
      <c r="T317" s="407" t="e">
        <v>#DIV/0!</v>
      </c>
      <c r="U317" s="406">
        <v>0</v>
      </c>
      <c r="V317" s="406">
        <v>0</v>
      </c>
      <c r="W317" s="406">
        <v>0</v>
      </c>
      <c r="X317" s="406">
        <v>0</v>
      </c>
      <c r="Y317" s="406">
        <v>0</v>
      </c>
      <c r="Z317" s="406">
        <v>0</v>
      </c>
    </row>
    <row r="318" spans="1:26" x14ac:dyDescent="0.2">
      <c r="A318" s="404" t="s">
        <v>544</v>
      </c>
      <c r="B318" s="448">
        <v>0</v>
      </c>
      <c r="C318" s="448">
        <v>0</v>
      </c>
      <c r="D318" s="448">
        <v>0</v>
      </c>
      <c r="E318" s="448">
        <v>0</v>
      </c>
      <c r="F318" s="448">
        <v>0</v>
      </c>
      <c r="G318" s="448">
        <v>0</v>
      </c>
      <c r="H318" s="448">
        <v>0</v>
      </c>
      <c r="I318" s="448">
        <v>0</v>
      </c>
      <c r="J318" s="448">
        <v>0</v>
      </c>
      <c r="K318" s="448">
        <v>0</v>
      </c>
      <c r="L318" s="448">
        <v>0</v>
      </c>
      <c r="M318" s="448">
        <v>0</v>
      </c>
      <c r="N318" s="448">
        <v>0</v>
      </c>
      <c r="O318" s="448">
        <v>0</v>
      </c>
      <c r="P318" s="448">
        <v>0</v>
      </c>
      <c r="Q318" s="448">
        <v>0</v>
      </c>
      <c r="R318" s="448">
        <v>0</v>
      </c>
      <c r="S318" s="448">
        <v>0</v>
      </c>
      <c r="T318" s="407" t="e">
        <v>#DIV/0!</v>
      </c>
      <c r="U318" s="406">
        <v>0</v>
      </c>
      <c r="V318" s="406">
        <v>0</v>
      </c>
      <c r="W318" s="406">
        <v>0</v>
      </c>
      <c r="X318" s="406">
        <v>0</v>
      </c>
      <c r="Y318" s="406">
        <v>0</v>
      </c>
      <c r="Z318" s="406">
        <v>0</v>
      </c>
    </row>
    <row r="319" spans="1:26" ht="24" x14ac:dyDescent="0.2">
      <c r="A319" s="412" t="s">
        <v>545</v>
      </c>
      <c r="B319" s="457">
        <v>0</v>
      </c>
      <c r="C319" s="457">
        <v>0</v>
      </c>
      <c r="D319" s="457">
        <v>0</v>
      </c>
      <c r="E319" s="457">
        <v>0</v>
      </c>
      <c r="F319" s="457">
        <v>0</v>
      </c>
      <c r="G319" s="457">
        <v>0</v>
      </c>
      <c r="H319" s="457">
        <v>0</v>
      </c>
      <c r="I319" s="457">
        <v>0</v>
      </c>
      <c r="J319" s="457">
        <v>0</v>
      </c>
      <c r="K319" s="457">
        <v>0</v>
      </c>
      <c r="L319" s="457">
        <v>0</v>
      </c>
      <c r="M319" s="457">
        <v>0</v>
      </c>
      <c r="N319" s="457">
        <v>0</v>
      </c>
      <c r="O319" s="457">
        <v>0</v>
      </c>
      <c r="P319" s="457">
        <v>0</v>
      </c>
      <c r="Q319" s="457">
        <v>0</v>
      </c>
      <c r="R319" s="457">
        <v>0</v>
      </c>
      <c r="S319" s="457">
        <v>0</v>
      </c>
      <c r="T319" s="410" t="e">
        <v>#DIV/0!</v>
      </c>
      <c r="U319" s="285">
        <v>0</v>
      </c>
      <c r="V319" s="285">
        <v>0</v>
      </c>
      <c r="W319" s="285">
        <v>0</v>
      </c>
      <c r="X319" s="285">
        <v>0</v>
      </c>
      <c r="Y319" s="285">
        <v>0</v>
      </c>
      <c r="Z319" s="285">
        <v>0</v>
      </c>
    </row>
    <row r="320" spans="1:26" x14ac:dyDescent="0.2">
      <c r="A320" s="412" t="s">
        <v>546</v>
      </c>
      <c r="B320" s="457">
        <v>0</v>
      </c>
      <c r="C320" s="457">
        <v>0</v>
      </c>
      <c r="D320" s="457">
        <v>0</v>
      </c>
      <c r="E320" s="457">
        <v>0</v>
      </c>
      <c r="F320" s="457">
        <v>0</v>
      </c>
      <c r="G320" s="457">
        <v>0</v>
      </c>
      <c r="H320" s="457">
        <v>0</v>
      </c>
      <c r="I320" s="457">
        <v>0</v>
      </c>
      <c r="J320" s="457">
        <v>0</v>
      </c>
      <c r="K320" s="457">
        <v>0</v>
      </c>
      <c r="L320" s="457">
        <v>0</v>
      </c>
      <c r="M320" s="457">
        <v>0</v>
      </c>
      <c r="N320" s="457">
        <v>0</v>
      </c>
      <c r="O320" s="457">
        <v>0</v>
      </c>
      <c r="P320" s="457">
        <v>0</v>
      </c>
      <c r="Q320" s="457">
        <v>0</v>
      </c>
      <c r="R320" s="457">
        <v>0</v>
      </c>
      <c r="S320" s="457">
        <v>0</v>
      </c>
      <c r="T320" s="410" t="e">
        <v>#DIV/0!</v>
      </c>
      <c r="U320" s="285">
        <v>0</v>
      </c>
      <c r="V320" s="285">
        <v>0</v>
      </c>
      <c r="W320" s="285">
        <v>0</v>
      </c>
      <c r="X320" s="285">
        <v>0</v>
      </c>
      <c r="Y320" s="285">
        <v>0</v>
      </c>
      <c r="Z320" s="285">
        <v>0</v>
      </c>
    </row>
    <row r="321" spans="1:26" x14ac:dyDescent="0.2">
      <c r="A321" s="412" t="s">
        <v>547</v>
      </c>
      <c r="B321" s="457">
        <v>0</v>
      </c>
      <c r="C321" s="457">
        <v>0</v>
      </c>
      <c r="D321" s="457">
        <v>0</v>
      </c>
      <c r="E321" s="457">
        <v>0</v>
      </c>
      <c r="F321" s="457">
        <v>0</v>
      </c>
      <c r="G321" s="457">
        <v>0</v>
      </c>
      <c r="H321" s="457">
        <v>0</v>
      </c>
      <c r="I321" s="457">
        <v>0</v>
      </c>
      <c r="J321" s="457">
        <v>0</v>
      </c>
      <c r="K321" s="457">
        <v>0</v>
      </c>
      <c r="L321" s="457">
        <v>0</v>
      </c>
      <c r="M321" s="457">
        <v>0</v>
      </c>
      <c r="N321" s="457">
        <v>0</v>
      </c>
      <c r="O321" s="457">
        <v>0</v>
      </c>
      <c r="P321" s="457">
        <v>0</v>
      </c>
      <c r="Q321" s="457">
        <v>0</v>
      </c>
      <c r="R321" s="457">
        <v>0</v>
      </c>
      <c r="S321" s="457">
        <v>0</v>
      </c>
      <c r="T321" s="410" t="e">
        <v>#DIV/0!</v>
      </c>
      <c r="U321" s="285">
        <v>0</v>
      </c>
      <c r="V321" s="285">
        <v>0</v>
      </c>
      <c r="W321" s="285">
        <v>0</v>
      </c>
      <c r="X321" s="285">
        <v>0</v>
      </c>
      <c r="Y321" s="285">
        <v>0</v>
      </c>
      <c r="Z321" s="285">
        <v>0</v>
      </c>
    </row>
    <row r="322" spans="1:26" x14ac:dyDescent="0.2">
      <c r="A322" s="412" t="s">
        <v>548</v>
      </c>
      <c r="B322" s="457">
        <v>0</v>
      </c>
      <c r="C322" s="457">
        <v>0</v>
      </c>
      <c r="D322" s="457">
        <v>0</v>
      </c>
      <c r="E322" s="457">
        <v>0</v>
      </c>
      <c r="F322" s="457">
        <v>0</v>
      </c>
      <c r="G322" s="457">
        <v>0</v>
      </c>
      <c r="H322" s="457">
        <v>0</v>
      </c>
      <c r="I322" s="457">
        <v>0</v>
      </c>
      <c r="J322" s="457">
        <v>0</v>
      </c>
      <c r="K322" s="457">
        <v>0</v>
      </c>
      <c r="L322" s="457">
        <v>0</v>
      </c>
      <c r="M322" s="457">
        <v>0</v>
      </c>
      <c r="N322" s="457">
        <v>0</v>
      </c>
      <c r="O322" s="457">
        <v>0</v>
      </c>
      <c r="P322" s="457">
        <v>0</v>
      </c>
      <c r="Q322" s="457">
        <v>0</v>
      </c>
      <c r="R322" s="457">
        <v>0</v>
      </c>
      <c r="S322" s="457">
        <v>0</v>
      </c>
      <c r="T322" s="410" t="e">
        <v>#DIV/0!</v>
      </c>
      <c r="U322" s="285">
        <v>0</v>
      </c>
      <c r="V322" s="285">
        <v>0</v>
      </c>
      <c r="W322" s="285">
        <v>0</v>
      </c>
      <c r="X322" s="285">
        <v>0</v>
      </c>
      <c r="Y322" s="285">
        <v>0</v>
      </c>
      <c r="Z322" s="285">
        <v>0</v>
      </c>
    </row>
    <row r="323" spans="1:26" x14ac:dyDescent="0.2">
      <c r="A323" s="412" t="s">
        <v>549</v>
      </c>
      <c r="B323" s="457">
        <v>0</v>
      </c>
      <c r="C323" s="457">
        <v>0</v>
      </c>
      <c r="D323" s="457">
        <v>0</v>
      </c>
      <c r="E323" s="457">
        <v>0</v>
      </c>
      <c r="F323" s="457">
        <v>0</v>
      </c>
      <c r="G323" s="457">
        <v>0</v>
      </c>
      <c r="H323" s="457">
        <v>0</v>
      </c>
      <c r="I323" s="457">
        <v>0</v>
      </c>
      <c r="J323" s="457">
        <v>0</v>
      </c>
      <c r="K323" s="457">
        <v>0</v>
      </c>
      <c r="L323" s="457">
        <v>0</v>
      </c>
      <c r="M323" s="457">
        <v>0</v>
      </c>
      <c r="N323" s="457">
        <v>0</v>
      </c>
      <c r="O323" s="457">
        <v>0</v>
      </c>
      <c r="P323" s="457">
        <v>0</v>
      </c>
      <c r="Q323" s="457">
        <v>0</v>
      </c>
      <c r="R323" s="457">
        <v>0</v>
      </c>
      <c r="S323" s="457">
        <v>0</v>
      </c>
      <c r="T323" s="410" t="e">
        <v>#DIV/0!</v>
      </c>
      <c r="U323" s="285">
        <v>0</v>
      </c>
      <c r="V323" s="285">
        <v>0</v>
      </c>
      <c r="W323" s="285">
        <v>0</v>
      </c>
      <c r="X323" s="285">
        <v>0</v>
      </c>
      <c r="Y323" s="285">
        <v>0</v>
      </c>
      <c r="Z323" s="285">
        <v>0</v>
      </c>
    </row>
    <row r="324" spans="1:26" x14ac:dyDescent="0.2">
      <c r="A324" s="412" t="s">
        <v>550</v>
      </c>
      <c r="B324" s="457">
        <v>0</v>
      </c>
      <c r="C324" s="457">
        <v>0</v>
      </c>
      <c r="D324" s="457">
        <v>0</v>
      </c>
      <c r="E324" s="457">
        <v>0</v>
      </c>
      <c r="F324" s="457">
        <v>0</v>
      </c>
      <c r="G324" s="457">
        <v>0</v>
      </c>
      <c r="H324" s="457">
        <v>0</v>
      </c>
      <c r="I324" s="457">
        <v>0</v>
      </c>
      <c r="J324" s="457">
        <v>0</v>
      </c>
      <c r="K324" s="457">
        <v>0</v>
      </c>
      <c r="L324" s="457">
        <v>0</v>
      </c>
      <c r="M324" s="457">
        <v>0</v>
      </c>
      <c r="N324" s="457">
        <v>0</v>
      </c>
      <c r="O324" s="457">
        <v>0</v>
      </c>
      <c r="P324" s="457">
        <v>0</v>
      </c>
      <c r="Q324" s="457">
        <v>0</v>
      </c>
      <c r="R324" s="457">
        <v>0</v>
      </c>
      <c r="S324" s="457">
        <v>0</v>
      </c>
      <c r="T324" s="410" t="e">
        <v>#DIV/0!</v>
      </c>
      <c r="U324" s="285">
        <v>0</v>
      </c>
      <c r="V324" s="285">
        <v>0</v>
      </c>
      <c r="W324" s="285">
        <v>0</v>
      </c>
      <c r="X324" s="285">
        <v>0</v>
      </c>
      <c r="Y324" s="285">
        <v>0</v>
      </c>
      <c r="Z324" s="285">
        <v>0</v>
      </c>
    </row>
    <row r="325" spans="1:26" x14ac:dyDescent="0.2">
      <c r="A325" s="412" t="s">
        <v>551</v>
      </c>
      <c r="B325" s="457">
        <v>0</v>
      </c>
      <c r="C325" s="457">
        <v>0</v>
      </c>
      <c r="D325" s="457">
        <v>0</v>
      </c>
      <c r="E325" s="457">
        <v>0</v>
      </c>
      <c r="F325" s="457">
        <v>0</v>
      </c>
      <c r="G325" s="457">
        <v>0</v>
      </c>
      <c r="H325" s="457">
        <v>0</v>
      </c>
      <c r="I325" s="457">
        <v>0</v>
      </c>
      <c r="J325" s="457">
        <v>0</v>
      </c>
      <c r="K325" s="457">
        <v>0</v>
      </c>
      <c r="L325" s="457">
        <v>0</v>
      </c>
      <c r="M325" s="457">
        <v>0</v>
      </c>
      <c r="N325" s="457">
        <v>0</v>
      </c>
      <c r="O325" s="457">
        <v>0</v>
      </c>
      <c r="P325" s="457">
        <v>0</v>
      </c>
      <c r="Q325" s="457">
        <v>0</v>
      </c>
      <c r="R325" s="457">
        <v>0</v>
      </c>
      <c r="S325" s="457">
        <v>0</v>
      </c>
      <c r="T325" s="410" t="e">
        <v>#DIV/0!</v>
      </c>
      <c r="U325" s="285">
        <v>0</v>
      </c>
      <c r="V325" s="285">
        <v>0</v>
      </c>
      <c r="W325" s="285">
        <v>0</v>
      </c>
      <c r="X325" s="285">
        <v>0</v>
      </c>
      <c r="Y325" s="285">
        <v>0</v>
      </c>
      <c r="Z325" s="285">
        <v>0</v>
      </c>
    </row>
    <row r="326" spans="1:26" x14ac:dyDescent="0.2">
      <c r="A326" s="412" t="s">
        <v>552</v>
      </c>
      <c r="B326" s="457">
        <v>0</v>
      </c>
      <c r="C326" s="457">
        <v>0</v>
      </c>
      <c r="D326" s="457">
        <v>0</v>
      </c>
      <c r="E326" s="457">
        <v>0</v>
      </c>
      <c r="F326" s="457">
        <v>0</v>
      </c>
      <c r="G326" s="457">
        <v>0</v>
      </c>
      <c r="H326" s="457">
        <v>0</v>
      </c>
      <c r="I326" s="457">
        <v>0</v>
      </c>
      <c r="J326" s="457">
        <v>0</v>
      </c>
      <c r="K326" s="457">
        <v>0</v>
      </c>
      <c r="L326" s="457">
        <v>0</v>
      </c>
      <c r="M326" s="457">
        <v>0</v>
      </c>
      <c r="N326" s="457">
        <v>0</v>
      </c>
      <c r="O326" s="457">
        <v>0</v>
      </c>
      <c r="P326" s="457">
        <v>0</v>
      </c>
      <c r="Q326" s="457">
        <v>0</v>
      </c>
      <c r="R326" s="457">
        <v>0</v>
      </c>
      <c r="S326" s="457">
        <v>0</v>
      </c>
      <c r="T326" s="410" t="e">
        <v>#DIV/0!</v>
      </c>
      <c r="U326" s="285">
        <v>0</v>
      </c>
      <c r="V326" s="285">
        <v>0</v>
      </c>
      <c r="W326" s="285">
        <v>0</v>
      </c>
      <c r="X326" s="285">
        <v>0</v>
      </c>
      <c r="Y326" s="285">
        <v>0</v>
      </c>
      <c r="Z326" s="285">
        <v>0</v>
      </c>
    </row>
    <row r="327" spans="1:26" x14ac:dyDescent="0.2">
      <c r="A327" s="412" t="s">
        <v>553</v>
      </c>
      <c r="B327" s="457">
        <v>0</v>
      </c>
      <c r="C327" s="457">
        <v>0</v>
      </c>
      <c r="D327" s="457">
        <v>0</v>
      </c>
      <c r="E327" s="457">
        <v>0</v>
      </c>
      <c r="F327" s="457">
        <v>0</v>
      </c>
      <c r="G327" s="457">
        <v>0</v>
      </c>
      <c r="H327" s="457">
        <v>0</v>
      </c>
      <c r="I327" s="457">
        <v>0</v>
      </c>
      <c r="J327" s="457">
        <v>0</v>
      </c>
      <c r="K327" s="457">
        <v>0</v>
      </c>
      <c r="L327" s="457">
        <v>0</v>
      </c>
      <c r="M327" s="457">
        <v>0</v>
      </c>
      <c r="N327" s="457">
        <v>0</v>
      </c>
      <c r="O327" s="457">
        <v>0</v>
      </c>
      <c r="P327" s="457">
        <v>0</v>
      </c>
      <c r="Q327" s="457">
        <v>0</v>
      </c>
      <c r="R327" s="457">
        <v>0</v>
      </c>
      <c r="S327" s="457">
        <v>0</v>
      </c>
      <c r="T327" s="410" t="e">
        <v>#DIV/0!</v>
      </c>
      <c r="U327" s="285">
        <v>0</v>
      </c>
      <c r="V327" s="285">
        <v>0</v>
      </c>
      <c r="W327" s="285">
        <v>0</v>
      </c>
      <c r="X327" s="285">
        <v>0</v>
      </c>
      <c r="Y327" s="285">
        <v>0</v>
      </c>
      <c r="Z327" s="285">
        <v>0</v>
      </c>
    </row>
    <row r="328" spans="1:26" x14ac:dyDescent="0.2">
      <c r="A328" s="412" t="s">
        <v>554</v>
      </c>
      <c r="B328" s="457">
        <v>0</v>
      </c>
      <c r="C328" s="457">
        <v>0</v>
      </c>
      <c r="D328" s="457">
        <v>0</v>
      </c>
      <c r="E328" s="457">
        <v>0</v>
      </c>
      <c r="F328" s="457">
        <v>0</v>
      </c>
      <c r="G328" s="457">
        <v>0</v>
      </c>
      <c r="H328" s="457">
        <v>0</v>
      </c>
      <c r="I328" s="457">
        <v>0</v>
      </c>
      <c r="J328" s="457">
        <v>0</v>
      </c>
      <c r="K328" s="457">
        <v>0</v>
      </c>
      <c r="L328" s="457">
        <v>0</v>
      </c>
      <c r="M328" s="457">
        <v>0</v>
      </c>
      <c r="N328" s="457">
        <v>0</v>
      </c>
      <c r="O328" s="457">
        <v>0</v>
      </c>
      <c r="P328" s="457">
        <v>0</v>
      </c>
      <c r="Q328" s="457">
        <v>0</v>
      </c>
      <c r="R328" s="457">
        <v>0</v>
      </c>
      <c r="S328" s="457">
        <v>0</v>
      </c>
      <c r="T328" s="410" t="e">
        <v>#DIV/0!</v>
      </c>
      <c r="U328" s="285">
        <v>0</v>
      </c>
      <c r="V328" s="285">
        <v>0</v>
      </c>
      <c r="W328" s="285">
        <v>0</v>
      </c>
      <c r="X328" s="285">
        <v>0</v>
      </c>
      <c r="Y328" s="285">
        <v>0</v>
      </c>
      <c r="Z328" s="285">
        <v>0</v>
      </c>
    </row>
    <row r="329" spans="1:26" x14ac:dyDescent="0.2">
      <c r="A329" s="412" t="s">
        <v>555</v>
      </c>
      <c r="B329" s="457">
        <v>0</v>
      </c>
      <c r="C329" s="457">
        <v>0</v>
      </c>
      <c r="D329" s="457">
        <v>0</v>
      </c>
      <c r="E329" s="457">
        <v>0</v>
      </c>
      <c r="F329" s="457">
        <v>0</v>
      </c>
      <c r="G329" s="457">
        <v>0</v>
      </c>
      <c r="H329" s="457">
        <v>0</v>
      </c>
      <c r="I329" s="457">
        <v>0</v>
      </c>
      <c r="J329" s="457">
        <v>0</v>
      </c>
      <c r="K329" s="457">
        <v>0</v>
      </c>
      <c r="L329" s="457">
        <v>0</v>
      </c>
      <c r="M329" s="457">
        <v>0</v>
      </c>
      <c r="N329" s="457">
        <v>0</v>
      </c>
      <c r="O329" s="457">
        <v>0</v>
      </c>
      <c r="P329" s="457">
        <v>0</v>
      </c>
      <c r="Q329" s="457">
        <v>0</v>
      </c>
      <c r="R329" s="457">
        <v>0</v>
      </c>
      <c r="S329" s="457">
        <v>0</v>
      </c>
      <c r="T329" s="410" t="e">
        <v>#DIV/0!</v>
      </c>
      <c r="U329" s="285">
        <v>0</v>
      </c>
      <c r="V329" s="285">
        <v>0</v>
      </c>
      <c r="W329" s="285">
        <v>0</v>
      </c>
      <c r="X329" s="285">
        <v>0</v>
      </c>
      <c r="Y329" s="285">
        <v>0</v>
      </c>
      <c r="Z329" s="285">
        <v>0</v>
      </c>
    </row>
    <row r="330" spans="1:26" x14ac:dyDescent="0.2">
      <c r="A330" s="412" t="s">
        <v>556</v>
      </c>
      <c r="B330" s="457">
        <v>0</v>
      </c>
      <c r="C330" s="457">
        <v>0</v>
      </c>
      <c r="D330" s="457">
        <v>0</v>
      </c>
      <c r="E330" s="457">
        <v>0</v>
      </c>
      <c r="F330" s="457">
        <v>0</v>
      </c>
      <c r="G330" s="457">
        <v>0</v>
      </c>
      <c r="H330" s="457">
        <v>0</v>
      </c>
      <c r="I330" s="457">
        <v>0</v>
      </c>
      <c r="J330" s="457">
        <v>0</v>
      </c>
      <c r="K330" s="457">
        <v>0</v>
      </c>
      <c r="L330" s="457">
        <v>0</v>
      </c>
      <c r="M330" s="457">
        <v>0</v>
      </c>
      <c r="N330" s="457">
        <v>0</v>
      </c>
      <c r="O330" s="457">
        <v>0</v>
      </c>
      <c r="P330" s="457">
        <v>0</v>
      </c>
      <c r="Q330" s="457">
        <v>0</v>
      </c>
      <c r="R330" s="457">
        <v>0</v>
      </c>
      <c r="S330" s="457">
        <v>0</v>
      </c>
      <c r="T330" s="410" t="e">
        <v>#DIV/0!</v>
      </c>
      <c r="U330" s="285">
        <v>0</v>
      </c>
      <c r="V330" s="285">
        <v>0</v>
      </c>
      <c r="W330" s="285">
        <v>0</v>
      </c>
      <c r="X330" s="285">
        <v>0</v>
      </c>
      <c r="Y330" s="285">
        <v>0</v>
      </c>
      <c r="Z330" s="285">
        <v>0</v>
      </c>
    </row>
    <row r="331" spans="1:26" x14ac:dyDescent="0.2">
      <c r="A331" s="404" t="s">
        <v>557</v>
      </c>
      <c r="B331" s="448">
        <v>0</v>
      </c>
      <c r="C331" s="448">
        <v>0</v>
      </c>
      <c r="D331" s="448">
        <v>0</v>
      </c>
      <c r="E331" s="448">
        <v>0</v>
      </c>
      <c r="F331" s="448">
        <v>0</v>
      </c>
      <c r="G331" s="448">
        <v>0</v>
      </c>
      <c r="H331" s="448">
        <v>0</v>
      </c>
      <c r="I331" s="448">
        <v>0</v>
      </c>
      <c r="J331" s="448">
        <v>0</v>
      </c>
      <c r="K331" s="448">
        <v>0</v>
      </c>
      <c r="L331" s="448">
        <v>0</v>
      </c>
      <c r="M331" s="448">
        <v>0</v>
      </c>
      <c r="N331" s="448">
        <v>0</v>
      </c>
      <c r="O331" s="448">
        <v>0</v>
      </c>
      <c r="P331" s="448">
        <v>0</v>
      </c>
      <c r="Q331" s="448">
        <v>0</v>
      </c>
      <c r="R331" s="448">
        <v>0</v>
      </c>
      <c r="S331" s="448">
        <v>0</v>
      </c>
      <c r="T331" s="407" t="e">
        <v>#DIV/0!</v>
      </c>
      <c r="U331" s="406">
        <v>0</v>
      </c>
      <c r="V331" s="406">
        <v>0</v>
      </c>
      <c r="W331" s="406">
        <v>0</v>
      </c>
      <c r="X331" s="406">
        <v>0</v>
      </c>
      <c r="Y331" s="406">
        <v>0</v>
      </c>
      <c r="Z331" s="406">
        <v>0</v>
      </c>
    </row>
    <row r="332" spans="1:26" x14ac:dyDescent="0.2">
      <c r="A332" s="412" t="s">
        <v>558</v>
      </c>
      <c r="B332" s="457">
        <v>0</v>
      </c>
      <c r="C332" s="457">
        <v>0</v>
      </c>
      <c r="D332" s="457">
        <v>0</v>
      </c>
      <c r="E332" s="457">
        <v>0</v>
      </c>
      <c r="F332" s="457">
        <v>0</v>
      </c>
      <c r="G332" s="457">
        <v>0</v>
      </c>
      <c r="H332" s="457">
        <v>0</v>
      </c>
      <c r="I332" s="457">
        <v>0</v>
      </c>
      <c r="J332" s="457">
        <v>0</v>
      </c>
      <c r="K332" s="457">
        <v>0</v>
      </c>
      <c r="L332" s="457">
        <v>0</v>
      </c>
      <c r="M332" s="457">
        <v>0</v>
      </c>
      <c r="N332" s="457">
        <v>0</v>
      </c>
      <c r="O332" s="457">
        <v>0</v>
      </c>
      <c r="P332" s="457">
        <v>0</v>
      </c>
      <c r="Q332" s="457">
        <v>0</v>
      </c>
      <c r="R332" s="457">
        <v>0</v>
      </c>
      <c r="S332" s="457">
        <v>0</v>
      </c>
      <c r="T332" s="410" t="e">
        <v>#DIV/0!</v>
      </c>
      <c r="U332" s="285">
        <v>0</v>
      </c>
      <c r="V332" s="285">
        <v>0</v>
      </c>
      <c r="W332" s="285">
        <v>0</v>
      </c>
      <c r="X332" s="285">
        <v>0</v>
      </c>
      <c r="Y332" s="285">
        <v>0</v>
      </c>
      <c r="Z332" s="285">
        <v>0</v>
      </c>
    </row>
    <row r="333" spans="1:26" x14ac:dyDescent="0.2">
      <c r="A333" s="412" t="s">
        <v>559</v>
      </c>
      <c r="B333" s="457">
        <v>0</v>
      </c>
      <c r="C333" s="457">
        <v>0</v>
      </c>
      <c r="D333" s="457">
        <v>0</v>
      </c>
      <c r="E333" s="457">
        <v>0</v>
      </c>
      <c r="F333" s="457">
        <v>0</v>
      </c>
      <c r="G333" s="457">
        <v>0</v>
      </c>
      <c r="H333" s="457">
        <v>0</v>
      </c>
      <c r="I333" s="457">
        <v>0</v>
      </c>
      <c r="J333" s="457">
        <v>0</v>
      </c>
      <c r="K333" s="457">
        <v>0</v>
      </c>
      <c r="L333" s="457">
        <v>0</v>
      </c>
      <c r="M333" s="457">
        <v>0</v>
      </c>
      <c r="N333" s="457">
        <v>0</v>
      </c>
      <c r="O333" s="457">
        <v>0</v>
      </c>
      <c r="P333" s="457">
        <v>0</v>
      </c>
      <c r="Q333" s="457">
        <v>0</v>
      </c>
      <c r="R333" s="457">
        <v>0</v>
      </c>
      <c r="S333" s="457">
        <v>0</v>
      </c>
      <c r="T333" s="410" t="e">
        <v>#DIV/0!</v>
      </c>
      <c r="U333" s="285">
        <v>0</v>
      </c>
      <c r="V333" s="285">
        <v>0</v>
      </c>
      <c r="W333" s="285">
        <v>0</v>
      </c>
      <c r="X333" s="285">
        <v>0</v>
      </c>
      <c r="Y333" s="285">
        <v>0</v>
      </c>
      <c r="Z333" s="285">
        <v>0</v>
      </c>
    </row>
    <row r="334" spans="1:26" x14ac:dyDescent="0.2">
      <c r="A334" s="412" t="s">
        <v>560</v>
      </c>
      <c r="B334" s="457">
        <v>0</v>
      </c>
      <c r="C334" s="457">
        <v>0</v>
      </c>
      <c r="D334" s="457">
        <v>0</v>
      </c>
      <c r="E334" s="457">
        <v>0</v>
      </c>
      <c r="F334" s="457">
        <v>0</v>
      </c>
      <c r="G334" s="457">
        <v>0</v>
      </c>
      <c r="H334" s="457">
        <v>0</v>
      </c>
      <c r="I334" s="457">
        <v>0</v>
      </c>
      <c r="J334" s="457">
        <v>0</v>
      </c>
      <c r="K334" s="457">
        <v>0</v>
      </c>
      <c r="L334" s="457">
        <v>0</v>
      </c>
      <c r="M334" s="457">
        <v>0</v>
      </c>
      <c r="N334" s="457">
        <v>0</v>
      </c>
      <c r="O334" s="457">
        <v>0</v>
      </c>
      <c r="P334" s="457">
        <v>0</v>
      </c>
      <c r="Q334" s="457">
        <v>0</v>
      </c>
      <c r="R334" s="457">
        <v>0</v>
      </c>
      <c r="S334" s="457">
        <v>0</v>
      </c>
      <c r="T334" s="410" t="e">
        <v>#DIV/0!</v>
      </c>
      <c r="U334" s="285">
        <v>0</v>
      </c>
      <c r="V334" s="285">
        <v>0</v>
      </c>
      <c r="W334" s="285">
        <v>0</v>
      </c>
      <c r="X334" s="285">
        <v>0</v>
      </c>
      <c r="Y334" s="285">
        <v>0</v>
      </c>
      <c r="Z334" s="285">
        <v>0</v>
      </c>
    </row>
    <row r="335" spans="1:26" x14ac:dyDescent="0.2">
      <c r="A335" s="399" t="s">
        <v>561</v>
      </c>
      <c r="B335" s="474">
        <v>62649205</v>
      </c>
      <c r="C335" s="474">
        <v>90155769.439999998</v>
      </c>
      <c r="D335" s="474">
        <v>88155769.439999998</v>
      </c>
      <c r="E335" s="474">
        <v>65045717.575099051</v>
      </c>
      <c r="F335" s="474">
        <v>64969298.929051265</v>
      </c>
      <c r="G335" s="474">
        <v>1145782.4300000002</v>
      </c>
      <c r="H335" s="474">
        <v>26028486.006000001</v>
      </c>
      <c r="I335" s="474">
        <v>4265066.1449999996</v>
      </c>
      <c r="J335" s="474">
        <v>1395183.3</v>
      </c>
      <c r="K335" s="474">
        <v>1413721.91</v>
      </c>
      <c r="L335" s="474">
        <v>1400103.8130000001</v>
      </c>
      <c r="M335" s="474">
        <v>26399360.563173003</v>
      </c>
      <c r="N335" s="474">
        <v>1482903.9528144361</v>
      </c>
      <c r="O335" s="474">
        <v>1438082.8219999997</v>
      </c>
      <c r="P335" s="474">
        <v>0</v>
      </c>
      <c r="Q335" s="474">
        <v>0</v>
      </c>
      <c r="R335" s="474">
        <v>0</v>
      </c>
      <c r="S335" s="474">
        <v>64968690.94198744</v>
      </c>
      <c r="T335" s="402">
        <v>0.72062710290798493</v>
      </c>
      <c r="U335" s="401">
        <v>25187078.498012558</v>
      </c>
      <c r="V335" s="401">
        <v>2000000</v>
      </c>
      <c r="W335" s="401">
        <v>25110051.864900947</v>
      </c>
      <c r="X335" s="401">
        <v>23110051.864900947</v>
      </c>
      <c r="Y335" s="401">
        <v>76418.646047785878</v>
      </c>
      <c r="Z335" s="401">
        <v>607.98706382513046</v>
      </c>
    </row>
    <row r="336" spans="1:26" ht="26.25" customHeight="1" x14ac:dyDescent="0.2">
      <c r="A336" s="404" t="s">
        <v>562</v>
      </c>
      <c r="B336" s="448">
        <v>2000000</v>
      </c>
      <c r="C336" s="448">
        <v>2000000</v>
      </c>
      <c r="D336" s="448">
        <v>0</v>
      </c>
      <c r="E336" s="448">
        <v>0</v>
      </c>
      <c r="F336" s="448">
        <v>0</v>
      </c>
      <c r="G336" s="448">
        <v>0</v>
      </c>
      <c r="H336" s="448">
        <v>0</v>
      </c>
      <c r="I336" s="448">
        <v>0</v>
      </c>
      <c r="J336" s="448">
        <v>0</v>
      </c>
      <c r="K336" s="448">
        <v>0</v>
      </c>
      <c r="L336" s="448">
        <v>0</v>
      </c>
      <c r="M336" s="448">
        <v>0</v>
      </c>
      <c r="N336" s="448">
        <v>0</v>
      </c>
      <c r="O336" s="448">
        <v>0</v>
      </c>
      <c r="P336" s="448">
        <v>0</v>
      </c>
      <c r="Q336" s="448">
        <v>0</v>
      </c>
      <c r="R336" s="448">
        <v>0</v>
      </c>
      <c r="S336" s="448">
        <v>0</v>
      </c>
      <c r="T336" s="407">
        <v>0</v>
      </c>
      <c r="U336" s="406">
        <v>2000000</v>
      </c>
      <c r="V336" s="406">
        <v>2000000</v>
      </c>
      <c r="W336" s="406">
        <v>2000000</v>
      </c>
      <c r="X336" s="406">
        <v>0</v>
      </c>
      <c r="Y336" s="406">
        <v>0</v>
      </c>
      <c r="Z336" s="406">
        <v>0</v>
      </c>
    </row>
    <row r="337" spans="1:26" ht="24" x14ac:dyDescent="0.2">
      <c r="A337" s="412" t="s">
        <v>563</v>
      </c>
      <c r="B337" s="455">
        <v>0</v>
      </c>
      <c r="C337" s="455">
        <v>0</v>
      </c>
      <c r="D337" s="455">
        <v>0</v>
      </c>
      <c r="E337" s="455">
        <v>0</v>
      </c>
      <c r="F337" s="455">
        <v>0</v>
      </c>
      <c r="G337" s="455">
        <v>0</v>
      </c>
      <c r="H337" s="455">
        <v>0</v>
      </c>
      <c r="I337" s="455">
        <v>0</v>
      </c>
      <c r="J337" s="455">
        <v>0</v>
      </c>
      <c r="K337" s="455">
        <v>0</v>
      </c>
      <c r="L337" s="455">
        <v>0</v>
      </c>
      <c r="M337" s="455">
        <v>0</v>
      </c>
      <c r="N337" s="455">
        <v>0</v>
      </c>
      <c r="O337" s="455">
        <v>0</v>
      </c>
      <c r="P337" s="455">
        <v>0</v>
      </c>
      <c r="Q337" s="455">
        <v>0</v>
      </c>
      <c r="R337" s="455">
        <v>0</v>
      </c>
      <c r="S337" s="455">
        <v>0</v>
      </c>
      <c r="T337" s="410" t="e">
        <v>#DIV/0!</v>
      </c>
      <c r="U337" s="285">
        <v>0</v>
      </c>
      <c r="V337" s="285">
        <v>0</v>
      </c>
      <c r="W337" s="285">
        <v>0</v>
      </c>
      <c r="X337" s="285">
        <v>0</v>
      </c>
      <c r="Y337" s="285">
        <v>0</v>
      </c>
      <c r="Z337" s="285">
        <v>0</v>
      </c>
    </row>
    <row r="338" spans="1:26" x14ac:dyDescent="0.2">
      <c r="A338" s="414" t="s">
        <v>564</v>
      </c>
      <c r="B338" s="457">
        <v>0</v>
      </c>
      <c r="C338" s="457">
        <v>0</v>
      </c>
      <c r="D338" s="457">
        <v>0</v>
      </c>
      <c r="E338" s="457">
        <v>0</v>
      </c>
      <c r="F338" s="457">
        <v>0</v>
      </c>
      <c r="G338" s="457">
        <v>0</v>
      </c>
      <c r="H338" s="457">
        <v>0</v>
      </c>
      <c r="I338" s="457">
        <v>0</v>
      </c>
      <c r="J338" s="457">
        <v>0</v>
      </c>
      <c r="K338" s="457">
        <v>0</v>
      </c>
      <c r="L338" s="457">
        <v>0</v>
      </c>
      <c r="M338" s="457">
        <v>0</v>
      </c>
      <c r="N338" s="457">
        <v>0</v>
      </c>
      <c r="O338" s="457">
        <v>0</v>
      </c>
      <c r="P338" s="457">
        <v>0</v>
      </c>
      <c r="Q338" s="457">
        <v>0</v>
      </c>
      <c r="R338" s="457">
        <v>0</v>
      </c>
      <c r="S338" s="457">
        <v>0</v>
      </c>
      <c r="T338" s="410" t="e">
        <v>#DIV/0!</v>
      </c>
      <c r="U338" s="285">
        <v>0</v>
      </c>
      <c r="V338" s="285">
        <v>0</v>
      </c>
      <c r="W338" s="285">
        <v>0</v>
      </c>
      <c r="X338" s="285">
        <v>0</v>
      </c>
      <c r="Y338" s="285">
        <v>0</v>
      </c>
      <c r="Z338" s="285">
        <v>0</v>
      </c>
    </row>
    <row r="339" spans="1:26" x14ac:dyDescent="0.2">
      <c r="A339" s="414" t="s">
        <v>565</v>
      </c>
      <c r="B339" s="457">
        <v>0</v>
      </c>
      <c r="C339" s="457">
        <v>0</v>
      </c>
      <c r="D339" s="457">
        <v>0</v>
      </c>
      <c r="E339" s="457">
        <v>0</v>
      </c>
      <c r="F339" s="457">
        <v>0</v>
      </c>
      <c r="G339" s="457">
        <v>0</v>
      </c>
      <c r="H339" s="457">
        <v>0</v>
      </c>
      <c r="I339" s="457">
        <v>0</v>
      </c>
      <c r="J339" s="457">
        <v>0</v>
      </c>
      <c r="K339" s="457">
        <v>0</v>
      </c>
      <c r="L339" s="457">
        <v>0</v>
      </c>
      <c r="M339" s="457">
        <v>0</v>
      </c>
      <c r="N339" s="457">
        <v>0</v>
      </c>
      <c r="O339" s="457">
        <v>0</v>
      </c>
      <c r="P339" s="457">
        <v>0</v>
      </c>
      <c r="Q339" s="457">
        <v>0</v>
      </c>
      <c r="R339" s="457">
        <v>0</v>
      </c>
      <c r="S339" s="457">
        <v>0</v>
      </c>
      <c r="T339" s="410" t="e">
        <v>#DIV/0!</v>
      </c>
      <c r="U339" s="285">
        <v>0</v>
      </c>
      <c r="V339" s="285">
        <v>0</v>
      </c>
      <c r="W339" s="285">
        <v>0</v>
      </c>
      <c r="X339" s="285">
        <v>0</v>
      </c>
      <c r="Y339" s="285">
        <v>0</v>
      </c>
      <c r="Z339" s="285">
        <v>0</v>
      </c>
    </row>
    <row r="340" spans="1:26" x14ac:dyDescent="0.2">
      <c r="A340" s="412" t="s">
        <v>1257</v>
      </c>
      <c r="B340" s="457">
        <v>2000000</v>
      </c>
      <c r="C340" s="457">
        <v>2000000</v>
      </c>
      <c r="D340" s="457">
        <v>0</v>
      </c>
      <c r="E340" s="457">
        <v>0</v>
      </c>
      <c r="F340" s="457">
        <v>0</v>
      </c>
      <c r="G340" s="457">
        <v>0</v>
      </c>
      <c r="H340" s="457">
        <v>0</v>
      </c>
      <c r="I340" s="457">
        <v>0</v>
      </c>
      <c r="J340" s="457">
        <v>0</v>
      </c>
      <c r="K340" s="457">
        <v>0</v>
      </c>
      <c r="L340" s="457">
        <v>0</v>
      </c>
      <c r="M340" s="457">
        <v>0</v>
      </c>
      <c r="N340" s="457">
        <v>0</v>
      </c>
      <c r="O340" s="457">
        <v>0</v>
      </c>
      <c r="P340" s="457">
        <v>0</v>
      </c>
      <c r="Q340" s="457">
        <v>0</v>
      </c>
      <c r="R340" s="457">
        <v>0</v>
      </c>
      <c r="S340" s="457">
        <v>0</v>
      </c>
      <c r="T340" s="410">
        <v>0</v>
      </c>
      <c r="U340" s="285">
        <v>2000000</v>
      </c>
      <c r="V340" s="285">
        <v>2000000</v>
      </c>
      <c r="W340" s="285">
        <v>2000000</v>
      </c>
      <c r="X340" s="285">
        <v>0</v>
      </c>
      <c r="Y340" s="285">
        <v>0</v>
      </c>
      <c r="Z340" s="285">
        <v>0</v>
      </c>
    </row>
    <row r="341" spans="1:26" x14ac:dyDescent="0.2">
      <c r="A341" s="414" t="s">
        <v>1259</v>
      </c>
      <c r="B341" s="457">
        <v>0</v>
      </c>
      <c r="C341" s="457">
        <v>0</v>
      </c>
      <c r="D341" s="457">
        <v>0</v>
      </c>
      <c r="E341" s="457">
        <v>0</v>
      </c>
      <c r="F341" s="457">
        <v>0</v>
      </c>
      <c r="G341" s="457">
        <v>0</v>
      </c>
      <c r="H341" s="457">
        <v>0</v>
      </c>
      <c r="I341" s="457">
        <v>0</v>
      </c>
      <c r="J341" s="457">
        <v>0</v>
      </c>
      <c r="K341" s="457">
        <v>0</v>
      </c>
      <c r="L341" s="457">
        <v>0</v>
      </c>
      <c r="M341" s="457">
        <v>0</v>
      </c>
      <c r="N341" s="457">
        <v>0</v>
      </c>
      <c r="O341" s="457">
        <v>0</v>
      </c>
      <c r="P341" s="457">
        <v>0</v>
      </c>
      <c r="Q341" s="457">
        <v>0</v>
      </c>
      <c r="R341" s="457">
        <v>0</v>
      </c>
      <c r="S341" s="457">
        <v>0</v>
      </c>
      <c r="T341" s="410" t="e">
        <v>#DIV/0!</v>
      </c>
      <c r="U341" s="285">
        <v>0</v>
      </c>
      <c r="V341" s="285">
        <v>0</v>
      </c>
      <c r="W341" s="285">
        <v>0</v>
      </c>
      <c r="X341" s="285">
        <v>0</v>
      </c>
      <c r="Y341" s="285">
        <v>0</v>
      </c>
      <c r="Z341" s="285">
        <v>0</v>
      </c>
    </row>
    <row r="342" spans="1:26" x14ac:dyDescent="0.2">
      <c r="A342" s="414" t="s">
        <v>1261</v>
      </c>
      <c r="B342" s="457">
        <v>2000000</v>
      </c>
      <c r="C342" s="457">
        <v>2000000</v>
      </c>
      <c r="D342" s="457">
        <v>0</v>
      </c>
      <c r="E342" s="457">
        <v>0</v>
      </c>
      <c r="F342" s="457">
        <v>0</v>
      </c>
      <c r="G342" s="457">
        <v>0</v>
      </c>
      <c r="H342" s="457">
        <v>0</v>
      </c>
      <c r="I342" s="457">
        <v>0</v>
      </c>
      <c r="J342" s="457">
        <v>0</v>
      </c>
      <c r="K342" s="457">
        <v>0</v>
      </c>
      <c r="L342" s="457">
        <v>0</v>
      </c>
      <c r="M342" s="457">
        <v>0</v>
      </c>
      <c r="N342" s="457">
        <v>0</v>
      </c>
      <c r="O342" s="457">
        <v>0</v>
      </c>
      <c r="P342" s="457">
        <v>0</v>
      </c>
      <c r="Q342" s="457">
        <v>0</v>
      </c>
      <c r="R342" s="457">
        <v>0</v>
      </c>
      <c r="S342" s="457">
        <v>0</v>
      </c>
      <c r="T342" s="410">
        <v>0</v>
      </c>
      <c r="U342" s="285">
        <v>2000000</v>
      </c>
      <c r="V342" s="285">
        <v>2000000</v>
      </c>
      <c r="W342" s="285">
        <v>2000000</v>
      </c>
      <c r="X342" s="285">
        <v>0</v>
      </c>
      <c r="Y342" s="285">
        <v>0</v>
      </c>
      <c r="Z342" s="285">
        <v>0</v>
      </c>
    </row>
    <row r="343" spans="1:26" x14ac:dyDescent="0.2">
      <c r="A343" s="412" t="s">
        <v>566</v>
      </c>
      <c r="B343" s="457">
        <v>0</v>
      </c>
      <c r="C343" s="457">
        <v>0</v>
      </c>
      <c r="D343" s="457">
        <v>0</v>
      </c>
      <c r="E343" s="457">
        <v>0</v>
      </c>
      <c r="F343" s="457">
        <v>0</v>
      </c>
      <c r="G343" s="457">
        <v>0</v>
      </c>
      <c r="H343" s="457">
        <v>0</v>
      </c>
      <c r="I343" s="457">
        <v>0</v>
      </c>
      <c r="J343" s="457">
        <v>0</v>
      </c>
      <c r="K343" s="457">
        <v>0</v>
      </c>
      <c r="L343" s="457">
        <v>0</v>
      </c>
      <c r="M343" s="457">
        <v>0</v>
      </c>
      <c r="N343" s="457">
        <v>0</v>
      </c>
      <c r="O343" s="457">
        <v>0</v>
      </c>
      <c r="P343" s="457">
        <v>0</v>
      </c>
      <c r="Q343" s="457">
        <v>0</v>
      </c>
      <c r="R343" s="457">
        <v>0</v>
      </c>
      <c r="S343" s="457">
        <v>0</v>
      </c>
      <c r="T343" s="410" t="e">
        <v>#DIV/0!</v>
      </c>
      <c r="U343" s="285">
        <v>0</v>
      </c>
      <c r="V343" s="285">
        <v>0</v>
      </c>
      <c r="W343" s="285">
        <v>0</v>
      </c>
      <c r="X343" s="285">
        <v>0</v>
      </c>
      <c r="Y343" s="285">
        <v>0</v>
      </c>
      <c r="Z343" s="285">
        <v>0</v>
      </c>
    </row>
    <row r="344" spans="1:26" x14ac:dyDescent="0.2">
      <c r="A344" s="412" t="s">
        <v>567</v>
      </c>
      <c r="B344" s="457">
        <v>0</v>
      </c>
      <c r="C344" s="457">
        <v>0</v>
      </c>
      <c r="D344" s="457">
        <v>0</v>
      </c>
      <c r="E344" s="457">
        <v>0</v>
      </c>
      <c r="F344" s="457">
        <v>0</v>
      </c>
      <c r="G344" s="457">
        <v>0</v>
      </c>
      <c r="H344" s="457">
        <v>0</v>
      </c>
      <c r="I344" s="457">
        <v>0</v>
      </c>
      <c r="J344" s="457">
        <v>0</v>
      </c>
      <c r="K344" s="457">
        <v>0</v>
      </c>
      <c r="L344" s="457">
        <v>0</v>
      </c>
      <c r="M344" s="457">
        <v>0</v>
      </c>
      <c r="N344" s="457">
        <v>0</v>
      </c>
      <c r="O344" s="457">
        <v>0</v>
      </c>
      <c r="P344" s="457">
        <v>0</v>
      </c>
      <c r="Q344" s="457">
        <v>0</v>
      </c>
      <c r="R344" s="457">
        <v>0</v>
      </c>
      <c r="S344" s="457">
        <v>0</v>
      </c>
      <c r="T344" s="410" t="e">
        <v>#DIV/0!</v>
      </c>
      <c r="U344" s="285">
        <v>0</v>
      </c>
      <c r="V344" s="285">
        <v>0</v>
      </c>
      <c r="W344" s="285">
        <v>0</v>
      </c>
      <c r="X344" s="285">
        <v>0</v>
      </c>
      <c r="Y344" s="285">
        <v>0</v>
      </c>
      <c r="Z344" s="285">
        <v>0</v>
      </c>
    </row>
    <row r="345" spans="1:26" x14ac:dyDescent="0.2">
      <c r="A345" s="404" t="s">
        <v>568</v>
      </c>
      <c r="B345" s="448">
        <v>0</v>
      </c>
      <c r="C345" s="448">
        <v>0</v>
      </c>
      <c r="D345" s="448">
        <v>0</v>
      </c>
      <c r="E345" s="448">
        <v>0</v>
      </c>
      <c r="F345" s="448">
        <v>0</v>
      </c>
      <c r="G345" s="448">
        <v>0</v>
      </c>
      <c r="H345" s="448">
        <v>0</v>
      </c>
      <c r="I345" s="448">
        <v>0</v>
      </c>
      <c r="J345" s="448">
        <v>0</v>
      </c>
      <c r="K345" s="448">
        <v>0</v>
      </c>
      <c r="L345" s="448">
        <v>0</v>
      </c>
      <c r="M345" s="448">
        <v>0</v>
      </c>
      <c r="N345" s="448">
        <v>0</v>
      </c>
      <c r="O345" s="448">
        <v>0</v>
      </c>
      <c r="P345" s="448">
        <v>0</v>
      </c>
      <c r="Q345" s="448">
        <v>0</v>
      </c>
      <c r="R345" s="448">
        <v>0</v>
      </c>
      <c r="S345" s="448">
        <v>0</v>
      </c>
      <c r="T345" s="407" t="e">
        <v>#DIV/0!</v>
      </c>
      <c r="U345" s="406">
        <v>0</v>
      </c>
      <c r="V345" s="406">
        <v>0</v>
      </c>
      <c r="W345" s="406">
        <v>0</v>
      </c>
      <c r="X345" s="406">
        <v>0</v>
      </c>
      <c r="Y345" s="406">
        <v>0</v>
      </c>
      <c r="Z345" s="406">
        <v>0</v>
      </c>
    </row>
    <row r="346" spans="1:26" x14ac:dyDescent="0.2">
      <c r="A346" s="412" t="s">
        <v>569</v>
      </c>
      <c r="B346" s="457">
        <v>0</v>
      </c>
      <c r="C346" s="457">
        <v>0</v>
      </c>
      <c r="D346" s="457">
        <v>0</v>
      </c>
      <c r="E346" s="457">
        <v>0</v>
      </c>
      <c r="F346" s="457">
        <v>0</v>
      </c>
      <c r="G346" s="457">
        <v>0</v>
      </c>
      <c r="H346" s="457">
        <v>0</v>
      </c>
      <c r="I346" s="457">
        <v>0</v>
      </c>
      <c r="J346" s="457">
        <v>0</v>
      </c>
      <c r="K346" s="457">
        <v>0</v>
      </c>
      <c r="L346" s="457">
        <v>0</v>
      </c>
      <c r="M346" s="457">
        <v>0</v>
      </c>
      <c r="N346" s="457">
        <v>0</v>
      </c>
      <c r="O346" s="457">
        <v>0</v>
      </c>
      <c r="P346" s="457">
        <v>0</v>
      </c>
      <c r="Q346" s="457">
        <v>0</v>
      </c>
      <c r="R346" s="457">
        <v>0</v>
      </c>
      <c r="S346" s="457">
        <v>0</v>
      </c>
      <c r="T346" s="410" t="e">
        <v>#DIV/0!</v>
      </c>
      <c r="U346" s="285">
        <v>0</v>
      </c>
      <c r="V346" s="285">
        <v>0</v>
      </c>
      <c r="W346" s="285">
        <v>0</v>
      </c>
      <c r="X346" s="285">
        <v>0</v>
      </c>
      <c r="Y346" s="285">
        <v>0</v>
      </c>
      <c r="Z346" s="285">
        <v>0</v>
      </c>
    </row>
    <row r="347" spans="1:26" ht="24" x14ac:dyDescent="0.2">
      <c r="A347" s="412" t="s">
        <v>570</v>
      </c>
      <c r="B347" s="457">
        <v>0</v>
      </c>
      <c r="C347" s="457">
        <v>0</v>
      </c>
      <c r="D347" s="457">
        <v>0</v>
      </c>
      <c r="E347" s="457">
        <v>0</v>
      </c>
      <c r="F347" s="457">
        <v>0</v>
      </c>
      <c r="G347" s="457">
        <v>0</v>
      </c>
      <c r="H347" s="457">
        <v>0</v>
      </c>
      <c r="I347" s="457">
        <v>0</v>
      </c>
      <c r="J347" s="457">
        <v>0</v>
      </c>
      <c r="K347" s="457">
        <v>0</v>
      </c>
      <c r="L347" s="457">
        <v>0</v>
      </c>
      <c r="M347" s="457">
        <v>0</v>
      </c>
      <c r="N347" s="457">
        <v>0</v>
      </c>
      <c r="O347" s="457">
        <v>0</v>
      </c>
      <c r="P347" s="457">
        <v>0</v>
      </c>
      <c r="Q347" s="457">
        <v>0</v>
      </c>
      <c r="R347" s="457">
        <v>0</v>
      </c>
      <c r="S347" s="457">
        <v>0</v>
      </c>
      <c r="T347" s="410" t="e">
        <v>#DIV/0!</v>
      </c>
      <c r="U347" s="285">
        <v>0</v>
      </c>
      <c r="V347" s="285">
        <v>0</v>
      </c>
      <c r="W347" s="285">
        <v>0</v>
      </c>
      <c r="X347" s="285">
        <v>0</v>
      </c>
      <c r="Y347" s="285">
        <v>0</v>
      </c>
      <c r="Z347" s="285">
        <v>0</v>
      </c>
    </row>
    <row r="348" spans="1:26" ht="24" x14ac:dyDescent="0.2">
      <c r="A348" s="412" t="s">
        <v>571</v>
      </c>
      <c r="B348" s="457">
        <v>0</v>
      </c>
      <c r="C348" s="457">
        <v>0</v>
      </c>
      <c r="D348" s="457">
        <v>0</v>
      </c>
      <c r="E348" s="457">
        <v>0</v>
      </c>
      <c r="F348" s="457">
        <v>0</v>
      </c>
      <c r="G348" s="457">
        <v>0</v>
      </c>
      <c r="H348" s="457">
        <v>0</v>
      </c>
      <c r="I348" s="457">
        <v>0</v>
      </c>
      <c r="J348" s="457">
        <v>0</v>
      </c>
      <c r="K348" s="457">
        <v>0</v>
      </c>
      <c r="L348" s="457">
        <v>0</v>
      </c>
      <c r="M348" s="457">
        <v>0</v>
      </c>
      <c r="N348" s="457">
        <v>0</v>
      </c>
      <c r="O348" s="457">
        <v>0</v>
      </c>
      <c r="P348" s="457">
        <v>0</v>
      </c>
      <c r="Q348" s="457">
        <v>0</v>
      </c>
      <c r="R348" s="457">
        <v>0</v>
      </c>
      <c r="S348" s="457">
        <v>0</v>
      </c>
      <c r="T348" s="410" t="e">
        <v>#DIV/0!</v>
      </c>
      <c r="U348" s="285">
        <v>0</v>
      </c>
      <c r="V348" s="285">
        <v>0</v>
      </c>
      <c r="W348" s="285">
        <v>0</v>
      </c>
      <c r="X348" s="285">
        <v>0</v>
      </c>
      <c r="Y348" s="285">
        <v>0</v>
      </c>
      <c r="Z348" s="285">
        <v>0</v>
      </c>
    </row>
    <row r="349" spans="1:26" x14ac:dyDescent="0.2">
      <c r="A349" s="404" t="s">
        <v>572</v>
      </c>
      <c r="B349" s="448">
        <v>21122902</v>
      </c>
      <c r="C349" s="448">
        <v>23877902</v>
      </c>
      <c r="D349" s="448">
        <v>23877902</v>
      </c>
      <c r="E349" s="448">
        <v>12539153.135099055</v>
      </c>
      <c r="F349" s="448">
        <v>12462734.489051271</v>
      </c>
      <c r="G349" s="448">
        <v>1145782.4300000002</v>
      </c>
      <c r="H349" s="448">
        <v>1341921.5660000001</v>
      </c>
      <c r="I349" s="448">
        <v>1445066.145</v>
      </c>
      <c r="J349" s="448">
        <v>1395183.3</v>
      </c>
      <c r="K349" s="448">
        <v>1413721.91</v>
      </c>
      <c r="L349" s="448">
        <v>1400103.8130000001</v>
      </c>
      <c r="M349" s="448">
        <v>1399360.5631730035</v>
      </c>
      <c r="N349" s="448">
        <v>1482903.9528144361</v>
      </c>
      <c r="O349" s="448">
        <v>1438082.8219999997</v>
      </c>
      <c r="P349" s="448">
        <v>0</v>
      </c>
      <c r="Q349" s="448">
        <v>0</v>
      </c>
      <c r="R349" s="448">
        <v>0</v>
      </c>
      <c r="S349" s="448">
        <v>12462126.501987439</v>
      </c>
      <c r="T349" s="407">
        <v>0.52191044682181198</v>
      </c>
      <c r="U349" s="406">
        <v>11415775.498012561</v>
      </c>
      <c r="V349" s="406">
        <v>0</v>
      </c>
      <c r="W349" s="406">
        <v>11338748.864900945</v>
      </c>
      <c r="X349" s="406">
        <v>11338748.864900945</v>
      </c>
      <c r="Y349" s="406">
        <v>76418.646047784016</v>
      </c>
      <c r="Z349" s="406">
        <v>607.98706383258104</v>
      </c>
    </row>
    <row r="350" spans="1:26" ht="24" x14ac:dyDescent="0.2">
      <c r="A350" s="412" t="s">
        <v>573</v>
      </c>
      <c r="B350" s="457">
        <v>0</v>
      </c>
      <c r="C350" s="457">
        <v>0</v>
      </c>
      <c r="D350" s="457">
        <v>0</v>
      </c>
      <c r="E350" s="457">
        <v>0</v>
      </c>
      <c r="F350" s="457">
        <v>0</v>
      </c>
      <c r="G350" s="457">
        <v>0</v>
      </c>
      <c r="H350" s="457">
        <v>0</v>
      </c>
      <c r="I350" s="457">
        <v>0</v>
      </c>
      <c r="J350" s="457">
        <v>0</v>
      </c>
      <c r="K350" s="457">
        <v>0</v>
      </c>
      <c r="L350" s="457">
        <v>0</v>
      </c>
      <c r="M350" s="457">
        <v>0</v>
      </c>
      <c r="N350" s="457">
        <v>0</v>
      </c>
      <c r="O350" s="457">
        <v>0</v>
      </c>
      <c r="P350" s="457">
        <v>0</v>
      </c>
      <c r="Q350" s="457">
        <v>0</v>
      </c>
      <c r="R350" s="457">
        <v>0</v>
      </c>
      <c r="S350" s="457">
        <v>0</v>
      </c>
      <c r="T350" s="410" t="e">
        <v>#DIV/0!</v>
      </c>
      <c r="U350" s="285">
        <v>0</v>
      </c>
      <c r="V350" s="285">
        <v>0</v>
      </c>
      <c r="W350" s="285">
        <v>0</v>
      </c>
      <c r="X350" s="285">
        <v>0</v>
      </c>
      <c r="Y350" s="285">
        <v>0</v>
      </c>
      <c r="Z350" s="285">
        <v>0</v>
      </c>
    </row>
    <row r="351" spans="1:26" x14ac:dyDescent="0.2">
      <c r="A351" s="412" t="s">
        <v>574</v>
      </c>
      <c r="B351" s="457">
        <v>0</v>
      </c>
      <c r="C351" s="457">
        <v>0</v>
      </c>
      <c r="D351" s="457">
        <v>0</v>
      </c>
      <c r="E351" s="457">
        <v>0</v>
      </c>
      <c r="F351" s="457">
        <v>0</v>
      </c>
      <c r="G351" s="457">
        <v>0</v>
      </c>
      <c r="H351" s="457">
        <v>0</v>
      </c>
      <c r="I351" s="457">
        <v>0</v>
      </c>
      <c r="J351" s="457">
        <v>0</v>
      </c>
      <c r="K351" s="457">
        <v>0</v>
      </c>
      <c r="L351" s="457">
        <v>0</v>
      </c>
      <c r="M351" s="457">
        <v>0</v>
      </c>
      <c r="N351" s="457">
        <v>0</v>
      </c>
      <c r="O351" s="457">
        <v>0</v>
      </c>
      <c r="P351" s="457">
        <v>0</v>
      </c>
      <c r="Q351" s="457">
        <v>0</v>
      </c>
      <c r="R351" s="457">
        <v>0</v>
      </c>
      <c r="S351" s="457">
        <v>0</v>
      </c>
      <c r="T351" s="410" t="e">
        <v>#DIV/0!</v>
      </c>
      <c r="U351" s="285">
        <v>0</v>
      </c>
      <c r="V351" s="285">
        <v>0</v>
      </c>
      <c r="W351" s="285">
        <v>0</v>
      </c>
      <c r="X351" s="285">
        <v>0</v>
      </c>
      <c r="Y351" s="285">
        <v>0</v>
      </c>
      <c r="Z351" s="285">
        <v>0</v>
      </c>
    </row>
    <row r="352" spans="1:26" x14ac:dyDescent="0.2">
      <c r="A352" s="412" t="s">
        <v>575</v>
      </c>
      <c r="B352" s="457">
        <v>0</v>
      </c>
      <c r="C352" s="457">
        <v>0</v>
      </c>
      <c r="D352" s="457">
        <v>0</v>
      </c>
      <c r="E352" s="457">
        <v>0</v>
      </c>
      <c r="F352" s="457">
        <v>0</v>
      </c>
      <c r="G352" s="457">
        <v>0</v>
      </c>
      <c r="H352" s="457">
        <v>0</v>
      </c>
      <c r="I352" s="457">
        <v>0</v>
      </c>
      <c r="J352" s="457">
        <v>0</v>
      </c>
      <c r="K352" s="457">
        <v>0</v>
      </c>
      <c r="L352" s="457">
        <v>0</v>
      </c>
      <c r="M352" s="457">
        <v>0</v>
      </c>
      <c r="N352" s="457">
        <v>0</v>
      </c>
      <c r="O352" s="457">
        <v>0</v>
      </c>
      <c r="P352" s="457">
        <v>0</v>
      </c>
      <c r="Q352" s="457">
        <v>0</v>
      </c>
      <c r="R352" s="457">
        <v>0</v>
      </c>
      <c r="S352" s="457">
        <v>0</v>
      </c>
      <c r="T352" s="410" t="e">
        <v>#DIV/0!</v>
      </c>
      <c r="U352" s="285">
        <v>0</v>
      </c>
      <c r="V352" s="285">
        <v>0</v>
      </c>
      <c r="W352" s="285">
        <v>0</v>
      </c>
      <c r="X352" s="285">
        <v>0</v>
      </c>
      <c r="Y352" s="285">
        <v>0</v>
      </c>
      <c r="Z352" s="285">
        <v>0</v>
      </c>
    </row>
    <row r="353" spans="1:26" x14ac:dyDescent="0.2">
      <c r="A353" s="412" t="s">
        <v>576</v>
      </c>
      <c r="B353" s="457">
        <v>0</v>
      </c>
      <c r="C353" s="457">
        <v>0</v>
      </c>
      <c r="D353" s="457">
        <v>0</v>
      </c>
      <c r="E353" s="457">
        <v>0</v>
      </c>
      <c r="F353" s="457">
        <v>0</v>
      </c>
      <c r="G353" s="457">
        <v>0</v>
      </c>
      <c r="H353" s="457">
        <v>0</v>
      </c>
      <c r="I353" s="457">
        <v>0</v>
      </c>
      <c r="J353" s="457">
        <v>0</v>
      </c>
      <c r="K353" s="457">
        <v>0</v>
      </c>
      <c r="L353" s="457">
        <v>0</v>
      </c>
      <c r="M353" s="457">
        <v>0</v>
      </c>
      <c r="N353" s="457">
        <v>0</v>
      </c>
      <c r="O353" s="457">
        <v>0</v>
      </c>
      <c r="P353" s="457">
        <v>0</v>
      </c>
      <c r="Q353" s="457">
        <v>0</v>
      </c>
      <c r="R353" s="457">
        <v>0</v>
      </c>
      <c r="S353" s="457">
        <v>0</v>
      </c>
      <c r="T353" s="410" t="e">
        <v>#DIV/0!</v>
      </c>
      <c r="U353" s="285">
        <v>0</v>
      </c>
      <c r="V353" s="285">
        <v>0</v>
      </c>
      <c r="W353" s="285">
        <v>0</v>
      </c>
      <c r="X353" s="285">
        <v>0</v>
      </c>
      <c r="Y353" s="285">
        <v>0</v>
      </c>
      <c r="Z353" s="285">
        <v>0</v>
      </c>
    </row>
    <row r="354" spans="1:26" x14ac:dyDescent="0.2">
      <c r="A354" s="412" t="s">
        <v>577</v>
      </c>
      <c r="B354" s="457">
        <v>0</v>
      </c>
      <c r="C354" s="457">
        <v>0</v>
      </c>
      <c r="D354" s="457">
        <v>0</v>
      </c>
      <c r="E354" s="457">
        <v>0</v>
      </c>
      <c r="F354" s="457">
        <v>0</v>
      </c>
      <c r="G354" s="457">
        <v>0</v>
      </c>
      <c r="H354" s="457">
        <v>0</v>
      </c>
      <c r="I354" s="457">
        <v>0</v>
      </c>
      <c r="J354" s="457">
        <v>0</v>
      </c>
      <c r="K354" s="457">
        <v>0</v>
      </c>
      <c r="L354" s="457">
        <v>0</v>
      </c>
      <c r="M354" s="457">
        <v>0</v>
      </c>
      <c r="N354" s="457">
        <v>0</v>
      </c>
      <c r="O354" s="457">
        <v>0</v>
      </c>
      <c r="P354" s="457">
        <v>0</v>
      </c>
      <c r="Q354" s="457">
        <v>0</v>
      </c>
      <c r="R354" s="457">
        <v>0</v>
      </c>
      <c r="S354" s="457">
        <v>0</v>
      </c>
      <c r="T354" s="410" t="e">
        <v>#DIV/0!</v>
      </c>
      <c r="U354" s="285">
        <v>0</v>
      </c>
      <c r="V354" s="285">
        <v>0</v>
      </c>
      <c r="W354" s="285">
        <v>0</v>
      </c>
      <c r="X354" s="285">
        <v>0</v>
      </c>
      <c r="Y354" s="285">
        <v>0</v>
      </c>
      <c r="Z354" s="285">
        <v>0</v>
      </c>
    </row>
    <row r="355" spans="1:26" ht="24" x14ac:dyDescent="0.2">
      <c r="A355" s="412" t="s">
        <v>578</v>
      </c>
      <c r="B355" s="457">
        <v>0</v>
      </c>
      <c r="C355" s="457">
        <v>0</v>
      </c>
      <c r="D355" s="457">
        <v>0</v>
      </c>
      <c r="E355" s="457">
        <v>0</v>
      </c>
      <c r="F355" s="457">
        <v>0</v>
      </c>
      <c r="G355" s="457">
        <v>0</v>
      </c>
      <c r="H355" s="457">
        <v>0</v>
      </c>
      <c r="I355" s="457">
        <v>0</v>
      </c>
      <c r="J355" s="457">
        <v>0</v>
      </c>
      <c r="K355" s="457">
        <v>0</v>
      </c>
      <c r="L355" s="457">
        <v>0</v>
      </c>
      <c r="M355" s="457">
        <v>0</v>
      </c>
      <c r="N355" s="457">
        <v>0</v>
      </c>
      <c r="O355" s="457">
        <v>0</v>
      </c>
      <c r="P355" s="457">
        <v>0</v>
      </c>
      <c r="Q355" s="457">
        <v>0</v>
      </c>
      <c r="R355" s="457">
        <v>0</v>
      </c>
      <c r="S355" s="457">
        <v>0</v>
      </c>
      <c r="T355" s="410" t="e">
        <v>#DIV/0!</v>
      </c>
      <c r="U355" s="285">
        <v>0</v>
      </c>
      <c r="V355" s="285">
        <v>0</v>
      </c>
      <c r="W355" s="285">
        <v>0</v>
      </c>
      <c r="X355" s="285">
        <v>0</v>
      </c>
      <c r="Y355" s="285">
        <v>0</v>
      </c>
      <c r="Z355" s="285">
        <v>0</v>
      </c>
    </row>
    <row r="356" spans="1:26" x14ac:dyDescent="0.2">
      <c r="A356" s="412" t="s">
        <v>579</v>
      </c>
      <c r="B356" s="457">
        <v>188400</v>
      </c>
      <c r="C356" s="457">
        <v>188400</v>
      </c>
      <c r="D356" s="457">
        <v>188400</v>
      </c>
      <c r="E356" s="457">
        <v>64833.939999999995</v>
      </c>
      <c r="F356" s="457">
        <v>64833.939999999995</v>
      </c>
      <c r="G356" s="457">
        <v>6891.2300000000005</v>
      </c>
      <c r="H356" s="457">
        <v>6891.2300000000005</v>
      </c>
      <c r="I356" s="457">
        <v>6729.72</v>
      </c>
      <c r="J356" s="457">
        <v>6729.72</v>
      </c>
      <c r="K356" s="457">
        <v>6729.72</v>
      </c>
      <c r="L356" s="457">
        <v>9053.8000000000011</v>
      </c>
      <c r="M356" s="457">
        <v>7191.2</v>
      </c>
      <c r="N356" s="457">
        <v>7269.72</v>
      </c>
      <c r="O356" s="457">
        <v>7347.5999999999995</v>
      </c>
      <c r="P356" s="457">
        <v>0</v>
      </c>
      <c r="Q356" s="457">
        <v>0</v>
      </c>
      <c r="R356" s="457">
        <v>0</v>
      </c>
      <c r="S356" s="457">
        <v>64833.94</v>
      </c>
      <c r="T356" s="410">
        <v>0.34412919320594482</v>
      </c>
      <c r="U356" s="285">
        <v>123566.06</v>
      </c>
      <c r="V356" s="285">
        <v>0</v>
      </c>
      <c r="W356" s="285">
        <v>123566.06</v>
      </c>
      <c r="X356" s="285">
        <v>123566.06</v>
      </c>
      <c r="Y356" s="285">
        <v>0</v>
      </c>
      <c r="Z356" s="285">
        <v>0</v>
      </c>
    </row>
    <row r="357" spans="1:26" x14ac:dyDescent="0.2">
      <c r="A357" s="412" t="s">
        <v>580</v>
      </c>
      <c r="B357" s="457">
        <v>11400000</v>
      </c>
      <c r="C357" s="457">
        <v>11400000</v>
      </c>
      <c r="D357" s="457">
        <v>11400000</v>
      </c>
      <c r="E357" s="457">
        <v>5333345.2990000006</v>
      </c>
      <c r="F357" s="457">
        <v>5321898.9290000005</v>
      </c>
      <c r="G357" s="457">
        <v>471135.86</v>
      </c>
      <c r="H357" s="457">
        <v>582543.98</v>
      </c>
      <c r="I357" s="457">
        <v>638798.76</v>
      </c>
      <c r="J357" s="457">
        <v>596965.34000000008</v>
      </c>
      <c r="K357" s="457">
        <v>596668.12999999989</v>
      </c>
      <c r="L357" s="457">
        <v>604978.28000000014</v>
      </c>
      <c r="M357" s="457">
        <v>606622.40500000003</v>
      </c>
      <c r="N357" s="457">
        <v>610579.51400000008</v>
      </c>
      <c r="O357" s="457">
        <v>613606.65999999992</v>
      </c>
      <c r="P357" s="457">
        <v>0</v>
      </c>
      <c r="Q357" s="457">
        <v>0</v>
      </c>
      <c r="R357" s="457">
        <v>0</v>
      </c>
      <c r="S357" s="457">
        <v>5321898.9290000005</v>
      </c>
      <c r="T357" s="410">
        <v>0.46683323938596494</v>
      </c>
      <c r="U357" s="285">
        <v>6078101.0709999995</v>
      </c>
      <c r="V357" s="285">
        <v>0</v>
      </c>
      <c r="W357" s="285">
        <v>6066654.7009999994</v>
      </c>
      <c r="X357" s="285">
        <v>6066654.7009999994</v>
      </c>
      <c r="Y357" s="285">
        <v>11446.370000000112</v>
      </c>
      <c r="Z357" s="285">
        <v>0</v>
      </c>
    </row>
    <row r="358" spans="1:26" x14ac:dyDescent="0.2">
      <c r="A358" s="412" t="s">
        <v>581</v>
      </c>
      <c r="B358" s="457">
        <v>4800000</v>
      </c>
      <c r="C358" s="457">
        <v>4800000</v>
      </c>
      <c r="D358" s="457">
        <v>4800000</v>
      </c>
      <c r="E358" s="457">
        <v>2738534.085</v>
      </c>
      <c r="F358" s="457">
        <v>2737395.83</v>
      </c>
      <c r="G358" s="457">
        <v>295531.48</v>
      </c>
      <c r="H358" s="457">
        <v>296532.23</v>
      </c>
      <c r="I358" s="457">
        <v>298442.68500000006</v>
      </c>
      <c r="J358" s="457">
        <v>301795.93</v>
      </c>
      <c r="K358" s="457">
        <v>307666.84999999998</v>
      </c>
      <c r="L358" s="457">
        <v>303412.38999999996</v>
      </c>
      <c r="M358" s="457">
        <v>307457.08999999997</v>
      </c>
      <c r="N358" s="457">
        <v>312127.98000000004</v>
      </c>
      <c r="O358" s="457">
        <v>314429.19500000001</v>
      </c>
      <c r="P358" s="457">
        <v>0</v>
      </c>
      <c r="Q358" s="457">
        <v>0</v>
      </c>
      <c r="R358" s="457">
        <v>0</v>
      </c>
      <c r="S358" s="457">
        <v>2737395.8299999996</v>
      </c>
      <c r="T358" s="410">
        <v>0.57029079791666659</v>
      </c>
      <c r="U358" s="285">
        <v>2062604.1700000004</v>
      </c>
      <c r="V358" s="285">
        <v>0</v>
      </c>
      <c r="W358" s="285">
        <v>2061465.915</v>
      </c>
      <c r="X358" s="285">
        <v>2061465.915</v>
      </c>
      <c r="Y358" s="285">
        <v>1138.2549999998882</v>
      </c>
      <c r="Z358" s="285">
        <v>0</v>
      </c>
    </row>
    <row r="359" spans="1:26" x14ac:dyDescent="0.2">
      <c r="A359" s="412" t="s">
        <v>582</v>
      </c>
      <c r="B359" s="457">
        <v>68100</v>
      </c>
      <c r="C359" s="457">
        <v>73100</v>
      </c>
      <c r="D359" s="457">
        <v>73100</v>
      </c>
      <c r="E359" s="457">
        <v>61424.374999999978</v>
      </c>
      <c r="F359" s="457">
        <v>59950.738999999987</v>
      </c>
      <c r="G359" s="457">
        <v>7027.15</v>
      </c>
      <c r="H359" s="457">
        <v>4094.9439999999995</v>
      </c>
      <c r="I359" s="457">
        <v>4028.2999999999997</v>
      </c>
      <c r="J359" s="457">
        <v>3094.6699999999996</v>
      </c>
      <c r="K359" s="457">
        <v>4137.16</v>
      </c>
      <c r="L359" s="457">
        <v>5715.625</v>
      </c>
      <c r="M359" s="457">
        <v>4768.6099999999988</v>
      </c>
      <c r="N359" s="457">
        <v>19057.87</v>
      </c>
      <c r="O359" s="457">
        <v>8026.41</v>
      </c>
      <c r="P359" s="457">
        <v>0</v>
      </c>
      <c r="Q359" s="457">
        <v>0</v>
      </c>
      <c r="R359" s="457">
        <v>0</v>
      </c>
      <c r="S359" s="457">
        <v>59950.739000000001</v>
      </c>
      <c r="T359" s="410">
        <v>0.82011954856361147</v>
      </c>
      <c r="U359" s="285">
        <v>13149.260999999999</v>
      </c>
      <c r="V359" s="285">
        <v>0</v>
      </c>
      <c r="W359" s="285">
        <v>11675.625000000022</v>
      </c>
      <c r="X359" s="285">
        <v>11675.625000000022</v>
      </c>
      <c r="Y359" s="285">
        <v>1473.6359999999913</v>
      </c>
      <c r="Z359" s="285">
        <v>0</v>
      </c>
    </row>
    <row r="360" spans="1:26" x14ac:dyDescent="0.2">
      <c r="A360" s="412" t="s">
        <v>583</v>
      </c>
      <c r="B360" s="457">
        <v>788402</v>
      </c>
      <c r="C360" s="457">
        <v>4288402</v>
      </c>
      <c r="D360" s="457">
        <v>4288402</v>
      </c>
      <c r="E360" s="457">
        <v>2513829.6409999998</v>
      </c>
      <c r="F360" s="457">
        <v>2508420.091</v>
      </c>
      <c r="G360" s="457">
        <v>200231.12</v>
      </c>
      <c r="H360" s="457">
        <v>264477.40999999997</v>
      </c>
      <c r="I360" s="457">
        <v>308001.19500000001</v>
      </c>
      <c r="J360" s="457">
        <v>275509.96000000002</v>
      </c>
      <c r="K360" s="457">
        <v>285791.51</v>
      </c>
      <c r="L360" s="457">
        <v>286458.25400000002</v>
      </c>
      <c r="M360" s="457">
        <v>286853.11</v>
      </c>
      <c r="N360" s="457">
        <v>296763.64400000003</v>
      </c>
      <c r="O360" s="457">
        <v>304333.88799999998</v>
      </c>
      <c r="P360" s="457">
        <v>0</v>
      </c>
      <c r="Q360" s="457">
        <v>0</v>
      </c>
      <c r="R360" s="457">
        <v>0</v>
      </c>
      <c r="S360" s="457">
        <v>2508420.0909999995</v>
      </c>
      <c r="T360" s="410">
        <v>0.58493119138550898</v>
      </c>
      <c r="U360" s="285">
        <v>1779981.9090000005</v>
      </c>
      <c r="V360" s="285">
        <v>0</v>
      </c>
      <c r="W360" s="285">
        <v>1774572.3590000002</v>
      </c>
      <c r="X360" s="285">
        <v>1774572.3590000002</v>
      </c>
      <c r="Y360" s="285">
        <v>5409.5499999998137</v>
      </c>
      <c r="Z360" s="285">
        <v>0</v>
      </c>
    </row>
    <row r="361" spans="1:26" x14ac:dyDescent="0.2">
      <c r="A361" s="412" t="s">
        <v>584</v>
      </c>
      <c r="B361" s="457">
        <v>977000</v>
      </c>
      <c r="C361" s="457">
        <v>1227000</v>
      </c>
      <c r="D361" s="457">
        <v>1227000</v>
      </c>
      <c r="E361" s="457">
        <v>887683.51300000004</v>
      </c>
      <c r="F361" s="457">
        <v>886136.10699999984</v>
      </c>
      <c r="G361" s="457">
        <v>86023.99</v>
      </c>
      <c r="H361" s="457">
        <v>89133.754000000001</v>
      </c>
      <c r="I361" s="457">
        <v>91142.834999999992</v>
      </c>
      <c r="J361" s="457">
        <v>92283.78</v>
      </c>
      <c r="K361" s="457">
        <v>95536.16</v>
      </c>
      <c r="L361" s="457">
        <v>103911.50400000002</v>
      </c>
      <c r="M361" s="457">
        <v>107175.065</v>
      </c>
      <c r="N361" s="457">
        <v>111956.35999999999</v>
      </c>
      <c r="O361" s="457">
        <v>108452.429</v>
      </c>
      <c r="P361" s="457">
        <v>0</v>
      </c>
      <c r="Q361" s="457">
        <v>0</v>
      </c>
      <c r="R361" s="457">
        <v>0</v>
      </c>
      <c r="S361" s="457">
        <v>885615.87699999998</v>
      </c>
      <c r="T361" s="410">
        <v>0.7217733308883455</v>
      </c>
      <c r="U361" s="285">
        <v>341384.12300000002</v>
      </c>
      <c r="V361" s="285">
        <v>0</v>
      </c>
      <c r="W361" s="285">
        <v>339316.48699999996</v>
      </c>
      <c r="X361" s="285">
        <v>339316.48699999996</v>
      </c>
      <c r="Y361" s="285">
        <v>1547.4060000001919</v>
      </c>
      <c r="Z361" s="285">
        <v>520.22999999986496</v>
      </c>
    </row>
    <row r="362" spans="1:26" x14ac:dyDescent="0.2">
      <c r="A362" s="412" t="s">
        <v>585</v>
      </c>
      <c r="B362" s="457">
        <v>0</v>
      </c>
      <c r="C362" s="457">
        <v>0</v>
      </c>
      <c r="D362" s="457">
        <v>0</v>
      </c>
      <c r="E362" s="457">
        <v>0</v>
      </c>
      <c r="F362" s="457">
        <v>0</v>
      </c>
      <c r="G362" s="457">
        <v>0</v>
      </c>
      <c r="H362" s="457">
        <v>0</v>
      </c>
      <c r="I362" s="457">
        <v>0</v>
      </c>
      <c r="J362" s="457">
        <v>0</v>
      </c>
      <c r="K362" s="457">
        <v>0</v>
      </c>
      <c r="L362" s="457">
        <v>0</v>
      </c>
      <c r="M362" s="457">
        <v>0</v>
      </c>
      <c r="N362" s="457">
        <v>0</v>
      </c>
      <c r="O362" s="457">
        <v>0</v>
      </c>
      <c r="P362" s="457">
        <v>0</v>
      </c>
      <c r="Q362" s="457">
        <v>0</v>
      </c>
      <c r="R362" s="457">
        <v>0</v>
      </c>
      <c r="S362" s="457">
        <v>0</v>
      </c>
      <c r="T362" s="410" t="e">
        <v>#DIV/0!</v>
      </c>
      <c r="U362" s="285">
        <v>0</v>
      </c>
      <c r="V362" s="285">
        <v>0</v>
      </c>
      <c r="W362" s="285">
        <v>0</v>
      </c>
      <c r="X362" s="285">
        <v>0</v>
      </c>
      <c r="Y362" s="285">
        <v>0</v>
      </c>
      <c r="Z362" s="285">
        <v>0</v>
      </c>
    </row>
    <row r="363" spans="1:26" x14ac:dyDescent="0.2">
      <c r="A363" s="412" t="s">
        <v>586</v>
      </c>
      <c r="B363" s="457">
        <v>0</v>
      </c>
      <c r="C363" s="457">
        <v>0</v>
      </c>
      <c r="D363" s="457">
        <v>0</v>
      </c>
      <c r="E363" s="457">
        <v>0</v>
      </c>
      <c r="F363" s="457">
        <v>0</v>
      </c>
      <c r="G363" s="457">
        <v>0</v>
      </c>
      <c r="H363" s="457">
        <v>0</v>
      </c>
      <c r="I363" s="457">
        <v>0</v>
      </c>
      <c r="J363" s="457">
        <v>0</v>
      </c>
      <c r="K363" s="457">
        <v>0</v>
      </c>
      <c r="L363" s="457">
        <v>0</v>
      </c>
      <c r="M363" s="457">
        <v>0</v>
      </c>
      <c r="N363" s="457">
        <v>0</v>
      </c>
      <c r="O363" s="457">
        <v>0</v>
      </c>
      <c r="P363" s="457">
        <v>0</v>
      </c>
      <c r="Q363" s="457">
        <v>0</v>
      </c>
      <c r="R363" s="457">
        <v>0</v>
      </c>
      <c r="S363" s="457">
        <v>0</v>
      </c>
      <c r="T363" s="410" t="e">
        <v>#DIV/0!</v>
      </c>
      <c r="U363" s="285">
        <v>0</v>
      </c>
      <c r="V363" s="285">
        <v>0</v>
      </c>
      <c r="W363" s="285">
        <v>0</v>
      </c>
      <c r="X363" s="285">
        <v>0</v>
      </c>
      <c r="Y363" s="285">
        <v>0</v>
      </c>
      <c r="Z363" s="285">
        <v>0</v>
      </c>
    </row>
    <row r="364" spans="1:26" x14ac:dyDescent="0.2">
      <c r="A364" s="412" t="s">
        <v>587</v>
      </c>
      <c r="B364" s="457">
        <v>1000000</v>
      </c>
      <c r="C364" s="457">
        <v>1000000</v>
      </c>
      <c r="D364" s="457">
        <v>1000000</v>
      </c>
      <c r="E364" s="457">
        <v>556106.11000000022</v>
      </c>
      <c r="F364" s="457">
        <v>507441.08899999951</v>
      </c>
      <c r="G364" s="457">
        <v>45194.210000000006</v>
      </c>
      <c r="H364" s="457">
        <v>62493.349999999991</v>
      </c>
      <c r="I364" s="457">
        <v>58881.68</v>
      </c>
      <c r="J364" s="457">
        <v>84670.430000000008</v>
      </c>
      <c r="K364" s="457">
        <v>71026.5</v>
      </c>
      <c r="L364" s="457">
        <v>49912.929999999993</v>
      </c>
      <c r="M364" s="457">
        <v>35289.280999999995</v>
      </c>
      <c r="N364" s="457">
        <v>51219.152000000002</v>
      </c>
      <c r="O364" s="457">
        <v>48753.56</v>
      </c>
      <c r="P364" s="457">
        <v>0</v>
      </c>
      <c r="Q364" s="457">
        <v>0</v>
      </c>
      <c r="R364" s="457">
        <v>0</v>
      </c>
      <c r="S364" s="457">
        <v>507441.09299999999</v>
      </c>
      <c r="T364" s="410">
        <v>0.50744109299999995</v>
      </c>
      <c r="U364" s="285">
        <v>492558.90700000001</v>
      </c>
      <c r="V364" s="285">
        <v>0</v>
      </c>
      <c r="W364" s="285">
        <v>443893.88999999978</v>
      </c>
      <c r="X364" s="285">
        <v>443893.88999999978</v>
      </c>
      <c r="Y364" s="285">
        <v>48665.021000000706</v>
      </c>
      <c r="Z364" s="285">
        <v>-4.0000004810281098E-3</v>
      </c>
    </row>
    <row r="365" spans="1:26" x14ac:dyDescent="0.2">
      <c r="A365" s="412" t="s">
        <v>588</v>
      </c>
      <c r="B365" s="457">
        <v>50000</v>
      </c>
      <c r="C365" s="457">
        <v>50000</v>
      </c>
      <c r="D365" s="457">
        <v>50000</v>
      </c>
      <c r="E365" s="457">
        <v>13795.14</v>
      </c>
      <c r="F365" s="457">
        <v>11814.55</v>
      </c>
      <c r="G365" s="457">
        <v>773.31</v>
      </c>
      <c r="H365" s="457">
        <v>861.04</v>
      </c>
      <c r="I365" s="457">
        <v>1519.21</v>
      </c>
      <c r="J365" s="457">
        <v>1902.08</v>
      </c>
      <c r="K365" s="457">
        <v>1857.8500000000001</v>
      </c>
      <c r="L365" s="457">
        <v>628.81000000000006</v>
      </c>
      <c r="M365" s="457">
        <v>1332.6399999999999</v>
      </c>
      <c r="N365" s="457">
        <v>1783.96</v>
      </c>
      <c r="O365" s="457">
        <v>1155.6500000000001</v>
      </c>
      <c r="P365" s="457">
        <v>0</v>
      </c>
      <c r="Q365" s="457">
        <v>0</v>
      </c>
      <c r="R365" s="457">
        <v>0</v>
      </c>
      <c r="S365" s="457">
        <v>11814.550000000001</v>
      </c>
      <c r="T365" s="410">
        <v>0.23629100000000003</v>
      </c>
      <c r="U365" s="285">
        <v>38185.449999999997</v>
      </c>
      <c r="V365" s="285">
        <v>0</v>
      </c>
      <c r="W365" s="285">
        <v>36204.86</v>
      </c>
      <c r="X365" s="285">
        <v>36204.86</v>
      </c>
      <c r="Y365" s="285">
        <v>1980.5900000000001</v>
      </c>
      <c r="Z365" s="285">
        <v>0</v>
      </c>
    </row>
    <row r="366" spans="1:26" x14ac:dyDescent="0.2">
      <c r="A366" s="412" t="s">
        <v>589</v>
      </c>
      <c r="B366" s="457">
        <v>1000</v>
      </c>
      <c r="C366" s="457">
        <v>1000</v>
      </c>
      <c r="D366" s="457">
        <v>1000</v>
      </c>
      <c r="E366" s="457">
        <v>0</v>
      </c>
      <c r="F366" s="457">
        <v>0</v>
      </c>
      <c r="G366" s="457">
        <v>0</v>
      </c>
      <c r="H366" s="457">
        <v>0</v>
      </c>
      <c r="I366" s="457">
        <v>0</v>
      </c>
      <c r="J366" s="457">
        <v>0</v>
      </c>
      <c r="K366" s="457">
        <v>0</v>
      </c>
      <c r="L366" s="457">
        <v>0</v>
      </c>
      <c r="M366" s="457">
        <v>0</v>
      </c>
      <c r="N366" s="457">
        <v>0</v>
      </c>
      <c r="O366" s="457">
        <v>0</v>
      </c>
      <c r="P366" s="457">
        <v>0</v>
      </c>
      <c r="Q366" s="457">
        <v>0</v>
      </c>
      <c r="R366" s="457">
        <v>0</v>
      </c>
      <c r="S366" s="457">
        <v>0</v>
      </c>
      <c r="T366" s="410">
        <v>0</v>
      </c>
      <c r="U366" s="285">
        <v>1000</v>
      </c>
      <c r="V366" s="285">
        <v>0</v>
      </c>
      <c r="W366" s="285">
        <v>1000</v>
      </c>
      <c r="X366" s="285">
        <v>1000</v>
      </c>
      <c r="Y366" s="285">
        <v>0</v>
      </c>
      <c r="Z366" s="285">
        <v>0</v>
      </c>
    </row>
    <row r="367" spans="1:26" x14ac:dyDescent="0.2">
      <c r="A367" s="412" t="s">
        <v>590</v>
      </c>
      <c r="B367" s="457">
        <v>550000</v>
      </c>
      <c r="C367" s="457">
        <v>550000</v>
      </c>
      <c r="D367" s="457">
        <v>550000</v>
      </c>
      <c r="E367" s="457">
        <v>362072.63209905423</v>
      </c>
      <c r="F367" s="457">
        <v>357364.41405126947</v>
      </c>
      <c r="G367" s="457">
        <v>32974.080000000002</v>
      </c>
      <c r="H367" s="457">
        <v>34893.628000000004</v>
      </c>
      <c r="I367" s="457">
        <v>37521.759999999995</v>
      </c>
      <c r="J367" s="457">
        <v>32231.390000000003</v>
      </c>
      <c r="K367" s="457">
        <v>44308.03</v>
      </c>
      <c r="L367" s="457">
        <v>36032.219999999994</v>
      </c>
      <c r="M367" s="457">
        <v>41381.322173003464</v>
      </c>
      <c r="N367" s="457">
        <v>70437.542814436179</v>
      </c>
      <c r="O367" s="457">
        <v>27584.440000000002</v>
      </c>
      <c r="P367" s="457">
        <v>0</v>
      </c>
      <c r="Q367" s="457">
        <v>0</v>
      </c>
      <c r="R367" s="457">
        <v>0</v>
      </c>
      <c r="S367" s="457">
        <v>357364.41298743966</v>
      </c>
      <c r="T367" s="410">
        <v>0.64975347815898121</v>
      </c>
      <c r="U367" s="285">
        <v>192635.58701256034</v>
      </c>
      <c r="V367" s="285">
        <v>0</v>
      </c>
      <c r="W367" s="285">
        <v>187927.36790094577</v>
      </c>
      <c r="X367" s="285">
        <v>187927.36790094577</v>
      </c>
      <c r="Y367" s="285">
        <v>4708.2180477847578</v>
      </c>
      <c r="Z367" s="285">
        <v>1.0638298117555678E-3</v>
      </c>
    </row>
    <row r="368" spans="1:26" x14ac:dyDescent="0.2">
      <c r="A368" s="412" t="s">
        <v>591</v>
      </c>
      <c r="B368" s="457">
        <v>0</v>
      </c>
      <c r="C368" s="457">
        <v>0</v>
      </c>
      <c r="D368" s="457">
        <v>0</v>
      </c>
      <c r="E368" s="457">
        <v>0</v>
      </c>
      <c r="F368" s="457">
        <v>0</v>
      </c>
      <c r="G368" s="457">
        <v>0</v>
      </c>
      <c r="H368" s="457">
        <v>0</v>
      </c>
      <c r="I368" s="457">
        <v>0</v>
      </c>
      <c r="J368" s="457">
        <v>0</v>
      </c>
      <c r="K368" s="457">
        <v>0</v>
      </c>
      <c r="L368" s="457">
        <v>0</v>
      </c>
      <c r="M368" s="457">
        <v>0</v>
      </c>
      <c r="N368" s="457">
        <v>0</v>
      </c>
      <c r="O368" s="457">
        <v>0</v>
      </c>
      <c r="P368" s="457">
        <v>0</v>
      </c>
      <c r="Q368" s="457">
        <v>0</v>
      </c>
      <c r="R368" s="457">
        <v>0</v>
      </c>
      <c r="S368" s="457">
        <v>0</v>
      </c>
      <c r="T368" s="410" t="e">
        <v>#DIV/0!</v>
      </c>
      <c r="U368" s="285">
        <v>0</v>
      </c>
      <c r="V368" s="285">
        <v>0</v>
      </c>
      <c r="W368" s="285">
        <v>0</v>
      </c>
      <c r="X368" s="285">
        <v>0</v>
      </c>
      <c r="Y368" s="285">
        <v>0</v>
      </c>
      <c r="Z368" s="285">
        <v>0</v>
      </c>
    </row>
    <row r="369" spans="1:26" x14ac:dyDescent="0.2">
      <c r="A369" s="412" t="s">
        <v>592</v>
      </c>
      <c r="B369" s="457">
        <v>1300000</v>
      </c>
      <c r="C369" s="457">
        <v>300000</v>
      </c>
      <c r="D369" s="457">
        <v>300000</v>
      </c>
      <c r="E369" s="457">
        <v>7528.4</v>
      </c>
      <c r="F369" s="457">
        <v>7478.8</v>
      </c>
      <c r="G369" s="457">
        <v>0</v>
      </c>
      <c r="H369" s="457">
        <v>0</v>
      </c>
      <c r="I369" s="457">
        <v>0</v>
      </c>
      <c r="J369" s="457">
        <v>0</v>
      </c>
      <c r="K369" s="457">
        <v>0</v>
      </c>
      <c r="L369" s="457">
        <v>0</v>
      </c>
      <c r="M369" s="457">
        <v>1289.8399999999999</v>
      </c>
      <c r="N369" s="457">
        <v>1708.2099999999998</v>
      </c>
      <c r="O369" s="457">
        <v>4392.99</v>
      </c>
      <c r="P369" s="457">
        <v>0</v>
      </c>
      <c r="Q369" s="457">
        <v>0</v>
      </c>
      <c r="R369" s="457">
        <v>0</v>
      </c>
      <c r="S369" s="457">
        <v>7391.0399999999991</v>
      </c>
      <c r="T369" s="410">
        <v>2.4636799999999997E-2</v>
      </c>
      <c r="U369" s="285">
        <v>292608.96000000002</v>
      </c>
      <c r="V369" s="285">
        <v>0</v>
      </c>
      <c r="W369" s="285">
        <v>292471.59999999998</v>
      </c>
      <c r="X369" s="285">
        <v>292471.59999999998</v>
      </c>
      <c r="Y369" s="285">
        <v>49.599999999999454</v>
      </c>
      <c r="Z369" s="285">
        <v>87.760000000001128</v>
      </c>
    </row>
    <row r="370" spans="1:26" x14ac:dyDescent="0.2">
      <c r="A370" s="412" t="s">
        <v>593</v>
      </c>
      <c r="B370" s="457">
        <v>0</v>
      </c>
      <c r="C370" s="457">
        <v>0</v>
      </c>
      <c r="D370" s="457">
        <v>0</v>
      </c>
      <c r="E370" s="457">
        <v>0</v>
      </c>
      <c r="F370" s="457">
        <v>0</v>
      </c>
      <c r="G370" s="457">
        <v>0</v>
      </c>
      <c r="H370" s="457">
        <v>0</v>
      </c>
      <c r="I370" s="457">
        <v>0</v>
      </c>
      <c r="J370" s="457">
        <v>0</v>
      </c>
      <c r="K370" s="457">
        <v>0</v>
      </c>
      <c r="L370" s="457">
        <v>0</v>
      </c>
      <c r="M370" s="457">
        <v>0</v>
      </c>
      <c r="N370" s="457">
        <v>0</v>
      </c>
      <c r="O370" s="457">
        <v>0</v>
      </c>
      <c r="P370" s="457">
        <v>0</v>
      </c>
      <c r="Q370" s="457">
        <v>0</v>
      </c>
      <c r="R370" s="457">
        <v>0</v>
      </c>
      <c r="S370" s="457">
        <v>0</v>
      </c>
      <c r="T370" s="410" t="e">
        <v>#DIV/0!</v>
      </c>
      <c r="U370" s="285">
        <v>0</v>
      </c>
      <c r="V370" s="285">
        <v>0</v>
      </c>
      <c r="W370" s="285">
        <v>0</v>
      </c>
      <c r="X370" s="285">
        <v>0</v>
      </c>
      <c r="Y370" s="285">
        <v>0</v>
      </c>
      <c r="Z370" s="285">
        <v>0</v>
      </c>
    </row>
    <row r="371" spans="1:26" x14ac:dyDescent="0.2">
      <c r="A371" s="412" t="s">
        <v>594</v>
      </c>
      <c r="B371" s="457">
        <v>0</v>
      </c>
      <c r="C371" s="457">
        <v>0</v>
      </c>
      <c r="D371" s="457">
        <v>0</v>
      </c>
      <c r="E371" s="457">
        <v>0</v>
      </c>
      <c r="F371" s="457">
        <v>0</v>
      </c>
      <c r="G371" s="457">
        <v>0</v>
      </c>
      <c r="H371" s="457">
        <v>0</v>
      </c>
      <c r="I371" s="457">
        <v>0</v>
      </c>
      <c r="J371" s="457">
        <v>0</v>
      </c>
      <c r="K371" s="457">
        <v>0</v>
      </c>
      <c r="L371" s="457">
        <v>0</v>
      </c>
      <c r="M371" s="457">
        <v>0</v>
      </c>
      <c r="N371" s="457">
        <v>0</v>
      </c>
      <c r="O371" s="457">
        <v>0</v>
      </c>
      <c r="P371" s="457">
        <v>0</v>
      </c>
      <c r="Q371" s="457">
        <v>0</v>
      </c>
      <c r="R371" s="457">
        <v>0</v>
      </c>
      <c r="S371" s="457">
        <v>0</v>
      </c>
      <c r="T371" s="410" t="e">
        <v>#DIV/0!</v>
      </c>
      <c r="U371" s="285">
        <v>0</v>
      </c>
      <c r="V371" s="285">
        <v>0</v>
      </c>
      <c r="W371" s="285">
        <v>0</v>
      </c>
      <c r="X371" s="285">
        <v>0</v>
      </c>
      <c r="Y371" s="285">
        <v>0</v>
      </c>
      <c r="Z371" s="285">
        <v>0</v>
      </c>
    </row>
    <row r="372" spans="1:26" ht="24" x14ac:dyDescent="0.2">
      <c r="A372" s="412" t="s">
        <v>595</v>
      </c>
      <c r="B372" s="457">
        <v>0</v>
      </c>
      <c r="C372" s="457">
        <v>0</v>
      </c>
      <c r="D372" s="457">
        <v>0</v>
      </c>
      <c r="E372" s="457">
        <v>0</v>
      </c>
      <c r="F372" s="457">
        <v>0</v>
      </c>
      <c r="G372" s="457">
        <v>0</v>
      </c>
      <c r="H372" s="457">
        <v>0</v>
      </c>
      <c r="I372" s="457">
        <v>0</v>
      </c>
      <c r="J372" s="457">
        <v>0</v>
      </c>
      <c r="K372" s="457">
        <v>0</v>
      </c>
      <c r="L372" s="457">
        <v>0</v>
      </c>
      <c r="M372" s="457">
        <v>0</v>
      </c>
      <c r="N372" s="457">
        <v>0</v>
      </c>
      <c r="O372" s="457">
        <v>0</v>
      </c>
      <c r="P372" s="457">
        <v>0</v>
      </c>
      <c r="Q372" s="457">
        <v>0</v>
      </c>
      <c r="R372" s="457">
        <v>0</v>
      </c>
      <c r="S372" s="457">
        <v>0</v>
      </c>
      <c r="T372" s="410" t="e">
        <v>#DIV/0!</v>
      </c>
      <c r="U372" s="285">
        <v>0</v>
      </c>
      <c r="V372" s="285">
        <v>0</v>
      </c>
      <c r="W372" s="285">
        <v>0</v>
      </c>
      <c r="X372" s="285">
        <v>0</v>
      </c>
      <c r="Y372" s="285">
        <v>0</v>
      </c>
      <c r="Z372" s="285">
        <v>0</v>
      </c>
    </row>
    <row r="373" spans="1:26" x14ac:dyDescent="0.2">
      <c r="A373" s="412" t="s">
        <v>596</v>
      </c>
      <c r="B373" s="457">
        <v>0</v>
      </c>
      <c r="C373" s="457">
        <v>0</v>
      </c>
      <c r="D373" s="457">
        <v>0</v>
      </c>
      <c r="E373" s="457">
        <v>0</v>
      </c>
      <c r="F373" s="457">
        <v>0</v>
      </c>
      <c r="G373" s="457">
        <v>0</v>
      </c>
      <c r="H373" s="457">
        <v>0</v>
      </c>
      <c r="I373" s="457">
        <v>0</v>
      </c>
      <c r="J373" s="457">
        <v>0</v>
      </c>
      <c r="K373" s="457">
        <v>0</v>
      </c>
      <c r="L373" s="457">
        <v>0</v>
      </c>
      <c r="M373" s="457">
        <v>0</v>
      </c>
      <c r="N373" s="457">
        <v>0</v>
      </c>
      <c r="O373" s="457">
        <v>0</v>
      </c>
      <c r="P373" s="457">
        <v>0</v>
      </c>
      <c r="Q373" s="457">
        <v>0</v>
      </c>
      <c r="R373" s="457">
        <v>0</v>
      </c>
      <c r="S373" s="457">
        <v>0</v>
      </c>
      <c r="T373" s="410" t="e">
        <v>#DIV/0!</v>
      </c>
      <c r="U373" s="285">
        <v>0</v>
      </c>
      <c r="V373" s="285">
        <v>0</v>
      </c>
      <c r="W373" s="285">
        <v>0</v>
      </c>
      <c r="X373" s="285">
        <v>0</v>
      </c>
      <c r="Y373" s="285">
        <v>0</v>
      </c>
      <c r="Z373" s="285">
        <v>0</v>
      </c>
    </row>
    <row r="374" spans="1:26" ht="24" x14ac:dyDescent="0.2">
      <c r="A374" s="412" t="s">
        <v>597</v>
      </c>
      <c r="B374" s="457">
        <v>0</v>
      </c>
      <c r="C374" s="457">
        <v>0</v>
      </c>
      <c r="D374" s="457">
        <v>0</v>
      </c>
      <c r="E374" s="457">
        <v>0</v>
      </c>
      <c r="F374" s="457">
        <v>0</v>
      </c>
      <c r="G374" s="457">
        <v>0</v>
      </c>
      <c r="H374" s="457">
        <v>0</v>
      </c>
      <c r="I374" s="457">
        <v>0</v>
      </c>
      <c r="J374" s="457">
        <v>0</v>
      </c>
      <c r="K374" s="457">
        <v>0</v>
      </c>
      <c r="L374" s="457">
        <v>0</v>
      </c>
      <c r="M374" s="457">
        <v>0</v>
      </c>
      <c r="N374" s="457">
        <v>0</v>
      </c>
      <c r="O374" s="457">
        <v>0</v>
      </c>
      <c r="P374" s="457">
        <v>0</v>
      </c>
      <c r="Q374" s="457">
        <v>0</v>
      </c>
      <c r="R374" s="457">
        <v>0</v>
      </c>
      <c r="S374" s="457">
        <v>0</v>
      </c>
      <c r="T374" s="410" t="e">
        <v>#DIV/0!</v>
      </c>
      <c r="U374" s="285">
        <v>0</v>
      </c>
      <c r="V374" s="285">
        <v>0</v>
      </c>
      <c r="W374" s="285">
        <v>0</v>
      </c>
      <c r="X374" s="285">
        <v>0</v>
      </c>
      <c r="Y374" s="285">
        <v>0</v>
      </c>
      <c r="Z374" s="285">
        <v>0</v>
      </c>
    </row>
    <row r="375" spans="1:26" x14ac:dyDescent="0.2">
      <c r="A375" s="412" t="s">
        <v>598</v>
      </c>
      <c r="B375" s="457">
        <v>0</v>
      </c>
      <c r="C375" s="457">
        <v>0</v>
      </c>
      <c r="D375" s="457">
        <v>0</v>
      </c>
      <c r="E375" s="457">
        <v>0</v>
      </c>
      <c r="F375" s="457">
        <v>0</v>
      </c>
      <c r="G375" s="457">
        <v>0</v>
      </c>
      <c r="H375" s="457">
        <v>0</v>
      </c>
      <c r="I375" s="457">
        <v>0</v>
      </c>
      <c r="J375" s="457">
        <v>0</v>
      </c>
      <c r="K375" s="457">
        <v>0</v>
      </c>
      <c r="L375" s="457">
        <v>0</v>
      </c>
      <c r="M375" s="457">
        <v>0</v>
      </c>
      <c r="N375" s="457">
        <v>0</v>
      </c>
      <c r="O375" s="457">
        <v>0</v>
      </c>
      <c r="P375" s="457">
        <v>0</v>
      </c>
      <c r="Q375" s="457">
        <v>0</v>
      </c>
      <c r="R375" s="457">
        <v>0</v>
      </c>
      <c r="S375" s="457">
        <v>0</v>
      </c>
      <c r="T375" s="410" t="e">
        <v>#DIV/0!</v>
      </c>
      <c r="U375" s="285">
        <v>0</v>
      </c>
      <c r="V375" s="285">
        <v>0</v>
      </c>
      <c r="W375" s="285">
        <v>0</v>
      </c>
      <c r="X375" s="285">
        <v>0</v>
      </c>
      <c r="Y375" s="285">
        <v>0</v>
      </c>
      <c r="Z375" s="285">
        <v>0</v>
      </c>
    </row>
    <row r="376" spans="1:26" ht="24" x14ac:dyDescent="0.2">
      <c r="A376" s="412" t="s">
        <v>599</v>
      </c>
      <c r="B376" s="457">
        <v>0</v>
      </c>
      <c r="C376" s="457">
        <v>0</v>
      </c>
      <c r="D376" s="457">
        <v>0</v>
      </c>
      <c r="E376" s="457">
        <v>0</v>
      </c>
      <c r="F376" s="457">
        <v>0</v>
      </c>
      <c r="G376" s="457">
        <v>0</v>
      </c>
      <c r="H376" s="457">
        <v>0</v>
      </c>
      <c r="I376" s="457">
        <v>0</v>
      </c>
      <c r="J376" s="457">
        <v>0</v>
      </c>
      <c r="K376" s="457">
        <v>0</v>
      </c>
      <c r="L376" s="457">
        <v>0</v>
      </c>
      <c r="M376" s="457">
        <v>0</v>
      </c>
      <c r="N376" s="457">
        <v>0</v>
      </c>
      <c r="O376" s="457">
        <v>0</v>
      </c>
      <c r="P376" s="457">
        <v>0</v>
      </c>
      <c r="Q376" s="457">
        <v>0</v>
      </c>
      <c r="R376" s="457">
        <v>0</v>
      </c>
      <c r="S376" s="457">
        <v>0</v>
      </c>
      <c r="T376" s="410" t="e">
        <v>#DIV/0!</v>
      </c>
      <c r="U376" s="285">
        <v>0</v>
      </c>
      <c r="V376" s="285">
        <v>0</v>
      </c>
      <c r="W376" s="285">
        <v>0</v>
      </c>
      <c r="X376" s="285">
        <v>0</v>
      </c>
      <c r="Y376" s="285">
        <v>0</v>
      </c>
      <c r="Z376" s="285">
        <v>0</v>
      </c>
    </row>
    <row r="377" spans="1:26" x14ac:dyDescent="0.2">
      <c r="A377" s="412" t="s">
        <v>600</v>
      </c>
      <c r="B377" s="457">
        <v>0</v>
      </c>
      <c r="C377" s="457">
        <v>0</v>
      </c>
      <c r="D377" s="457">
        <v>0</v>
      </c>
      <c r="E377" s="457">
        <v>0</v>
      </c>
      <c r="F377" s="457">
        <v>0</v>
      </c>
      <c r="G377" s="457">
        <v>0</v>
      </c>
      <c r="H377" s="457">
        <v>0</v>
      </c>
      <c r="I377" s="457">
        <v>0</v>
      </c>
      <c r="J377" s="457">
        <v>0</v>
      </c>
      <c r="K377" s="457">
        <v>0</v>
      </c>
      <c r="L377" s="457">
        <v>0</v>
      </c>
      <c r="M377" s="457">
        <v>0</v>
      </c>
      <c r="N377" s="457">
        <v>0</v>
      </c>
      <c r="O377" s="457">
        <v>0</v>
      </c>
      <c r="P377" s="457">
        <v>0</v>
      </c>
      <c r="Q377" s="457">
        <v>0</v>
      </c>
      <c r="R377" s="457">
        <v>0</v>
      </c>
      <c r="S377" s="457">
        <v>0</v>
      </c>
      <c r="T377" s="410" t="e">
        <v>#DIV/0!</v>
      </c>
      <c r="U377" s="285">
        <v>0</v>
      </c>
      <c r="V377" s="285">
        <v>0</v>
      </c>
      <c r="W377" s="285">
        <v>0</v>
      </c>
      <c r="X377" s="285">
        <v>0</v>
      </c>
      <c r="Y377" s="285">
        <v>0</v>
      </c>
      <c r="Z377" s="285">
        <v>0</v>
      </c>
    </row>
    <row r="378" spans="1:26" x14ac:dyDescent="0.2">
      <c r="A378" s="412" t="s">
        <v>601</v>
      </c>
      <c r="B378" s="457">
        <v>0</v>
      </c>
      <c r="C378" s="457">
        <v>0</v>
      </c>
      <c r="D378" s="457">
        <v>0</v>
      </c>
      <c r="E378" s="457">
        <v>0</v>
      </c>
      <c r="F378" s="457">
        <v>0</v>
      </c>
      <c r="G378" s="457">
        <v>0</v>
      </c>
      <c r="H378" s="457">
        <v>0</v>
      </c>
      <c r="I378" s="457">
        <v>0</v>
      </c>
      <c r="J378" s="457">
        <v>0</v>
      </c>
      <c r="K378" s="457">
        <v>0</v>
      </c>
      <c r="L378" s="457">
        <v>0</v>
      </c>
      <c r="M378" s="457">
        <v>0</v>
      </c>
      <c r="N378" s="457">
        <v>0</v>
      </c>
      <c r="O378" s="457">
        <v>0</v>
      </c>
      <c r="P378" s="457">
        <v>0</v>
      </c>
      <c r="Q378" s="457">
        <v>0</v>
      </c>
      <c r="R378" s="457">
        <v>0</v>
      </c>
      <c r="S378" s="457">
        <v>0</v>
      </c>
      <c r="T378" s="410" t="e">
        <v>#DIV/0!</v>
      </c>
      <c r="U378" s="285">
        <v>0</v>
      </c>
      <c r="V378" s="285">
        <v>0</v>
      </c>
      <c r="W378" s="285">
        <v>0</v>
      </c>
      <c r="X378" s="285">
        <v>0</v>
      </c>
      <c r="Y378" s="285">
        <v>0</v>
      </c>
      <c r="Z378" s="285">
        <v>0</v>
      </c>
    </row>
    <row r="379" spans="1:26" x14ac:dyDescent="0.2">
      <c r="A379" s="412" t="s">
        <v>602</v>
      </c>
      <c r="B379" s="457">
        <v>0</v>
      </c>
      <c r="C379" s="457">
        <v>0</v>
      </c>
      <c r="D379" s="457">
        <v>0</v>
      </c>
      <c r="E379" s="457">
        <v>0</v>
      </c>
      <c r="F379" s="457">
        <v>0</v>
      </c>
      <c r="G379" s="457">
        <v>0</v>
      </c>
      <c r="H379" s="457">
        <v>0</v>
      </c>
      <c r="I379" s="457">
        <v>0</v>
      </c>
      <c r="J379" s="457">
        <v>0</v>
      </c>
      <c r="K379" s="457">
        <v>0</v>
      </c>
      <c r="L379" s="457">
        <v>0</v>
      </c>
      <c r="M379" s="457">
        <v>0</v>
      </c>
      <c r="N379" s="457">
        <v>0</v>
      </c>
      <c r="O379" s="457">
        <v>0</v>
      </c>
      <c r="P379" s="457">
        <v>0</v>
      </c>
      <c r="Q379" s="457">
        <v>0</v>
      </c>
      <c r="R379" s="457">
        <v>0</v>
      </c>
      <c r="S379" s="457">
        <v>0</v>
      </c>
      <c r="T379" s="410" t="e">
        <v>#DIV/0!</v>
      </c>
      <c r="U379" s="285">
        <v>0</v>
      </c>
      <c r="V379" s="285">
        <v>0</v>
      </c>
      <c r="W379" s="285">
        <v>0</v>
      </c>
      <c r="X379" s="285">
        <v>0</v>
      </c>
      <c r="Y379" s="285">
        <v>0</v>
      </c>
      <c r="Z379" s="285">
        <v>0</v>
      </c>
    </row>
    <row r="380" spans="1:26" x14ac:dyDescent="0.2">
      <c r="A380" s="412" t="s">
        <v>603</v>
      </c>
      <c r="B380" s="457">
        <v>0</v>
      </c>
      <c r="C380" s="457">
        <v>0</v>
      </c>
      <c r="D380" s="457">
        <v>0</v>
      </c>
      <c r="E380" s="457">
        <v>0</v>
      </c>
      <c r="F380" s="457">
        <v>0</v>
      </c>
      <c r="G380" s="457">
        <v>0</v>
      </c>
      <c r="H380" s="457">
        <v>0</v>
      </c>
      <c r="I380" s="457">
        <v>0</v>
      </c>
      <c r="J380" s="457">
        <v>0</v>
      </c>
      <c r="K380" s="457">
        <v>0</v>
      </c>
      <c r="L380" s="457">
        <v>0</v>
      </c>
      <c r="M380" s="457">
        <v>0</v>
      </c>
      <c r="N380" s="457">
        <v>0</v>
      </c>
      <c r="O380" s="457">
        <v>0</v>
      </c>
      <c r="P380" s="457">
        <v>0</v>
      </c>
      <c r="Q380" s="457">
        <v>0</v>
      </c>
      <c r="R380" s="457">
        <v>0</v>
      </c>
      <c r="S380" s="457">
        <v>0</v>
      </c>
      <c r="T380" s="410" t="e">
        <v>#DIV/0!</v>
      </c>
      <c r="U380" s="285">
        <v>0</v>
      </c>
      <c r="V380" s="285">
        <v>0</v>
      </c>
      <c r="W380" s="285">
        <v>0</v>
      </c>
      <c r="X380" s="285">
        <v>0</v>
      </c>
      <c r="Y380" s="285">
        <v>0</v>
      </c>
      <c r="Z380" s="285">
        <v>0</v>
      </c>
    </row>
    <row r="381" spans="1:26" x14ac:dyDescent="0.2">
      <c r="A381" s="404" t="s">
        <v>604</v>
      </c>
      <c r="B381" s="448">
        <v>0</v>
      </c>
      <c r="C381" s="448">
        <v>0</v>
      </c>
      <c r="D381" s="448">
        <v>0</v>
      </c>
      <c r="E381" s="448">
        <v>0</v>
      </c>
      <c r="F381" s="448">
        <v>0</v>
      </c>
      <c r="G381" s="448">
        <v>0</v>
      </c>
      <c r="H381" s="448">
        <v>0</v>
      </c>
      <c r="I381" s="448">
        <v>0</v>
      </c>
      <c r="J381" s="448">
        <v>0</v>
      </c>
      <c r="K381" s="448">
        <v>0</v>
      </c>
      <c r="L381" s="448">
        <v>0</v>
      </c>
      <c r="M381" s="448">
        <v>0</v>
      </c>
      <c r="N381" s="448">
        <v>0</v>
      </c>
      <c r="O381" s="448">
        <v>0</v>
      </c>
      <c r="P381" s="448">
        <v>0</v>
      </c>
      <c r="Q381" s="448">
        <v>0</v>
      </c>
      <c r="R381" s="448">
        <v>0</v>
      </c>
      <c r="S381" s="448">
        <v>0</v>
      </c>
      <c r="T381" s="407" t="e">
        <v>#DIV/0!</v>
      </c>
      <c r="U381" s="406">
        <v>0</v>
      </c>
      <c r="V381" s="406">
        <v>0</v>
      </c>
      <c r="W381" s="406">
        <v>0</v>
      </c>
      <c r="X381" s="406">
        <v>0</v>
      </c>
      <c r="Y381" s="406">
        <v>0</v>
      </c>
      <c r="Z381" s="406">
        <v>0</v>
      </c>
    </row>
    <row r="382" spans="1:26" x14ac:dyDescent="0.2">
      <c r="A382" s="412" t="s">
        <v>605</v>
      </c>
      <c r="B382" s="457">
        <v>0</v>
      </c>
      <c r="C382" s="457">
        <v>0</v>
      </c>
      <c r="D382" s="457">
        <v>0</v>
      </c>
      <c r="E382" s="457">
        <v>0</v>
      </c>
      <c r="F382" s="457">
        <v>0</v>
      </c>
      <c r="G382" s="457">
        <v>0</v>
      </c>
      <c r="H382" s="457">
        <v>0</v>
      </c>
      <c r="I382" s="457">
        <v>0</v>
      </c>
      <c r="J382" s="457">
        <v>0</v>
      </c>
      <c r="K382" s="457">
        <v>0</v>
      </c>
      <c r="L382" s="457">
        <v>0</v>
      </c>
      <c r="M382" s="457">
        <v>0</v>
      </c>
      <c r="N382" s="457">
        <v>0</v>
      </c>
      <c r="O382" s="457">
        <v>0</v>
      </c>
      <c r="P382" s="457">
        <v>0</v>
      </c>
      <c r="Q382" s="457">
        <v>0</v>
      </c>
      <c r="R382" s="457">
        <v>0</v>
      </c>
      <c r="S382" s="457">
        <v>0</v>
      </c>
      <c r="T382" s="410" t="e">
        <v>#DIV/0!</v>
      </c>
      <c r="U382" s="285">
        <v>0</v>
      </c>
      <c r="V382" s="285">
        <v>0</v>
      </c>
      <c r="W382" s="285">
        <v>0</v>
      </c>
      <c r="X382" s="285">
        <v>0</v>
      </c>
      <c r="Y382" s="285">
        <v>0</v>
      </c>
      <c r="Z382" s="285">
        <v>0</v>
      </c>
    </row>
    <row r="383" spans="1:26" x14ac:dyDescent="0.2">
      <c r="A383" s="412" t="s">
        <v>606</v>
      </c>
      <c r="B383" s="457">
        <v>0</v>
      </c>
      <c r="C383" s="457">
        <v>0</v>
      </c>
      <c r="D383" s="457">
        <v>0</v>
      </c>
      <c r="E383" s="457">
        <v>0</v>
      </c>
      <c r="F383" s="457">
        <v>0</v>
      </c>
      <c r="G383" s="457">
        <v>0</v>
      </c>
      <c r="H383" s="457">
        <v>0</v>
      </c>
      <c r="I383" s="457">
        <v>0</v>
      </c>
      <c r="J383" s="457">
        <v>0</v>
      </c>
      <c r="K383" s="457">
        <v>0</v>
      </c>
      <c r="L383" s="457">
        <v>0</v>
      </c>
      <c r="M383" s="457">
        <v>0</v>
      </c>
      <c r="N383" s="457">
        <v>0</v>
      </c>
      <c r="O383" s="457">
        <v>0</v>
      </c>
      <c r="P383" s="457">
        <v>0</v>
      </c>
      <c r="Q383" s="457">
        <v>0</v>
      </c>
      <c r="R383" s="457">
        <v>0</v>
      </c>
      <c r="S383" s="457">
        <v>0</v>
      </c>
      <c r="T383" s="410" t="e">
        <v>#DIV/0!</v>
      </c>
      <c r="U383" s="285">
        <v>0</v>
      </c>
      <c r="V383" s="285">
        <v>0</v>
      </c>
      <c r="W383" s="285">
        <v>0</v>
      </c>
      <c r="X383" s="285">
        <v>0</v>
      </c>
      <c r="Y383" s="285">
        <v>0</v>
      </c>
      <c r="Z383" s="285">
        <v>0</v>
      </c>
    </row>
    <row r="384" spans="1:26" ht="24" x14ac:dyDescent="0.2">
      <c r="A384" s="412" t="s">
        <v>607</v>
      </c>
      <c r="B384" s="457">
        <v>0</v>
      </c>
      <c r="C384" s="457">
        <v>0</v>
      </c>
      <c r="D384" s="457">
        <v>0</v>
      </c>
      <c r="E384" s="457">
        <v>0</v>
      </c>
      <c r="F384" s="457">
        <v>0</v>
      </c>
      <c r="G384" s="457">
        <v>0</v>
      </c>
      <c r="H384" s="457">
        <v>0</v>
      </c>
      <c r="I384" s="457">
        <v>0</v>
      </c>
      <c r="J384" s="457">
        <v>0</v>
      </c>
      <c r="K384" s="457">
        <v>0</v>
      </c>
      <c r="L384" s="457">
        <v>0</v>
      </c>
      <c r="M384" s="457">
        <v>0</v>
      </c>
      <c r="N384" s="457">
        <v>0</v>
      </c>
      <c r="O384" s="457">
        <v>0</v>
      </c>
      <c r="P384" s="457">
        <v>0</v>
      </c>
      <c r="Q384" s="457">
        <v>0</v>
      </c>
      <c r="R384" s="457">
        <v>0</v>
      </c>
      <c r="S384" s="457">
        <v>0</v>
      </c>
      <c r="T384" s="410" t="e">
        <v>#DIV/0!</v>
      </c>
      <c r="U384" s="285">
        <v>0</v>
      </c>
      <c r="V384" s="285">
        <v>0</v>
      </c>
      <c r="W384" s="285">
        <v>0</v>
      </c>
      <c r="X384" s="285">
        <v>0</v>
      </c>
      <c r="Y384" s="285">
        <v>0</v>
      </c>
      <c r="Z384" s="285">
        <v>0</v>
      </c>
    </row>
    <row r="385" spans="1:26" x14ac:dyDescent="0.2">
      <c r="A385" s="404" t="s">
        <v>608</v>
      </c>
      <c r="B385" s="448">
        <v>0</v>
      </c>
      <c r="C385" s="448">
        <v>0</v>
      </c>
      <c r="D385" s="448">
        <v>0</v>
      </c>
      <c r="E385" s="448">
        <v>0</v>
      </c>
      <c r="F385" s="448">
        <v>0</v>
      </c>
      <c r="G385" s="448">
        <v>0</v>
      </c>
      <c r="H385" s="448">
        <v>0</v>
      </c>
      <c r="I385" s="448">
        <v>0</v>
      </c>
      <c r="J385" s="448">
        <v>0</v>
      </c>
      <c r="K385" s="448">
        <v>0</v>
      </c>
      <c r="L385" s="448">
        <v>0</v>
      </c>
      <c r="M385" s="448">
        <v>0</v>
      </c>
      <c r="N385" s="448">
        <v>0</v>
      </c>
      <c r="O385" s="448">
        <v>0</v>
      </c>
      <c r="P385" s="448">
        <v>0</v>
      </c>
      <c r="Q385" s="448">
        <v>0</v>
      </c>
      <c r="R385" s="448">
        <v>0</v>
      </c>
      <c r="S385" s="448">
        <v>0</v>
      </c>
      <c r="T385" s="407" t="e">
        <v>#DIV/0!</v>
      </c>
      <c r="U385" s="406">
        <v>0</v>
      </c>
      <c r="V385" s="406">
        <v>0</v>
      </c>
      <c r="W385" s="406">
        <v>0</v>
      </c>
      <c r="X385" s="406">
        <v>0</v>
      </c>
      <c r="Y385" s="406">
        <v>0</v>
      </c>
      <c r="Z385" s="406">
        <v>0</v>
      </c>
    </row>
    <row r="386" spans="1:26" x14ac:dyDescent="0.2">
      <c r="A386" s="412" t="s">
        <v>609</v>
      </c>
      <c r="B386" s="457">
        <v>0</v>
      </c>
      <c r="C386" s="457">
        <v>0</v>
      </c>
      <c r="D386" s="457">
        <v>0</v>
      </c>
      <c r="E386" s="457">
        <v>0</v>
      </c>
      <c r="F386" s="457">
        <v>0</v>
      </c>
      <c r="G386" s="457">
        <v>0</v>
      </c>
      <c r="H386" s="457">
        <v>0</v>
      </c>
      <c r="I386" s="457">
        <v>0</v>
      </c>
      <c r="J386" s="457">
        <v>0</v>
      </c>
      <c r="K386" s="457">
        <v>0</v>
      </c>
      <c r="L386" s="457">
        <v>0</v>
      </c>
      <c r="M386" s="457">
        <v>0</v>
      </c>
      <c r="N386" s="457">
        <v>0</v>
      </c>
      <c r="O386" s="457">
        <v>0</v>
      </c>
      <c r="P386" s="457">
        <v>0</v>
      </c>
      <c r="Q386" s="457">
        <v>0</v>
      </c>
      <c r="R386" s="457">
        <v>0</v>
      </c>
      <c r="S386" s="457">
        <v>0</v>
      </c>
      <c r="T386" s="410" t="e">
        <v>#DIV/0!</v>
      </c>
      <c r="U386" s="285">
        <v>0</v>
      </c>
      <c r="V386" s="285">
        <v>0</v>
      </c>
      <c r="W386" s="285">
        <v>0</v>
      </c>
      <c r="X386" s="285">
        <v>0</v>
      </c>
      <c r="Y386" s="285">
        <v>0</v>
      </c>
      <c r="Z386" s="285">
        <v>0</v>
      </c>
    </row>
    <row r="387" spans="1:26" ht="24" x14ac:dyDescent="0.2">
      <c r="A387" s="412" t="s">
        <v>610</v>
      </c>
      <c r="B387" s="457">
        <v>0</v>
      </c>
      <c r="C387" s="457">
        <v>0</v>
      </c>
      <c r="D387" s="457">
        <v>0</v>
      </c>
      <c r="E387" s="457">
        <v>0</v>
      </c>
      <c r="F387" s="457">
        <v>0</v>
      </c>
      <c r="G387" s="457">
        <v>0</v>
      </c>
      <c r="H387" s="457">
        <v>0</v>
      </c>
      <c r="I387" s="457">
        <v>0</v>
      </c>
      <c r="J387" s="457">
        <v>0</v>
      </c>
      <c r="K387" s="457">
        <v>0</v>
      </c>
      <c r="L387" s="457">
        <v>0</v>
      </c>
      <c r="M387" s="457">
        <v>0</v>
      </c>
      <c r="N387" s="457">
        <v>0</v>
      </c>
      <c r="O387" s="457">
        <v>0</v>
      </c>
      <c r="P387" s="457">
        <v>0</v>
      </c>
      <c r="Q387" s="457">
        <v>0</v>
      </c>
      <c r="R387" s="457">
        <v>0</v>
      </c>
      <c r="S387" s="457">
        <v>0</v>
      </c>
      <c r="T387" s="410" t="e">
        <v>#DIV/0!</v>
      </c>
      <c r="U387" s="285">
        <v>0</v>
      </c>
      <c r="V387" s="285">
        <v>0</v>
      </c>
      <c r="W387" s="285">
        <v>0</v>
      </c>
      <c r="X387" s="285">
        <v>0</v>
      </c>
      <c r="Y387" s="285">
        <v>0</v>
      </c>
      <c r="Z387" s="285">
        <v>0</v>
      </c>
    </row>
    <row r="388" spans="1:26" x14ac:dyDescent="0.2">
      <c r="A388" s="412" t="s">
        <v>611</v>
      </c>
      <c r="B388" s="457">
        <v>0</v>
      </c>
      <c r="C388" s="457">
        <v>0</v>
      </c>
      <c r="D388" s="457">
        <v>0</v>
      </c>
      <c r="E388" s="457">
        <v>0</v>
      </c>
      <c r="F388" s="457">
        <v>0</v>
      </c>
      <c r="G388" s="457">
        <v>0</v>
      </c>
      <c r="H388" s="457">
        <v>0</v>
      </c>
      <c r="I388" s="457">
        <v>0</v>
      </c>
      <c r="J388" s="457">
        <v>0</v>
      </c>
      <c r="K388" s="457">
        <v>0</v>
      </c>
      <c r="L388" s="457">
        <v>0</v>
      </c>
      <c r="M388" s="457">
        <v>0</v>
      </c>
      <c r="N388" s="457">
        <v>0</v>
      </c>
      <c r="O388" s="457">
        <v>0</v>
      </c>
      <c r="P388" s="457">
        <v>0</v>
      </c>
      <c r="Q388" s="457">
        <v>0</v>
      </c>
      <c r="R388" s="457">
        <v>0</v>
      </c>
      <c r="S388" s="457">
        <v>0</v>
      </c>
      <c r="T388" s="410" t="e">
        <v>#DIV/0!</v>
      </c>
      <c r="U388" s="285">
        <v>0</v>
      </c>
      <c r="V388" s="285">
        <v>0</v>
      </c>
      <c r="W388" s="285">
        <v>0</v>
      </c>
      <c r="X388" s="285">
        <v>0</v>
      </c>
      <c r="Y388" s="285">
        <v>0</v>
      </c>
      <c r="Z388" s="285">
        <v>0</v>
      </c>
    </row>
    <row r="389" spans="1:26" x14ac:dyDescent="0.2">
      <c r="A389" s="404" t="s">
        <v>612</v>
      </c>
      <c r="B389" s="448">
        <v>0</v>
      </c>
      <c r="C389" s="448">
        <v>0</v>
      </c>
      <c r="D389" s="448">
        <v>0</v>
      </c>
      <c r="E389" s="448">
        <v>0</v>
      </c>
      <c r="F389" s="448">
        <v>0</v>
      </c>
      <c r="G389" s="448">
        <v>0</v>
      </c>
      <c r="H389" s="448">
        <v>0</v>
      </c>
      <c r="I389" s="448">
        <v>0</v>
      </c>
      <c r="J389" s="448">
        <v>0</v>
      </c>
      <c r="K389" s="448">
        <v>0</v>
      </c>
      <c r="L389" s="448">
        <v>0</v>
      </c>
      <c r="M389" s="448">
        <v>0</v>
      </c>
      <c r="N389" s="448">
        <v>0</v>
      </c>
      <c r="O389" s="448">
        <v>0</v>
      </c>
      <c r="P389" s="448">
        <v>0</v>
      </c>
      <c r="Q389" s="448">
        <v>0</v>
      </c>
      <c r="R389" s="448">
        <v>0</v>
      </c>
      <c r="S389" s="448">
        <v>0</v>
      </c>
      <c r="T389" s="407" t="e">
        <v>#DIV/0!</v>
      </c>
      <c r="U389" s="406">
        <v>0</v>
      </c>
      <c r="V389" s="406">
        <v>0</v>
      </c>
      <c r="W389" s="406">
        <v>0</v>
      </c>
      <c r="X389" s="406">
        <v>0</v>
      </c>
      <c r="Y389" s="406">
        <v>0</v>
      </c>
      <c r="Z389" s="406">
        <v>0</v>
      </c>
    </row>
    <row r="390" spans="1:26" x14ac:dyDescent="0.2">
      <c r="A390" s="412" t="s">
        <v>613</v>
      </c>
      <c r="B390" s="457">
        <v>0</v>
      </c>
      <c r="C390" s="457">
        <v>0</v>
      </c>
      <c r="D390" s="457">
        <v>0</v>
      </c>
      <c r="E390" s="457">
        <v>0</v>
      </c>
      <c r="F390" s="457">
        <v>0</v>
      </c>
      <c r="G390" s="457">
        <v>0</v>
      </c>
      <c r="H390" s="457">
        <v>0</v>
      </c>
      <c r="I390" s="457">
        <v>0</v>
      </c>
      <c r="J390" s="457">
        <v>0</v>
      </c>
      <c r="K390" s="457">
        <v>0</v>
      </c>
      <c r="L390" s="457">
        <v>0</v>
      </c>
      <c r="M390" s="457">
        <v>0</v>
      </c>
      <c r="N390" s="457">
        <v>0</v>
      </c>
      <c r="O390" s="457">
        <v>0</v>
      </c>
      <c r="P390" s="457">
        <v>0</v>
      </c>
      <c r="Q390" s="457">
        <v>0</v>
      </c>
      <c r="R390" s="457">
        <v>0</v>
      </c>
      <c r="S390" s="457">
        <v>0</v>
      </c>
      <c r="T390" s="410" t="e">
        <v>#DIV/0!</v>
      </c>
      <c r="U390" s="285">
        <v>0</v>
      </c>
      <c r="V390" s="285">
        <v>0</v>
      </c>
      <c r="W390" s="285">
        <v>0</v>
      </c>
      <c r="X390" s="285">
        <v>0</v>
      </c>
      <c r="Y390" s="285">
        <v>0</v>
      </c>
      <c r="Z390" s="285">
        <v>0</v>
      </c>
    </row>
    <row r="391" spans="1:26" x14ac:dyDescent="0.2">
      <c r="A391" s="412" t="s">
        <v>614</v>
      </c>
      <c r="B391" s="457">
        <v>0</v>
      </c>
      <c r="C391" s="457">
        <v>0</v>
      </c>
      <c r="D391" s="457">
        <v>0</v>
      </c>
      <c r="E391" s="457">
        <v>0</v>
      </c>
      <c r="F391" s="457">
        <v>0</v>
      </c>
      <c r="G391" s="457">
        <v>0</v>
      </c>
      <c r="H391" s="457">
        <v>0</v>
      </c>
      <c r="I391" s="457">
        <v>0</v>
      </c>
      <c r="J391" s="457">
        <v>0</v>
      </c>
      <c r="K391" s="457">
        <v>0</v>
      </c>
      <c r="L391" s="457">
        <v>0</v>
      </c>
      <c r="M391" s="457">
        <v>0</v>
      </c>
      <c r="N391" s="457">
        <v>0</v>
      </c>
      <c r="O391" s="457">
        <v>0</v>
      </c>
      <c r="P391" s="457">
        <v>0</v>
      </c>
      <c r="Q391" s="457">
        <v>0</v>
      </c>
      <c r="R391" s="457">
        <v>0</v>
      </c>
      <c r="S391" s="457">
        <v>0</v>
      </c>
      <c r="T391" s="410" t="e">
        <v>#DIV/0!</v>
      </c>
      <c r="U391" s="285">
        <v>0</v>
      </c>
      <c r="V391" s="285">
        <v>0</v>
      </c>
      <c r="W391" s="285">
        <v>0</v>
      </c>
      <c r="X391" s="285">
        <v>0</v>
      </c>
      <c r="Y391" s="285">
        <v>0</v>
      </c>
      <c r="Z391" s="285">
        <v>0</v>
      </c>
    </row>
    <row r="392" spans="1:26" x14ac:dyDescent="0.2">
      <c r="A392" s="412" t="s">
        <v>615</v>
      </c>
      <c r="B392" s="457">
        <v>0</v>
      </c>
      <c r="C392" s="457">
        <v>0</v>
      </c>
      <c r="D392" s="457">
        <v>0</v>
      </c>
      <c r="E392" s="457">
        <v>0</v>
      </c>
      <c r="F392" s="457">
        <v>0</v>
      </c>
      <c r="G392" s="457">
        <v>0</v>
      </c>
      <c r="H392" s="457">
        <v>0</v>
      </c>
      <c r="I392" s="457">
        <v>0</v>
      </c>
      <c r="J392" s="457">
        <v>0</v>
      </c>
      <c r="K392" s="457">
        <v>0</v>
      </c>
      <c r="L392" s="457">
        <v>0</v>
      </c>
      <c r="M392" s="457">
        <v>0</v>
      </c>
      <c r="N392" s="457">
        <v>0</v>
      </c>
      <c r="O392" s="457">
        <v>0</v>
      </c>
      <c r="P392" s="457">
        <v>0</v>
      </c>
      <c r="Q392" s="457">
        <v>0</v>
      </c>
      <c r="R392" s="457">
        <v>0</v>
      </c>
      <c r="S392" s="457">
        <v>0</v>
      </c>
      <c r="T392" s="410" t="e">
        <v>#DIV/0!</v>
      </c>
      <c r="U392" s="285">
        <v>0</v>
      </c>
      <c r="V392" s="285">
        <v>0</v>
      </c>
      <c r="W392" s="285">
        <v>0</v>
      </c>
      <c r="X392" s="285">
        <v>0</v>
      </c>
      <c r="Y392" s="285">
        <v>0</v>
      </c>
      <c r="Z392" s="285">
        <v>0</v>
      </c>
    </row>
    <row r="393" spans="1:26" x14ac:dyDescent="0.2">
      <c r="A393" s="412" t="s">
        <v>616</v>
      </c>
      <c r="B393" s="457">
        <v>0</v>
      </c>
      <c r="C393" s="457">
        <v>0</v>
      </c>
      <c r="D393" s="457">
        <v>0</v>
      </c>
      <c r="E393" s="457">
        <v>0</v>
      </c>
      <c r="F393" s="457">
        <v>0</v>
      </c>
      <c r="G393" s="457">
        <v>0</v>
      </c>
      <c r="H393" s="457">
        <v>0</v>
      </c>
      <c r="I393" s="457">
        <v>0</v>
      </c>
      <c r="J393" s="457">
        <v>0</v>
      </c>
      <c r="K393" s="457">
        <v>0</v>
      </c>
      <c r="L393" s="457">
        <v>0</v>
      </c>
      <c r="M393" s="457">
        <v>0</v>
      </c>
      <c r="N393" s="457">
        <v>0</v>
      </c>
      <c r="O393" s="457">
        <v>0</v>
      </c>
      <c r="P393" s="457">
        <v>0</v>
      </c>
      <c r="Q393" s="457">
        <v>0</v>
      </c>
      <c r="R393" s="457">
        <v>0</v>
      </c>
      <c r="S393" s="457">
        <v>0</v>
      </c>
      <c r="T393" s="410" t="e">
        <v>#DIV/0!</v>
      </c>
      <c r="U393" s="285">
        <v>0</v>
      </c>
      <c r="V393" s="285">
        <v>0</v>
      </c>
      <c r="W393" s="285">
        <v>0</v>
      </c>
      <c r="X393" s="285">
        <v>0</v>
      </c>
      <c r="Y393" s="285">
        <v>0</v>
      </c>
      <c r="Z393" s="285">
        <v>0</v>
      </c>
    </row>
    <row r="394" spans="1:26" x14ac:dyDescent="0.2">
      <c r="A394" s="412" t="s">
        <v>617</v>
      </c>
      <c r="B394" s="457">
        <v>0</v>
      </c>
      <c r="C394" s="457">
        <v>0</v>
      </c>
      <c r="D394" s="457">
        <v>0</v>
      </c>
      <c r="E394" s="457">
        <v>0</v>
      </c>
      <c r="F394" s="457">
        <v>0</v>
      </c>
      <c r="G394" s="457">
        <v>0</v>
      </c>
      <c r="H394" s="457">
        <v>0</v>
      </c>
      <c r="I394" s="457">
        <v>0</v>
      </c>
      <c r="J394" s="457">
        <v>0</v>
      </c>
      <c r="K394" s="457">
        <v>0</v>
      </c>
      <c r="L394" s="457">
        <v>0</v>
      </c>
      <c r="M394" s="457">
        <v>0</v>
      </c>
      <c r="N394" s="457">
        <v>0</v>
      </c>
      <c r="O394" s="457">
        <v>0</v>
      </c>
      <c r="P394" s="457">
        <v>0</v>
      </c>
      <c r="Q394" s="457">
        <v>0</v>
      </c>
      <c r="R394" s="457">
        <v>0</v>
      </c>
      <c r="S394" s="457">
        <v>0</v>
      </c>
      <c r="T394" s="410" t="e">
        <v>#DIV/0!</v>
      </c>
      <c r="U394" s="285">
        <v>0</v>
      </c>
      <c r="V394" s="285">
        <v>0</v>
      </c>
      <c r="W394" s="285">
        <v>0</v>
      </c>
      <c r="X394" s="285">
        <v>0</v>
      </c>
      <c r="Y394" s="285">
        <v>0</v>
      </c>
      <c r="Z394" s="285">
        <v>0</v>
      </c>
    </row>
    <row r="395" spans="1:26" x14ac:dyDescent="0.2">
      <c r="A395" s="412" t="s">
        <v>618</v>
      </c>
      <c r="B395" s="457">
        <v>0</v>
      </c>
      <c r="C395" s="457">
        <v>0</v>
      </c>
      <c r="D395" s="457">
        <v>0</v>
      </c>
      <c r="E395" s="457">
        <v>0</v>
      </c>
      <c r="F395" s="457">
        <v>0</v>
      </c>
      <c r="G395" s="457">
        <v>0</v>
      </c>
      <c r="H395" s="457">
        <v>0</v>
      </c>
      <c r="I395" s="457">
        <v>0</v>
      </c>
      <c r="J395" s="457">
        <v>0</v>
      </c>
      <c r="K395" s="457">
        <v>0</v>
      </c>
      <c r="L395" s="457">
        <v>0</v>
      </c>
      <c r="M395" s="457">
        <v>0</v>
      </c>
      <c r="N395" s="457">
        <v>0</v>
      </c>
      <c r="O395" s="457">
        <v>0</v>
      </c>
      <c r="P395" s="457">
        <v>0</v>
      </c>
      <c r="Q395" s="457">
        <v>0</v>
      </c>
      <c r="R395" s="457">
        <v>0</v>
      </c>
      <c r="S395" s="457">
        <v>0</v>
      </c>
      <c r="T395" s="410" t="e">
        <v>#DIV/0!</v>
      </c>
      <c r="U395" s="285">
        <v>0</v>
      </c>
      <c r="V395" s="285">
        <v>0</v>
      </c>
      <c r="W395" s="285">
        <v>0</v>
      </c>
      <c r="X395" s="285">
        <v>0</v>
      </c>
      <c r="Y395" s="285">
        <v>0</v>
      </c>
      <c r="Z395" s="285">
        <v>0</v>
      </c>
    </row>
    <row r="396" spans="1:26" x14ac:dyDescent="0.2">
      <c r="A396" s="412" t="s">
        <v>619</v>
      </c>
      <c r="B396" s="457">
        <v>0</v>
      </c>
      <c r="C396" s="457">
        <v>0</v>
      </c>
      <c r="D396" s="457">
        <v>0</v>
      </c>
      <c r="E396" s="457">
        <v>0</v>
      </c>
      <c r="F396" s="457">
        <v>0</v>
      </c>
      <c r="G396" s="457">
        <v>0</v>
      </c>
      <c r="H396" s="457">
        <v>0</v>
      </c>
      <c r="I396" s="457">
        <v>0</v>
      </c>
      <c r="J396" s="457">
        <v>0</v>
      </c>
      <c r="K396" s="457">
        <v>0</v>
      </c>
      <c r="L396" s="457">
        <v>0</v>
      </c>
      <c r="M396" s="457">
        <v>0</v>
      </c>
      <c r="N396" s="457">
        <v>0</v>
      </c>
      <c r="O396" s="457">
        <v>0</v>
      </c>
      <c r="P396" s="457">
        <v>0</v>
      </c>
      <c r="Q396" s="457">
        <v>0</v>
      </c>
      <c r="R396" s="457">
        <v>0</v>
      </c>
      <c r="S396" s="457">
        <v>0</v>
      </c>
      <c r="T396" s="410" t="e">
        <v>#DIV/0!</v>
      </c>
      <c r="U396" s="285">
        <v>0</v>
      </c>
      <c r="V396" s="285">
        <v>0</v>
      </c>
      <c r="W396" s="285">
        <v>0</v>
      </c>
      <c r="X396" s="285">
        <v>0</v>
      </c>
      <c r="Y396" s="285">
        <v>0</v>
      </c>
      <c r="Z396" s="285">
        <v>0</v>
      </c>
    </row>
    <row r="397" spans="1:26" x14ac:dyDescent="0.2">
      <c r="A397" s="404" t="s">
        <v>620</v>
      </c>
      <c r="B397" s="247">
        <v>0</v>
      </c>
      <c r="C397" s="247">
        <v>0</v>
      </c>
      <c r="D397" s="247">
        <v>0</v>
      </c>
      <c r="E397" s="247">
        <v>0</v>
      </c>
      <c r="F397" s="247">
        <v>0</v>
      </c>
      <c r="G397" s="247">
        <v>0</v>
      </c>
      <c r="H397" s="247">
        <v>0</v>
      </c>
      <c r="I397" s="247">
        <v>0</v>
      </c>
      <c r="J397" s="247">
        <v>0</v>
      </c>
      <c r="K397" s="247">
        <v>0</v>
      </c>
      <c r="L397" s="247">
        <v>0</v>
      </c>
      <c r="M397" s="247">
        <v>0</v>
      </c>
      <c r="N397" s="247">
        <v>0</v>
      </c>
      <c r="O397" s="247">
        <v>0</v>
      </c>
      <c r="P397" s="247">
        <v>0</v>
      </c>
      <c r="Q397" s="247">
        <v>0</v>
      </c>
      <c r="R397" s="247">
        <v>0</v>
      </c>
      <c r="S397" s="247">
        <v>0</v>
      </c>
      <c r="T397" s="407" t="e">
        <v>#DIV/0!</v>
      </c>
      <c r="U397" s="406">
        <v>0</v>
      </c>
      <c r="V397" s="406">
        <v>0</v>
      </c>
      <c r="W397" s="406">
        <v>0</v>
      </c>
      <c r="X397" s="406">
        <v>0</v>
      </c>
      <c r="Y397" s="406">
        <v>0</v>
      </c>
      <c r="Z397" s="406">
        <v>0</v>
      </c>
    </row>
    <row r="398" spans="1:26" x14ac:dyDescent="0.2">
      <c r="A398" s="404" t="s">
        <v>621</v>
      </c>
      <c r="B398" s="247">
        <v>0</v>
      </c>
      <c r="C398" s="247">
        <v>0</v>
      </c>
      <c r="D398" s="247">
        <v>0</v>
      </c>
      <c r="E398" s="247">
        <v>0</v>
      </c>
      <c r="F398" s="247">
        <v>0</v>
      </c>
      <c r="G398" s="247">
        <v>0</v>
      </c>
      <c r="H398" s="247">
        <v>0</v>
      </c>
      <c r="I398" s="247">
        <v>0</v>
      </c>
      <c r="J398" s="247">
        <v>0</v>
      </c>
      <c r="K398" s="247">
        <v>0</v>
      </c>
      <c r="L398" s="247">
        <v>0</v>
      </c>
      <c r="M398" s="247">
        <v>0</v>
      </c>
      <c r="N398" s="247">
        <v>0</v>
      </c>
      <c r="O398" s="247">
        <v>0</v>
      </c>
      <c r="P398" s="247">
        <v>0</v>
      </c>
      <c r="Q398" s="247">
        <v>0</v>
      </c>
      <c r="R398" s="247">
        <v>0</v>
      </c>
      <c r="S398" s="247">
        <v>0</v>
      </c>
      <c r="T398" s="407" t="e">
        <v>#DIV/0!</v>
      </c>
      <c r="U398" s="406">
        <v>0</v>
      </c>
      <c r="V398" s="406">
        <v>0</v>
      </c>
      <c r="W398" s="406">
        <v>0</v>
      </c>
      <c r="X398" s="406">
        <v>0</v>
      </c>
      <c r="Y398" s="406">
        <v>0</v>
      </c>
      <c r="Z398" s="406">
        <v>0</v>
      </c>
    </row>
    <row r="399" spans="1:26" x14ac:dyDescent="0.2">
      <c r="A399" s="404" t="s">
        <v>622</v>
      </c>
      <c r="B399" s="247">
        <v>0</v>
      </c>
      <c r="C399" s="247">
        <v>0</v>
      </c>
      <c r="D399" s="247">
        <v>0</v>
      </c>
      <c r="E399" s="247">
        <v>0</v>
      </c>
      <c r="F399" s="247">
        <v>0</v>
      </c>
      <c r="G399" s="247">
        <v>0</v>
      </c>
      <c r="H399" s="247">
        <v>0</v>
      </c>
      <c r="I399" s="247">
        <v>0</v>
      </c>
      <c r="J399" s="247">
        <v>0</v>
      </c>
      <c r="K399" s="247">
        <v>0</v>
      </c>
      <c r="L399" s="247">
        <v>0</v>
      </c>
      <c r="M399" s="247">
        <v>0</v>
      </c>
      <c r="N399" s="247">
        <v>0</v>
      </c>
      <c r="O399" s="247">
        <v>0</v>
      </c>
      <c r="P399" s="247">
        <v>0</v>
      </c>
      <c r="Q399" s="247">
        <v>0</v>
      </c>
      <c r="R399" s="247">
        <v>0</v>
      </c>
      <c r="S399" s="247">
        <v>0</v>
      </c>
      <c r="T399" s="407" t="e">
        <v>#DIV/0!</v>
      </c>
      <c r="U399" s="406">
        <v>0</v>
      </c>
      <c r="V399" s="406">
        <v>0</v>
      </c>
      <c r="W399" s="406">
        <v>0</v>
      </c>
      <c r="X399" s="406">
        <v>0</v>
      </c>
      <c r="Y399" s="406">
        <v>0</v>
      </c>
      <c r="Z399" s="406">
        <v>0</v>
      </c>
    </row>
    <row r="400" spans="1:26" x14ac:dyDescent="0.2">
      <c r="A400" s="404" t="s">
        <v>623</v>
      </c>
      <c r="B400" s="247">
        <v>0</v>
      </c>
      <c r="C400" s="247">
        <v>0</v>
      </c>
      <c r="D400" s="247">
        <v>0</v>
      </c>
      <c r="E400" s="247">
        <v>0</v>
      </c>
      <c r="F400" s="247">
        <v>0</v>
      </c>
      <c r="G400" s="247">
        <v>0</v>
      </c>
      <c r="H400" s="247">
        <v>0</v>
      </c>
      <c r="I400" s="247">
        <v>0</v>
      </c>
      <c r="J400" s="247">
        <v>0</v>
      </c>
      <c r="K400" s="247">
        <v>0</v>
      </c>
      <c r="L400" s="247">
        <v>0</v>
      </c>
      <c r="M400" s="247">
        <v>0</v>
      </c>
      <c r="N400" s="247">
        <v>0</v>
      </c>
      <c r="O400" s="247">
        <v>0</v>
      </c>
      <c r="P400" s="247">
        <v>0</v>
      </c>
      <c r="Q400" s="247">
        <v>0</v>
      </c>
      <c r="R400" s="247">
        <v>0</v>
      </c>
      <c r="S400" s="247">
        <v>0</v>
      </c>
      <c r="T400" s="407" t="e">
        <v>#DIV/0!</v>
      </c>
      <c r="U400" s="406">
        <v>0</v>
      </c>
      <c r="V400" s="406">
        <v>0</v>
      </c>
      <c r="W400" s="406">
        <v>0</v>
      </c>
      <c r="X400" s="406">
        <v>0</v>
      </c>
      <c r="Y400" s="406">
        <v>0</v>
      </c>
      <c r="Z400" s="406">
        <v>0</v>
      </c>
    </row>
    <row r="401" spans="1:26" x14ac:dyDescent="0.2">
      <c r="A401" s="404" t="s">
        <v>624</v>
      </c>
      <c r="B401" s="448">
        <v>39526303</v>
      </c>
      <c r="C401" s="448">
        <v>64277867.439999998</v>
      </c>
      <c r="D401" s="448">
        <v>64277867.439999998</v>
      </c>
      <c r="E401" s="448">
        <v>52506564.439999998</v>
      </c>
      <c r="F401" s="448">
        <v>52506564.439999998</v>
      </c>
      <c r="G401" s="448">
        <v>0</v>
      </c>
      <c r="H401" s="448">
        <v>24686564.440000001</v>
      </c>
      <c r="I401" s="448">
        <v>2820000</v>
      </c>
      <c r="J401" s="448">
        <v>0</v>
      </c>
      <c r="K401" s="448">
        <v>0</v>
      </c>
      <c r="L401" s="448">
        <v>0</v>
      </c>
      <c r="M401" s="448">
        <v>25000000</v>
      </c>
      <c r="N401" s="448">
        <v>0</v>
      </c>
      <c r="O401" s="448">
        <v>0</v>
      </c>
      <c r="P401" s="448">
        <v>0</v>
      </c>
      <c r="Q401" s="448">
        <v>0</v>
      </c>
      <c r="R401" s="448">
        <v>0</v>
      </c>
      <c r="S401" s="448">
        <v>52506564.439999998</v>
      </c>
      <c r="T401" s="407">
        <v>0.81686848881556484</v>
      </c>
      <c r="U401" s="406">
        <v>11771303</v>
      </c>
      <c r="V401" s="406">
        <v>0</v>
      </c>
      <c r="W401" s="406">
        <v>11771303</v>
      </c>
      <c r="X401" s="406">
        <v>11771303</v>
      </c>
      <c r="Y401" s="406">
        <v>0</v>
      </c>
      <c r="Z401" s="406">
        <v>0</v>
      </c>
    </row>
    <row r="402" spans="1:26" x14ac:dyDescent="0.2">
      <c r="A402" s="412" t="s">
        <v>625</v>
      </c>
      <c r="B402" s="455">
        <v>39526303</v>
      </c>
      <c r="C402" s="455">
        <v>64277867.439999998</v>
      </c>
      <c r="D402" s="455">
        <v>64277867.439999998</v>
      </c>
      <c r="E402" s="455">
        <v>52506564.439999998</v>
      </c>
      <c r="F402" s="455">
        <v>52506564.439999998</v>
      </c>
      <c r="G402" s="455">
        <v>0</v>
      </c>
      <c r="H402" s="455">
        <v>24686564.440000001</v>
      </c>
      <c r="I402" s="455">
        <v>2820000</v>
      </c>
      <c r="J402" s="455">
        <v>0</v>
      </c>
      <c r="K402" s="455">
        <v>0</v>
      </c>
      <c r="L402" s="455">
        <v>0</v>
      </c>
      <c r="M402" s="455">
        <v>25000000</v>
      </c>
      <c r="N402" s="455">
        <v>0</v>
      </c>
      <c r="O402" s="455">
        <v>0</v>
      </c>
      <c r="P402" s="455">
        <v>0</v>
      </c>
      <c r="Q402" s="455">
        <v>0</v>
      </c>
      <c r="R402" s="455">
        <v>0</v>
      </c>
      <c r="S402" s="455">
        <v>52506564.439999998</v>
      </c>
      <c r="T402" s="410">
        <v>0.81686848881556484</v>
      </c>
      <c r="U402" s="285">
        <v>11771303</v>
      </c>
      <c r="V402" s="285">
        <v>0</v>
      </c>
      <c r="W402" s="285">
        <v>11771303</v>
      </c>
      <c r="X402" s="285">
        <v>11771303</v>
      </c>
      <c r="Y402" s="285">
        <v>0</v>
      </c>
      <c r="Z402" s="285">
        <v>0</v>
      </c>
    </row>
    <row r="403" spans="1:26" x14ac:dyDescent="0.2">
      <c r="A403" s="414" t="s">
        <v>626</v>
      </c>
      <c r="B403" s="455">
        <v>0</v>
      </c>
      <c r="C403" s="455">
        <v>0</v>
      </c>
      <c r="D403" s="455">
        <v>0</v>
      </c>
      <c r="E403" s="455">
        <v>0</v>
      </c>
      <c r="F403" s="455">
        <v>0</v>
      </c>
      <c r="G403" s="455">
        <v>0</v>
      </c>
      <c r="H403" s="455">
        <v>0</v>
      </c>
      <c r="I403" s="455">
        <v>0</v>
      </c>
      <c r="J403" s="455">
        <v>0</v>
      </c>
      <c r="K403" s="455">
        <v>0</v>
      </c>
      <c r="L403" s="455">
        <v>0</v>
      </c>
      <c r="M403" s="455">
        <v>0</v>
      </c>
      <c r="N403" s="455">
        <v>0</v>
      </c>
      <c r="O403" s="455">
        <v>0</v>
      </c>
      <c r="P403" s="455">
        <v>0</v>
      </c>
      <c r="Q403" s="455">
        <v>0</v>
      </c>
      <c r="R403" s="455">
        <v>0</v>
      </c>
      <c r="S403" s="455">
        <v>0</v>
      </c>
      <c r="T403" s="410" t="e">
        <v>#DIV/0!</v>
      </c>
      <c r="U403" s="285">
        <v>0</v>
      </c>
      <c r="V403" s="285">
        <v>0</v>
      </c>
      <c r="W403" s="285">
        <v>0</v>
      </c>
      <c r="X403" s="285">
        <v>0</v>
      </c>
      <c r="Y403" s="285">
        <v>0</v>
      </c>
      <c r="Z403" s="285">
        <v>0</v>
      </c>
    </row>
    <row r="404" spans="1:26" x14ac:dyDescent="0.2">
      <c r="A404" s="416" t="s">
        <v>627</v>
      </c>
      <c r="B404" s="457">
        <v>0</v>
      </c>
      <c r="C404" s="457">
        <v>0</v>
      </c>
      <c r="D404" s="457">
        <v>0</v>
      </c>
      <c r="E404" s="457">
        <v>0</v>
      </c>
      <c r="F404" s="457">
        <v>0</v>
      </c>
      <c r="G404" s="457">
        <v>0</v>
      </c>
      <c r="H404" s="457">
        <v>0</v>
      </c>
      <c r="I404" s="457">
        <v>0</v>
      </c>
      <c r="J404" s="457">
        <v>0</v>
      </c>
      <c r="K404" s="457">
        <v>0</v>
      </c>
      <c r="L404" s="457">
        <v>0</v>
      </c>
      <c r="M404" s="457">
        <v>0</v>
      </c>
      <c r="N404" s="457">
        <v>0</v>
      </c>
      <c r="O404" s="457">
        <v>0</v>
      </c>
      <c r="P404" s="457">
        <v>0</v>
      </c>
      <c r="Q404" s="457">
        <v>0</v>
      </c>
      <c r="R404" s="457">
        <v>0</v>
      </c>
      <c r="S404" s="457">
        <v>0</v>
      </c>
      <c r="T404" s="410" t="e">
        <v>#DIV/0!</v>
      </c>
      <c r="U404" s="285">
        <v>0</v>
      </c>
      <c r="V404" s="285">
        <v>0</v>
      </c>
      <c r="W404" s="285">
        <v>0</v>
      </c>
      <c r="X404" s="285">
        <v>0</v>
      </c>
      <c r="Y404" s="285">
        <v>0</v>
      </c>
      <c r="Z404" s="285">
        <v>0</v>
      </c>
    </row>
    <row r="405" spans="1:26" x14ac:dyDescent="0.2">
      <c r="A405" s="416" t="s">
        <v>628</v>
      </c>
      <c r="B405" s="457">
        <v>0</v>
      </c>
      <c r="C405" s="457">
        <v>0</v>
      </c>
      <c r="D405" s="457">
        <v>0</v>
      </c>
      <c r="E405" s="457">
        <v>0</v>
      </c>
      <c r="F405" s="457">
        <v>0</v>
      </c>
      <c r="G405" s="457">
        <v>0</v>
      </c>
      <c r="H405" s="457">
        <v>0</v>
      </c>
      <c r="I405" s="457">
        <v>0</v>
      </c>
      <c r="J405" s="457">
        <v>0</v>
      </c>
      <c r="K405" s="457">
        <v>0</v>
      </c>
      <c r="L405" s="457">
        <v>0</v>
      </c>
      <c r="M405" s="457">
        <v>0</v>
      </c>
      <c r="N405" s="457">
        <v>0</v>
      </c>
      <c r="O405" s="457">
        <v>0</v>
      </c>
      <c r="P405" s="457">
        <v>0</v>
      </c>
      <c r="Q405" s="457">
        <v>0</v>
      </c>
      <c r="R405" s="457">
        <v>0</v>
      </c>
      <c r="S405" s="457">
        <v>0</v>
      </c>
      <c r="T405" s="410" t="e">
        <v>#DIV/0!</v>
      </c>
      <c r="U405" s="285">
        <v>0</v>
      </c>
      <c r="V405" s="285">
        <v>0</v>
      </c>
      <c r="W405" s="285">
        <v>0</v>
      </c>
      <c r="X405" s="285">
        <v>0</v>
      </c>
      <c r="Y405" s="285">
        <v>0</v>
      </c>
      <c r="Z405" s="285">
        <v>0</v>
      </c>
    </row>
    <row r="406" spans="1:26" x14ac:dyDescent="0.2">
      <c r="A406" s="414" t="s">
        <v>1317</v>
      </c>
      <c r="B406" s="457">
        <v>39526303</v>
      </c>
      <c r="C406" s="457">
        <v>64277867.439999998</v>
      </c>
      <c r="D406" s="457">
        <v>64277867.439999998</v>
      </c>
      <c r="E406" s="457">
        <v>52506564.439999998</v>
      </c>
      <c r="F406" s="457">
        <v>52506564.439999998</v>
      </c>
      <c r="G406" s="457">
        <v>0</v>
      </c>
      <c r="H406" s="457">
        <v>24686564.440000001</v>
      </c>
      <c r="I406" s="457">
        <v>2820000</v>
      </c>
      <c r="J406" s="457">
        <v>0</v>
      </c>
      <c r="K406" s="457">
        <v>0</v>
      </c>
      <c r="L406" s="457">
        <v>0</v>
      </c>
      <c r="M406" s="457">
        <v>25000000</v>
      </c>
      <c r="N406" s="457">
        <v>0</v>
      </c>
      <c r="O406" s="457">
        <v>0</v>
      </c>
      <c r="P406" s="457">
        <v>0</v>
      </c>
      <c r="Q406" s="457">
        <v>0</v>
      </c>
      <c r="R406" s="457">
        <v>0</v>
      </c>
      <c r="S406" s="457">
        <v>52506564.439999998</v>
      </c>
      <c r="T406" s="410">
        <v>0.81686848881556484</v>
      </c>
      <c r="U406" s="285">
        <v>11771303</v>
      </c>
      <c r="V406" s="285">
        <v>0</v>
      </c>
      <c r="W406" s="285">
        <v>11771303</v>
      </c>
      <c r="X406" s="285">
        <v>11771303</v>
      </c>
      <c r="Y406" s="285">
        <v>0</v>
      </c>
      <c r="Z406" s="285">
        <v>0</v>
      </c>
    </row>
    <row r="407" spans="1:26" x14ac:dyDescent="0.2">
      <c r="A407" s="416" t="s">
        <v>1319</v>
      </c>
      <c r="B407" s="457">
        <v>0</v>
      </c>
      <c r="C407" s="457">
        <v>0</v>
      </c>
      <c r="D407" s="457">
        <v>0</v>
      </c>
      <c r="E407" s="457">
        <v>0</v>
      </c>
      <c r="F407" s="457">
        <v>0</v>
      </c>
      <c r="G407" s="457">
        <v>0</v>
      </c>
      <c r="H407" s="457">
        <v>0</v>
      </c>
      <c r="I407" s="457">
        <v>0</v>
      </c>
      <c r="J407" s="457">
        <v>0</v>
      </c>
      <c r="K407" s="457">
        <v>0</v>
      </c>
      <c r="L407" s="457">
        <v>0</v>
      </c>
      <c r="M407" s="457">
        <v>0</v>
      </c>
      <c r="N407" s="457">
        <v>0</v>
      </c>
      <c r="O407" s="457">
        <v>0</v>
      </c>
      <c r="P407" s="457">
        <v>0</v>
      </c>
      <c r="Q407" s="457">
        <v>0</v>
      </c>
      <c r="R407" s="457">
        <v>0</v>
      </c>
      <c r="S407" s="457">
        <v>0</v>
      </c>
      <c r="T407" s="410" t="e">
        <v>#DIV/0!</v>
      </c>
      <c r="U407" s="285">
        <v>0</v>
      </c>
      <c r="V407" s="285">
        <v>0</v>
      </c>
      <c r="W407" s="285">
        <v>0</v>
      </c>
      <c r="X407" s="285">
        <v>0</v>
      </c>
      <c r="Y407" s="285">
        <v>0</v>
      </c>
      <c r="Z407" s="285">
        <v>0</v>
      </c>
    </row>
    <row r="408" spans="1:26" x14ac:dyDescent="0.2">
      <c r="A408" s="416" t="s">
        <v>1321</v>
      </c>
      <c r="B408" s="457">
        <v>39526303</v>
      </c>
      <c r="C408" s="457">
        <v>64277867.439999998</v>
      </c>
      <c r="D408" s="457">
        <v>64277867.439999998</v>
      </c>
      <c r="E408" s="457">
        <v>52506564.439999998</v>
      </c>
      <c r="F408" s="457">
        <v>52506564.439999998</v>
      </c>
      <c r="G408" s="457">
        <v>0</v>
      </c>
      <c r="H408" s="457">
        <v>24686564.440000001</v>
      </c>
      <c r="I408" s="457">
        <v>2820000</v>
      </c>
      <c r="J408" s="457">
        <v>0</v>
      </c>
      <c r="K408" s="457">
        <v>0</v>
      </c>
      <c r="L408" s="457">
        <v>0</v>
      </c>
      <c r="M408" s="457">
        <v>25000000</v>
      </c>
      <c r="N408" s="457">
        <v>0</v>
      </c>
      <c r="O408" s="457">
        <v>0</v>
      </c>
      <c r="P408" s="457">
        <v>0</v>
      </c>
      <c r="Q408" s="457">
        <v>0</v>
      </c>
      <c r="R408" s="457">
        <v>0</v>
      </c>
      <c r="S408" s="457">
        <v>52506564.439999998</v>
      </c>
      <c r="T408" s="410">
        <v>0.81686848881556484</v>
      </c>
      <c r="U408" s="285">
        <v>11771303</v>
      </c>
      <c r="V408" s="285">
        <v>0</v>
      </c>
      <c r="W408" s="285">
        <v>11771303</v>
      </c>
      <c r="X408" s="285">
        <v>11771303</v>
      </c>
      <c r="Y408" s="285">
        <v>0</v>
      </c>
      <c r="Z408" s="285">
        <v>0</v>
      </c>
    </row>
    <row r="409" spans="1:26" x14ac:dyDescent="0.2">
      <c r="A409" s="414" t="s">
        <v>629</v>
      </c>
      <c r="B409" s="457">
        <v>0</v>
      </c>
      <c r="C409" s="457">
        <v>0</v>
      </c>
      <c r="D409" s="457">
        <v>0</v>
      </c>
      <c r="E409" s="457">
        <v>0</v>
      </c>
      <c r="F409" s="457">
        <v>0</v>
      </c>
      <c r="G409" s="457">
        <v>0</v>
      </c>
      <c r="H409" s="457">
        <v>0</v>
      </c>
      <c r="I409" s="457">
        <v>0</v>
      </c>
      <c r="J409" s="457">
        <v>0</v>
      </c>
      <c r="K409" s="457">
        <v>0</v>
      </c>
      <c r="L409" s="457">
        <v>0</v>
      </c>
      <c r="M409" s="457">
        <v>0</v>
      </c>
      <c r="N409" s="457">
        <v>0</v>
      </c>
      <c r="O409" s="457">
        <v>0</v>
      </c>
      <c r="P409" s="457">
        <v>0</v>
      </c>
      <c r="Q409" s="457">
        <v>0</v>
      </c>
      <c r="R409" s="457">
        <v>0</v>
      </c>
      <c r="S409" s="457">
        <v>0</v>
      </c>
      <c r="T409" s="410" t="e">
        <v>#DIV/0!</v>
      </c>
      <c r="U409" s="285">
        <v>0</v>
      </c>
      <c r="V409" s="285">
        <v>0</v>
      </c>
      <c r="W409" s="285">
        <v>0</v>
      </c>
      <c r="X409" s="285">
        <v>0</v>
      </c>
      <c r="Y409" s="285">
        <v>0</v>
      </c>
      <c r="Z409" s="285">
        <v>0</v>
      </c>
    </row>
    <row r="410" spans="1:26" x14ac:dyDescent="0.2">
      <c r="A410" s="414" t="s">
        <v>630</v>
      </c>
      <c r="B410" s="457">
        <v>0</v>
      </c>
      <c r="C410" s="457">
        <v>0</v>
      </c>
      <c r="D410" s="457">
        <v>0</v>
      </c>
      <c r="E410" s="457">
        <v>0</v>
      </c>
      <c r="F410" s="457">
        <v>0</v>
      </c>
      <c r="G410" s="457">
        <v>0</v>
      </c>
      <c r="H410" s="457">
        <v>0</v>
      </c>
      <c r="I410" s="457">
        <v>0</v>
      </c>
      <c r="J410" s="457">
        <v>0</v>
      </c>
      <c r="K410" s="457">
        <v>0</v>
      </c>
      <c r="L410" s="457">
        <v>0</v>
      </c>
      <c r="M410" s="457">
        <v>0</v>
      </c>
      <c r="N410" s="457">
        <v>0</v>
      </c>
      <c r="O410" s="457">
        <v>0</v>
      </c>
      <c r="P410" s="457">
        <v>0</v>
      </c>
      <c r="Q410" s="457">
        <v>0</v>
      </c>
      <c r="R410" s="457">
        <v>0</v>
      </c>
      <c r="S410" s="457">
        <v>0</v>
      </c>
      <c r="T410" s="410" t="e">
        <v>#DIV/0!</v>
      </c>
      <c r="U410" s="285">
        <v>0</v>
      </c>
      <c r="V410" s="285">
        <v>0</v>
      </c>
      <c r="W410" s="285">
        <v>0</v>
      </c>
      <c r="X410" s="285">
        <v>0</v>
      </c>
      <c r="Y410" s="285">
        <v>0</v>
      </c>
      <c r="Z410" s="285">
        <v>0</v>
      </c>
    </row>
    <row r="411" spans="1:26" x14ac:dyDescent="0.2">
      <c r="A411" s="412" t="s">
        <v>631</v>
      </c>
      <c r="B411" s="457">
        <v>0</v>
      </c>
      <c r="C411" s="457">
        <v>0</v>
      </c>
      <c r="D411" s="457">
        <v>0</v>
      </c>
      <c r="E411" s="457">
        <v>0</v>
      </c>
      <c r="F411" s="457">
        <v>0</v>
      </c>
      <c r="G411" s="457">
        <v>0</v>
      </c>
      <c r="H411" s="457">
        <v>0</v>
      </c>
      <c r="I411" s="457">
        <v>0</v>
      </c>
      <c r="J411" s="457">
        <v>0</v>
      </c>
      <c r="K411" s="457">
        <v>0</v>
      </c>
      <c r="L411" s="457">
        <v>0</v>
      </c>
      <c r="M411" s="457">
        <v>0</v>
      </c>
      <c r="N411" s="457">
        <v>0</v>
      </c>
      <c r="O411" s="457">
        <v>0</v>
      </c>
      <c r="P411" s="457">
        <v>0</v>
      </c>
      <c r="Q411" s="457">
        <v>0</v>
      </c>
      <c r="R411" s="457">
        <v>0</v>
      </c>
      <c r="S411" s="457">
        <v>0</v>
      </c>
      <c r="T411" s="410" t="e">
        <v>#DIV/0!</v>
      </c>
      <c r="U411" s="285">
        <v>0</v>
      </c>
      <c r="V411" s="285">
        <v>0</v>
      </c>
      <c r="W411" s="285">
        <v>0</v>
      </c>
      <c r="X411" s="285">
        <v>0</v>
      </c>
      <c r="Y411" s="285">
        <v>0</v>
      </c>
      <c r="Z411" s="285">
        <v>0</v>
      </c>
    </row>
    <row r="412" spans="1:26" x14ac:dyDescent="0.2">
      <c r="A412" s="412" t="s">
        <v>632</v>
      </c>
      <c r="B412" s="457">
        <v>0</v>
      </c>
      <c r="C412" s="457">
        <v>0</v>
      </c>
      <c r="D412" s="457">
        <v>0</v>
      </c>
      <c r="E412" s="457">
        <v>0</v>
      </c>
      <c r="F412" s="457">
        <v>0</v>
      </c>
      <c r="G412" s="457">
        <v>0</v>
      </c>
      <c r="H412" s="457">
        <v>0</v>
      </c>
      <c r="I412" s="457">
        <v>0</v>
      </c>
      <c r="J412" s="457">
        <v>0</v>
      </c>
      <c r="K412" s="457">
        <v>0</v>
      </c>
      <c r="L412" s="457">
        <v>0</v>
      </c>
      <c r="M412" s="457">
        <v>0</v>
      </c>
      <c r="N412" s="457">
        <v>0</v>
      </c>
      <c r="O412" s="457">
        <v>0</v>
      </c>
      <c r="P412" s="457">
        <v>0</v>
      </c>
      <c r="Q412" s="457">
        <v>0</v>
      </c>
      <c r="R412" s="457">
        <v>0</v>
      </c>
      <c r="S412" s="457">
        <v>0</v>
      </c>
      <c r="T412" s="410" t="e">
        <v>#DIV/0!</v>
      </c>
      <c r="U412" s="285">
        <v>0</v>
      </c>
      <c r="V412" s="285">
        <v>0</v>
      </c>
      <c r="W412" s="285">
        <v>0</v>
      </c>
      <c r="X412" s="285">
        <v>0</v>
      </c>
      <c r="Y412" s="285">
        <v>0</v>
      </c>
      <c r="Z412" s="285">
        <v>0</v>
      </c>
    </row>
    <row r="413" spans="1:26" x14ac:dyDescent="0.2">
      <c r="A413" s="412" t="s">
        <v>633</v>
      </c>
      <c r="B413" s="457">
        <v>0</v>
      </c>
      <c r="C413" s="457">
        <v>0</v>
      </c>
      <c r="D413" s="457">
        <v>0</v>
      </c>
      <c r="E413" s="457">
        <v>0</v>
      </c>
      <c r="F413" s="457">
        <v>0</v>
      </c>
      <c r="G413" s="457">
        <v>0</v>
      </c>
      <c r="H413" s="457">
        <v>0</v>
      </c>
      <c r="I413" s="457">
        <v>0</v>
      </c>
      <c r="J413" s="457">
        <v>0</v>
      </c>
      <c r="K413" s="457">
        <v>0</v>
      </c>
      <c r="L413" s="457">
        <v>0</v>
      </c>
      <c r="M413" s="457">
        <v>0</v>
      </c>
      <c r="N413" s="457">
        <v>0</v>
      </c>
      <c r="O413" s="457">
        <v>0</v>
      </c>
      <c r="P413" s="457">
        <v>0</v>
      </c>
      <c r="Q413" s="457">
        <v>0</v>
      </c>
      <c r="R413" s="457">
        <v>0</v>
      </c>
      <c r="S413" s="457">
        <v>0</v>
      </c>
      <c r="T413" s="410" t="e">
        <v>#DIV/0!</v>
      </c>
      <c r="U413" s="285">
        <v>0</v>
      </c>
      <c r="V413" s="285">
        <v>0</v>
      </c>
      <c r="W413" s="285">
        <v>0</v>
      </c>
      <c r="X413" s="285">
        <v>0</v>
      </c>
      <c r="Y413" s="285">
        <v>0</v>
      </c>
      <c r="Z413" s="285">
        <v>0</v>
      </c>
    </row>
    <row r="414" spans="1:26" x14ac:dyDescent="0.2">
      <c r="A414" s="412" t="s">
        <v>634</v>
      </c>
      <c r="B414" s="457">
        <v>0</v>
      </c>
      <c r="C414" s="457">
        <v>0</v>
      </c>
      <c r="D414" s="457">
        <v>0</v>
      </c>
      <c r="E414" s="457">
        <v>0</v>
      </c>
      <c r="F414" s="457">
        <v>0</v>
      </c>
      <c r="G414" s="457">
        <v>0</v>
      </c>
      <c r="H414" s="457">
        <v>0</v>
      </c>
      <c r="I414" s="457">
        <v>0</v>
      </c>
      <c r="J414" s="457">
        <v>0</v>
      </c>
      <c r="K414" s="457">
        <v>0</v>
      </c>
      <c r="L414" s="457">
        <v>0</v>
      </c>
      <c r="M414" s="457">
        <v>0</v>
      </c>
      <c r="N414" s="457">
        <v>0</v>
      </c>
      <c r="O414" s="457">
        <v>0</v>
      </c>
      <c r="P414" s="457">
        <v>0</v>
      </c>
      <c r="Q414" s="457">
        <v>0</v>
      </c>
      <c r="R414" s="457">
        <v>0</v>
      </c>
      <c r="S414" s="457">
        <v>0</v>
      </c>
      <c r="T414" s="410" t="e">
        <v>#DIV/0!</v>
      </c>
      <c r="U414" s="285">
        <v>0</v>
      </c>
      <c r="V414" s="285">
        <v>0</v>
      </c>
      <c r="W414" s="285">
        <v>0</v>
      </c>
      <c r="X414" s="285">
        <v>0</v>
      </c>
      <c r="Y414" s="285">
        <v>0</v>
      </c>
      <c r="Z414" s="285">
        <v>0</v>
      </c>
    </row>
    <row r="415" spans="1:26" x14ac:dyDescent="0.2">
      <c r="A415" s="412" t="s">
        <v>635</v>
      </c>
      <c r="B415" s="457">
        <v>0</v>
      </c>
      <c r="C415" s="457">
        <v>0</v>
      </c>
      <c r="D415" s="457">
        <v>0</v>
      </c>
      <c r="E415" s="457">
        <v>0</v>
      </c>
      <c r="F415" s="457">
        <v>0</v>
      </c>
      <c r="G415" s="457">
        <v>0</v>
      </c>
      <c r="H415" s="457">
        <v>0</v>
      </c>
      <c r="I415" s="457">
        <v>0</v>
      </c>
      <c r="J415" s="457">
        <v>0</v>
      </c>
      <c r="K415" s="457">
        <v>0</v>
      </c>
      <c r="L415" s="457">
        <v>0</v>
      </c>
      <c r="M415" s="457">
        <v>0</v>
      </c>
      <c r="N415" s="457">
        <v>0</v>
      </c>
      <c r="O415" s="457">
        <v>0</v>
      </c>
      <c r="P415" s="457">
        <v>0</v>
      </c>
      <c r="Q415" s="457">
        <v>0</v>
      </c>
      <c r="R415" s="457">
        <v>0</v>
      </c>
      <c r="S415" s="457">
        <v>0</v>
      </c>
      <c r="T415" s="410" t="e">
        <v>#DIV/0!</v>
      </c>
      <c r="U415" s="285">
        <v>0</v>
      </c>
      <c r="V415" s="285">
        <v>0</v>
      </c>
      <c r="W415" s="285">
        <v>0</v>
      </c>
      <c r="X415" s="285">
        <v>0</v>
      </c>
      <c r="Y415" s="285">
        <v>0</v>
      </c>
      <c r="Z415" s="285">
        <v>0</v>
      </c>
    </row>
    <row r="416" spans="1:26" x14ac:dyDescent="0.2">
      <c r="A416" s="404" t="s">
        <v>636</v>
      </c>
      <c r="B416" s="448">
        <v>0</v>
      </c>
      <c r="C416" s="448">
        <v>0</v>
      </c>
      <c r="D416" s="448">
        <v>0</v>
      </c>
      <c r="E416" s="448">
        <v>0</v>
      </c>
      <c r="F416" s="448">
        <v>0</v>
      </c>
      <c r="G416" s="448">
        <v>0</v>
      </c>
      <c r="H416" s="448">
        <v>0</v>
      </c>
      <c r="I416" s="448">
        <v>0</v>
      </c>
      <c r="J416" s="448">
        <v>0</v>
      </c>
      <c r="K416" s="448">
        <v>0</v>
      </c>
      <c r="L416" s="448">
        <v>0</v>
      </c>
      <c r="M416" s="448">
        <v>0</v>
      </c>
      <c r="N416" s="448">
        <v>0</v>
      </c>
      <c r="O416" s="448">
        <v>0</v>
      </c>
      <c r="P416" s="448">
        <v>0</v>
      </c>
      <c r="Q416" s="448">
        <v>0</v>
      </c>
      <c r="R416" s="448">
        <v>0</v>
      </c>
      <c r="S416" s="448">
        <v>0</v>
      </c>
      <c r="T416" s="407" t="e">
        <v>#DIV/0!</v>
      </c>
      <c r="U416" s="406">
        <v>0</v>
      </c>
      <c r="V416" s="406">
        <v>0</v>
      </c>
      <c r="W416" s="406">
        <v>0</v>
      </c>
      <c r="X416" s="406">
        <v>0</v>
      </c>
      <c r="Y416" s="406">
        <v>0</v>
      </c>
      <c r="Z416" s="406">
        <v>0</v>
      </c>
    </row>
    <row r="417" spans="1:26" x14ac:dyDescent="0.2">
      <c r="A417" s="412" t="s">
        <v>637</v>
      </c>
      <c r="B417" s="457">
        <v>0</v>
      </c>
      <c r="C417" s="457">
        <v>0</v>
      </c>
      <c r="D417" s="457">
        <v>0</v>
      </c>
      <c r="E417" s="457">
        <v>0</v>
      </c>
      <c r="F417" s="457">
        <v>0</v>
      </c>
      <c r="G417" s="457">
        <v>0</v>
      </c>
      <c r="H417" s="457">
        <v>0</v>
      </c>
      <c r="I417" s="457">
        <v>0</v>
      </c>
      <c r="J417" s="457">
        <v>0</v>
      </c>
      <c r="K417" s="457">
        <v>0</v>
      </c>
      <c r="L417" s="457">
        <v>0</v>
      </c>
      <c r="M417" s="457">
        <v>0</v>
      </c>
      <c r="N417" s="457">
        <v>0</v>
      </c>
      <c r="O417" s="457">
        <v>0</v>
      </c>
      <c r="P417" s="457">
        <v>0</v>
      </c>
      <c r="Q417" s="457">
        <v>0</v>
      </c>
      <c r="R417" s="457">
        <v>0</v>
      </c>
      <c r="S417" s="457">
        <v>0</v>
      </c>
      <c r="T417" s="410" t="e">
        <v>#DIV/0!</v>
      </c>
      <c r="U417" s="285">
        <v>0</v>
      </c>
      <c r="V417" s="285">
        <v>0</v>
      </c>
      <c r="W417" s="285">
        <v>0</v>
      </c>
      <c r="X417" s="285">
        <v>0</v>
      </c>
      <c r="Y417" s="285">
        <v>0</v>
      </c>
      <c r="Z417" s="285">
        <v>0</v>
      </c>
    </row>
    <row r="418" spans="1:26" x14ac:dyDescent="0.2">
      <c r="A418" s="412" t="s">
        <v>638</v>
      </c>
      <c r="B418" s="457">
        <v>0</v>
      </c>
      <c r="C418" s="457">
        <v>0</v>
      </c>
      <c r="D418" s="457">
        <v>0</v>
      </c>
      <c r="E418" s="457">
        <v>0</v>
      </c>
      <c r="F418" s="457">
        <v>0</v>
      </c>
      <c r="G418" s="457">
        <v>0</v>
      </c>
      <c r="H418" s="457">
        <v>0</v>
      </c>
      <c r="I418" s="457">
        <v>0</v>
      </c>
      <c r="J418" s="457">
        <v>0</v>
      </c>
      <c r="K418" s="457">
        <v>0</v>
      </c>
      <c r="L418" s="457">
        <v>0</v>
      </c>
      <c r="M418" s="457">
        <v>0</v>
      </c>
      <c r="N418" s="457">
        <v>0</v>
      </c>
      <c r="O418" s="457">
        <v>0</v>
      </c>
      <c r="P418" s="457">
        <v>0</v>
      </c>
      <c r="Q418" s="457">
        <v>0</v>
      </c>
      <c r="R418" s="457">
        <v>0</v>
      </c>
      <c r="S418" s="457">
        <v>0</v>
      </c>
      <c r="T418" s="410" t="e">
        <v>#DIV/0!</v>
      </c>
      <c r="U418" s="285">
        <v>0</v>
      </c>
      <c r="V418" s="285">
        <v>0</v>
      </c>
      <c r="W418" s="285">
        <v>0</v>
      </c>
      <c r="X418" s="285">
        <v>0</v>
      </c>
      <c r="Y418" s="285">
        <v>0</v>
      </c>
      <c r="Z418" s="285">
        <v>0</v>
      </c>
    </row>
    <row r="419" spans="1:26" x14ac:dyDescent="0.2">
      <c r="A419" s="412" t="s">
        <v>639</v>
      </c>
      <c r="B419" s="457">
        <v>0</v>
      </c>
      <c r="C419" s="457">
        <v>0</v>
      </c>
      <c r="D419" s="457">
        <v>0</v>
      </c>
      <c r="E419" s="457">
        <v>0</v>
      </c>
      <c r="F419" s="457">
        <v>0</v>
      </c>
      <c r="G419" s="457">
        <v>0</v>
      </c>
      <c r="H419" s="457">
        <v>0</v>
      </c>
      <c r="I419" s="457">
        <v>0</v>
      </c>
      <c r="J419" s="457">
        <v>0</v>
      </c>
      <c r="K419" s="457">
        <v>0</v>
      </c>
      <c r="L419" s="457">
        <v>0</v>
      </c>
      <c r="M419" s="457">
        <v>0</v>
      </c>
      <c r="N419" s="457">
        <v>0</v>
      </c>
      <c r="O419" s="457">
        <v>0</v>
      </c>
      <c r="P419" s="457">
        <v>0</v>
      </c>
      <c r="Q419" s="457">
        <v>0</v>
      </c>
      <c r="R419" s="457">
        <v>0</v>
      </c>
      <c r="S419" s="457">
        <v>0</v>
      </c>
      <c r="T419" s="410" t="e">
        <v>#DIV/0!</v>
      </c>
      <c r="U419" s="285">
        <v>0</v>
      </c>
      <c r="V419" s="285">
        <v>0</v>
      </c>
      <c r="W419" s="285">
        <v>0</v>
      </c>
      <c r="X419" s="285">
        <v>0</v>
      </c>
      <c r="Y419" s="285">
        <v>0</v>
      </c>
      <c r="Z419" s="285">
        <v>0</v>
      </c>
    </row>
    <row r="420" spans="1:26" x14ac:dyDescent="0.2">
      <c r="A420" s="404" t="s">
        <v>640</v>
      </c>
      <c r="B420" s="448">
        <v>0</v>
      </c>
      <c r="C420" s="448">
        <v>0</v>
      </c>
      <c r="D420" s="448">
        <v>0</v>
      </c>
      <c r="E420" s="448">
        <v>0</v>
      </c>
      <c r="F420" s="448">
        <v>0</v>
      </c>
      <c r="G420" s="448">
        <v>0</v>
      </c>
      <c r="H420" s="448">
        <v>0</v>
      </c>
      <c r="I420" s="448">
        <v>0</v>
      </c>
      <c r="J420" s="448">
        <v>0</v>
      </c>
      <c r="K420" s="448">
        <v>0</v>
      </c>
      <c r="L420" s="448">
        <v>0</v>
      </c>
      <c r="M420" s="448">
        <v>0</v>
      </c>
      <c r="N420" s="448">
        <v>0</v>
      </c>
      <c r="O420" s="448">
        <v>0</v>
      </c>
      <c r="P420" s="448">
        <v>0</v>
      </c>
      <c r="Q420" s="448">
        <v>0</v>
      </c>
      <c r="R420" s="448">
        <v>0</v>
      </c>
      <c r="S420" s="448">
        <v>0</v>
      </c>
      <c r="T420" s="407" t="e">
        <v>#DIV/0!</v>
      </c>
      <c r="U420" s="406">
        <v>0</v>
      </c>
      <c r="V420" s="406">
        <v>0</v>
      </c>
      <c r="W420" s="406">
        <v>0</v>
      </c>
      <c r="X420" s="406">
        <v>0</v>
      </c>
      <c r="Y420" s="406">
        <v>0</v>
      </c>
      <c r="Z420" s="406">
        <v>0</v>
      </c>
    </row>
    <row r="421" spans="1:26" x14ac:dyDescent="0.2">
      <c r="A421" s="412" t="s">
        <v>641</v>
      </c>
      <c r="B421" s="457">
        <v>0</v>
      </c>
      <c r="C421" s="457">
        <v>0</v>
      </c>
      <c r="D421" s="457">
        <v>0</v>
      </c>
      <c r="E421" s="457">
        <v>0</v>
      </c>
      <c r="F421" s="457">
        <v>0</v>
      </c>
      <c r="G421" s="457">
        <v>0</v>
      </c>
      <c r="H421" s="457">
        <v>0</v>
      </c>
      <c r="I421" s="457">
        <v>0</v>
      </c>
      <c r="J421" s="457">
        <v>0</v>
      </c>
      <c r="K421" s="457">
        <v>0</v>
      </c>
      <c r="L421" s="457">
        <v>0</v>
      </c>
      <c r="M421" s="457">
        <v>0</v>
      </c>
      <c r="N421" s="457">
        <v>0</v>
      </c>
      <c r="O421" s="457">
        <v>0</v>
      </c>
      <c r="P421" s="457">
        <v>0</v>
      </c>
      <c r="Q421" s="457">
        <v>0</v>
      </c>
      <c r="R421" s="457">
        <v>0</v>
      </c>
      <c r="S421" s="457">
        <v>0</v>
      </c>
      <c r="T421" s="410" t="e">
        <v>#DIV/0!</v>
      </c>
      <c r="U421" s="285">
        <v>0</v>
      </c>
      <c r="V421" s="285">
        <v>0</v>
      </c>
      <c r="W421" s="285">
        <v>0</v>
      </c>
      <c r="X421" s="285">
        <v>0</v>
      </c>
      <c r="Y421" s="285">
        <v>0</v>
      </c>
      <c r="Z421" s="285">
        <v>0</v>
      </c>
    </row>
    <row r="422" spans="1:26" x14ac:dyDescent="0.2">
      <c r="A422" s="412" t="s">
        <v>642</v>
      </c>
      <c r="B422" s="457">
        <v>0</v>
      </c>
      <c r="C422" s="457">
        <v>0</v>
      </c>
      <c r="D422" s="457">
        <v>0</v>
      </c>
      <c r="E422" s="457">
        <v>0</v>
      </c>
      <c r="F422" s="457">
        <v>0</v>
      </c>
      <c r="G422" s="457">
        <v>0</v>
      </c>
      <c r="H422" s="457">
        <v>0</v>
      </c>
      <c r="I422" s="457">
        <v>0</v>
      </c>
      <c r="J422" s="457">
        <v>0</v>
      </c>
      <c r="K422" s="457">
        <v>0</v>
      </c>
      <c r="L422" s="457">
        <v>0</v>
      </c>
      <c r="M422" s="457">
        <v>0</v>
      </c>
      <c r="N422" s="457">
        <v>0</v>
      </c>
      <c r="O422" s="457">
        <v>0</v>
      </c>
      <c r="P422" s="457">
        <v>0</v>
      </c>
      <c r="Q422" s="457">
        <v>0</v>
      </c>
      <c r="R422" s="457">
        <v>0</v>
      </c>
      <c r="S422" s="457">
        <v>0</v>
      </c>
      <c r="T422" s="410" t="e">
        <v>#DIV/0!</v>
      </c>
      <c r="U422" s="285">
        <v>0</v>
      </c>
      <c r="V422" s="285">
        <v>0</v>
      </c>
      <c r="W422" s="285">
        <v>0</v>
      </c>
      <c r="X422" s="285">
        <v>0</v>
      </c>
      <c r="Y422" s="285">
        <v>0</v>
      </c>
      <c r="Z422" s="285">
        <v>0</v>
      </c>
    </row>
    <row r="423" spans="1:26" x14ac:dyDescent="0.2">
      <c r="A423" s="412" t="s">
        <v>643</v>
      </c>
      <c r="B423" s="457">
        <v>0</v>
      </c>
      <c r="C423" s="457">
        <v>0</v>
      </c>
      <c r="D423" s="457">
        <v>0</v>
      </c>
      <c r="E423" s="457">
        <v>0</v>
      </c>
      <c r="F423" s="457">
        <v>0</v>
      </c>
      <c r="G423" s="457">
        <v>0</v>
      </c>
      <c r="H423" s="457">
        <v>0</v>
      </c>
      <c r="I423" s="457">
        <v>0</v>
      </c>
      <c r="J423" s="457">
        <v>0</v>
      </c>
      <c r="K423" s="457">
        <v>0</v>
      </c>
      <c r="L423" s="457">
        <v>0</v>
      </c>
      <c r="M423" s="457">
        <v>0</v>
      </c>
      <c r="N423" s="457">
        <v>0</v>
      </c>
      <c r="O423" s="457">
        <v>0</v>
      </c>
      <c r="P423" s="457">
        <v>0</v>
      </c>
      <c r="Q423" s="457">
        <v>0</v>
      </c>
      <c r="R423" s="457">
        <v>0</v>
      </c>
      <c r="S423" s="457">
        <v>0</v>
      </c>
      <c r="T423" s="410" t="e">
        <v>#DIV/0!</v>
      </c>
      <c r="U423" s="285">
        <v>0</v>
      </c>
      <c r="V423" s="285">
        <v>0</v>
      </c>
      <c r="W423" s="285">
        <v>0</v>
      </c>
      <c r="X423" s="285">
        <v>0</v>
      </c>
      <c r="Y423" s="285">
        <v>0</v>
      </c>
      <c r="Z423" s="285">
        <v>0</v>
      </c>
    </row>
    <row r="424" spans="1:26" x14ac:dyDescent="0.2">
      <c r="A424" s="412" t="s">
        <v>644</v>
      </c>
      <c r="B424" s="457">
        <v>0</v>
      </c>
      <c r="C424" s="457">
        <v>0</v>
      </c>
      <c r="D424" s="457">
        <v>0</v>
      </c>
      <c r="E424" s="457">
        <v>0</v>
      </c>
      <c r="F424" s="457">
        <v>0</v>
      </c>
      <c r="G424" s="457">
        <v>0</v>
      </c>
      <c r="H424" s="457">
        <v>0</v>
      </c>
      <c r="I424" s="457">
        <v>0</v>
      </c>
      <c r="J424" s="457">
        <v>0</v>
      </c>
      <c r="K424" s="457">
        <v>0</v>
      </c>
      <c r="L424" s="457">
        <v>0</v>
      </c>
      <c r="M424" s="457">
        <v>0</v>
      </c>
      <c r="N424" s="457">
        <v>0</v>
      </c>
      <c r="O424" s="457">
        <v>0</v>
      </c>
      <c r="P424" s="457">
        <v>0</v>
      </c>
      <c r="Q424" s="457">
        <v>0</v>
      </c>
      <c r="R424" s="457">
        <v>0</v>
      </c>
      <c r="S424" s="457">
        <v>0</v>
      </c>
      <c r="T424" s="410" t="e">
        <v>#DIV/0!</v>
      </c>
      <c r="U424" s="285">
        <v>0</v>
      </c>
      <c r="V424" s="285">
        <v>0</v>
      </c>
      <c r="W424" s="285">
        <v>0</v>
      </c>
      <c r="X424" s="285">
        <v>0</v>
      </c>
      <c r="Y424" s="285">
        <v>0</v>
      </c>
      <c r="Z424" s="285">
        <v>0</v>
      </c>
    </row>
    <row r="425" spans="1:26" x14ac:dyDescent="0.2">
      <c r="A425" s="412" t="s">
        <v>645</v>
      </c>
      <c r="B425" s="457">
        <v>0</v>
      </c>
      <c r="C425" s="457">
        <v>0</v>
      </c>
      <c r="D425" s="457">
        <v>0</v>
      </c>
      <c r="E425" s="457">
        <v>0</v>
      </c>
      <c r="F425" s="457">
        <v>0</v>
      </c>
      <c r="G425" s="457">
        <v>0</v>
      </c>
      <c r="H425" s="457">
        <v>0</v>
      </c>
      <c r="I425" s="457">
        <v>0</v>
      </c>
      <c r="J425" s="457">
        <v>0</v>
      </c>
      <c r="K425" s="457">
        <v>0</v>
      </c>
      <c r="L425" s="457">
        <v>0</v>
      </c>
      <c r="M425" s="457">
        <v>0</v>
      </c>
      <c r="N425" s="457">
        <v>0</v>
      </c>
      <c r="O425" s="457">
        <v>0</v>
      </c>
      <c r="P425" s="457">
        <v>0</v>
      </c>
      <c r="Q425" s="457">
        <v>0</v>
      </c>
      <c r="R425" s="457">
        <v>0</v>
      </c>
      <c r="S425" s="457">
        <v>0</v>
      </c>
      <c r="T425" s="410" t="e">
        <v>#DIV/0!</v>
      </c>
      <c r="U425" s="285">
        <v>0</v>
      </c>
      <c r="V425" s="285">
        <v>0</v>
      </c>
      <c r="W425" s="285">
        <v>0</v>
      </c>
      <c r="X425" s="285">
        <v>0</v>
      </c>
      <c r="Y425" s="285">
        <v>0</v>
      </c>
      <c r="Z425" s="285">
        <v>0</v>
      </c>
    </row>
    <row r="426" spans="1:26" x14ac:dyDescent="0.2">
      <c r="A426" s="412" t="s">
        <v>646</v>
      </c>
      <c r="B426" s="457">
        <v>0</v>
      </c>
      <c r="C426" s="457">
        <v>0</v>
      </c>
      <c r="D426" s="457">
        <v>0</v>
      </c>
      <c r="E426" s="457">
        <v>0</v>
      </c>
      <c r="F426" s="457">
        <v>0</v>
      </c>
      <c r="G426" s="457">
        <v>0</v>
      </c>
      <c r="H426" s="457">
        <v>0</v>
      </c>
      <c r="I426" s="457">
        <v>0</v>
      </c>
      <c r="J426" s="457">
        <v>0</v>
      </c>
      <c r="K426" s="457">
        <v>0</v>
      </c>
      <c r="L426" s="457">
        <v>0</v>
      </c>
      <c r="M426" s="457">
        <v>0</v>
      </c>
      <c r="N426" s="457">
        <v>0</v>
      </c>
      <c r="O426" s="457">
        <v>0</v>
      </c>
      <c r="P426" s="457">
        <v>0</v>
      </c>
      <c r="Q426" s="457">
        <v>0</v>
      </c>
      <c r="R426" s="457">
        <v>0</v>
      </c>
      <c r="S426" s="457">
        <v>0</v>
      </c>
      <c r="T426" s="410" t="e">
        <v>#DIV/0!</v>
      </c>
      <c r="U426" s="285">
        <v>0</v>
      </c>
      <c r="V426" s="285">
        <v>0</v>
      </c>
      <c r="W426" s="285">
        <v>0</v>
      </c>
      <c r="X426" s="285">
        <v>0</v>
      </c>
      <c r="Y426" s="285">
        <v>0</v>
      </c>
      <c r="Z426" s="285">
        <v>0</v>
      </c>
    </row>
    <row r="427" spans="1:26" x14ac:dyDescent="0.2">
      <c r="A427" s="399" t="s">
        <v>647</v>
      </c>
      <c r="B427" s="474">
        <v>0</v>
      </c>
      <c r="C427" s="474">
        <v>0</v>
      </c>
      <c r="D427" s="474">
        <v>0</v>
      </c>
      <c r="E427" s="474">
        <v>0</v>
      </c>
      <c r="F427" s="474">
        <v>0</v>
      </c>
      <c r="G427" s="474">
        <v>0</v>
      </c>
      <c r="H427" s="474">
        <v>0</v>
      </c>
      <c r="I427" s="474">
        <v>0</v>
      </c>
      <c r="J427" s="474">
        <v>0</v>
      </c>
      <c r="K427" s="474">
        <v>0</v>
      </c>
      <c r="L427" s="474">
        <v>0</v>
      </c>
      <c r="M427" s="474">
        <v>0</v>
      </c>
      <c r="N427" s="474">
        <v>0</v>
      </c>
      <c r="O427" s="474">
        <v>0</v>
      </c>
      <c r="P427" s="474">
        <v>0</v>
      </c>
      <c r="Q427" s="474">
        <v>0</v>
      </c>
      <c r="R427" s="474">
        <v>0</v>
      </c>
      <c r="S427" s="474">
        <v>0</v>
      </c>
      <c r="T427" s="402" t="e">
        <v>#DIV/0!</v>
      </c>
      <c r="U427" s="401">
        <v>0</v>
      </c>
      <c r="V427" s="401">
        <v>0</v>
      </c>
      <c r="W427" s="401">
        <v>0</v>
      </c>
      <c r="X427" s="401">
        <v>0</v>
      </c>
      <c r="Y427" s="401">
        <v>0</v>
      </c>
      <c r="Z427" s="401">
        <v>0</v>
      </c>
    </row>
    <row r="428" spans="1:26" x14ac:dyDescent="0.2">
      <c r="A428" s="404" t="s">
        <v>648</v>
      </c>
      <c r="B428" s="448">
        <v>0</v>
      </c>
      <c r="C428" s="448">
        <v>0</v>
      </c>
      <c r="D428" s="448">
        <v>0</v>
      </c>
      <c r="E428" s="448">
        <v>0</v>
      </c>
      <c r="F428" s="448">
        <v>0</v>
      </c>
      <c r="G428" s="448">
        <v>0</v>
      </c>
      <c r="H428" s="448">
        <v>0</v>
      </c>
      <c r="I428" s="448">
        <v>0</v>
      </c>
      <c r="J428" s="448">
        <v>0</v>
      </c>
      <c r="K428" s="448">
        <v>0</v>
      </c>
      <c r="L428" s="448">
        <v>0</v>
      </c>
      <c r="M428" s="448">
        <v>0</v>
      </c>
      <c r="N428" s="448">
        <v>0</v>
      </c>
      <c r="O428" s="448">
        <v>0</v>
      </c>
      <c r="P428" s="448">
        <v>0</v>
      </c>
      <c r="Q428" s="448">
        <v>0</v>
      </c>
      <c r="R428" s="448">
        <v>0</v>
      </c>
      <c r="S428" s="448">
        <v>0</v>
      </c>
      <c r="T428" s="407" t="e">
        <v>#DIV/0!</v>
      </c>
      <c r="U428" s="406">
        <v>0</v>
      </c>
      <c r="V428" s="406">
        <v>0</v>
      </c>
      <c r="W428" s="406">
        <v>0</v>
      </c>
      <c r="X428" s="406">
        <v>0</v>
      </c>
      <c r="Y428" s="406">
        <v>0</v>
      </c>
      <c r="Z428" s="406">
        <v>0</v>
      </c>
    </row>
    <row r="429" spans="1:26" x14ac:dyDescent="0.2">
      <c r="A429" s="412" t="s">
        <v>649</v>
      </c>
      <c r="B429" s="457">
        <v>0</v>
      </c>
      <c r="C429" s="457">
        <v>0</v>
      </c>
      <c r="D429" s="457">
        <v>0</v>
      </c>
      <c r="E429" s="457">
        <v>0</v>
      </c>
      <c r="F429" s="457">
        <v>0</v>
      </c>
      <c r="G429" s="457">
        <v>0</v>
      </c>
      <c r="H429" s="457">
        <v>0</v>
      </c>
      <c r="I429" s="457">
        <v>0</v>
      </c>
      <c r="J429" s="457">
        <v>0</v>
      </c>
      <c r="K429" s="457">
        <v>0</v>
      </c>
      <c r="L429" s="457">
        <v>0</v>
      </c>
      <c r="M429" s="457">
        <v>0</v>
      </c>
      <c r="N429" s="457">
        <v>0</v>
      </c>
      <c r="O429" s="457">
        <v>0</v>
      </c>
      <c r="P429" s="457">
        <v>0</v>
      </c>
      <c r="Q429" s="457">
        <v>0</v>
      </c>
      <c r="R429" s="457">
        <v>0</v>
      </c>
      <c r="S429" s="457">
        <v>0</v>
      </c>
      <c r="T429" s="410" t="e">
        <v>#DIV/0!</v>
      </c>
      <c r="U429" s="285">
        <v>0</v>
      </c>
      <c r="V429" s="285">
        <v>0</v>
      </c>
      <c r="W429" s="285">
        <v>0</v>
      </c>
      <c r="X429" s="285">
        <v>0</v>
      </c>
      <c r="Y429" s="285">
        <v>0</v>
      </c>
      <c r="Z429" s="285">
        <v>0</v>
      </c>
    </row>
    <row r="430" spans="1:26" x14ac:dyDescent="0.2">
      <c r="A430" s="412" t="s">
        <v>650</v>
      </c>
      <c r="B430" s="457">
        <v>0</v>
      </c>
      <c r="C430" s="457">
        <v>0</v>
      </c>
      <c r="D430" s="457">
        <v>0</v>
      </c>
      <c r="E430" s="457">
        <v>0</v>
      </c>
      <c r="F430" s="457">
        <v>0</v>
      </c>
      <c r="G430" s="457">
        <v>0</v>
      </c>
      <c r="H430" s="457">
        <v>0</v>
      </c>
      <c r="I430" s="457">
        <v>0</v>
      </c>
      <c r="J430" s="457">
        <v>0</v>
      </c>
      <c r="K430" s="457">
        <v>0</v>
      </c>
      <c r="L430" s="457">
        <v>0</v>
      </c>
      <c r="M430" s="457">
        <v>0</v>
      </c>
      <c r="N430" s="457">
        <v>0</v>
      </c>
      <c r="O430" s="457">
        <v>0</v>
      </c>
      <c r="P430" s="457">
        <v>0</v>
      </c>
      <c r="Q430" s="457">
        <v>0</v>
      </c>
      <c r="R430" s="457">
        <v>0</v>
      </c>
      <c r="S430" s="457">
        <v>0</v>
      </c>
      <c r="T430" s="410" t="e">
        <v>#DIV/0!</v>
      </c>
      <c r="U430" s="285">
        <v>0</v>
      </c>
      <c r="V430" s="285">
        <v>0</v>
      </c>
      <c r="W430" s="285">
        <v>0</v>
      </c>
      <c r="X430" s="285">
        <v>0</v>
      </c>
      <c r="Y430" s="285">
        <v>0</v>
      </c>
      <c r="Z430" s="285">
        <v>0</v>
      </c>
    </row>
    <row r="431" spans="1:26" x14ac:dyDescent="0.2">
      <c r="A431" s="412" t="s">
        <v>651</v>
      </c>
      <c r="B431" s="457">
        <v>0</v>
      </c>
      <c r="C431" s="457">
        <v>0</v>
      </c>
      <c r="D431" s="457">
        <v>0</v>
      </c>
      <c r="E431" s="457">
        <v>0</v>
      </c>
      <c r="F431" s="457">
        <v>0</v>
      </c>
      <c r="G431" s="457">
        <v>0</v>
      </c>
      <c r="H431" s="457">
        <v>0</v>
      </c>
      <c r="I431" s="457">
        <v>0</v>
      </c>
      <c r="J431" s="457">
        <v>0</v>
      </c>
      <c r="K431" s="457">
        <v>0</v>
      </c>
      <c r="L431" s="457">
        <v>0</v>
      </c>
      <c r="M431" s="457">
        <v>0</v>
      </c>
      <c r="N431" s="457">
        <v>0</v>
      </c>
      <c r="O431" s="457">
        <v>0</v>
      </c>
      <c r="P431" s="457">
        <v>0</v>
      </c>
      <c r="Q431" s="457">
        <v>0</v>
      </c>
      <c r="R431" s="457">
        <v>0</v>
      </c>
      <c r="S431" s="457">
        <v>0</v>
      </c>
      <c r="T431" s="410" t="e">
        <v>#DIV/0!</v>
      </c>
      <c r="U431" s="285">
        <v>0</v>
      </c>
      <c r="V431" s="285">
        <v>0</v>
      </c>
      <c r="W431" s="285">
        <v>0</v>
      </c>
      <c r="X431" s="285">
        <v>0</v>
      </c>
      <c r="Y431" s="285">
        <v>0</v>
      </c>
      <c r="Z431" s="285">
        <v>0</v>
      </c>
    </row>
    <row r="432" spans="1:26" x14ac:dyDescent="0.2">
      <c r="A432" s="412" t="s">
        <v>652</v>
      </c>
      <c r="B432" s="457">
        <v>0</v>
      </c>
      <c r="C432" s="457">
        <v>0</v>
      </c>
      <c r="D432" s="457">
        <v>0</v>
      </c>
      <c r="E432" s="457">
        <v>0</v>
      </c>
      <c r="F432" s="457">
        <v>0</v>
      </c>
      <c r="G432" s="457">
        <v>0</v>
      </c>
      <c r="H432" s="457">
        <v>0</v>
      </c>
      <c r="I432" s="457">
        <v>0</v>
      </c>
      <c r="J432" s="457">
        <v>0</v>
      </c>
      <c r="K432" s="457">
        <v>0</v>
      </c>
      <c r="L432" s="457">
        <v>0</v>
      </c>
      <c r="M432" s="457">
        <v>0</v>
      </c>
      <c r="N432" s="457">
        <v>0</v>
      </c>
      <c r="O432" s="457">
        <v>0</v>
      </c>
      <c r="P432" s="457">
        <v>0</v>
      </c>
      <c r="Q432" s="457">
        <v>0</v>
      </c>
      <c r="R432" s="457">
        <v>0</v>
      </c>
      <c r="S432" s="457">
        <v>0</v>
      </c>
      <c r="T432" s="410" t="e">
        <v>#DIV/0!</v>
      </c>
      <c r="U432" s="285">
        <v>0</v>
      </c>
      <c r="V432" s="285">
        <v>0</v>
      </c>
      <c r="W432" s="285">
        <v>0</v>
      </c>
      <c r="X432" s="285">
        <v>0</v>
      </c>
      <c r="Y432" s="285">
        <v>0</v>
      </c>
      <c r="Z432" s="285">
        <v>0</v>
      </c>
    </row>
    <row r="433" spans="1:26" x14ac:dyDescent="0.2">
      <c r="A433" s="412" t="s">
        <v>653</v>
      </c>
      <c r="B433" s="457">
        <v>0</v>
      </c>
      <c r="C433" s="457">
        <v>0</v>
      </c>
      <c r="D433" s="457">
        <v>0</v>
      </c>
      <c r="E433" s="457">
        <v>0</v>
      </c>
      <c r="F433" s="457">
        <v>0</v>
      </c>
      <c r="G433" s="457">
        <v>0</v>
      </c>
      <c r="H433" s="457">
        <v>0</v>
      </c>
      <c r="I433" s="457">
        <v>0</v>
      </c>
      <c r="J433" s="457">
        <v>0</v>
      </c>
      <c r="K433" s="457">
        <v>0</v>
      </c>
      <c r="L433" s="457">
        <v>0</v>
      </c>
      <c r="M433" s="457">
        <v>0</v>
      </c>
      <c r="N433" s="457">
        <v>0</v>
      </c>
      <c r="O433" s="457">
        <v>0</v>
      </c>
      <c r="P433" s="457">
        <v>0</v>
      </c>
      <c r="Q433" s="457">
        <v>0</v>
      </c>
      <c r="R433" s="457">
        <v>0</v>
      </c>
      <c r="S433" s="457">
        <v>0</v>
      </c>
      <c r="T433" s="410" t="e">
        <v>#DIV/0!</v>
      </c>
      <c r="U433" s="285">
        <v>0</v>
      </c>
      <c r="V433" s="285">
        <v>0</v>
      </c>
      <c r="W433" s="285">
        <v>0</v>
      </c>
      <c r="X433" s="285">
        <v>0</v>
      </c>
      <c r="Y433" s="285">
        <v>0</v>
      </c>
      <c r="Z433" s="285">
        <v>0</v>
      </c>
    </row>
    <row r="434" spans="1:26" x14ac:dyDescent="0.2">
      <c r="A434" s="412" t="s">
        <v>654</v>
      </c>
      <c r="B434" s="457">
        <v>0</v>
      </c>
      <c r="C434" s="457">
        <v>0</v>
      </c>
      <c r="D434" s="457">
        <v>0</v>
      </c>
      <c r="E434" s="457">
        <v>0</v>
      </c>
      <c r="F434" s="457">
        <v>0</v>
      </c>
      <c r="G434" s="457">
        <v>0</v>
      </c>
      <c r="H434" s="457">
        <v>0</v>
      </c>
      <c r="I434" s="457">
        <v>0</v>
      </c>
      <c r="J434" s="457">
        <v>0</v>
      </c>
      <c r="K434" s="457">
        <v>0</v>
      </c>
      <c r="L434" s="457">
        <v>0</v>
      </c>
      <c r="M434" s="457">
        <v>0</v>
      </c>
      <c r="N434" s="457">
        <v>0</v>
      </c>
      <c r="O434" s="457">
        <v>0</v>
      </c>
      <c r="P434" s="457">
        <v>0</v>
      </c>
      <c r="Q434" s="457">
        <v>0</v>
      </c>
      <c r="R434" s="457">
        <v>0</v>
      </c>
      <c r="S434" s="457">
        <v>0</v>
      </c>
      <c r="T434" s="410" t="e">
        <v>#DIV/0!</v>
      </c>
      <c r="U434" s="285">
        <v>0</v>
      </c>
      <c r="V434" s="285">
        <v>0</v>
      </c>
      <c r="W434" s="285">
        <v>0</v>
      </c>
      <c r="X434" s="285">
        <v>0</v>
      </c>
      <c r="Y434" s="285">
        <v>0</v>
      </c>
      <c r="Z434" s="285">
        <v>0</v>
      </c>
    </row>
    <row r="435" spans="1:26" x14ac:dyDescent="0.2">
      <c r="A435" s="412" t="s">
        <v>655</v>
      </c>
      <c r="B435" s="457">
        <v>0</v>
      </c>
      <c r="C435" s="457">
        <v>0</v>
      </c>
      <c r="D435" s="457">
        <v>0</v>
      </c>
      <c r="E435" s="457">
        <v>0</v>
      </c>
      <c r="F435" s="457">
        <v>0</v>
      </c>
      <c r="G435" s="457">
        <v>0</v>
      </c>
      <c r="H435" s="457">
        <v>0</v>
      </c>
      <c r="I435" s="457">
        <v>0</v>
      </c>
      <c r="J435" s="457">
        <v>0</v>
      </c>
      <c r="K435" s="457">
        <v>0</v>
      </c>
      <c r="L435" s="457">
        <v>0</v>
      </c>
      <c r="M435" s="457">
        <v>0</v>
      </c>
      <c r="N435" s="457">
        <v>0</v>
      </c>
      <c r="O435" s="457">
        <v>0</v>
      </c>
      <c r="P435" s="457">
        <v>0</v>
      </c>
      <c r="Q435" s="457">
        <v>0</v>
      </c>
      <c r="R435" s="457">
        <v>0</v>
      </c>
      <c r="S435" s="457">
        <v>0</v>
      </c>
      <c r="T435" s="410" t="e">
        <v>#DIV/0!</v>
      </c>
      <c r="U435" s="285">
        <v>0</v>
      </c>
      <c r="V435" s="285">
        <v>0</v>
      </c>
      <c r="W435" s="285">
        <v>0</v>
      </c>
      <c r="X435" s="285">
        <v>0</v>
      </c>
      <c r="Y435" s="285">
        <v>0</v>
      </c>
      <c r="Z435" s="285">
        <v>0</v>
      </c>
    </row>
    <row r="436" spans="1:26" x14ac:dyDescent="0.2">
      <c r="A436" s="412" t="s">
        <v>656</v>
      </c>
      <c r="B436" s="457">
        <v>0</v>
      </c>
      <c r="C436" s="457">
        <v>0</v>
      </c>
      <c r="D436" s="457">
        <v>0</v>
      </c>
      <c r="E436" s="457">
        <v>0</v>
      </c>
      <c r="F436" s="457">
        <v>0</v>
      </c>
      <c r="G436" s="457">
        <v>0</v>
      </c>
      <c r="H436" s="457">
        <v>0</v>
      </c>
      <c r="I436" s="457">
        <v>0</v>
      </c>
      <c r="J436" s="457">
        <v>0</v>
      </c>
      <c r="K436" s="457">
        <v>0</v>
      </c>
      <c r="L436" s="457">
        <v>0</v>
      </c>
      <c r="M436" s="457">
        <v>0</v>
      </c>
      <c r="N436" s="457">
        <v>0</v>
      </c>
      <c r="O436" s="457">
        <v>0</v>
      </c>
      <c r="P436" s="457">
        <v>0</v>
      </c>
      <c r="Q436" s="457">
        <v>0</v>
      </c>
      <c r="R436" s="457">
        <v>0</v>
      </c>
      <c r="S436" s="457">
        <v>0</v>
      </c>
      <c r="T436" s="410" t="e">
        <v>#DIV/0!</v>
      </c>
      <c r="U436" s="285">
        <v>0</v>
      </c>
      <c r="V436" s="285">
        <v>0</v>
      </c>
      <c r="W436" s="285">
        <v>0</v>
      </c>
      <c r="X436" s="285">
        <v>0</v>
      </c>
      <c r="Y436" s="285">
        <v>0</v>
      </c>
      <c r="Z436" s="285">
        <v>0</v>
      </c>
    </row>
    <row r="437" spans="1:26" x14ac:dyDescent="0.2">
      <c r="A437" s="412" t="s">
        <v>657</v>
      </c>
      <c r="B437" s="457">
        <v>0</v>
      </c>
      <c r="C437" s="457">
        <v>0</v>
      </c>
      <c r="D437" s="457">
        <v>0</v>
      </c>
      <c r="E437" s="457">
        <v>0</v>
      </c>
      <c r="F437" s="457">
        <v>0</v>
      </c>
      <c r="G437" s="457">
        <v>0</v>
      </c>
      <c r="H437" s="457">
        <v>0</v>
      </c>
      <c r="I437" s="457">
        <v>0</v>
      </c>
      <c r="J437" s="457">
        <v>0</v>
      </c>
      <c r="K437" s="457">
        <v>0</v>
      </c>
      <c r="L437" s="457">
        <v>0</v>
      </c>
      <c r="M437" s="457">
        <v>0</v>
      </c>
      <c r="N437" s="457">
        <v>0</v>
      </c>
      <c r="O437" s="457">
        <v>0</v>
      </c>
      <c r="P437" s="457">
        <v>0</v>
      </c>
      <c r="Q437" s="457">
        <v>0</v>
      </c>
      <c r="R437" s="457">
        <v>0</v>
      </c>
      <c r="S437" s="457">
        <v>0</v>
      </c>
      <c r="T437" s="410" t="e">
        <v>#DIV/0!</v>
      </c>
      <c r="U437" s="285">
        <v>0</v>
      </c>
      <c r="V437" s="285">
        <v>0</v>
      </c>
      <c r="W437" s="285">
        <v>0</v>
      </c>
      <c r="X437" s="285">
        <v>0</v>
      </c>
      <c r="Y437" s="285">
        <v>0</v>
      </c>
      <c r="Z437" s="285">
        <v>0</v>
      </c>
    </row>
    <row r="438" spans="1:26" x14ac:dyDescent="0.2">
      <c r="A438" s="412" t="s">
        <v>658</v>
      </c>
      <c r="B438" s="457">
        <v>0</v>
      </c>
      <c r="C438" s="457">
        <v>0</v>
      </c>
      <c r="D438" s="457">
        <v>0</v>
      </c>
      <c r="E438" s="457">
        <v>0</v>
      </c>
      <c r="F438" s="457">
        <v>0</v>
      </c>
      <c r="G438" s="457">
        <v>0</v>
      </c>
      <c r="H438" s="457">
        <v>0</v>
      </c>
      <c r="I438" s="457">
        <v>0</v>
      </c>
      <c r="J438" s="457">
        <v>0</v>
      </c>
      <c r="K438" s="457">
        <v>0</v>
      </c>
      <c r="L438" s="457">
        <v>0</v>
      </c>
      <c r="M438" s="457">
        <v>0</v>
      </c>
      <c r="N438" s="457">
        <v>0</v>
      </c>
      <c r="O438" s="457">
        <v>0</v>
      </c>
      <c r="P438" s="457">
        <v>0</v>
      </c>
      <c r="Q438" s="457">
        <v>0</v>
      </c>
      <c r="R438" s="457">
        <v>0</v>
      </c>
      <c r="S438" s="457">
        <v>0</v>
      </c>
      <c r="T438" s="410" t="e">
        <v>#DIV/0!</v>
      </c>
      <c r="U438" s="285">
        <v>0</v>
      </c>
      <c r="V438" s="285">
        <v>0</v>
      </c>
      <c r="W438" s="285">
        <v>0</v>
      </c>
      <c r="X438" s="285">
        <v>0</v>
      </c>
      <c r="Y438" s="285">
        <v>0</v>
      </c>
      <c r="Z438" s="285">
        <v>0</v>
      </c>
    </row>
    <row r="439" spans="1:26" x14ac:dyDescent="0.2">
      <c r="A439" s="412" t="s">
        <v>659</v>
      </c>
      <c r="B439" s="457">
        <v>0</v>
      </c>
      <c r="C439" s="457">
        <v>0</v>
      </c>
      <c r="D439" s="457">
        <v>0</v>
      </c>
      <c r="E439" s="457">
        <v>0</v>
      </c>
      <c r="F439" s="457">
        <v>0</v>
      </c>
      <c r="G439" s="457">
        <v>0</v>
      </c>
      <c r="H439" s="457">
        <v>0</v>
      </c>
      <c r="I439" s="457">
        <v>0</v>
      </c>
      <c r="J439" s="457">
        <v>0</v>
      </c>
      <c r="K439" s="457">
        <v>0</v>
      </c>
      <c r="L439" s="457">
        <v>0</v>
      </c>
      <c r="M439" s="457">
        <v>0</v>
      </c>
      <c r="N439" s="457">
        <v>0</v>
      </c>
      <c r="O439" s="457">
        <v>0</v>
      </c>
      <c r="P439" s="457">
        <v>0</v>
      </c>
      <c r="Q439" s="457">
        <v>0</v>
      </c>
      <c r="R439" s="457">
        <v>0</v>
      </c>
      <c r="S439" s="457">
        <v>0</v>
      </c>
      <c r="T439" s="410" t="e">
        <v>#DIV/0!</v>
      </c>
      <c r="U439" s="285">
        <v>0</v>
      </c>
      <c r="V439" s="285">
        <v>0</v>
      </c>
      <c r="W439" s="285">
        <v>0</v>
      </c>
      <c r="X439" s="285">
        <v>0</v>
      </c>
      <c r="Y439" s="285">
        <v>0</v>
      </c>
      <c r="Z439" s="285">
        <v>0</v>
      </c>
    </row>
    <row r="440" spans="1:26" x14ac:dyDescent="0.2">
      <c r="A440" s="412" t="s">
        <v>660</v>
      </c>
      <c r="B440" s="457">
        <v>0</v>
      </c>
      <c r="C440" s="457">
        <v>0</v>
      </c>
      <c r="D440" s="457">
        <v>0</v>
      </c>
      <c r="E440" s="457">
        <v>0</v>
      </c>
      <c r="F440" s="457">
        <v>0</v>
      </c>
      <c r="G440" s="457">
        <v>0</v>
      </c>
      <c r="H440" s="457">
        <v>0</v>
      </c>
      <c r="I440" s="457">
        <v>0</v>
      </c>
      <c r="J440" s="457">
        <v>0</v>
      </c>
      <c r="K440" s="457">
        <v>0</v>
      </c>
      <c r="L440" s="457">
        <v>0</v>
      </c>
      <c r="M440" s="457">
        <v>0</v>
      </c>
      <c r="N440" s="457">
        <v>0</v>
      </c>
      <c r="O440" s="457">
        <v>0</v>
      </c>
      <c r="P440" s="457">
        <v>0</v>
      </c>
      <c r="Q440" s="457">
        <v>0</v>
      </c>
      <c r="R440" s="457">
        <v>0</v>
      </c>
      <c r="S440" s="457">
        <v>0</v>
      </c>
      <c r="T440" s="410" t="e">
        <v>#DIV/0!</v>
      </c>
      <c r="U440" s="285">
        <v>0</v>
      </c>
      <c r="V440" s="285">
        <v>0</v>
      </c>
      <c r="W440" s="285">
        <v>0</v>
      </c>
      <c r="X440" s="285">
        <v>0</v>
      </c>
      <c r="Y440" s="285">
        <v>0</v>
      </c>
      <c r="Z440" s="285">
        <v>0</v>
      </c>
    </row>
    <row r="441" spans="1:26" x14ac:dyDescent="0.2">
      <c r="A441" s="412" t="s">
        <v>661</v>
      </c>
      <c r="B441" s="457">
        <v>0</v>
      </c>
      <c r="C441" s="457">
        <v>0</v>
      </c>
      <c r="D441" s="457">
        <v>0</v>
      </c>
      <c r="E441" s="457">
        <v>0</v>
      </c>
      <c r="F441" s="457">
        <v>0</v>
      </c>
      <c r="G441" s="457">
        <v>0</v>
      </c>
      <c r="H441" s="457">
        <v>0</v>
      </c>
      <c r="I441" s="457">
        <v>0</v>
      </c>
      <c r="J441" s="457">
        <v>0</v>
      </c>
      <c r="K441" s="457">
        <v>0</v>
      </c>
      <c r="L441" s="457">
        <v>0</v>
      </c>
      <c r="M441" s="457">
        <v>0</v>
      </c>
      <c r="N441" s="457">
        <v>0</v>
      </c>
      <c r="O441" s="457">
        <v>0</v>
      </c>
      <c r="P441" s="457">
        <v>0</v>
      </c>
      <c r="Q441" s="457">
        <v>0</v>
      </c>
      <c r="R441" s="457">
        <v>0</v>
      </c>
      <c r="S441" s="457">
        <v>0</v>
      </c>
      <c r="T441" s="410" t="e">
        <v>#DIV/0!</v>
      </c>
      <c r="U441" s="285">
        <v>0</v>
      </c>
      <c r="V441" s="285">
        <v>0</v>
      </c>
      <c r="W441" s="285">
        <v>0</v>
      </c>
      <c r="X441" s="285">
        <v>0</v>
      </c>
      <c r="Y441" s="285">
        <v>0</v>
      </c>
      <c r="Z441" s="285">
        <v>0</v>
      </c>
    </row>
    <row r="442" spans="1:26" x14ac:dyDescent="0.2">
      <c r="A442" s="412" t="s">
        <v>662</v>
      </c>
      <c r="B442" s="457">
        <v>0</v>
      </c>
      <c r="C442" s="457">
        <v>0</v>
      </c>
      <c r="D442" s="457">
        <v>0</v>
      </c>
      <c r="E442" s="457">
        <v>0</v>
      </c>
      <c r="F442" s="457">
        <v>0</v>
      </c>
      <c r="G442" s="457">
        <v>0</v>
      </c>
      <c r="H442" s="457">
        <v>0</v>
      </c>
      <c r="I442" s="457">
        <v>0</v>
      </c>
      <c r="J442" s="457">
        <v>0</v>
      </c>
      <c r="K442" s="457">
        <v>0</v>
      </c>
      <c r="L442" s="457">
        <v>0</v>
      </c>
      <c r="M442" s="457">
        <v>0</v>
      </c>
      <c r="N442" s="457">
        <v>0</v>
      </c>
      <c r="O442" s="457">
        <v>0</v>
      </c>
      <c r="P442" s="457">
        <v>0</v>
      </c>
      <c r="Q442" s="457">
        <v>0</v>
      </c>
      <c r="R442" s="457">
        <v>0</v>
      </c>
      <c r="S442" s="457">
        <v>0</v>
      </c>
      <c r="T442" s="410" t="e">
        <v>#DIV/0!</v>
      </c>
      <c r="U442" s="285">
        <v>0</v>
      </c>
      <c r="V442" s="285">
        <v>0</v>
      </c>
      <c r="W442" s="285">
        <v>0</v>
      </c>
      <c r="X442" s="285">
        <v>0</v>
      </c>
      <c r="Y442" s="285">
        <v>0</v>
      </c>
      <c r="Z442" s="285">
        <v>0</v>
      </c>
    </row>
    <row r="443" spans="1:26" x14ac:dyDescent="0.2">
      <c r="A443" s="404" t="s">
        <v>663</v>
      </c>
      <c r="B443" s="247">
        <v>0</v>
      </c>
      <c r="C443" s="247">
        <v>0</v>
      </c>
      <c r="D443" s="247">
        <v>0</v>
      </c>
      <c r="E443" s="247">
        <v>0</v>
      </c>
      <c r="F443" s="247">
        <v>0</v>
      </c>
      <c r="G443" s="247">
        <v>0</v>
      </c>
      <c r="H443" s="247">
        <v>0</v>
      </c>
      <c r="I443" s="247">
        <v>0</v>
      </c>
      <c r="J443" s="247">
        <v>0</v>
      </c>
      <c r="K443" s="247">
        <v>0</v>
      </c>
      <c r="L443" s="247">
        <v>0</v>
      </c>
      <c r="M443" s="247">
        <v>0</v>
      </c>
      <c r="N443" s="247">
        <v>0</v>
      </c>
      <c r="O443" s="247">
        <v>0</v>
      </c>
      <c r="P443" s="247">
        <v>0</v>
      </c>
      <c r="Q443" s="247">
        <v>0</v>
      </c>
      <c r="R443" s="247">
        <v>0</v>
      </c>
      <c r="S443" s="247">
        <v>0</v>
      </c>
      <c r="T443" s="407" t="e">
        <v>#DIV/0!</v>
      </c>
      <c r="U443" s="406">
        <v>0</v>
      </c>
      <c r="V443" s="406">
        <v>0</v>
      </c>
      <c r="W443" s="406">
        <v>0</v>
      </c>
      <c r="X443" s="406">
        <v>0</v>
      </c>
      <c r="Y443" s="406">
        <v>0</v>
      </c>
      <c r="Z443" s="406">
        <v>0</v>
      </c>
    </row>
    <row r="444" spans="1:26" x14ac:dyDescent="0.2">
      <c r="A444" s="399" t="s">
        <v>664</v>
      </c>
      <c r="B444" s="474">
        <v>0</v>
      </c>
      <c r="C444" s="474">
        <v>0</v>
      </c>
      <c r="D444" s="474">
        <v>0</v>
      </c>
      <c r="E444" s="474">
        <v>0</v>
      </c>
      <c r="F444" s="474">
        <v>0</v>
      </c>
      <c r="G444" s="474">
        <v>0</v>
      </c>
      <c r="H444" s="474">
        <v>0</v>
      </c>
      <c r="I444" s="474">
        <v>0</v>
      </c>
      <c r="J444" s="474">
        <v>0</v>
      </c>
      <c r="K444" s="474">
        <v>0</v>
      </c>
      <c r="L444" s="474">
        <v>0</v>
      </c>
      <c r="M444" s="474">
        <v>0</v>
      </c>
      <c r="N444" s="474">
        <v>0</v>
      </c>
      <c r="O444" s="474">
        <v>0</v>
      </c>
      <c r="P444" s="474">
        <v>0</v>
      </c>
      <c r="Q444" s="474">
        <v>0</v>
      </c>
      <c r="R444" s="474">
        <v>0</v>
      </c>
      <c r="S444" s="474">
        <v>0</v>
      </c>
      <c r="T444" s="402" t="e">
        <v>#DIV/0!</v>
      </c>
      <c r="U444" s="401">
        <v>0</v>
      </c>
      <c r="V444" s="401">
        <v>0</v>
      </c>
      <c r="W444" s="401">
        <v>0</v>
      </c>
      <c r="X444" s="401">
        <v>0</v>
      </c>
      <c r="Y444" s="401">
        <v>0</v>
      </c>
      <c r="Z444" s="401">
        <v>0</v>
      </c>
    </row>
    <row r="445" spans="1:26" x14ac:dyDescent="0.2">
      <c r="A445" s="404" t="s">
        <v>665</v>
      </c>
      <c r="B445" s="448">
        <v>0</v>
      </c>
      <c r="C445" s="448">
        <v>0</v>
      </c>
      <c r="D445" s="448">
        <v>0</v>
      </c>
      <c r="E445" s="448">
        <v>0</v>
      </c>
      <c r="F445" s="448">
        <v>0</v>
      </c>
      <c r="G445" s="448">
        <v>0</v>
      </c>
      <c r="H445" s="448">
        <v>0</v>
      </c>
      <c r="I445" s="448">
        <v>0</v>
      </c>
      <c r="J445" s="448">
        <v>0</v>
      </c>
      <c r="K445" s="448">
        <v>0</v>
      </c>
      <c r="L445" s="448">
        <v>0</v>
      </c>
      <c r="M445" s="448">
        <v>0</v>
      </c>
      <c r="N445" s="448">
        <v>0</v>
      </c>
      <c r="O445" s="448">
        <v>0</v>
      </c>
      <c r="P445" s="448">
        <v>0</v>
      </c>
      <c r="Q445" s="448">
        <v>0</v>
      </c>
      <c r="R445" s="448">
        <v>0</v>
      </c>
      <c r="S445" s="448">
        <v>0</v>
      </c>
      <c r="T445" s="407" t="e">
        <v>#DIV/0!</v>
      </c>
      <c r="U445" s="406">
        <v>0</v>
      </c>
      <c r="V445" s="406">
        <v>0</v>
      </c>
      <c r="W445" s="406">
        <v>0</v>
      </c>
      <c r="X445" s="406">
        <v>0</v>
      </c>
      <c r="Y445" s="406">
        <v>0</v>
      </c>
      <c r="Z445" s="406">
        <v>0</v>
      </c>
    </row>
    <row r="446" spans="1:26" x14ac:dyDescent="0.2">
      <c r="A446" s="412" t="s">
        <v>666</v>
      </c>
      <c r="B446" s="457">
        <v>0</v>
      </c>
      <c r="C446" s="457">
        <v>0</v>
      </c>
      <c r="D446" s="457">
        <v>0</v>
      </c>
      <c r="E446" s="457">
        <v>0</v>
      </c>
      <c r="F446" s="457">
        <v>0</v>
      </c>
      <c r="G446" s="457">
        <v>0</v>
      </c>
      <c r="H446" s="457">
        <v>0</v>
      </c>
      <c r="I446" s="457">
        <v>0</v>
      </c>
      <c r="J446" s="457">
        <v>0</v>
      </c>
      <c r="K446" s="457">
        <v>0</v>
      </c>
      <c r="L446" s="457">
        <v>0</v>
      </c>
      <c r="M446" s="457">
        <v>0</v>
      </c>
      <c r="N446" s="457">
        <v>0</v>
      </c>
      <c r="O446" s="457">
        <v>0</v>
      </c>
      <c r="P446" s="457">
        <v>0</v>
      </c>
      <c r="Q446" s="457">
        <v>0</v>
      </c>
      <c r="R446" s="457">
        <v>0</v>
      </c>
      <c r="S446" s="457">
        <v>0</v>
      </c>
      <c r="T446" s="410" t="e">
        <v>#DIV/0!</v>
      </c>
      <c r="U446" s="285">
        <v>0</v>
      </c>
      <c r="V446" s="285">
        <v>0</v>
      </c>
      <c r="W446" s="285">
        <v>0</v>
      </c>
      <c r="X446" s="285">
        <v>0</v>
      </c>
      <c r="Y446" s="285">
        <v>0</v>
      </c>
      <c r="Z446" s="285">
        <v>0</v>
      </c>
    </row>
    <row r="447" spans="1:26" x14ac:dyDescent="0.2">
      <c r="A447" s="412" t="s">
        <v>667</v>
      </c>
      <c r="B447" s="457">
        <v>0</v>
      </c>
      <c r="C447" s="457">
        <v>0</v>
      </c>
      <c r="D447" s="457">
        <v>0</v>
      </c>
      <c r="E447" s="457">
        <v>0</v>
      </c>
      <c r="F447" s="457">
        <v>0</v>
      </c>
      <c r="G447" s="457">
        <v>0</v>
      </c>
      <c r="H447" s="457">
        <v>0</v>
      </c>
      <c r="I447" s="457">
        <v>0</v>
      </c>
      <c r="J447" s="457">
        <v>0</v>
      </c>
      <c r="K447" s="457">
        <v>0</v>
      </c>
      <c r="L447" s="457">
        <v>0</v>
      </c>
      <c r="M447" s="457">
        <v>0</v>
      </c>
      <c r="N447" s="457">
        <v>0</v>
      </c>
      <c r="O447" s="457">
        <v>0</v>
      </c>
      <c r="P447" s="457">
        <v>0</v>
      </c>
      <c r="Q447" s="457">
        <v>0</v>
      </c>
      <c r="R447" s="457">
        <v>0</v>
      </c>
      <c r="S447" s="457">
        <v>0</v>
      </c>
      <c r="T447" s="410" t="e">
        <v>#DIV/0!</v>
      </c>
      <c r="U447" s="285">
        <v>0</v>
      </c>
      <c r="V447" s="285">
        <v>0</v>
      </c>
      <c r="W447" s="285">
        <v>0</v>
      </c>
      <c r="X447" s="285">
        <v>0</v>
      </c>
      <c r="Y447" s="285">
        <v>0</v>
      </c>
      <c r="Z447" s="285">
        <v>0</v>
      </c>
    </row>
    <row r="448" spans="1:26" x14ac:dyDescent="0.2">
      <c r="A448" s="412" t="s">
        <v>668</v>
      </c>
      <c r="B448" s="457">
        <v>0</v>
      </c>
      <c r="C448" s="457">
        <v>0</v>
      </c>
      <c r="D448" s="457">
        <v>0</v>
      </c>
      <c r="E448" s="457">
        <v>0</v>
      </c>
      <c r="F448" s="457">
        <v>0</v>
      </c>
      <c r="G448" s="457">
        <v>0</v>
      </c>
      <c r="H448" s="457">
        <v>0</v>
      </c>
      <c r="I448" s="457">
        <v>0</v>
      </c>
      <c r="J448" s="457">
        <v>0</v>
      </c>
      <c r="K448" s="457">
        <v>0</v>
      </c>
      <c r="L448" s="457">
        <v>0</v>
      </c>
      <c r="M448" s="457">
        <v>0</v>
      </c>
      <c r="N448" s="457">
        <v>0</v>
      </c>
      <c r="O448" s="457">
        <v>0</v>
      </c>
      <c r="P448" s="457">
        <v>0</v>
      </c>
      <c r="Q448" s="457">
        <v>0</v>
      </c>
      <c r="R448" s="457">
        <v>0</v>
      </c>
      <c r="S448" s="457">
        <v>0</v>
      </c>
      <c r="T448" s="410" t="e">
        <v>#DIV/0!</v>
      </c>
      <c r="U448" s="285">
        <v>0</v>
      </c>
      <c r="V448" s="285">
        <v>0</v>
      </c>
      <c r="W448" s="285">
        <v>0</v>
      </c>
      <c r="X448" s="285">
        <v>0</v>
      </c>
      <c r="Y448" s="285">
        <v>0</v>
      </c>
      <c r="Z448" s="285">
        <v>0</v>
      </c>
    </row>
    <row r="449" spans="1:26" x14ac:dyDescent="0.2">
      <c r="A449" s="412" t="s">
        <v>669</v>
      </c>
      <c r="B449" s="457">
        <v>0</v>
      </c>
      <c r="C449" s="457">
        <v>0</v>
      </c>
      <c r="D449" s="457">
        <v>0</v>
      </c>
      <c r="E449" s="457">
        <v>0</v>
      </c>
      <c r="F449" s="457">
        <v>0</v>
      </c>
      <c r="G449" s="457">
        <v>0</v>
      </c>
      <c r="H449" s="457">
        <v>0</v>
      </c>
      <c r="I449" s="457">
        <v>0</v>
      </c>
      <c r="J449" s="457">
        <v>0</v>
      </c>
      <c r="K449" s="457">
        <v>0</v>
      </c>
      <c r="L449" s="457">
        <v>0</v>
      </c>
      <c r="M449" s="457">
        <v>0</v>
      </c>
      <c r="N449" s="457">
        <v>0</v>
      </c>
      <c r="O449" s="457">
        <v>0</v>
      </c>
      <c r="P449" s="457">
        <v>0</v>
      </c>
      <c r="Q449" s="457">
        <v>0</v>
      </c>
      <c r="R449" s="457">
        <v>0</v>
      </c>
      <c r="S449" s="457">
        <v>0</v>
      </c>
      <c r="T449" s="410" t="e">
        <v>#DIV/0!</v>
      </c>
      <c r="U449" s="285">
        <v>0</v>
      </c>
      <c r="V449" s="285">
        <v>0</v>
      </c>
      <c r="W449" s="285">
        <v>0</v>
      </c>
      <c r="X449" s="285">
        <v>0</v>
      </c>
      <c r="Y449" s="285">
        <v>0</v>
      </c>
      <c r="Z449" s="285">
        <v>0</v>
      </c>
    </row>
    <row r="450" spans="1:26" x14ac:dyDescent="0.2">
      <c r="A450" s="412" t="s">
        <v>670</v>
      </c>
      <c r="B450" s="457">
        <v>0</v>
      </c>
      <c r="C450" s="457">
        <v>0</v>
      </c>
      <c r="D450" s="457">
        <v>0</v>
      </c>
      <c r="E450" s="457">
        <v>0</v>
      </c>
      <c r="F450" s="457">
        <v>0</v>
      </c>
      <c r="G450" s="457">
        <v>0</v>
      </c>
      <c r="H450" s="457">
        <v>0</v>
      </c>
      <c r="I450" s="457">
        <v>0</v>
      </c>
      <c r="J450" s="457">
        <v>0</v>
      </c>
      <c r="K450" s="457">
        <v>0</v>
      </c>
      <c r="L450" s="457">
        <v>0</v>
      </c>
      <c r="M450" s="457">
        <v>0</v>
      </c>
      <c r="N450" s="457">
        <v>0</v>
      </c>
      <c r="O450" s="457">
        <v>0</v>
      </c>
      <c r="P450" s="457">
        <v>0</v>
      </c>
      <c r="Q450" s="457">
        <v>0</v>
      </c>
      <c r="R450" s="457">
        <v>0</v>
      </c>
      <c r="S450" s="457">
        <v>0</v>
      </c>
      <c r="T450" s="410" t="e">
        <v>#DIV/0!</v>
      </c>
      <c r="U450" s="285">
        <v>0</v>
      </c>
      <c r="V450" s="285">
        <v>0</v>
      </c>
      <c r="W450" s="285">
        <v>0</v>
      </c>
      <c r="X450" s="285">
        <v>0</v>
      </c>
      <c r="Y450" s="285">
        <v>0</v>
      </c>
      <c r="Z450" s="285">
        <v>0</v>
      </c>
    </row>
    <row r="451" spans="1:26" x14ac:dyDescent="0.2">
      <c r="A451" s="412" t="s">
        <v>671</v>
      </c>
      <c r="B451" s="457">
        <v>0</v>
      </c>
      <c r="C451" s="457">
        <v>0</v>
      </c>
      <c r="D451" s="457">
        <v>0</v>
      </c>
      <c r="E451" s="457">
        <v>0</v>
      </c>
      <c r="F451" s="457">
        <v>0</v>
      </c>
      <c r="G451" s="457">
        <v>0</v>
      </c>
      <c r="H451" s="457">
        <v>0</v>
      </c>
      <c r="I451" s="457">
        <v>0</v>
      </c>
      <c r="J451" s="457">
        <v>0</v>
      </c>
      <c r="K451" s="457">
        <v>0</v>
      </c>
      <c r="L451" s="457">
        <v>0</v>
      </c>
      <c r="M451" s="457">
        <v>0</v>
      </c>
      <c r="N451" s="457">
        <v>0</v>
      </c>
      <c r="O451" s="457">
        <v>0</v>
      </c>
      <c r="P451" s="457">
        <v>0</v>
      </c>
      <c r="Q451" s="457">
        <v>0</v>
      </c>
      <c r="R451" s="457">
        <v>0</v>
      </c>
      <c r="S451" s="457">
        <v>0</v>
      </c>
      <c r="T451" s="410" t="e">
        <v>#DIV/0!</v>
      </c>
      <c r="U451" s="285">
        <v>0</v>
      </c>
      <c r="V451" s="285">
        <v>0</v>
      </c>
      <c r="W451" s="285">
        <v>0</v>
      </c>
      <c r="X451" s="285">
        <v>0</v>
      </c>
      <c r="Y451" s="285">
        <v>0</v>
      </c>
      <c r="Z451" s="285">
        <v>0</v>
      </c>
    </row>
    <row r="452" spans="1:26" x14ac:dyDescent="0.2">
      <c r="A452" s="412" t="s">
        <v>672</v>
      </c>
      <c r="B452" s="457">
        <v>0</v>
      </c>
      <c r="C452" s="457">
        <v>0</v>
      </c>
      <c r="D452" s="457">
        <v>0</v>
      </c>
      <c r="E452" s="457">
        <v>0</v>
      </c>
      <c r="F452" s="457">
        <v>0</v>
      </c>
      <c r="G452" s="457">
        <v>0</v>
      </c>
      <c r="H452" s="457">
        <v>0</v>
      </c>
      <c r="I452" s="457">
        <v>0</v>
      </c>
      <c r="J452" s="457">
        <v>0</v>
      </c>
      <c r="K452" s="457">
        <v>0</v>
      </c>
      <c r="L452" s="457">
        <v>0</v>
      </c>
      <c r="M452" s="457">
        <v>0</v>
      </c>
      <c r="N452" s="457">
        <v>0</v>
      </c>
      <c r="O452" s="457">
        <v>0</v>
      </c>
      <c r="P452" s="457">
        <v>0</v>
      </c>
      <c r="Q452" s="457">
        <v>0</v>
      </c>
      <c r="R452" s="457">
        <v>0</v>
      </c>
      <c r="S452" s="457">
        <v>0</v>
      </c>
      <c r="T452" s="410" t="e">
        <v>#DIV/0!</v>
      </c>
      <c r="U452" s="285">
        <v>0</v>
      </c>
      <c r="V452" s="285">
        <v>0</v>
      </c>
      <c r="W452" s="285">
        <v>0</v>
      </c>
      <c r="X452" s="285">
        <v>0</v>
      </c>
      <c r="Y452" s="285">
        <v>0</v>
      </c>
      <c r="Z452" s="285">
        <v>0</v>
      </c>
    </row>
    <row r="453" spans="1:26" x14ac:dyDescent="0.2">
      <c r="A453" s="412" t="s">
        <v>673</v>
      </c>
      <c r="B453" s="457">
        <v>0</v>
      </c>
      <c r="C453" s="457">
        <v>0</v>
      </c>
      <c r="D453" s="457">
        <v>0</v>
      </c>
      <c r="E453" s="457">
        <v>0</v>
      </c>
      <c r="F453" s="457">
        <v>0</v>
      </c>
      <c r="G453" s="457">
        <v>0</v>
      </c>
      <c r="H453" s="457">
        <v>0</v>
      </c>
      <c r="I453" s="457">
        <v>0</v>
      </c>
      <c r="J453" s="457">
        <v>0</v>
      </c>
      <c r="K453" s="457">
        <v>0</v>
      </c>
      <c r="L453" s="457">
        <v>0</v>
      </c>
      <c r="M453" s="457">
        <v>0</v>
      </c>
      <c r="N453" s="457">
        <v>0</v>
      </c>
      <c r="O453" s="457">
        <v>0</v>
      </c>
      <c r="P453" s="457">
        <v>0</v>
      </c>
      <c r="Q453" s="457">
        <v>0</v>
      </c>
      <c r="R453" s="457">
        <v>0</v>
      </c>
      <c r="S453" s="457">
        <v>0</v>
      </c>
      <c r="T453" s="410" t="e">
        <v>#DIV/0!</v>
      </c>
      <c r="U453" s="285">
        <v>0</v>
      </c>
      <c r="V453" s="285">
        <v>0</v>
      </c>
      <c r="W453" s="285">
        <v>0</v>
      </c>
      <c r="X453" s="285">
        <v>0</v>
      </c>
      <c r="Y453" s="285">
        <v>0</v>
      </c>
      <c r="Z453" s="285">
        <v>0</v>
      </c>
    </row>
    <row r="454" spans="1:26" x14ac:dyDescent="0.2">
      <c r="A454" s="412" t="s">
        <v>674</v>
      </c>
      <c r="B454" s="457">
        <v>0</v>
      </c>
      <c r="C454" s="457">
        <v>0</v>
      </c>
      <c r="D454" s="457">
        <v>0</v>
      </c>
      <c r="E454" s="457">
        <v>0</v>
      </c>
      <c r="F454" s="457">
        <v>0</v>
      </c>
      <c r="G454" s="457">
        <v>0</v>
      </c>
      <c r="H454" s="457">
        <v>0</v>
      </c>
      <c r="I454" s="457">
        <v>0</v>
      </c>
      <c r="J454" s="457">
        <v>0</v>
      </c>
      <c r="K454" s="457">
        <v>0</v>
      </c>
      <c r="L454" s="457">
        <v>0</v>
      </c>
      <c r="M454" s="457">
        <v>0</v>
      </c>
      <c r="N454" s="457">
        <v>0</v>
      </c>
      <c r="O454" s="457">
        <v>0</v>
      </c>
      <c r="P454" s="457">
        <v>0</v>
      </c>
      <c r="Q454" s="457">
        <v>0</v>
      </c>
      <c r="R454" s="457">
        <v>0</v>
      </c>
      <c r="S454" s="457">
        <v>0</v>
      </c>
      <c r="T454" s="410" t="e">
        <v>#DIV/0!</v>
      </c>
      <c r="U454" s="285">
        <v>0</v>
      </c>
      <c r="V454" s="285">
        <v>0</v>
      </c>
      <c r="W454" s="285">
        <v>0</v>
      </c>
      <c r="X454" s="285">
        <v>0</v>
      </c>
      <c r="Y454" s="285">
        <v>0</v>
      </c>
      <c r="Z454" s="285">
        <v>0</v>
      </c>
    </row>
    <row r="455" spans="1:26" x14ac:dyDescent="0.2">
      <c r="A455" s="412" t="s">
        <v>675</v>
      </c>
      <c r="B455" s="457">
        <v>0</v>
      </c>
      <c r="C455" s="457">
        <v>0</v>
      </c>
      <c r="D455" s="457">
        <v>0</v>
      </c>
      <c r="E455" s="457">
        <v>0</v>
      </c>
      <c r="F455" s="457">
        <v>0</v>
      </c>
      <c r="G455" s="457">
        <v>0</v>
      </c>
      <c r="H455" s="457">
        <v>0</v>
      </c>
      <c r="I455" s="457">
        <v>0</v>
      </c>
      <c r="J455" s="457">
        <v>0</v>
      </c>
      <c r="K455" s="457">
        <v>0</v>
      </c>
      <c r="L455" s="457">
        <v>0</v>
      </c>
      <c r="M455" s="457">
        <v>0</v>
      </c>
      <c r="N455" s="457">
        <v>0</v>
      </c>
      <c r="O455" s="457">
        <v>0</v>
      </c>
      <c r="P455" s="457">
        <v>0</v>
      </c>
      <c r="Q455" s="457">
        <v>0</v>
      </c>
      <c r="R455" s="457">
        <v>0</v>
      </c>
      <c r="S455" s="457">
        <v>0</v>
      </c>
      <c r="T455" s="410" t="e">
        <v>#DIV/0!</v>
      </c>
      <c r="U455" s="285">
        <v>0</v>
      </c>
      <c r="V455" s="285">
        <v>0</v>
      </c>
      <c r="W455" s="285">
        <v>0</v>
      </c>
      <c r="X455" s="285">
        <v>0</v>
      </c>
      <c r="Y455" s="285">
        <v>0</v>
      </c>
      <c r="Z455" s="285">
        <v>0</v>
      </c>
    </row>
    <row r="456" spans="1:26" x14ac:dyDescent="0.2">
      <c r="A456" s="412" t="s">
        <v>676</v>
      </c>
      <c r="B456" s="457">
        <v>0</v>
      </c>
      <c r="C456" s="457">
        <v>0</v>
      </c>
      <c r="D456" s="457">
        <v>0</v>
      </c>
      <c r="E456" s="457">
        <v>0</v>
      </c>
      <c r="F456" s="457">
        <v>0</v>
      </c>
      <c r="G456" s="457">
        <v>0</v>
      </c>
      <c r="H456" s="457">
        <v>0</v>
      </c>
      <c r="I456" s="457">
        <v>0</v>
      </c>
      <c r="J456" s="457">
        <v>0</v>
      </c>
      <c r="K456" s="457">
        <v>0</v>
      </c>
      <c r="L456" s="457">
        <v>0</v>
      </c>
      <c r="M456" s="457">
        <v>0</v>
      </c>
      <c r="N456" s="457">
        <v>0</v>
      </c>
      <c r="O456" s="457">
        <v>0</v>
      </c>
      <c r="P456" s="457">
        <v>0</v>
      </c>
      <c r="Q456" s="457">
        <v>0</v>
      </c>
      <c r="R456" s="457">
        <v>0</v>
      </c>
      <c r="S456" s="457">
        <v>0</v>
      </c>
      <c r="T456" s="410" t="e">
        <v>#DIV/0!</v>
      </c>
      <c r="U456" s="285">
        <v>0</v>
      </c>
      <c r="V456" s="285">
        <v>0</v>
      </c>
      <c r="W456" s="285">
        <v>0</v>
      </c>
      <c r="X456" s="285">
        <v>0</v>
      </c>
      <c r="Y456" s="285">
        <v>0</v>
      </c>
      <c r="Z456" s="285">
        <v>0</v>
      </c>
    </row>
    <row r="457" spans="1:26" x14ac:dyDescent="0.2">
      <c r="A457" s="412" t="s">
        <v>677</v>
      </c>
      <c r="B457" s="457">
        <v>0</v>
      </c>
      <c r="C457" s="457">
        <v>0</v>
      </c>
      <c r="D457" s="457">
        <v>0</v>
      </c>
      <c r="E457" s="457">
        <v>0</v>
      </c>
      <c r="F457" s="457">
        <v>0</v>
      </c>
      <c r="G457" s="457">
        <v>0</v>
      </c>
      <c r="H457" s="457">
        <v>0</v>
      </c>
      <c r="I457" s="457">
        <v>0</v>
      </c>
      <c r="J457" s="457">
        <v>0</v>
      </c>
      <c r="K457" s="457">
        <v>0</v>
      </c>
      <c r="L457" s="457">
        <v>0</v>
      </c>
      <c r="M457" s="457">
        <v>0</v>
      </c>
      <c r="N457" s="457">
        <v>0</v>
      </c>
      <c r="O457" s="457">
        <v>0</v>
      </c>
      <c r="P457" s="457">
        <v>0</v>
      </c>
      <c r="Q457" s="457">
        <v>0</v>
      </c>
      <c r="R457" s="457">
        <v>0</v>
      </c>
      <c r="S457" s="457">
        <v>0</v>
      </c>
      <c r="T457" s="410" t="e">
        <v>#DIV/0!</v>
      </c>
      <c r="U457" s="285">
        <v>0</v>
      </c>
      <c r="V457" s="285">
        <v>0</v>
      </c>
      <c r="W457" s="285">
        <v>0</v>
      </c>
      <c r="X457" s="285">
        <v>0</v>
      </c>
      <c r="Y457" s="285">
        <v>0</v>
      </c>
      <c r="Z457" s="285">
        <v>0</v>
      </c>
    </row>
    <row r="458" spans="1:26" x14ac:dyDescent="0.2">
      <c r="A458" s="412" t="s">
        <v>678</v>
      </c>
      <c r="B458" s="457">
        <v>0</v>
      </c>
      <c r="C458" s="457">
        <v>0</v>
      </c>
      <c r="D458" s="457">
        <v>0</v>
      </c>
      <c r="E458" s="457">
        <v>0</v>
      </c>
      <c r="F458" s="457">
        <v>0</v>
      </c>
      <c r="G458" s="457">
        <v>0</v>
      </c>
      <c r="H458" s="457">
        <v>0</v>
      </c>
      <c r="I458" s="457">
        <v>0</v>
      </c>
      <c r="J458" s="457">
        <v>0</v>
      </c>
      <c r="K458" s="457">
        <v>0</v>
      </c>
      <c r="L458" s="457">
        <v>0</v>
      </c>
      <c r="M458" s="457">
        <v>0</v>
      </c>
      <c r="N458" s="457">
        <v>0</v>
      </c>
      <c r="O458" s="457">
        <v>0</v>
      </c>
      <c r="P458" s="457">
        <v>0</v>
      </c>
      <c r="Q458" s="457">
        <v>0</v>
      </c>
      <c r="R458" s="457">
        <v>0</v>
      </c>
      <c r="S458" s="457">
        <v>0</v>
      </c>
      <c r="T458" s="410" t="e">
        <v>#DIV/0!</v>
      </c>
      <c r="U458" s="285">
        <v>0</v>
      </c>
      <c r="V458" s="285">
        <v>0</v>
      </c>
      <c r="W458" s="285">
        <v>0</v>
      </c>
      <c r="X458" s="285">
        <v>0</v>
      </c>
      <c r="Y458" s="285">
        <v>0</v>
      </c>
      <c r="Z458" s="285">
        <v>0</v>
      </c>
    </row>
    <row r="459" spans="1:26" x14ac:dyDescent="0.2">
      <c r="A459" s="412" t="s">
        <v>679</v>
      </c>
      <c r="B459" s="457">
        <v>0</v>
      </c>
      <c r="C459" s="457">
        <v>0</v>
      </c>
      <c r="D459" s="457">
        <v>0</v>
      </c>
      <c r="E459" s="457">
        <v>0</v>
      </c>
      <c r="F459" s="457">
        <v>0</v>
      </c>
      <c r="G459" s="457">
        <v>0</v>
      </c>
      <c r="H459" s="457">
        <v>0</v>
      </c>
      <c r="I459" s="457">
        <v>0</v>
      </c>
      <c r="J459" s="457">
        <v>0</v>
      </c>
      <c r="K459" s="457">
        <v>0</v>
      </c>
      <c r="L459" s="457">
        <v>0</v>
      </c>
      <c r="M459" s="457">
        <v>0</v>
      </c>
      <c r="N459" s="457">
        <v>0</v>
      </c>
      <c r="O459" s="457">
        <v>0</v>
      </c>
      <c r="P459" s="457">
        <v>0</v>
      </c>
      <c r="Q459" s="457">
        <v>0</v>
      </c>
      <c r="R459" s="457">
        <v>0</v>
      </c>
      <c r="S459" s="457">
        <v>0</v>
      </c>
      <c r="T459" s="410" t="e">
        <v>#DIV/0!</v>
      </c>
      <c r="U459" s="285">
        <v>0</v>
      </c>
      <c r="V459" s="285">
        <v>0</v>
      </c>
      <c r="W459" s="285">
        <v>0</v>
      </c>
      <c r="X459" s="285">
        <v>0</v>
      </c>
      <c r="Y459" s="285">
        <v>0</v>
      </c>
      <c r="Z459" s="285">
        <v>0</v>
      </c>
    </row>
    <row r="460" spans="1:26" x14ac:dyDescent="0.2">
      <c r="A460" s="412" t="s">
        <v>680</v>
      </c>
      <c r="B460" s="457">
        <v>0</v>
      </c>
      <c r="C460" s="457">
        <v>0</v>
      </c>
      <c r="D460" s="457">
        <v>0</v>
      </c>
      <c r="E460" s="457">
        <v>0</v>
      </c>
      <c r="F460" s="457">
        <v>0</v>
      </c>
      <c r="G460" s="457">
        <v>0</v>
      </c>
      <c r="H460" s="457">
        <v>0</v>
      </c>
      <c r="I460" s="457">
        <v>0</v>
      </c>
      <c r="J460" s="457">
        <v>0</v>
      </c>
      <c r="K460" s="457">
        <v>0</v>
      </c>
      <c r="L460" s="457">
        <v>0</v>
      </c>
      <c r="M460" s="457">
        <v>0</v>
      </c>
      <c r="N460" s="457">
        <v>0</v>
      </c>
      <c r="O460" s="457">
        <v>0</v>
      </c>
      <c r="P460" s="457">
        <v>0</v>
      </c>
      <c r="Q460" s="457">
        <v>0</v>
      </c>
      <c r="R460" s="457">
        <v>0</v>
      </c>
      <c r="S460" s="457">
        <v>0</v>
      </c>
      <c r="T460" s="410" t="e">
        <v>#DIV/0!</v>
      </c>
      <c r="U460" s="285">
        <v>0</v>
      </c>
      <c r="V460" s="285">
        <v>0</v>
      </c>
      <c r="W460" s="285">
        <v>0</v>
      </c>
      <c r="X460" s="285">
        <v>0</v>
      </c>
      <c r="Y460" s="285">
        <v>0</v>
      </c>
      <c r="Z460" s="285">
        <v>0</v>
      </c>
    </row>
    <row r="461" spans="1:26" x14ac:dyDescent="0.2">
      <c r="A461" s="412" t="s">
        <v>681</v>
      </c>
      <c r="B461" s="457">
        <v>0</v>
      </c>
      <c r="C461" s="457">
        <v>0</v>
      </c>
      <c r="D461" s="457">
        <v>0</v>
      </c>
      <c r="E461" s="457">
        <v>0</v>
      </c>
      <c r="F461" s="457">
        <v>0</v>
      </c>
      <c r="G461" s="457">
        <v>0</v>
      </c>
      <c r="H461" s="457">
        <v>0</v>
      </c>
      <c r="I461" s="457">
        <v>0</v>
      </c>
      <c r="J461" s="457">
        <v>0</v>
      </c>
      <c r="K461" s="457">
        <v>0</v>
      </c>
      <c r="L461" s="457">
        <v>0</v>
      </c>
      <c r="M461" s="457">
        <v>0</v>
      </c>
      <c r="N461" s="457">
        <v>0</v>
      </c>
      <c r="O461" s="457">
        <v>0</v>
      </c>
      <c r="P461" s="457">
        <v>0</v>
      </c>
      <c r="Q461" s="457">
        <v>0</v>
      </c>
      <c r="R461" s="457">
        <v>0</v>
      </c>
      <c r="S461" s="457">
        <v>0</v>
      </c>
      <c r="T461" s="410" t="e">
        <v>#DIV/0!</v>
      </c>
      <c r="U461" s="285">
        <v>0</v>
      </c>
      <c r="V461" s="285">
        <v>0</v>
      </c>
      <c r="W461" s="285">
        <v>0</v>
      </c>
      <c r="X461" s="285">
        <v>0</v>
      </c>
      <c r="Y461" s="285">
        <v>0</v>
      </c>
      <c r="Z461" s="285">
        <v>0</v>
      </c>
    </row>
    <row r="462" spans="1:26" x14ac:dyDescent="0.2">
      <c r="A462" s="412" t="s">
        <v>682</v>
      </c>
      <c r="B462" s="457">
        <v>0</v>
      </c>
      <c r="C462" s="457">
        <v>0</v>
      </c>
      <c r="D462" s="457">
        <v>0</v>
      </c>
      <c r="E462" s="457">
        <v>0</v>
      </c>
      <c r="F462" s="457">
        <v>0</v>
      </c>
      <c r="G462" s="457">
        <v>0</v>
      </c>
      <c r="H462" s="457">
        <v>0</v>
      </c>
      <c r="I462" s="457">
        <v>0</v>
      </c>
      <c r="J462" s="457">
        <v>0</v>
      </c>
      <c r="K462" s="457">
        <v>0</v>
      </c>
      <c r="L462" s="457">
        <v>0</v>
      </c>
      <c r="M462" s="457">
        <v>0</v>
      </c>
      <c r="N462" s="457">
        <v>0</v>
      </c>
      <c r="O462" s="457">
        <v>0</v>
      </c>
      <c r="P462" s="457">
        <v>0</v>
      </c>
      <c r="Q462" s="457">
        <v>0</v>
      </c>
      <c r="R462" s="457">
        <v>0</v>
      </c>
      <c r="S462" s="457">
        <v>0</v>
      </c>
      <c r="T462" s="410" t="e">
        <v>#DIV/0!</v>
      </c>
      <c r="U462" s="285">
        <v>0</v>
      </c>
      <c r="V462" s="285">
        <v>0</v>
      </c>
      <c r="W462" s="285">
        <v>0</v>
      </c>
      <c r="X462" s="285">
        <v>0</v>
      </c>
      <c r="Y462" s="285">
        <v>0</v>
      </c>
      <c r="Z462" s="285">
        <v>0</v>
      </c>
    </row>
    <row r="463" spans="1:26" x14ac:dyDescent="0.2">
      <c r="A463" s="412" t="s">
        <v>683</v>
      </c>
      <c r="B463" s="457">
        <v>0</v>
      </c>
      <c r="C463" s="457">
        <v>0</v>
      </c>
      <c r="D463" s="457">
        <v>0</v>
      </c>
      <c r="E463" s="457">
        <v>0</v>
      </c>
      <c r="F463" s="457">
        <v>0</v>
      </c>
      <c r="G463" s="457">
        <v>0</v>
      </c>
      <c r="H463" s="457">
        <v>0</v>
      </c>
      <c r="I463" s="457">
        <v>0</v>
      </c>
      <c r="J463" s="457">
        <v>0</v>
      </c>
      <c r="K463" s="457">
        <v>0</v>
      </c>
      <c r="L463" s="457">
        <v>0</v>
      </c>
      <c r="M463" s="457">
        <v>0</v>
      </c>
      <c r="N463" s="457">
        <v>0</v>
      </c>
      <c r="O463" s="457">
        <v>0</v>
      </c>
      <c r="P463" s="457">
        <v>0</v>
      </c>
      <c r="Q463" s="457">
        <v>0</v>
      </c>
      <c r="R463" s="457">
        <v>0</v>
      </c>
      <c r="S463" s="457">
        <v>0</v>
      </c>
      <c r="T463" s="410" t="e">
        <v>#DIV/0!</v>
      </c>
      <c r="U463" s="285">
        <v>0</v>
      </c>
      <c r="V463" s="285">
        <v>0</v>
      </c>
      <c r="W463" s="285">
        <v>0</v>
      </c>
      <c r="X463" s="285">
        <v>0</v>
      </c>
      <c r="Y463" s="285">
        <v>0</v>
      </c>
      <c r="Z463" s="285">
        <v>0</v>
      </c>
    </row>
    <row r="464" spans="1:26" x14ac:dyDescent="0.2">
      <c r="A464" s="417" t="s">
        <v>684</v>
      </c>
      <c r="B464" s="461">
        <v>0</v>
      </c>
      <c r="C464" s="461">
        <v>0</v>
      </c>
      <c r="D464" s="461">
        <v>0</v>
      </c>
      <c r="E464" s="461">
        <v>0</v>
      </c>
      <c r="F464" s="461">
        <v>0</v>
      </c>
      <c r="G464" s="461">
        <v>0</v>
      </c>
      <c r="H464" s="461">
        <v>0</v>
      </c>
      <c r="I464" s="461">
        <v>0</v>
      </c>
      <c r="J464" s="461">
        <v>0</v>
      </c>
      <c r="K464" s="461">
        <v>0</v>
      </c>
      <c r="L464" s="461">
        <v>0</v>
      </c>
      <c r="M464" s="461">
        <v>0</v>
      </c>
      <c r="N464" s="461">
        <v>0</v>
      </c>
      <c r="O464" s="461">
        <v>0</v>
      </c>
      <c r="P464" s="461">
        <v>0</v>
      </c>
      <c r="Q464" s="461">
        <v>0</v>
      </c>
      <c r="R464" s="461">
        <v>0</v>
      </c>
      <c r="S464" s="461">
        <v>0</v>
      </c>
      <c r="T464" s="420" t="e">
        <v>#DIV/0!</v>
      </c>
      <c r="U464" s="419">
        <v>0</v>
      </c>
      <c r="V464" s="419">
        <v>0</v>
      </c>
      <c r="W464" s="419">
        <v>0</v>
      </c>
      <c r="X464" s="419">
        <v>0</v>
      </c>
      <c r="Y464" s="419">
        <v>0</v>
      </c>
      <c r="Z464" s="419">
        <v>0</v>
      </c>
    </row>
    <row r="465" spans="1:27" x14ac:dyDescent="0.2">
      <c r="A465" s="404" t="s">
        <v>685</v>
      </c>
      <c r="B465" s="247">
        <v>0</v>
      </c>
      <c r="C465" s="247">
        <v>0</v>
      </c>
      <c r="D465" s="247">
        <v>0</v>
      </c>
      <c r="E465" s="247">
        <v>0</v>
      </c>
      <c r="F465" s="247">
        <v>0</v>
      </c>
      <c r="G465" s="247">
        <v>0</v>
      </c>
      <c r="H465" s="247">
        <v>0</v>
      </c>
      <c r="I465" s="247">
        <v>0</v>
      </c>
      <c r="J465" s="247">
        <v>0</v>
      </c>
      <c r="K465" s="247">
        <v>0</v>
      </c>
      <c r="L465" s="247">
        <v>0</v>
      </c>
      <c r="M465" s="247">
        <v>0</v>
      </c>
      <c r="N465" s="247">
        <v>0</v>
      </c>
      <c r="O465" s="247">
        <v>0</v>
      </c>
      <c r="P465" s="247">
        <v>0</v>
      </c>
      <c r="Q465" s="247">
        <v>0</v>
      </c>
      <c r="R465" s="247">
        <v>0</v>
      </c>
      <c r="S465" s="247">
        <v>0</v>
      </c>
      <c r="T465" s="407" t="e">
        <v>#DIV/0!</v>
      </c>
      <c r="U465" s="406">
        <v>0</v>
      </c>
      <c r="V465" s="406">
        <v>0</v>
      </c>
      <c r="W465" s="406">
        <v>0</v>
      </c>
      <c r="X465" s="406">
        <v>0</v>
      </c>
      <c r="Y465" s="406">
        <v>0</v>
      </c>
      <c r="Z465" s="406">
        <v>0</v>
      </c>
      <c r="AA465" s="453"/>
    </row>
    <row r="466" spans="1:27" x14ac:dyDescent="0.2">
      <c r="A466" s="404" t="s">
        <v>686</v>
      </c>
      <c r="B466" s="448">
        <v>0</v>
      </c>
      <c r="C466" s="448">
        <v>0</v>
      </c>
      <c r="D466" s="448">
        <v>0</v>
      </c>
      <c r="E466" s="448">
        <v>0</v>
      </c>
      <c r="F466" s="448">
        <v>0</v>
      </c>
      <c r="G466" s="448">
        <v>0</v>
      </c>
      <c r="H466" s="448">
        <v>0</v>
      </c>
      <c r="I466" s="448">
        <v>0</v>
      </c>
      <c r="J466" s="448">
        <v>0</v>
      </c>
      <c r="K466" s="448">
        <v>0</v>
      </c>
      <c r="L466" s="448">
        <v>0</v>
      </c>
      <c r="M466" s="448">
        <v>0</v>
      </c>
      <c r="N466" s="448">
        <v>0</v>
      </c>
      <c r="O466" s="448">
        <v>0</v>
      </c>
      <c r="P466" s="448">
        <v>0</v>
      </c>
      <c r="Q466" s="448">
        <v>0</v>
      </c>
      <c r="R466" s="448">
        <v>0</v>
      </c>
      <c r="S466" s="448">
        <v>0</v>
      </c>
      <c r="T466" s="407" t="e">
        <v>#DIV/0!</v>
      </c>
      <c r="U466" s="406">
        <v>0</v>
      </c>
      <c r="V466" s="406">
        <v>0</v>
      </c>
      <c r="W466" s="406">
        <v>0</v>
      </c>
      <c r="X466" s="406">
        <v>0</v>
      </c>
      <c r="Y466" s="406">
        <v>0</v>
      </c>
      <c r="Z466" s="406">
        <v>0</v>
      </c>
      <c r="AA466" s="453"/>
    </row>
    <row r="467" spans="1:27" ht="24" x14ac:dyDescent="0.2">
      <c r="A467" s="412" t="s">
        <v>687</v>
      </c>
      <c r="B467" s="457">
        <v>0</v>
      </c>
      <c r="C467" s="457">
        <v>0</v>
      </c>
      <c r="D467" s="457">
        <v>0</v>
      </c>
      <c r="E467" s="457">
        <v>0</v>
      </c>
      <c r="F467" s="457">
        <v>0</v>
      </c>
      <c r="G467" s="457">
        <v>0</v>
      </c>
      <c r="H467" s="457">
        <v>0</v>
      </c>
      <c r="I467" s="457">
        <v>0</v>
      </c>
      <c r="J467" s="457">
        <v>0</v>
      </c>
      <c r="K467" s="457">
        <v>0</v>
      </c>
      <c r="L467" s="457">
        <v>0</v>
      </c>
      <c r="M467" s="457">
        <v>0</v>
      </c>
      <c r="N467" s="457">
        <v>0</v>
      </c>
      <c r="O467" s="457">
        <v>0</v>
      </c>
      <c r="P467" s="457">
        <v>0</v>
      </c>
      <c r="Q467" s="457">
        <v>0</v>
      </c>
      <c r="R467" s="457">
        <v>0</v>
      </c>
      <c r="S467" s="457">
        <v>0</v>
      </c>
      <c r="T467" s="410" t="e">
        <v>#DIV/0!</v>
      </c>
      <c r="U467" s="285">
        <v>0</v>
      </c>
      <c r="V467" s="285">
        <v>0</v>
      </c>
      <c r="W467" s="285">
        <v>0</v>
      </c>
      <c r="X467" s="285">
        <v>0</v>
      </c>
      <c r="Y467" s="285">
        <v>0</v>
      </c>
      <c r="Z467" s="285">
        <v>0</v>
      </c>
    </row>
    <row r="468" spans="1:27" ht="24" x14ac:dyDescent="0.2">
      <c r="A468" s="412" t="s">
        <v>688</v>
      </c>
      <c r="B468" s="457">
        <v>0</v>
      </c>
      <c r="C468" s="457">
        <v>0</v>
      </c>
      <c r="D468" s="457">
        <v>0</v>
      </c>
      <c r="E468" s="457">
        <v>0</v>
      </c>
      <c r="F468" s="457">
        <v>0</v>
      </c>
      <c r="G468" s="457">
        <v>0</v>
      </c>
      <c r="H468" s="457">
        <v>0</v>
      </c>
      <c r="I468" s="457">
        <v>0</v>
      </c>
      <c r="J468" s="457">
        <v>0</v>
      </c>
      <c r="K468" s="457">
        <v>0</v>
      </c>
      <c r="L468" s="457">
        <v>0</v>
      </c>
      <c r="M468" s="457">
        <v>0</v>
      </c>
      <c r="N468" s="457">
        <v>0</v>
      </c>
      <c r="O468" s="457">
        <v>0</v>
      </c>
      <c r="P468" s="457">
        <v>0</v>
      </c>
      <c r="Q468" s="457">
        <v>0</v>
      </c>
      <c r="R468" s="457">
        <v>0</v>
      </c>
      <c r="S468" s="457">
        <v>0</v>
      </c>
      <c r="T468" s="410" t="e">
        <v>#DIV/0!</v>
      </c>
      <c r="U468" s="285">
        <v>0</v>
      </c>
      <c r="V468" s="285">
        <v>0</v>
      </c>
      <c r="W468" s="285">
        <v>0</v>
      </c>
      <c r="X468" s="285">
        <v>0</v>
      </c>
      <c r="Y468" s="285">
        <v>0</v>
      </c>
      <c r="Z468" s="285">
        <v>0</v>
      </c>
    </row>
    <row r="469" spans="1:27" ht="24" x14ac:dyDescent="0.2">
      <c r="A469" s="412" t="s">
        <v>689</v>
      </c>
      <c r="B469" s="457">
        <v>0</v>
      </c>
      <c r="C469" s="457">
        <v>0</v>
      </c>
      <c r="D469" s="457">
        <v>0</v>
      </c>
      <c r="E469" s="457">
        <v>0</v>
      </c>
      <c r="F469" s="457">
        <v>0</v>
      </c>
      <c r="G469" s="457">
        <v>0</v>
      </c>
      <c r="H469" s="457">
        <v>0</v>
      </c>
      <c r="I469" s="457">
        <v>0</v>
      </c>
      <c r="J469" s="457">
        <v>0</v>
      </c>
      <c r="K469" s="457">
        <v>0</v>
      </c>
      <c r="L469" s="457">
        <v>0</v>
      </c>
      <c r="M469" s="457">
        <v>0</v>
      </c>
      <c r="N469" s="457">
        <v>0</v>
      </c>
      <c r="O469" s="457">
        <v>0</v>
      </c>
      <c r="P469" s="457">
        <v>0</v>
      </c>
      <c r="Q469" s="457">
        <v>0</v>
      </c>
      <c r="R469" s="457">
        <v>0</v>
      </c>
      <c r="S469" s="457">
        <v>0</v>
      </c>
      <c r="T469" s="410" t="e">
        <v>#DIV/0!</v>
      </c>
      <c r="U469" s="285">
        <v>0</v>
      </c>
      <c r="V469" s="285">
        <v>0</v>
      </c>
      <c r="W469" s="285">
        <v>0</v>
      </c>
      <c r="X469" s="285">
        <v>0</v>
      </c>
      <c r="Y469" s="285">
        <v>0</v>
      </c>
      <c r="Z469" s="285">
        <v>0</v>
      </c>
    </row>
    <row r="470" spans="1:27" x14ac:dyDescent="0.2">
      <c r="A470" s="404" t="s">
        <v>690</v>
      </c>
      <c r="B470" s="448">
        <v>0</v>
      </c>
      <c r="C470" s="448">
        <v>0</v>
      </c>
      <c r="D470" s="448">
        <v>0</v>
      </c>
      <c r="E470" s="448">
        <v>0</v>
      </c>
      <c r="F470" s="448">
        <v>0</v>
      </c>
      <c r="G470" s="448">
        <v>0</v>
      </c>
      <c r="H470" s="448">
        <v>0</v>
      </c>
      <c r="I470" s="448">
        <v>0</v>
      </c>
      <c r="J470" s="448">
        <v>0</v>
      </c>
      <c r="K470" s="448">
        <v>0</v>
      </c>
      <c r="L470" s="448">
        <v>0</v>
      </c>
      <c r="M470" s="448">
        <v>0</v>
      </c>
      <c r="N470" s="448">
        <v>0</v>
      </c>
      <c r="O470" s="448">
        <v>0</v>
      </c>
      <c r="P470" s="448">
        <v>0</v>
      </c>
      <c r="Q470" s="448">
        <v>0</v>
      </c>
      <c r="R470" s="448">
        <v>0</v>
      </c>
      <c r="S470" s="448">
        <v>0</v>
      </c>
      <c r="T470" s="407" t="e">
        <v>#DIV/0!</v>
      </c>
      <c r="U470" s="406">
        <v>0</v>
      </c>
      <c r="V470" s="406">
        <v>0</v>
      </c>
      <c r="W470" s="406">
        <v>0</v>
      </c>
      <c r="X470" s="406">
        <v>0</v>
      </c>
      <c r="Y470" s="406">
        <v>0</v>
      </c>
      <c r="Z470" s="406">
        <v>0</v>
      </c>
    </row>
    <row r="471" spans="1:27" x14ac:dyDescent="0.2">
      <c r="A471" s="412" t="s">
        <v>691</v>
      </c>
      <c r="B471" s="457">
        <v>0</v>
      </c>
      <c r="C471" s="457">
        <v>0</v>
      </c>
      <c r="D471" s="457">
        <v>0</v>
      </c>
      <c r="E471" s="457">
        <v>0</v>
      </c>
      <c r="F471" s="457">
        <v>0</v>
      </c>
      <c r="G471" s="457">
        <v>0</v>
      </c>
      <c r="H471" s="457">
        <v>0</v>
      </c>
      <c r="I471" s="457">
        <v>0</v>
      </c>
      <c r="J471" s="457">
        <v>0</v>
      </c>
      <c r="K471" s="457">
        <v>0</v>
      </c>
      <c r="L471" s="457">
        <v>0</v>
      </c>
      <c r="M471" s="457">
        <v>0</v>
      </c>
      <c r="N471" s="457">
        <v>0</v>
      </c>
      <c r="O471" s="457">
        <v>0</v>
      </c>
      <c r="P471" s="457">
        <v>0</v>
      </c>
      <c r="Q471" s="457">
        <v>0</v>
      </c>
      <c r="R471" s="457">
        <v>0</v>
      </c>
      <c r="S471" s="457">
        <v>0</v>
      </c>
      <c r="T471" s="410" t="e">
        <v>#DIV/0!</v>
      </c>
      <c r="U471" s="285">
        <v>0</v>
      </c>
      <c r="V471" s="285">
        <v>0</v>
      </c>
      <c r="W471" s="285">
        <v>0</v>
      </c>
      <c r="X471" s="285">
        <v>0</v>
      </c>
      <c r="Y471" s="285">
        <v>0</v>
      </c>
      <c r="Z471" s="285">
        <v>0</v>
      </c>
    </row>
    <row r="472" spans="1:27" x14ac:dyDescent="0.2">
      <c r="A472" s="412" t="s">
        <v>692</v>
      </c>
      <c r="B472" s="457">
        <v>0</v>
      </c>
      <c r="C472" s="457">
        <v>0</v>
      </c>
      <c r="D472" s="457">
        <v>0</v>
      </c>
      <c r="E472" s="457">
        <v>0</v>
      </c>
      <c r="F472" s="457">
        <v>0</v>
      </c>
      <c r="G472" s="457">
        <v>0</v>
      </c>
      <c r="H472" s="457">
        <v>0</v>
      </c>
      <c r="I472" s="457">
        <v>0</v>
      </c>
      <c r="J472" s="457">
        <v>0</v>
      </c>
      <c r="K472" s="457">
        <v>0</v>
      </c>
      <c r="L472" s="457">
        <v>0</v>
      </c>
      <c r="M472" s="457">
        <v>0</v>
      </c>
      <c r="N472" s="457">
        <v>0</v>
      </c>
      <c r="O472" s="457">
        <v>0</v>
      </c>
      <c r="P472" s="457">
        <v>0</v>
      </c>
      <c r="Q472" s="457">
        <v>0</v>
      </c>
      <c r="R472" s="457">
        <v>0</v>
      </c>
      <c r="S472" s="457">
        <v>0</v>
      </c>
      <c r="T472" s="410" t="e">
        <v>#DIV/0!</v>
      </c>
      <c r="U472" s="285">
        <v>0</v>
      </c>
      <c r="V472" s="285">
        <v>0</v>
      </c>
      <c r="W472" s="285">
        <v>0</v>
      </c>
      <c r="X472" s="285">
        <v>0</v>
      </c>
      <c r="Y472" s="285">
        <v>0</v>
      </c>
      <c r="Z472" s="285">
        <v>0</v>
      </c>
    </row>
    <row r="473" spans="1:27" x14ac:dyDescent="0.2">
      <c r="A473" s="412" t="s">
        <v>693</v>
      </c>
      <c r="B473" s="457">
        <v>0</v>
      </c>
      <c r="C473" s="457">
        <v>0</v>
      </c>
      <c r="D473" s="457">
        <v>0</v>
      </c>
      <c r="E473" s="457">
        <v>0</v>
      </c>
      <c r="F473" s="457">
        <v>0</v>
      </c>
      <c r="G473" s="457">
        <v>0</v>
      </c>
      <c r="H473" s="457">
        <v>0</v>
      </c>
      <c r="I473" s="457">
        <v>0</v>
      </c>
      <c r="J473" s="457">
        <v>0</v>
      </c>
      <c r="K473" s="457">
        <v>0</v>
      </c>
      <c r="L473" s="457">
        <v>0</v>
      </c>
      <c r="M473" s="457">
        <v>0</v>
      </c>
      <c r="N473" s="457">
        <v>0</v>
      </c>
      <c r="O473" s="457">
        <v>0</v>
      </c>
      <c r="P473" s="457">
        <v>0</v>
      </c>
      <c r="Q473" s="457">
        <v>0</v>
      </c>
      <c r="R473" s="457">
        <v>0</v>
      </c>
      <c r="S473" s="457">
        <v>0</v>
      </c>
      <c r="T473" s="410" t="e">
        <v>#DIV/0!</v>
      </c>
      <c r="U473" s="285">
        <v>0</v>
      </c>
      <c r="V473" s="285">
        <v>0</v>
      </c>
      <c r="W473" s="285">
        <v>0</v>
      </c>
      <c r="X473" s="285">
        <v>0</v>
      </c>
      <c r="Y473" s="285">
        <v>0</v>
      </c>
      <c r="Z473" s="285">
        <v>0</v>
      </c>
    </row>
    <row r="474" spans="1:27" x14ac:dyDescent="0.2">
      <c r="A474" s="404" t="s">
        <v>694</v>
      </c>
      <c r="B474" s="247">
        <v>0</v>
      </c>
      <c r="C474" s="247">
        <v>0</v>
      </c>
      <c r="D474" s="247">
        <v>0</v>
      </c>
      <c r="E474" s="247">
        <v>0</v>
      </c>
      <c r="F474" s="247">
        <v>0</v>
      </c>
      <c r="G474" s="247">
        <v>0</v>
      </c>
      <c r="H474" s="247">
        <v>0</v>
      </c>
      <c r="I474" s="247">
        <v>0</v>
      </c>
      <c r="J474" s="247">
        <v>0</v>
      </c>
      <c r="K474" s="247">
        <v>0</v>
      </c>
      <c r="L474" s="247">
        <v>0</v>
      </c>
      <c r="M474" s="247">
        <v>0</v>
      </c>
      <c r="N474" s="247">
        <v>0</v>
      </c>
      <c r="O474" s="247">
        <v>0</v>
      </c>
      <c r="P474" s="247">
        <v>0</v>
      </c>
      <c r="Q474" s="247">
        <v>0</v>
      </c>
      <c r="R474" s="247">
        <v>0</v>
      </c>
      <c r="S474" s="247">
        <v>0</v>
      </c>
      <c r="T474" s="407" t="e">
        <v>#DIV/0!</v>
      </c>
      <c r="U474" s="406">
        <v>0</v>
      </c>
      <c r="V474" s="406">
        <v>0</v>
      </c>
      <c r="W474" s="406">
        <v>0</v>
      </c>
      <c r="X474" s="406">
        <v>0</v>
      </c>
      <c r="Y474" s="406">
        <v>0</v>
      </c>
      <c r="Z474" s="406">
        <v>0</v>
      </c>
    </row>
    <row r="475" spans="1:27" x14ac:dyDescent="0.2">
      <c r="A475" s="425" t="s">
        <v>35</v>
      </c>
      <c r="B475" s="476">
        <v>62649205</v>
      </c>
      <c r="C475" s="476">
        <v>90155769.439999998</v>
      </c>
      <c r="D475" s="476">
        <v>88155769.439999998</v>
      </c>
      <c r="E475" s="476">
        <v>65045717.575099051</v>
      </c>
      <c r="F475" s="476">
        <v>64969298.929051265</v>
      </c>
      <c r="G475" s="476">
        <v>1145782.4300000002</v>
      </c>
      <c r="H475" s="476">
        <v>26028486.006000001</v>
      </c>
      <c r="I475" s="476">
        <v>4265066.1449999996</v>
      </c>
      <c r="J475" s="476">
        <v>1395183.3</v>
      </c>
      <c r="K475" s="476">
        <v>1413721.91</v>
      </c>
      <c r="L475" s="476">
        <v>1400103.8130000001</v>
      </c>
      <c r="M475" s="476">
        <v>26399360.563173003</v>
      </c>
      <c r="N475" s="476">
        <v>1482903.9528144361</v>
      </c>
      <c r="O475" s="476">
        <v>1438082.8219999997</v>
      </c>
      <c r="P475" s="476">
        <v>0</v>
      </c>
      <c r="Q475" s="476">
        <v>0</v>
      </c>
      <c r="R475" s="476">
        <v>0</v>
      </c>
      <c r="S475" s="476">
        <v>64968690.94198744</v>
      </c>
      <c r="T475" s="428">
        <v>0.72062710290798493</v>
      </c>
      <c r="U475" s="427">
        <v>25187078.498012558</v>
      </c>
      <c r="V475" s="427">
        <v>2000000</v>
      </c>
      <c r="W475" s="427">
        <v>25110051.864900947</v>
      </c>
      <c r="X475" s="427">
        <v>23110051.864900947</v>
      </c>
      <c r="Y475" s="427">
        <v>76418.646047785878</v>
      </c>
      <c r="Z475" s="427">
        <v>607.98706382513046</v>
      </c>
    </row>
    <row r="476" spans="1:27" x14ac:dyDescent="0.2">
      <c r="A476" s="429" t="s">
        <v>72</v>
      </c>
      <c r="B476" s="477">
        <v>62649205</v>
      </c>
      <c r="C476" s="477">
        <v>90155769.439999998</v>
      </c>
      <c r="D476" s="477">
        <v>88155769.439999998</v>
      </c>
      <c r="E476" s="477">
        <v>65045717.575099051</v>
      </c>
      <c r="F476" s="477">
        <v>64969298.929051265</v>
      </c>
      <c r="G476" s="477">
        <v>1145782.4300000002</v>
      </c>
      <c r="H476" s="477">
        <v>26028486.006000001</v>
      </c>
      <c r="I476" s="477">
        <v>4265066.1449999996</v>
      </c>
      <c r="J476" s="477">
        <v>1395183.3</v>
      </c>
      <c r="K476" s="477">
        <v>1413721.91</v>
      </c>
      <c r="L476" s="477">
        <v>1400103.8130000001</v>
      </c>
      <c r="M476" s="477">
        <v>26399360.563173003</v>
      </c>
      <c r="N476" s="477">
        <v>1482903.9528144361</v>
      </c>
      <c r="O476" s="477">
        <v>1438082.8219999997</v>
      </c>
      <c r="P476" s="477">
        <v>0</v>
      </c>
      <c r="Q476" s="477">
        <v>0</v>
      </c>
      <c r="R476" s="477">
        <v>0</v>
      </c>
      <c r="S476" s="477">
        <v>64968690.94198744</v>
      </c>
      <c r="T476" s="432">
        <v>0.72062710290798493</v>
      </c>
      <c r="U476" s="431">
        <v>25187078.498012558</v>
      </c>
      <c r="V476" s="431">
        <v>2000000</v>
      </c>
      <c r="W476" s="431">
        <v>25110051.864900947</v>
      </c>
      <c r="X476" s="431">
        <v>23110051.864900947</v>
      </c>
      <c r="Y476" s="431">
        <v>76418.646047785878</v>
      </c>
      <c r="Z476" s="431">
        <v>607.98706382513046</v>
      </c>
    </row>
    <row r="477" spans="1:27" x14ac:dyDescent="0.2">
      <c r="A477" s="429" t="s">
        <v>73</v>
      </c>
      <c r="B477" s="477">
        <v>62649205</v>
      </c>
      <c r="C477" s="477">
        <v>90155769.439999998</v>
      </c>
      <c r="D477" s="477">
        <v>88155769.439999998</v>
      </c>
      <c r="E477" s="477">
        <v>65045717.575099051</v>
      </c>
      <c r="F477" s="477">
        <v>64969298.929051265</v>
      </c>
      <c r="G477" s="477">
        <v>1145782.4300000002</v>
      </c>
      <c r="H477" s="477">
        <v>26028486.006000001</v>
      </c>
      <c r="I477" s="477">
        <v>4265066.1449999996</v>
      </c>
      <c r="J477" s="477">
        <v>1395183.3</v>
      </c>
      <c r="K477" s="477">
        <v>1413721.91</v>
      </c>
      <c r="L477" s="477">
        <v>1400103.8130000001</v>
      </c>
      <c r="M477" s="477">
        <v>26399360.563173003</v>
      </c>
      <c r="N477" s="477">
        <v>1482903.9528144361</v>
      </c>
      <c r="O477" s="477">
        <v>1438082.8219999997</v>
      </c>
      <c r="P477" s="477">
        <v>0</v>
      </c>
      <c r="Q477" s="477">
        <v>0</v>
      </c>
      <c r="R477" s="477">
        <v>0</v>
      </c>
      <c r="S477" s="477">
        <v>64968690.94198744</v>
      </c>
      <c r="T477" s="432">
        <v>0.72062710290798493</v>
      </c>
      <c r="U477" s="431">
        <v>25187078.498012558</v>
      </c>
      <c r="V477" s="431">
        <v>2000000</v>
      </c>
      <c r="W477" s="431">
        <v>25110051.864900947</v>
      </c>
      <c r="X477" s="431">
        <v>23110051.864900947</v>
      </c>
      <c r="Y477" s="431">
        <v>76418.646047785878</v>
      </c>
      <c r="Z477" s="431">
        <v>607.98706382513046</v>
      </c>
    </row>
    <row r="478" spans="1:27" x14ac:dyDescent="0.2">
      <c r="A478" s="429" t="s">
        <v>74</v>
      </c>
      <c r="B478" s="477">
        <v>62649205</v>
      </c>
      <c r="C478" s="477">
        <v>90155769.439999998</v>
      </c>
      <c r="D478" s="477">
        <v>88155769.439999998</v>
      </c>
      <c r="E478" s="477">
        <v>65045717.575099051</v>
      </c>
      <c r="F478" s="477">
        <v>64969298.929051265</v>
      </c>
      <c r="G478" s="477">
        <v>1145782.4300000002</v>
      </c>
      <c r="H478" s="477">
        <v>26028486.006000001</v>
      </c>
      <c r="I478" s="477">
        <v>4265066.1449999996</v>
      </c>
      <c r="J478" s="477">
        <v>1395183.3</v>
      </c>
      <c r="K478" s="477">
        <v>1413721.91</v>
      </c>
      <c r="L478" s="477">
        <v>1400103.8130000001</v>
      </c>
      <c r="M478" s="477">
        <v>26399360.563173003</v>
      </c>
      <c r="N478" s="477">
        <v>1482903.9528144361</v>
      </c>
      <c r="O478" s="477">
        <v>1438082.8219999997</v>
      </c>
      <c r="P478" s="477">
        <v>0</v>
      </c>
      <c r="Q478" s="477">
        <v>0</v>
      </c>
      <c r="R478" s="477">
        <v>0</v>
      </c>
      <c r="S478" s="477">
        <v>64968690.94198744</v>
      </c>
      <c r="T478" s="432">
        <v>0.72062710290798493</v>
      </c>
      <c r="U478" s="431">
        <v>25187078.498012558</v>
      </c>
      <c r="V478" s="431">
        <v>2000000</v>
      </c>
      <c r="W478" s="431">
        <v>25110051.864900947</v>
      </c>
      <c r="X478" s="431">
        <v>23110051.864900947</v>
      </c>
      <c r="Y478" s="431">
        <v>76418.646047785878</v>
      </c>
      <c r="Z478" s="431">
        <v>607.98706382513046</v>
      </c>
    </row>
    <row r="479" spans="1:27" x14ac:dyDescent="0.2">
      <c r="A479" s="478" t="s">
        <v>75</v>
      </c>
      <c r="B479" s="479">
        <v>0</v>
      </c>
      <c r="C479" s="479">
        <v>0</v>
      </c>
      <c r="D479" s="479"/>
      <c r="E479" s="479"/>
      <c r="F479" s="479"/>
      <c r="G479" s="479">
        <v>38716815.101999998</v>
      </c>
      <c r="H479" s="479">
        <v>-23673951.376000002</v>
      </c>
      <c r="I479" s="479">
        <v>4371735.9930000007</v>
      </c>
      <c r="J479" s="479">
        <v>940328.81899999944</v>
      </c>
      <c r="K479" s="479">
        <v>4051480.506000001</v>
      </c>
      <c r="L479" s="479">
        <v>3831774.24</v>
      </c>
      <c r="M479" s="479">
        <v>-23312436.935173005</v>
      </c>
      <c r="N479" s="479">
        <v>4285469.533185564</v>
      </c>
      <c r="O479" s="479">
        <v>4949540.8440000005</v>
      </c>
      <c r="P479" s="479">
        <v>0</v>
      </c>
      <c r="Q479" s="479">
        <v>0</v>
      </c>
      <c r="R479" s="479">
        <v>0</v>
      </c>
      <c r="S479" s="479">
        <v>14160756.726012573</v>
      </c>
      <c r="T479" s="480" t="e">
        <v>#DIV/0!</v>
      </c>
      <c r="U479" s="481">
        <v>-14160756.726012573</v>
      </c>
      <c r="V479" s="481">
        <v>0</v>
      </c>
      <c r="W479" s="481">
        <v>0</v>
      </c>
      <c r="X479" s="481">
        <v>0</v>
      </c>
      <c r="Y479" s="481">
        <v>0</v>
      </c>
      <c r="Z479" s="481">
        <v>-14160756.726012573</v>
      </c>
    </row>
    <row r="480" spans="1:27" x14ac:dyDescent="0.2">
      <c r="A480" s="482" t="s">
        <v>76</v>
      </c>
      <c r="B480" s="479">
        <v>0</v>
      </c>
      <c r="C480" s="479">
        <v>-3050</v>
      </c>
      <c r="D480" s="479"/>
      <c r="E480" s="479"/>
      <c r="F480" s="479"/>
      <c r="G480" s="479">
        <v>38716815.101999998</v>
      </c>
      <c r="H480" s="479">
        <v>-23673951.376000002</v>
      </c>
      <c r="I480" s="479">
        <v>4371735.9930000007</v>
      </c>
      <c r="J480" s="479">
        <v>940328.81899999944</v>
      </c>
      <c r="K480" s="479">
        <v>4051480.506000001</v>
      </c>
      <c r="L480" s="479">
        <v>3831774.24</v>
      </c>
      <c r="M480" s="479">
        <v>-23312436.935173005</v>
      </c>
      <c r="N480" s="479">
        <v>4285469.533185564</v>
      </c>
      <c r="O480" s="479">
        <v>4949540.8440000005</v>
      </c>
      <c r="P480" s="479">
        <v>0</v>
      </c>
      <c r="Q480" s="479">
        <v>0</v>
      </c>
      <c r="R480" s="479">
        <v>0</v>
      </c>
      <c r="S480" s="479">
        <v>14160756.726012573</v>
      </c>
      <c r="T480" s="480">
        <v>-4642.8710577090405</v>
      </c>
      <c r="U480" s="481">
        <v>-14163806.726012573</v>
      </c>
      <c r="V480" s="481">
        <v>-3050</v>
      </c>
      <c r="W480" s="481">
        <v>-3050</v>
      </c>
      <c r="X480" s="481">
        <v>0</v>
      </c>
      <c r="Y480" s="481">
        <v>0</v>
      </c>
      <c r="Z480" s="481">
        <v>-14160756.726012573</v>
      </c>
    </row>
    <row r="481" spans="1:26" x14ac:dyDescent="0.2">
      <c r="A481" s="482" t="s">
        <v>77</v>
      </c>
      <c r="B481" s="479">
        <v>0</v>
      </c>
      <c r="C481" s="479">
        <v>-29857586.530000001</v>
      </c>
      <c r="D481" s="479"/>
      <c r="E481" s="479"/>
      <c r="F481" s="479"/>
      <c r="G481" s="479">
        <v>8859228.5920000002</v>
      </c>
      <c r="H481" s="479">
        <v>-23673951.376000002</v>
      </c>
      <c r="I481" s="479">
        <v>4371735.9930000007</v>
      </c>
      <c r="J481" s="479">
        <v>940328.81899999944</v>
      </c>
      <c r="K481" s="479">
        <v>4051480.506000001</v>
      </c>
      <c r="L481" s="479">
        <v>3831774.24</v>
      </c>
      <c r="M481" s="479">
        <v>-23312436.935173005</v>
      </c>
      <c r="N481" s="479">
        <v>4285469.533185564</v>
      </c>
      <c r="O481" s="479">
        <v>4949540.8440000005</v>
      </c>
      <c r="P481" s="479">
        <v>0</v>
      </c>
      <c r="Q481" s="479">
        <v>0</v>
      </c>
      <c r="R481" s="479">
        <v>0</v>
      </c>
      <c r="S481" s="479">
        <v>-15696829.783987425</v>
      </c>
      <c r="T481" s="480">
        <v>0.52572332891728291</v>
      </c>
      <c r="U481" s="481">
        <v>-14160756.746012576</v>
      </c>
      <c r="V481" s="481">
        <v>-29857586.530000001</v>
      </c>
      <c r="W481" s="481">
        <v>-29857586.530000001</v>
      </c>
      <c r="X481" s="481">
        <v>0</v>
      </c>
      <c r="Y481" s="481">
        <v>0</v>
      </c>
      <c r="Z481" s="481">
        <v>15696829.783987425</v>
      </c>
    </row>
    <row r="482" spans="1:26" x14ac:dyDescent="0.2">
      <c r="A482" s="482" t="s">
        <v>78</v>
      </c>
      <c r="B482" s="479">
        <v>0</v>
      </c>
      <c r="C482" s="479">
        <v>-29860636.530000001</v>
      </c>
      <c r="D482" s="479"/>
      <c r="E482" s="479"/>
      <c r="F482" s="479"/>
      <c r="G482" s="479">
        <v>8859228.5920000002</v>
      </c>
      <c r="H482" s="479">
        <v>-23673951.376000002</v>
      </c>
      <c r="I482" s="479">
        <v>4371735.9930000007</v>
      </c>
      <c r="J482" s="479">
        <v>940328.81899999944</v>
      </c>
      <c r="K482" s="479">
        <v>4051480.506000001</v>
      </c>
      <c r="L482" s="479">
        <v>3831774.24</v>
      </c>
      <c r="M482" s="479">
        <v>-23312436.935173005</v>
      </c>
      <c r="N482" s="479">
        <v>4285469.533185564</v>
      </c>
      <c r="O482" s="479">
        <v>4949540.8440000005</v>
      </c>
      <c r="P482" s="479">
        <v>0</v>
      </c>
      <c r="Q482" s="479">
        <v>0</v>
      </c>
      <c r="R482" s="479">
        <v>0</v>
      </c>
      <c r="S482" s="479">
        <v>-15696829.783987425</v>
      </c>
      <c r="T482" s="480">
        <v>0.52566963092757035</v>
      </c>
      <c r="U482" s="481">
        <v>-14163806.746012576</v>
      </c>
      <c r="V482" s="481">
        <v>-29860636.530000001</v>
      </c>
      <c r="W482" s="481">
        <v>-29860636.530000001</v>
      </c>
      <c r="X482" s="481">
        <v>0</v>
      </c>
      <c r="Y482" s="481">
        <v>0</v>
      </c>
      <c r="Z482" s="481">
        <v>15696829.783987425</v>
      </c>
    </row>
    <row r="484" spans="1:26" x14ac:dyDescent="0.2">
      <c r="B484" s="475"/>
    </row>
  </sheetData>
  <sheetProtection formatCells="0" formatColumns="0" formatRows="0" autoFilter="0"/>
  <mergeCells count="43">
    <mergeCell ref="X175:X176"/>
    <mergeCell ref="Y175:Y176"/>
    <mergeCell ref="Z175:Z176"/>
    <mergeCell ref="P175:P176"/>
    <mergeCell ref="Q175:Q176"/>
    <mergeCell ref="R175:R176"/>
    <mergeCell ref="U175:U176"/>
    <mergeCell ref="V175:V176"/>
    <mergeCell ref="W175:W176"/>
    <mergeCell ref="O175:O176"/>
    <mergeCell ref="A175:A177"/>
    <mergeCell ref="B175:B176"/>
    <mergeCell ref="C175:C176"/>
    <mergeCell ref="G175:G176"/>
    <mergeCell ref="H175:H176"/>
    <mergeCell ref="I175:I176"/>
    <mergeCell ref="J175:J176"/>
    <mergeCell ref="K175:K176"/>
    <mergeCell ref="L175:L176"/>
    <mergeCell ref="M175:M176"/>
    <mergeCell ref="N175:N176"/>
    <mergeCell ref="A174:Z174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U7:U8"/>
    <mergeCell ref="V7:V8"/>
    <mergeCell ref="A2:Z2"/>
    <mergeCell ref="A3:Z3"/>
    <mergeCell ref="A4:Z4"/>
    <mergeCell ref="A6:Z6"/>
    <mergeCell ref="A7:A9"/>
    <mergeCell ref="B7:B8"/>
    <mergeCell ref="C7:C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E739E-23B1-4FDC-89D0-9195042B320E}">
  <dimension ref="A1:AA484"/>
  <sheetViews>
    <sheetView zoomScale="90" zoomScaleNormal="90" workbookViewId="0">
      <pane ySplit="9" topLeftCell="A299" activePane="bottomLeft" state="frozen"/>
      <selection activeCell="L1" sqref="L1"/>
      <selection pane="bottomLeft" activeCell="C1" sqref="C1:S1048576"/>
    </sheetView>
  </sheetViews>
  <sheetFormatPr defaultColWidth="8.7109375" defaultRowHeight="12" x14ac:dyDescent="0.2"/>
  <cols>
    <col min="1" max="1" width="51.85546875" style="447" customWidth="1"/>
    <col min="2" max="2" width="16.140625" style="447" customWidth="1"/>
    <col min="3" max="3" width="16" style="447" customWidth="1"/>
    <col min="4" max="4" width="18.7109375" style="447" customWidth="1"/>
    <col min="5" max="5" width="15.140625" style="447" customWidth="1"/>
    <col min="6" max="6" width="15.42578125" style="447" customWidth="1"/>
    <col min="7" max="7" width="12.140625" style="447" customWidth="1"/>
    <col min="8" max="8" width="13.140625" style="447" customWidth="1"/>
    <col min="9" max="10" width="12.85546875" style="447" customWidth="1"/>
    <col min="11" max="11" width="12.5703125" style="447" customWidth="1"/>
    <col min="12" max="12" width="12.85546875" style="447" customWidth="1"/>
    <col min="13" max="13" width="12.7109375" style="447" customWidth="1"/>
    <col min="14" max="14" width="11.7109375" style="447" customWidth="1"/>
    <col min="15" max="15" width="12.5703125" style="447" customWidth="1"/>
    <col min="16" max="16" width="12.28515625" style="447" customWidth="1"/>
    <col min="17" max="17" width="11.42578125" style="447" customWidth="1"/>
    <col min="18" max="18" width="12.140625" style="447" customWidth="1"/>
    <col min="19" max="19" width="13" style="447" customWidth="1"/>
    <col min="20" max="20" width="15.85546875" style="447" customWidth="1"/>
    <col min="21" max="21" width="12.42578125" style="447" customWidth="1"/>
    <col min="22" max="22" width="18.42578125" style="447" customWidth="1"/>
    <col min="23" max="23" width="15.85546875" style="447" customWidth="1"/>
    <col min="24" max="24" width="14.85546875" style="447" customWidth="1"/>
    <col min="25" max="25" width="13" style="447" customWidth="1"/>
    <col min="26" max="26" width="13.85546875" style="447" customWidth="1"/>
    <col min="27" max="16384" width="8.7109375" style="447"/>
  </cols>
  <sheetData>
    <row r="1" spans="1:26" s="433" customFormat="1" ht="15" x14ac:dyDescent="0.2">
      <c r="A1" s="14"/>
      <c r="B1" s="14"/>
      <c r="C1" s="15"/>
    </row>
    <row r="2" spans="1:26" s="433" customFormat="1" ht="15" x14ac:dyDescent="0.2">
      <c r="A2" s="546" t="s">
        <v>0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</row>
    <row r="3" spans="1:26" s="433" customFormat="1" ht="15" x14ac:dyDescent="0.2">
      <c r="A3" s="546" t="s">
        <v>1093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</row>
    <row r="4" spans="1:26" s="433" customFormat="1" ht="15" x14ac:dyDescent="0.2">
      <c r="A4" s="547">
        <v>2026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</row>
    <row r="5" spans="1:26" s="263" customFormat="1" x14ac:dyDescent="0.2">
      <c r="A5" s="4"/>
      <c r="B5" s="6"/>
      <c r="C5" s="6"/>
      <c r="D5" s="434"/>
      <c r="E5" s="434"/>
      <c r="F5" s="434"/>
      <c r="U5" s="434"/>
      <c r="V5" s="7"/>
      <c r="W5" s="7"/>
      <c r="X5" s="7"/>
      <c r="Y5" s="7"/>
      <c r="Z5" s="7" t="s">
        <v>1</v>
      </c>
    </row>
    <row r="6" spans="1:26" s="263" customFormat="1" x14ac:dyDescent="0.2">
      <c r="A6" s="548" t="s">
        <v>25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</row>
    <row r="7" spans="1:26" s="263" customFormat="1" x14ac:dyDescent="0.2">
      <c r="A7" s="549" t="s">
        <v>1093</v>
      </c>
      <c r="B7" s="549" t="s">
        <v>2</v>
      </c>
      <c r="C7" s="549" t="s">
        <v>3</v>
      </c>
      <c r="D7" s="435" t="s">
        <v>4</v>
      </c>
      <c r="E7" s="436"/>
      <c r="F7" s="436"/>
      <c r="G7" s="550" t="s">
        <v>5</v>
      </c>
      <c r="H7" s="550" t="s">
        <v>6</v>
      </c>
      <c r="I7" s="550" t="s">
        <v>7</v>
      </c>
      <c r="J7" s="550" t="s">
        <v>8</v>
      </c>
      <c r="K7" s="550" t="s">
        <v>9</v>
      </c>
      <c r="L7" s="550" t="s">
        <v>10</v>
      </c>
      <c r="M7" s="550" t="s">
        <v>11</v>
      </c>
      <c r="N7" s="550" t="s">
        <v>12</v>
      </c>
      <c r="O7" s="550" t="s">
        <v>13</v>
      </c>
      <c r="P7" s="550" t="s">
        <v>14</v>
      </c>
      <c r="Q7" s="550" t="s">
        <v>15</v>
      </c>
      <c r="R7" s="550" t="s">
        <v>16</v>
      </c>
      <c r="S7" s="435" t="s">
        <v>17</v>
      </c>
      <c r="T7" s="435" t="s">
        <v>18</v>
      </c>
      <c r="U7" s="550" t="s">
        <v>19</v>
      </c>
      <c r="V7" s="550" t="s">
        <v>48</v>
      </c>
      <c r="W7" s="436"/>
      <c r="X7" s="436"/>
      <c r="Y7" s="436"/>
      <c r="Z7" s="436"/>
    </row>
    <row r="8" spans="1:26" s="263" customFormat="1" ht="24" x14ac:dyDescent="0.2">
      <c r="A8" s="549"/>
      <c r="B8" s="549"/>
      <c r="C8" s="549"/>
      <c r="D8" s="437" t="s">
        <v>1426</v>
      </c>
      <c r="E8" s="438"/>
      <c r="F8" s="438"/>
      <c r="G8" s="550"/>
      <c r="H8" s="550"/>
      <c r="I8" s="550"/>
      <c r="J8" s="550"/>
      <c r="K8" s="550"/>
      <c r="L8" s="550"/>
      <c r="M8" s="550"/>
      <c r="N8" s="550"/>
      <c r="O8" s="550"/>
      <c r="P8" s="550"/>
      <c r="Q8" s="550"/>
      <c r="R8" s="550"/>
      <c r="S8" s="437" t="s">
        <v>1426</v>
      </c>
      <c r="T8" s="437" t="s">
        <v>1426</v>
      </c>
      <c r="U8" s="550"/>
      <c r="V8" s="550"/>
      <c r="W8" s="438"/>
      <c r="X8" s="438"/>
      <c r="Y8" s="438"/>
      <c r="Z8" s="438"/>
    </row>
    <row r="9" spans="1:26" s="263" customFormat="1" x14ac:dyDescent="0.2">
      <c r="A9" s="549"/>
      <c r="B9" s="439" t="s">
        <v>20</v>
      </c>
      <c r="C9" s="439" t="s">
        <v>21</v>
      </c>
      <c r="D9" s="439" t="s">
        <v>22</v>
      </c>
      <c r="E9" s="440"/>
      <c r="F9" s="440"/>
      <c r="G9" s="439" t="s">
        <v>23</v>
      </c>
      <c r="H9" s="439" t="s">
        <v>23</v>
      </c>
      <c r="I9" s="439" t="s">
        <v>23</v>
      </c>
      <c r="J9" s="439" t="s">
        <v>23</v>
      </c>
      <c r="K9" s="439" t="s">
        <v>23</v>
      </c>
      <c r="L9" s="439" t="s">
        <v>23</v>
      </c>
      <c r="M9" s="439" t="s">
        <v>23</v>
      </c>
      <c r="N9" s="439" t="s">
        <v>23</v>
      </c>
      <c r="O9" s="439" t="s">
        <v>23</v>
      </c>
      <c r="P9" s="439" t="s">
        <v>23</v>
      </c>
      <c r="Q9" s="439" t="s">
        <v>23</v>
      </c>
      <c r="R9" s="439" t="s">
        <v>23</v>
      </c>
      <c r="S9" s="439" t="s">
        <v>49</v>
      </c>
      <c r="T9" s="439" t="s">
        <v>50</v>
      </c>
      <c r="U9" s="439" t="s">
        <v>51</v>
      </c>
      <c r="V9" s="439" t="s">
        <v>52</v>
      </c>
      <c r="W9" s="440"/>
      <c r="X9" s="440"/>
      <c r="Y9" s="440"/>
      <c r="Z9" s="440"/>
    </row>
    <row r="10" spans="1:26" x14ac:dyDescent="0.2">
      <c r="A10" s="441" t="s">
        <v>250</v>
      </c>
      <c r="B10" s="442">
        <v>0</v>
      </c>
      <c r="C10" s="442">
        <v>0</v>
      </c>
      <c r="D10" s="442">
        <v>0</v>
      </c>
      <c r="E10" s="443"/>
      <c r="F10" s="443"/>
      <c r="G10" s="442">
        <v>0</v>
      </c>
      <c r="H10" s="442">
        <v>0</v>
      </c>
      <c r="I10" s="442">
        <v>0</v>
      </c>
      <c r="J10" s="442">
        <v>0</v>
      </c>
      <c r="K10" s="442">
        <v>0</v>
      </c>
      <c r="L10" s="442">
        <v>0</v>
      </c>
      <c r="M10" s="442">
        <v>0</v>
      </c>
      <c r="N10" s="442">
        <v>0</v>
      </c>
      <c r="O10" s="442">
        <v>0</v>
      </c>
      <c r="P10" s="442">
        <v>0</v>
      </c>
      <c r="Q10" s="442">
        <v>0</v>
      </c>
      <c r="R10" s="442">
        <v>0</v>
      </c>
      <c r="S10" s="442">
        <v>0</v>
      </c>
      <c r="T10" s="444" t="e">
        <v>#DIV/0!</v>
      </c>
      <c r="U10" s="445">
        <v>0</v>
      </c>
      <c r="V10" s="445">
        <v>0</v>
      </c>
      <c r="W10" s="446"/>
      <c r="X10" s="446"/>
      <c r="Y10" s="446"/>
      <c r="Z10" s="446"/>
    </row>
    <row r="11" spans="1:26" x14ac:dyDescent="0.2">
      <c r="A11" s="404" t="s">
        <v>251</v>
      </c>
      <c r="B11" s="448">
        <v>0</v>
      </c>
      <c r="C11" s="448">
        <v>0</v>
      </c>
      <c r="D11" s="448">
        <v>0</v>
      </c>
      <c r="E11" s="443"/>
      <c r="F11" s="443"/>
      <c r="G11" s="448">
        <v>0</v>
      </c>
      <c r="H11" s="448">
        <v>0</v>
      </c>
      <c r="I11" s="448">
        <v>0</v>
      </c>
      <c r="J11" s="448">
        <v>0</v>
      </c>
      <c r="K11" s="448">
        <v>0</v>
      </c>
      <c r="L11" s="448">
        <v>0</v>
      </c>
      <c r="M11" s="448">
        <v>0</v>
      </c>
      <c r="N11" s="448">
        <v>0</v>
      </c>
      <c r="O11" s="448">
        <v>0</v>
      </c>
      <c r="P11" s="448">
        <v>0</v>
      </c>
      <c r="Q11" s="448">
        <v>0</v>
      </c>
      <c r="R11" s="448">
        <v>0</v>
      </c>
      <c r="S11" s="448">
        <v>0</v>
      </c>
      <c r="T11" s="407" t="e">
        <v>#DIV/0!</v>
      </c>
      <c r="U11" s="449">
        <v>0</v>
      </c>
      <c r="V11" s="449">
        <v>0</v>
      </c>
      <c r="W11" s="446"/>
      <c r="X11" s="446"/>
      <c r="Y11" s="446"/>
      <c r="Z11" s="446"/>
    </row>
    <row r="12" spans="1:26" x14ac:dyDescent="0.2">
      <c r="A12" s="409" t="s">
        <v>252</v>
      </c>
      <c r="B12" s="292">
        <v>0</v>
      </c>
      <c r="C12" s="292">
        <v>0</v>
      </c>
      <c r="D12" s="292">
        <v>0</v>
      </c>
      <c r="E12" s="446"/>
      <c r="F12" s="446"/>
      <c r="G12" s="292">
        <v>0</v>
      </c>
      <c r="H12" s="292">
        <v>0</v>
      </c>
      <c r="I12" s="292">
        <v>0</v>
      </c>
      <c r="J12" s="292">
        <v>0</v>
      </c>
      <c r="K12" s="292">
        <v>0</v>
      </c>
      <c r="L12" s="292">
        <v>0</v>
      </c>
      <c r="M12" s="292">
        <v>0</v>
      </c>
      <c r="N12" s="292">
        <v>0</v>
      </c>
      <c r="O12" s="292">
        <v>0</v>
      </c>
      <c r="P12" s="292">
        <v>0</v>
      </c>
      <c r="Q12" s="292">
        <v>0</v>
      </c>
      <c r="R12" s="292">
        <v>0</v>
      </c>
      <c r="S12" s="292">
        <v>0</v>
      </c>
      <c r="T12" s="410" t="e">
        <v>#DIV/0!</v>
      </c>
      <c r="U12" s="450">
        <v>0</v>
      </c>
      <c r="V12" s="450">
        <v>0</v>
      </c>
      <c r="W12" s="446"/>
      <c r="X12" s="446"/>
      <c r="Y12" s="446"/>
      <c r="Z12" s="446"/>
    </row>
    <row r="13" spans="1:26" x14ac:dyDescent="0.2">
      <c r="A13" s="409" t="s">
        <v>253</v>
      </c>
      <c r="B13" s="292">
        <v>0</v>
      </c>
      <c r="C13" s="292">
        <v>0</v>
      </c>
      <c r="D13" s="292">
        <v>0</v>
      </c>
      <c r="E13" s="446"/>
      <c r="F13" s="446"/>
      <c r="G13" s="292">
        <v>0</v>
      </c>
      <c r="H13" s="292">
        <v>0</v>
      </c>
      <c r="I13" s="292">
        <v>0</v>
      </c>
      <c r="J13" s="292">
        <v>0</v>
      </c>
      <c r="K13" s="292">
        <v>0</v>
      </c>
      <c r="L13" s="292">
        <v>0</v>
      </c>
      <c r="M13" s="292">
        <v>0</v>
      </c>
      <c r="N13" s="292">
        <v>0</v>
      </c>
      <c r="O13" s="292">
        <v>0</v>
      </c>
      <c r="P13" s="292">
        <v>0</v>
      </c>
      <c r="Q13" s="292">
        <v>0</v>
      </c>
      <c r="R13" s="292">
        <v>0</v>
      </c>
      <c r="S13" s="292">
        <v>0</v>
      </c>
      <c r="T13" s="410" t="e">
        <v>#DIV/0!</v>
      </c>
      <c r="U13" s="450">
        <v>0</v>
      </c>
      <c r="V13" s="450">
        <v>0</v>
      </c>
      <c r="W13" s="446"/>
      <c r="X13" s="446"/>
      <c r="Y13" s="446"/>
      <c r="Z13" s="446"/>
    </row>
    <row r="14" spans="1:26" x14ac:dyDescent="0.2">
      <c r="A14" s="409" t="s">
        <v>254</v>
      </c>
      <c r="B14" s="292">
        <v>0</v>
      </c>
      <c r="C14" s="292">
        <v>0</v>
      </c>
      <c r="D14" s="292">
        <v>0</v>
      </c>
      <c r="E14" s="446"/>
      <c r="F14" s="446"/>
      <c r="G14" s="292">
        <v>0</v>
      </c>
      <c r="H14" s="292">
        <v>0</v>
      </c>
      <c r="I14" s="292">
        <v>0</v>
      </c>
      <c r="J14" s="292">
        <v>0</v>
      </c>
      <c r="K14" s="292">
        <v>0</v>
      </c>
      <c r="L14" s="292">
        <v>0</v>
      </c>
      <c r="M14" s="292">
        <v>0</v>
      </c>
      <c r="N14" s="292">
        <v>0</v>
      </c>
      <c r="O14" s="292">
        <v>0</v>
      </c>
      <c r="P14" s="292">
        <v>0</v>
      </c>
      <c r="Q14" s="292">
        <v>0</v>
      </c>
      <c r="R14" s="292">
        <v>0</v>
      </c>
      <c r="S14" s="292">
        <v>0</v>
      </c>
      <c r="T14" s="410" t="e">
        <v>#DIV/0!</v>
      </c>
      <c r="U14" s="450">
        <v>0</v>
      </c>
      <c r="V14" s="450">
        <v>0</v>
      </c>
      <c r="W14" s="446"/>
      <c r="X14" s="446"/>
      <c r="Y14" s="446"/>
      <c r="Z14" s="446"/>
    </row>
    <row r="15" spans="1:26" x14ac:dyDescent="0.2">
      <c r="A15" s="409" t="s">
        <v>255</v>
      </c>
      <c r="B15" s="292">
        <v>0</v>
      </c>
      <c r="C15" s="292">
        <v>0</v>
      </c>
      <c r="D15" s="292">
        <v>0</v>
      </c>
      <c r="E15" s="446"/>
      <c r="F15" s="446"/>
      <c r="G15" s="292">
        <v>0</v>
      </c>
      <c r="H15" s="292">
        <v>0</v>
      </c>
      <c r="I15" s="292">
        <v>0</v>
      </c>
      <c r="J15" s="292">
        <v>0</v>
      </c>
      <c r="K15" s="292">
        <v>0</v>
      </c>
      <c r="L15" s="292">
        <v>0</v>
      </c>
      <c r="M15" s="292">
        <v>0</v>
      </c>
      <c r="N15" s="292">
        <v>0</v>
      </c>
      <c r="O15" s="292">
        <v>0</v>
      </c>
      <c r="P15" s="292">
        <v>0</v>
      </c>
      <c r="Q15" s="292">
        <v>0</v>
      </c>
      <c r="R15" s="292">
        <v>0</v>
      </c>
      <c r="S15" s="292">
        <v>0</v>
      </c>
      <c r="T15" s="410" t="e">
        <v>#DIV/0!</v>
      </c>
      <c r="U15" s="450">
        <v>0</v>
      </c>
      <c r="V15" s="450">
        <v>0</v>
      </c>
      <c r="W15" s="446"/>
      <c r="X15" s="446"/>
      <c r="Y15" s="446"/>
      <c r="Z15" s="446"/>
    </row>
    <row r="16" spans="1:26" x14ac:dyDescent="0.2">
      <c r="A16" s="409" t="s">
        <v>256</v>
      </c>
      <c r="B16" s="292">
        <v>0</v>
      </c>
      <c r="C16" s="292">
        <v>0</v>
      </c>
      <c r="D16" s="292">
        <v>0</v>
      </c>
      <c r="E16" s="446"/>
      <c r="F16" s="446"/>
      <c r="G16" s="292">
        <v>0</v>
      </c>
      <c r="H16" s="292">
        <v>0</v>
      </c>
      <c r="I16" s="292">
        <v>0</v>
      </c>
      <c r="J16" s="292">
        <v>0</v>
      </c>
      <c r="K16" s="292">
        <v>0</v>
      </c>
      <c r="L16" s="292">
        <v>0</v>
      </c>
      <c r="M16" s="292">
        <v>0</v>
      </c>
      <c r="N16" s="292">
        <v>0</v>
      </c>
      <c r="O16" s="292">
        <v>0</v>
      </c>
      <c r="P16" s="292">
        <v>0</v>
      </c>
      <c r="Q16" s="292">
        <v>0</v>
      </c>
      <c r="R16" s="292">
        <v>0</v>
      </c>
      <c r="S16" s="292">
        <v>0</v>
      </c>
      <c r="T16" s="410" t="e">
        <v>#DIV/0!</v>
      </c>
      <c r="U16" s="450">
        <v>0</v>
      </c>
      <c r="V16" s="450">
        <v>0</v>
      </c>
      <c r="W16" s="446"/>
      <c r="X16" s="446"/>
      <c r="Y16" s="446"/>
      <c r="Z16" s="446"/>
    </row>
    <row r="17" spans="1:26" x14ac:dyDescent="0.2">
      <c r="A17" s="409" t="s">
        <v>257</v>
      </c>
      <c r="B17" s="292">
        <v>0</v>
      </c>
      <c r="C17" s="292">
        <v>0</v>
      </c>
      <c r="D17" s="292">
        <v>0</v>
      </c>
      <c r="E17" s="446"/>
      <c r="F17" s="446"/>
      <c r="G17" s="292">
        <v>0</v>
      </c>
      <c r="H17" s="292">
        <v>0</v>
      </c>
      <c r="I17" s="292">
        <v>0</v>
      </c>
      <c r="J17" s="292">
        <v>0</v>
      </c>
      <c r="K17" s="292">
        <v>0</v>
      </c>
      <c r="L17" s="292">
        <v>0</v>
      </c>
      <c r="M17" s="292">
        <v>0</v>
      </c>
      <c r="N17" s="292">
        <v>0</v>
      </c>
      <c r="O17" s="292">
        <v>0</v>
      </c>
      <c r="P17" s="292">
        <v>0</v>
      </c>
      <c r="Q17" s="292">
        <v>0</v>
      </c>
      <c r="R17" s="292">
        <v>0</v>
      </c>
      <c r="S17" s="292">
        <v>0</v>
      </c>
      <c r="T17" s="410" t="e">
        <v>#DIV/0!</v>
      </c>
      <c r="U17" s="450">
        <v>0</v>
      </c>
      <c r="V17" s="450">
        <v>0</v>
      </c>
      <c r="W17" s="446"/>
      <c r="X17" s="446"/>
      <c r="Y17" s="446"/>
      <c r="Z17" s="446"/>
    </row>
    <row r="18" spans="1:26" x14ac:dyDescent="0.2">
      <c r="A18" s="409" t="s">
        <v>258</v>
      </c>
      <c r="B18" s="292">
        <v>0</v>
      </c>
      <c r="C18" s="292">
        <v>0</v>
      </c>
      <c r="D18" s="292">
        <v>0</v>
      </c>
      <c r="E18" s="446"/>
      <c r="F18" s="446"/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v>0</v>
      </c>
      <c r="M18" s="292">
        <v>0</v>
      </c>
      <c r="N18" s="292">
        <v>0</v>
      </c>
      <c r="O18" s="292">
        <v>0</v>
      </c>
      <c r="P18" s="292">
        <v>0</v>
      </c>
      <c r="Q18" s="292">
        <v>0</v>
      </c>
      <c r="R18" s="292">
        <v>0</v>
      </c>
      <c r="S18" s="292">
        <v>0</v>
      </c>
      <c r="T18" s="410" t="e">
        <v>#DIV/0!</v>
      </c>
      <c r="U18" s="450">
        <v>0</v>
      </c>
      <c r="V18" s="450">
        <v>0</v>
      </c>
      <c r="W18" s="446"/>
      <c r="X18" s="446"/>
      <c r="Y18" s="446"/>
      <c r="Z18" s="446"/>
    </row>
    <row r="19" spans="1:26" x14ac:dyDescent="0.2">
      <c r="A19" s="409" t="s">
        <v>259</v>
      </c>
      <c r="B19" s="292">
        <v>0</v>
      </c>
      <c r="C19" s="292">
        <v>0</v>
      </c>
      <c r="D19" s="292">
        <v>0</v>
      </c>
      <c r="E19" s="446"/>
      <c r="F19" s="446"/>
      <c r="G19" s="292">
        <v>0</v>
      </c>
      <c r="H19" s="292">
        <v>0</v>
      </c>
      <c r="I19" s="292">
        <v>0</v>
      </c>
      <c r="J19" s="292">
        <v>0</v>
      </c>
      <c r="K19" s="292">
        <v>0</v>
      </c>
      <c r="L19" s="292">
        <v>0</v>
      </c>
      <c r="M19" s="292">
        <v>0</v>
      </c>
      <c r="N19" s="292">
        <v>0</v>
      </c>
      <c r="O19" s="292">
        <v>0</v>
      </c>
      <c r="P19" s="292">
        <v>0</v>
      </c>
      <c r="Q19" s="292">
        <v>0</v>
      </c>
      <c r="R19" s="292">
        <v>0</v>
      </c>
      <c r="S19" s="292">
        <v>0</v>
      </c>
      <c r="T19" s="410" t="e">
        <v>#DIV/0!</v>
      </c>
      <c r="U19" s="450">
        <v>0</v>
      </c>
      <c r="V19" s="450">
        <v>0</v>
      </c>
      <c r="W19" s="446"/>
      <c r="X19" s="446"/>
      <c r="Y19" s="446"/>
      <c r="Z19" s="446"/>
    </row>
    <row r="20" spans="1:26" x14ac:dyDescent="0.2">
      <c r="A20" s="409" t="s">
        <v>260</v>
      </c>
      <c r="B20" s="292">
        <v>0</v>
      </c>
      <c r="C20" s="292">
        <v>0</v>
      </c>
      <c r="D20" s="292">
        <v>0</v>
      </c>
      <c r="E20" s="446"/>
      <c r="F20" s="446"/>
      <c r="G20" s="292">
        <v>0</v>
      </c>
      <c r="H20" s="292">
        <v>0</v>
      </c>
      <c r="I20" s="292">
        <v>0</v>
      </c>
      <c r="J20" s="292">
        <v>0</v>
      </c>
      <c r="K20" s="292">
        <v>0</v>
      </c>
      <c r="L20" s="292">
        <v>0</v>
      </c>
      <c r="M20" s="292">
        <v>0</v>
      </c>
      <c r="N20" s="292">
        <v>0</v>
      </c>
      <c r="O20" s="292">
        <v>0</v>
      </c>
      <c r="P20" s="292">
        <v>0</v>
      </c>
      <c r="Q20" s="292">
        <v>0</v>
      </c>
      <c r="R20" s="292">
        <v>0</v>
      </c>
      <c r="S20" s="292">
        <v>0</v>
      </c>
      <c r="T20" s="410" t="e">
        <v>#DIV/0!</v>
      </c>
      <c r="U20" s="450">
        <v>0</v>
      </c>
      <c r="V20" s="450">
        <v>0</v>
      </c>
      <c r="W20" s="446"/>
      <c r="X20" s="446"/>
      <c r="Y20" s="446"/>
      <c r="Z20" s="446"/>
    </row>
    <row r="21" spans="1:26" x14ac:dyDescent="0.2">
      <c r="A21" s="409" t="s">
        <v>261</v>
      </c>
      <c r="B21" s="292">
        <v>0</v>
      </c>
      <c r="C21" s="292">
        <v>0</v>
      </c>
      <c r="D21" s="292">
        <v>0</v>
      </c>
      <c r="E21" s="446"/>
      <c r="F21" s="446"/>
      <c r="G21" s="292">
        <v>0</v>
      </c>
      <c r="H21" s="292">
        <v>0</v>
      </c>
      <c r="I21" s="292">
        <v>0</v>
      </c>
      <c r="J21" s="292">
        <v>0</v>
      </c>
      <c r="K21" s="292">
        <v>0</v>
      </c>
      <c r="L21" s="292">
        <v>0</v>
      </c>
      <c r="M21" s="292">
        <v>0</v>
      </c>
      <c r="N21" s="292">
        <v>0</v>
      </c>
      <c r="O21" s="292">
        <v>0</v>
      </c>
      <c r="P21" s="292">
        <v>0</v>
      </c>
      <c r="Q21" s="292">
        <v>0</v>
      </c>
      <c r="R21" s="292">
        <v>0</v>
      </c>
      <c r="S21" s="292">
        <v>0</v>
      </c>
      <c r="T21" s="410" t="e">
        <v>#DIV/0!</v>
      </c>
      <c r="U21" s="450">
        <v>0</v>
      </c>
      <c r="V21" s="450">
        <v>0</v>
      </c>
      <c r="W21" s="446"/>
      <c r="X21" s="446"/>
      <c r="Y21" s="446"/>
      <c r="Z21" s="446"/>
    </row>
    <row r="22" spans="1:26" x14ac:dyDescent="0.2">
      <c r="A22" s="409" t="s">
        <v>262</v>
      </c>
      <c r="B22" s="292">
        <v>0</v>
      </c>
      <c r="C22" s="292">
        <v>0</v>
      </c>
      <c r="D22" s="292">
        <v>0</v>
      </c>
      <c r="E22" s="446"/>
      <c r="F22" s="446"/>
      <c r="G22" s="292">
        <v>0</v>
      </c>
      <c r="H22" s="292">
        <v>0</v>
      </c>
      <c r="I22" s="292">
        <v>0</v>
      </c>
      <c r="J22" s="292">
        <v>0</v>
      </c>
      <c r="K22" s="292">
        <v>0</v>
      </c>
      <c r="L22" s="292">
        <v>0</v>
      </c>
      <c r="M22" s="292">
        <v>0</v>
      </c>
      <c r="N22" s="292">
        <v>0</v>
      </c>
      <c r="O22" s="292">
        <v>0</v>
      </c>
      <c r="P22" s="292">
        <v>0</v>
      </c>
      <c r="Q22" s="292">
        <v>0</v>
      </c>
      <c r="R22" s="292">
        <v>0</v>
      </c>
      <c r="S22" s="292">
        <v>0</v>
      </c>
      <c r="T22" s="410" t="e">
        <v>#DIV/0!</v>
      </c>
      <c r="U22" s="450">
        <v>0</v>
      </c>
      <c r="V22" s="450">
        <v>0</v>
      </c>
      <c r="W22" s="446"/>
      <c r="X22" s="446"/>
      <c r="Y22" s="446"/>
      <c r="Z22" s="446"/>
    </row>
    <row r="23" spans="1:26" s="453" customFormat="1" x14ac:dyDescent="0.2">
      <c r="A23" s="404" t="s">
        <v>263</v>
      </c>
      <c r="B23" s="451">
        <v>0</v>
      </c>
      <c r="C23" s="451">
        <v>0</v>
      </c>
      <c r="D23" s="451">
        <v>0</v>
      </c>
      <c r="E23" s="452"/>
      <c r="F23" s="452"/>
      <c r="G23" s="451">
        <v>0</v>
      </c>
      <c r="H23" s="451">
        <v>0</v>
      </c>
      <c r="I23" s="451">
        <v>0</v>
      </c>
      <c r="J23" s="451">
        <v>0</v>
      </c>
      <c r="K23" s="451">
        <v>0</v>
      </c>
      <c r="L23" s="451">
        <v>0</v>
      </c>
      <c r="M23" s="451">
        <v>0</v>
      </c>
      <c r="N23" s="451">
        <v>0</v>
      </c>
      <c r="O23" s="451">
        <v>0</v>
      </c>
      <c r="P23" s="451">
        <v>0</v>
      </c>
      <c r="Q23" s="451">
        <v>0</v>
      </c>
      <c r="R23" s="451">
        <v>0</v>
      </c>
      <c r="S23" s="451">
        <v>0</v>
      </c>
      <c r="T23" s="407" t="e">
        <v>#DIV/0!</v>
      </c>
      <c r="U23" s="449">
        <v>0</v>
      </c>
      <c r="V23" s="449">
        <v>0</v>
      </c>
      <c r="W23" s="452"/>
      <c r="X23" s="452"/>
      <c r="Y23" s="452"/>
      <c r="Z23" s="452"/>
    </row>
    <row r="24" spans="1:26" x14ac:dyDescent="0.2">
      <c r="A24" s="404" t="s">
        <v>264</v>
      </c>
      <c r="B24" s="448">
        <v>0</v>
      </c>
      <c r="C24" s="448">
        <v>0</v>
      </c>
      <c r="D24" s="448">
        <v>0</v>
      </c>
      <c r="E24" s="443"/>
      <c r="F24" s="443"/>
      <c r="G24" s="448">
        <v>0</v>
      </c>
      <c r="H24" s="448">
        <v>0</v>
      </c>
      <c r="I24" s="448">
        <v>0</v>
      </c>
      <c r="J24" s="448">
        <v>0</v>
      </c>
      <c r="K24" s="448">
        <v>0</v>
      </c>
      <c r="L24" s="448">
        <v>0</v>
      </c>
      <c r="M24" s="448">
        <v>0</v>
      </c>
      <c r="N24" s="448">
        <v>0</v>
      </c>
      <c r="O24" s="448">
        <v>0</v>
      </c>
      <c r="P24" s="448">
        <v>0</v>
      </c>
      <c r="Q24" s="448">
        <v>0</v>
      </c>
      <c r="R24" s="448">
        <v>0</v>
      </c>
      <c r="S24" s="448">
        <v>0</v>
      </c>
      <c r="T24" s="407" t="e">
        <v>#DIV/0!</v>
      </c>
      <c r="U24" s="449">
        <v>0</v>
      </c>
      <c r="V24" s="449">
        <v>0</v>
      </c>
      <c r="W24" s="446"/>
      <c r="X24" s="446"/>
      <c r="Y24" s="446"/>
      <c r="Z24" s="446"/>
    </row>
    <row r="25" spans="1:26" ht="24" x14ac:dyDescent="0.2">
      <c r="A25" s="409" t="s">
        <v>265</v>
      </c>
      <c r="B25" s="292">
        <v>0</v>
      </c>
      <c r="C25" s="292">
        <v>0</v>
      </c>
      <c r="D25" s="292">
        <v>0</v>
      </c>
      <c r="E25" s="446"/>
      <c r="F25" s="446"/>
      <c r="G25" s="292">
        <v>0</v>
      </c>
      <c r="H25" s="292">
        <v>0</v>
      </c>
      <c r="I25" s="292">
        <v>0</v>
      </c>
      <c r="J25" s="292">
        <v>0</v>
      </c>
      <c r="K25" s="292">
        <v>0</v>
      </c>
      <c r="L25" s="292">
        <v>0</v>
      </c>
      <c r="M25" s="292">
        <v>0</v>
      </c>
      <c r="N25" s="292">
        <v>0</v>
      </c>
      <c r="O25" s="292">
        <v>0</v>
      </c>
      <c r="P25" s="292">
        <v>0</v>
      </c>
      <c r="Q25" s="292">
        <v>0</v>
      </c>
      <c r="R25" s="292">
        <v>0</v>
      </c>
      <c r="S25" s="292">
        <v>0</v>
      </c>
      <c r="T25" s="410" t="e">
        <v>#DIV/0!</v>
      </c>
      <c r="U25" s="450">
        <v>0</v>
      </c>
      <c r="V25" s="450">
        <v>0</v>
      </c>
      <c r="W25" s="446"/>
      <c r="X25" s="446"/>
      <c r="Y25" s="446"/>
      <c r="Z25" s="446"/>
    </row>
    <row r="26" spans="1:26" ht="24" x14ac:dyDescent="0.2">
      <c r="A26" s="409" t="s">
        <v>266</v>
      </c>
      <c r="B26" s="292">
        <v>0</v>
      </c>
      <c r="C26" s="292">
        <v>0</v>
      </c>
      <c r="D26" s="292">
        <v>0</v>
      </c>
      <c r="E26" s="446"/>
      <c r="F26" s="446"/>
      <c r="G26" s="292">
        <v>0</v>
      </c>
      <c r="H26" s="292">
        <v>0</v>
      </c>
      <c r="I26" s="292">
        <v>0</v>
      </c>
      <c r="J26" s="292">
        <v>0</v>
      </c>
      <c r="K26" s="292">
        <v>0</v>
      </c>
      <c r="L26" s="292">
        <v>0</v>
      </c>
      <c r="M26" s="292">
        <v>0</v>
      </c>
      <c r="N26" s="292">
        <v>0</v>
      </c>
      <c r="O26" s="292">
        <v>0</v>
      </c>
      <c r="P26" s="292">
        <v>0</v>
      </c>
      <c r="Q26" s="292">
        <v>0</v>
      </c>
      <c r="R26" s="292">
        <v>0</v>
      </c>
      <c r="S26" s="292">
        <v>0</v>
      </c>
      <c r="T26" s="410" t="e">
        <v>#DIV/0!</v>
      </c>
      <c r="U26" s="450">
        <v>0</v>
      </c>
      <c r="V26" s="450">
        <v>0</v>
      </c>
      <c r="W26" s="446"/>
      <c r="X26" s="446"/>
      <c r="Y26" s="446"/>
      <c r="Z26" s="446"/>
    </row>
    <row r="27" spans="1:26" x14ac:dyDescent="0.2">
      <c r="A27" s="409" t="s">
        <v>267</v>
      </c>
      <c r="B27" s="292">
        <v>0</v>
      </c>
      <c r="C27" s="292">
        <v>0</v>
      </c>
      <c r="D27" s="292">
        <v>0</v>
      </c>
      <c r="E27" s="446"/>
      <c r="F27" s="446"/>
      <c r="G27" s="292">
        <v>0</v>
      </c>
      <c r="H27" s="292">
        <v>0</v>
      </c>
      <c r="I27" s="292">
        <v>0</v>
      </c>
      <c r="J27" s="292">
        <v>0</v>
      </c>
      <c r="K27" s="292">
        <v>0</v>
      </c>
      <c r="L27" s="292">
        <v>0</v>
      </c>
      <c r="M27" s="292">
        <v>0</v>
      </c>
      <c r="N27" s="292">
        <v>0</v>
      </c>
      <c r="O27" s="292">
        <v>0</v>
      </c>
      <c r="P27" s="292">
        <v>0</v>
      </c>
      <c r="Q27" s="292">
        <v>0</v>
      </c>
      <c r="R27" s="292">
        <v>0</v>
      </c>
      <c r="S27" s="292">
        <v>0</v>
      </c>
      <c r="T27" s="410" t="e">
        <v>#DIV/0!</v>
      </c>
      <c r="U27" s="450">
        <v>0</v>
      </c>
      <c r="V27" s="450">
        <v>0</v>
      </c>
      <c r="W27" s="446"/>
      <c r="X27" s="446"/>
      <c r="Y27" s="446"/>
      <c r="Z27" s="446"/>
    </row>
    <row r="28" spans="1:26" x14ac:dyDescent="0.2">
      <c r="A28" s="409" t="s">
        <v>268</v>
      </c>
      <c r="B28" s="292">
        <v>0</v>
      </c>
      <c r="C28" s="292">
        <v>0</v>
      </c>
      <c r="D28" s="292">
        <v>0</v>
      </c>
      <c r="E28" s="446"/>
      <c r="F28" s="446"/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  <c r="M28" s="292">
        <v>0</v>
      </c>
      <c r="N28" s="292">
        <v>0</v>
      </c>
      <c r="O28" s="292">
        <v>0</v>
      </c>
      <c r="P28" s="292">
        <v>0</v>
      </c>
      <c r="Q28" s="292">
        <v>0</v>
      </c>
      <c r="R28" s="292">
        <v>0</v>
      </c>
      <c r="S28" s="292">
        <v>0</v>
      </c>
      <c r="T28" s="410" t="e">
        <v>#DIV/0!</v>
      </c>
      <c r="U28" s="450">
        <v>0</v>
      </c>
      <c r="V28" s="450">
        <v>0</v>
      </c>
      <c r="W28" s="446"/>
      <c r="X28" s="446"/>
      <c r="Y28" s="446"/>
      <c r="Z28" s="446"/>
    </row>
    <row r="29" spans="1:26" x14ac:dyDescent="0.2">
      <c r="A29" s="441" t="s">
        <v>269</v>
      </c>
      <c r="B29" s="442">
        <v>0</v>
      </c>
      <c r="C29" s="442">
        <v>0</v>
      </c>
      <c r="D29" s="442">
        <v>0</v>
      </c>
      <c r="E29" s="443"/>
      <c r="F29" s="443"/>
      <c r="G29" s="442">
        <v>0</v>
      </c>
      <c r="H29" s="442">
        <v>0</v>
      </c>
      <c r="I29" s="442">
        <v>0</v>
      </c>
      <c r="J29" s="442">
        <v>0</v>
      </c>
      <c r="K29" s="442">
        <v>0</v>
      </c>
      <c r="L29" s="442">
        <v>0</v>
      </c>
      <c r="M29" s="442">
        <v>0</v>
      </c>
      <c r="N29" s="442">
        <v>0</v>
      </c>
      <c r="O29" s="442">
        <v>0</v>
      </c>
      <c r="P29" s="442">
        <v>0</v>
      </c>
      <c r="Q29" s="442">
        <v>0</v>
      </c>
      <c r="R29" s="442">
        <v>0</v>
      </c>
      <c r="S29" s="442">
        <v>0</v>
      </c>
      <c r="T29" s="444" t="e">
        <v>#DIV/0!</v>
      </c>
      <c r="U29" s="445">
        <v>0</v>
      </c>
      <c r="V29" s="445">
        <v>0</v>
      </c>
      <c r="W29" s="446"/>
      <c r="X29" s="446"/>
      <c r="Y29" s="446"/>
      <c r="Z29" s="446"/>
    </row>
    <row r="30" spans="1:26" x14ac:dyDescent="0.2">
      <c r="A30" s="404" t="s">
        <v>270</v>
      </c>
      <c r="B30" s="448">
        <v>0</v>
      </c>
      <c r="C30" s="448">
        <v>0</v>
      </c>
      <c r="D30" s="448">
        <v>0</v>
      </c>
      <c r="E30" s="443"/>
      <c r="F30" s="443"/>
      <c r="G30" s="448">
        <v>0</v>
      </c>
      <c r="H30" s="448">
        <v>0</v>
      </c>
      <c r="I30" s="448">
        <v>0</v>
      </c>
      <c r="J30" s="448">
        <v>0</v>
      </c>
      <c r="K30" s="448">
        <v>0</v>
      </c>
      <c r="L30" s="448">
        <v>0</v>
      </c>
      <c r="M30" s="448">
        <v>0</v>
      </c>
      <c r="N30" s="448">
        <v>0</v>
      </c>
      <c r="O30" s="448">
        <v>0</v>
      </c>
      <c r="P30" s="448">
        <v>0</v>
      </c>
      <c r="Q30" s="448">
        <v>0</v>
      </c>
      <c r="R30" s="448">
        <v>0</v>
      </c>
      <c r="S30" s="448">
        <v>0</v>
      </c>
      <c r="T30" s="407" t="e">
        <v>#DIV/0!</v>
      </c>
      <c r="U30" s="449">
        <v>0</v>
      </c>
      <c r="V30" s="449">
        <v>0</v>
      </c>
      <c r="W30" s="446"/>
      <c r="X30" s="446"/>
      <c r="Y30" s="446"/>
      <c r="Z30" s="446"/>
    </row>
    <row r="31" spans="1:26" x14ac:dyDescent="0.2">
      <c r="A31" s="409" t="s">
        <v>271</v>
      </c>
      <c r="B31" s="292">
        <v>0</v>
      </c>
      <c r="C31" s="292">
        <v>0</v>
      </c>
      <c r="D31" s="292">
        <v>0</v>
      </c>
      <c r="E31" s="446"/>
      <c r="F31" s="446"/>
      <c r="G31" s="292">
        <v>0</v>
      </c>
      <c r="H31" s="292">
        <v>0</v>
      </c>
      <c r="I31" s="292">
        <v>0</v>
      </c>
      <c r="J31" s="292">
        <v>0</v>
      </c>
      <c r="K31" s="292">
        <v>0</v>
      </c>
      <c r="L31" s="292">
        <v>0</v>
      </c>
      <c r="M31" s="292">
        <v>0</v>
      </c>
      <c r="N31" s="292">
        <v>0</v>
      </c>
      <c r="O31" s="292">
        <v>0</v>
      </c>
      <c r="P31" s="292">
        <v>0</v>
      </c>
      <c r="Q31" s="292">
        <v>0</v>
      </c>
      <c r="R31" s="292">
        <v>0</v>
      </c>
      <c r="S31" s="292">
        <v>0</v>
      </c>
      <c r="T31" s="410" t="e">
        <v>#DIV/0!</v>
      </c>
      <c r="U31" s="450">
        <v>0</v>
      </c>
      <c r="V31" s="450">
        <v>0</v>
      </c>
      <c r="W31" s="446"/>
      <c r="X31" s="446"/>
      <c r="Y31" s="446"/>
      <c r="Z31" s="446"/>
    </row>
    <row r="32" spans="1:26" x14ac:dyDescent="0.2">
      <c r="A32" s="409" t="s">
        <v>272</v>
      </c>
      <c r="B32" s="292">
        <v>0</v>
      </c>
      <c r="C32" s="292">
        <v>0</v>
      </c>
      <c r="D32" s="292">
        <v>0</v>
      </c>
      <c r="E32" s="446"/>
      <c r="F32" s="446"/>
      <c r="G32" s="292">
        <v>0</v>
      </c>
      <c r="H32" s="292">
        <v>0</v>
      </c>
      <c r="I32" s="292">
        <v>0</v>
      </c>
      <c r="J32" s="292">
        <v>0</v>
      </c>
      <c r="K32" s="292">
        <v>0</v>
      </c>
      <c r="L32" s="292">
        <v>0</v>
      </c>
      <c r="M32" s="292">
        <v>0</v>
      </c>
      <c r="N32" s="292">
        <v>0</v>
      </c>
      <c r="O32" s="292">
        <v>0</v>
      </c>
      <c r="P32" s="292">
        <v>0</v>
      </c>
      <c r="Q32" s="292">
        <v>0</v>
      </c>
      <c r="R32" s="292">
        <v>0</v>
      </c>
      <c r="S32" s="292">
        <v>0</v>
      </c>
      <c r="T32" s="410" t="e">
        <v>#DIV/0!</v>
      </c>
      <c r="U32" s="450">
        <v>0</v>
      </c>
      <c r="V32" s="450">
        <v>0</v>
      </c>
      <c r="W32" s="446"/>
      <c r="X32" s="446"/>
      <c r="Y32" s="446"/>
      <c r="Z32" s="446"/>
    </row>
    <row r="33" spans="1:26" x14ac:dyDescent="0.2">
      <c r="A33" s="409" t="s">
        <v>273</v>
      </c>
      <c r="B33" s="292">
        <v>0</v>
      </c>
      <c r="C33" s="292">
        <v>0</v>
      </c>
      <c r="D33" s="292">
        <v>0</v>
      </c>
      <c r="E33" s="446"/>
      <c r="F33" s="446"/>
      <c r="G33" s="292">
        <v>0</v>
      </c>
      <c r="H33" s="292">
        <v>0</v>
      </c>
      <c r="I33" s="292">
        <v>0</v>
      </c>
      <c r="J33" s="292">
        <v>0</v>
      </c>
      <c r="K33" s="292">
        <v>0</v>
      </c>
      <c r="L33" s="292">
        <v>0</v>
      </c>
      <c r="M33" s="292">
        <v>0</v>
      </c>
      <c r="N33" s="292">
        <v>0</v>
      </c>
      <c r="O33" s="292">
        <v>0</v>
      </c>
      <c r="P33" s="292">
        <v>0</v>
      </c>
      <c r="Q33" s="292">
        <v>0</v>
      </c>
      <c r="R33" s="292">
        <v>0</v>
      </c>
      <c r="S33" s="292">
        <v>0</v>
      </c>
      <c r="T33" s="410" t="e">
        <v>#DIV/0!</v>
      </c>
      <c r="U33" s="450">
        <v>0</v>
      </c>
      <c r="V33" s="450">
        <v>0</v>
      </c>
      <c r="W33" s="446"/>
      <c r="X33" s="446"/>
      <c r="Y33" s="446"/>
      <c r="Z33" s="446"/>
    </row>
    <row r="34" spans="1:26" x14ac:dyDescent="0.2">
      <c r="A34" s="409" t="s">
        <v>274</v>
      </c>
      <c r="B34" s="292">
        <v>0</v>
      </c>
      <c r="C34" s="292">
        <v>0</v>
      </c>
      <c r="D34" s="292">
        <v>0</v>
      </c>
      <c r="E34" s="446"/>
      <c r="F34" s="446"/>
      <c r="G34" s="292">
        <v>0</v>
      </c>
      <c r="H34" s="292">
        <v>0</v>
      </c>
      <c r="I34" s="292">
        <v>0</v>
      </c>
      <c r="J34" s="292">
        <v>0</v>
      </c>
      <c r="K34" s="292">
        <v>0</v>
      </c>
      <c r="L34" s="292">
        <v>0</v>
      </c>
      <c r="M34" s="292">
        <v>0</v>
      </c>
      <c r="N34" s="292">
        <v>0</v>
      </c>
      <c r="O34" s="292">
        <v>0</v>
      </c>
      <c r="P34" s="292">
        <v>0</v>
      </c>
      <c r="Q34" s="292">
        <v>0</v>
      </c>
      <c r="R34" s="292">
        <v>0</v>
      </c>
      <c r="S34" s="292">
        <v>0</v>
      </c>
      <c r="T34" s="410" t="e">
        <v>#DIV/0!</v>
      </c>
      <c r="U34" s="450">
        <v>0</v>
      </c>
      <c r="V34" s="450">
        <v>0</v>
      </c>
      <c r="W34" s="446"/>
      <c r="X34" s="446"/>
      <c r="Y34" s="446"/>
      <c r="Z34" s="446"/>
    </row>
    <row r="35" spans="1:26" x14ac:dyDescent="0.2">
      <c r="A35" s="409" t="s">
        <v>275</v>
      </c>
      <c r="B35" s="292">
        <v>0</v>
      </c>
      <c r="C35" s="292">
        <v>0</v>
      </c>
      <c r="D35" s="292">
        <v>0</v>
      </c>
      <c r="E35" s="446"/>
      <c r="F35" s="446"/>
      <c r="G35" s="292">
        <v>0</v>
      </c>
      <c r="H35" s="292">
        <v>0</v>
      </c>
      <c r="I35" s="292">
        <v>0</v>
      </c>
      <c r="J35" s="292">
        <v>0</v>
      </c>
      <c r="K35" s="292">
        <v>0</v>
      </c>
      <c r="L35" s="292">
        <v>0</v>
      </c>
      <c r="M35" s="292">
        <v>0</v>
      </c>
      <c r="N35" s="292">
        <v>0</v>
      </c>
      <c r="O35" s="292">
        <v>0</v>
      </c>
      <c r="P35" s="292">
        <v>0</v>
      </c>
      <c r="Q35" s="292">
        <v>0</v>
      </c>
      <c r="R35" s="292">
        <v>0</v>
      </c>
      <c r="S35" s="292">
        <v>0</v>
      </c>
      <c r="T35" s="410" t="e">
        <v>#DIV/0!</v>
      </c>
      <c r="U35" s="450">
        <v>0</v>
      </c>
      <c r="V35" s="450">
        <v>0</v>
      </c>
      <c r="W35" s="446"/>
      <c r="X35" s="446"/>
      <c r="Y35" s="446"/>
      <c r="Z35" s="446"/>
    </row>
    <row r="36" spans="1:26" x14ac:dyDescent="0.2">
      <c r="A36" s="409" t="s">
        <v>276</v>
      </c>
      <c r="B36" s="292">
        <v>0</v>
      </c>
      <c r="C36" s="292">
        <v>0</v>
      </c>
      <c r="D36" s="292">
        <v>0</v>
      </c>
      <c r="E36" s="446"/>
      <c r="F36" s="446"/>
      <c r="G36" s="292">
        <v>0</v>
      </c>
      <c r="H36" s="292">
        <v>0</v>
      </c>
      <c r="I36" s="292">
        <v>0</v>
      </c>
      <c r="J36" s="292">
        <v>0</v>
      </c>
      <c r="K36" s="292">
        <v>0</v>
      </c>
      <c r="L36" s="292">
        <v>0</v>
      </c>
      <c r="M36" s="292">
        <v>0</v>
      </c>
      <c r="N36" s="292">
        <v>0</v>
      </c>
      <c r="O36" s="292">
        <v>0</v>
      </c>
      <c r="P36" s="292">
        <v>0</v>
      </c>
      <c r="Q36" s="292">
        <v>0</v>
      </c>
      <c r="R36" s="292">
        <v>0</v>
      </c>
      <c r="S36" s="292">
        <v>0</v>
      </c>
      <c r="T36" s="410" t="e">
        <v>#DIV/0!</v>
      </c>
      <c r="U36" s="450">
        <v>0</v>
      </c>
      <c r="V36" s="450">
        <v>0</v>
      </c>
      <c r="W36" s="446"/>
      <c r="X36" s="446"/>
      <c r="Y36" s="446"/>
      <c r="Z36" s="446"/>
    </row>
    <row r="37" spans="1:26" x14ac:dyDescent="0.2">
      <c r="A37" s="409" t="s">
        <v>277</v>
      </c>
      <c r="B37" s="292">
        <v>0</v>
      </c>
      <c r="C37" s="292">
        <v>0</v>
      </c>
      <c r="D37" s="292">
        <v>0</v>
      </c>
      <c r="E37" s="446"/>
      <c r="F37" s="446"/>
      <c r="G37" s="292">
        <v>0</v>
      </c>
      <c r="H37" s="292">
        <v>0</v>
      </c>
      <c r="I37" s="292">
        <v>0</v>
      </c>
      <c r="J37" s="292">
        <v>0</v>
      </c>
      <c r="K37" s="292">
        <v>0</v>
      </c>
      <c r="L37" s="292">
        <v>0</v>
      </c>
      <c r="M37" s="292">
        <v>0</v>
      </c>
      <c r="N37" s="292">
        <v>0</v>
      </c>
      <c r="O37" s="292">
        <v>0</v>
      </c>
      <c r="P37" s="292">
        <v>0</v>
      </c>
      <c r="Q37" s="292">
        <v>0</v>
      </c>
      <c r="R37" s="292">
        <v>0</v>
      </c>
      <c r="S37" s="292">
        <v>0</v>
      </c>
      <c r="T37" s="410" t="e">
        <v>#DIV/0!</v>
      </c>
      <c r="U37" s="450">
        <v>0</v>
      </c>
      <c r="V37" s="450">
        <v>0</v>
      </c>
      <c r="W37" s="446"/>
      <c r="X37" s="446"/>
      <c r="Y37" s="446"/>
      <c r="Z37" s="446"/>
    </row>
    <row r="38" spans="1:26" x14ac:dyDescent="0.2">
      <c r="A38" s="409" t="s">
        <v>278</v>
      </c>
      <c r="B38" s="292">
        <v>0</v>
      </c>
      <c r="C38" s="292">
        <v>0</v>
      </c>
      <c r="D38" s="292">
        <v>0</v>
      </c>
      <c r="E38" s="446"/>
      <c r="F38" s="446"/>
      <c r="G38" s="292">
        <v>0</v>
      </c>
      <c r="H38" s="292">
        <v>0</v>
      </c>
      <c r="I38" s="292">
        <v>0</v>
      </c>
      <c r="J38" s="292">
        <v>0</v>
      </c>
      <c r="K38" s="292">
        <v>0</v>
      </c>
      <c r="L38" s="292">
        <v>0</v>
      </c>
      <c r="M38" s="292">
        <v>0</v>
      </c>
      <c r="N38" s="292">
        <v>0</v>
      </c>
      <c r="O38" s="292">
        <v>0</v>
      </c>
      <c r="P38" s="292">
        <v>0</v>
      </c>
      <c r="Q38" s="292">
        <v>0</v>
      </c>
      <c r="R38" s="292">
        <v>0</v>
      </c>
      <c r="S38" s="292">
        <v>0</v>
      </c>
      <c r="T38" s="410" t="e">
        <v>#DIV/0!</v>
      </c>
      <c r="U38" s="450">
        <v>0</v>
      </c>
      <c r="V38" s="450">
        <v>0</v>
      </c>
      <c r="W38" s="446"/>
      <c r="X38" s="446"/>
      <c r="Y38" s="446"/>
      <c r="Z38" s="446"/>
    </row>
    <row r="39" spans="1:26" x14ac:dyDescent="0.2">
      <c r="A39" s="409" t="s">
        <v>279</v>
      </c>
      <c r="B39" s="292">
        <v>0</v>
      </c>
      <c r="C39" s="292">
        <v>0</v>
      </c>
      <c r="D39" s="292">
        <v>0</v>
      </c>
      <c r="E39" s="446"/>
      <c r="F39" s="446"/>
      <c r="G39" s="292">
        <v>0</v>
      </c>
      <c r="H39" s="292">
        <v>0</v>
      </c>
      <c r="I39" s="292">
        <v>0</v>
      </c>
      <c r="J39" s="292">
        <v>0</v>
      </c>
      <c r="K39" s="292">
        <v>0</v>
      </c>
      <c r="L39" s="292">
        <v>0</v>
      </c>
      <c r="M39" s="292">
        <v>0</v>
      </c>
      <c r="N39" s="292">
        <v>0</v>
      </c>
      <c r="O39" s="292">
        <v>0</v>
      </c>
      <c r="P39" s="292">
        <v>0</v>
      </c>
      <c r="Q39" s="292">
        <v>0</v>
      </c>
      <c r="R39" s="292">
        <v>0</v>
      </c>
      <c r="S39" s="292">
        <v>0</v>
      </c>
      <c r="T39" s="410" t="e">
        <v>#DIV/0!</v>
      </c>
      <c r="U39" s="450">
        <v>0</v>
      </c>
      <c r="V39" s="450">
        <v>0</v>
      </c>
      <c r="W39" s="446"/>
      <c r="X39" s="446"/>
      <c r="Y39" s="446"/>
      <c r="Z39" s="446"/>
    </row>
    <row r="40" spans="1:26" x14ac:dyDescent="0.2">
      <c r="A40" s="409" t="s">
        <v>280</v>
      </c>
      <c r="B40" s="292">
        <v>0</v>
      </c>
      <c r="C40" s="292">
        <v>0</v>
      </c>
      <c r="D40" s="292">
        <v>0</v>
      </c>
      <c r="E40" s="446"/>
      <c r="F40" s="446"/>
      <c r="G40" s="292">
        <v>0</v>
      </c>
      <c r="H40" s="292">
        <v>0</v>
      </c>
      <c r="I40" s="292">
        <v>0</v>
      </c>
      <c r="J40" s="292">
        <v>0</v>
      </c>
      <c r="K40" s="292">
        <v>0</v>
      </c>
      <c r="L40" s="292">
        <v>0</v>
      </c>
      <c r="M40" s="292">
        <v>0</v>
      </c>
      <c r="N40" s="292">
        <v>0</v>
      </c>
      <c r="O40" s="292">
        <v>0</v>
      </c>
      <c r="P40" s="292">
        <v>0</v>
      </c>
      <c r="Q40" s="292">
        <v>0</v>
      </c>
      <c r="R40" s="292">
        <v>0</v>
      </c>
      <c r="S40" s="292">
        <v>0</v>
      </c>
      <c r="T40" s="410" t="e">
        <v>#DIV/0!</v>
      </c>
      <c r="U40" s="450">
        <v>0</v>
      </c>
      <c r="V40" s="450">
        <v>0</v>
      </c>
      <c r="W40" s="446"/>
      <c r="X40" s="446"/>
      <c r="Y40" s="446"/>
      <c r="Z40" s="446"/>
    </row>
    <row r="41" spans="1:26" x14ac:dyDescent="0.2">
      <c r="A41" s="409" t="s">
        <v>281</v>
      </c>
      <c r="B41" s="292">
        <v>0</v>
      </c>
      <c r="C41" s="292">
        <v>0</v>
      </c>
      <c r="D41" s="292">
        <v>0</v>
      </c>
      <c r="E41" s="446"/>
      <c r="F41" s="446"/>
      <c r="G41" s="292">
        <v>0</v>
      </c>
      <c r="H41" s="292">
        <v>0</v>
      </c>
      <c r="I41" s="292">
        <v>0</v>
      </c>
      <c r="J41" s="292">
        <v>0</v>
      </c>
      <c r="K41" s="292">
        <v>0</v>
      </c>
      <c r="L41" s="292">
        <v>0</v>
      </c>
      <c r="M41" s="292">
        <v>0</v>
      </c>
      <c r="N41" s="292">
        <v>0</v>
      </c>
      <c r="O41" s="292">
        <v>0</v>
      </c>
      <c r="P41" s="292">
        <v>0</v>
      </c>
      <c r="Q41" s="292">
        <v>0</v>
      </c>
      <c r="R41" s="292">
        <v>0</v>
      </c>
      <c r="S41" s="292">
        <v>0</v>
      </c>
      <c r="T41" s="410" t="e">
        <v>#DIV/0!</v>
      </c>
      <c r="U41" s="450">
        <v>0</v>
      </c>
      <c r="V41" s="450">
        <v>0</v>
      </c>
      <c r="W41" s="446"/>
      <c r="X41" s="446"/>
      <c r="Y41" s="446"/>
      <c r="Z41" s="446"/>
    </row>
    <row r="42" spans="1:26" x14ac:dyDescent="0.2">
      <c r="A42" s="409" t="s">
        <v>282</v>
      </c>
      <c r="B42" s="292">
        <v>0</v>
      </c>
      <c r="C42" s="292">
        <v>0</v>
      </c>
      <c r="D42" s="292">
        <v>0</v>
      </c>
      <c r="E42" s="446"/>
      <c r="F42" s="446"/>
      <c r="G42" s="292">
        <v>0</v>
      </c>
      <c r="H42" s="292">
        <v>0</v>
      </c>
      <c r="I42" s="292">
        <v>0</v>
      </c>
      <c r="J42" s="292">
        <v>0</v>
      </c>
      <c r="K42" s="292">
        <v>0</v>
      </c>
      <c r="L42" s="292">
        <v>0</v>
      </c>
      <c r="M42" s="292">
        <v>0</v>
      </c>
      <c r="N42" s="292">
        <v>0</v>
      </c>
      <c r="O42" s="292">
        <v>0</v>
      </c>
      <c r="P42" s="292">
        <v>0</v>
      </c>
      <c r="Q42" s="292">
        <v>0</v>
      </c>
      <c r="R42" s="292">
        <v>0</v>
      </c>
      <c r="S42" s="292">
        <v>0</v>
      </c>
      <c r="T42" s="410" t="e">
        <v>#DIV/0!</v>
      </c>
      <c r="U42" s="450">
        <v>0</v>
      </c>
      <c r="V42" s="450">
        <v>0</v>
      </c>
      <c r="W42" s="446"/>
      <c r="X42" s="446"/>
      <c r="Y42" s="446"/>
      <c r="Z42" s="446"/>
    </row>
    <row r="43" spans="1:26" x14ac:dyDescent="0.2">
      <c r="A43" s="409" t="s">
        <v>283</v>
      </c>
      <c r="B43" s="292">
        <v>0</v>
      </c>
      <c r="C43" s="292">
        <v>0</v>
      </c>
      <c r="D43" s="292">
        <v>0</v>
      </c>
      <c r="E43" s="446"/>
      <c r="F43" s="446"/>
      <c r="G43" s="292">
        <v>0</v>
      </c>
      <c r="H43" s="292">
        <v>0</v>
      </c>
      <c r="I43" s="292">
        <v>0</v>
      </c>
      <c r="J43" s="292">
        <v>0</v>
      </c>
      <c r="K43" s="292">
        <v>0</v>
      </c>
      <c r="L43" s="292">
        <v>0</v>
      </c>
      <c r="M43" s="292">
        <v>0</v>
      </c>
      <c r="N43" s="292">
        <v>0</v>
      </c>
      <c r="O43" s="292">
        <v>0</v>
      </c>
      <c r="P43" s="292">
        <v>0</v>
      </c>
      <c r="Q43" s="292">
        <v>0</v>
      </c>
      <c r="R43" s="292">
        <v>0</v>
      </c>
      <c r="S43" s="292">
        <v>0</v>
      </c>
      <c r="T43" s="410" t="e">
        <v>#DIV/0!</v>
      </c>
      <c r="U43" s="450">
        <v>0</v>
      </c>
      <c r="V43" s="450">
        <v>0</v>
      </c>
      <c r="W43" s="446"/>
      <c r="X43" s="446"/>
      <c r="Y43" s="446"/>
      <c r="Z43" s="446"/>
    </row>
    <row r="44" spans="1:26" x14ac:dyDescent="0.2">
      <c r="A44" s="409" t="s">
        <v>284</v>
      </c>
      <c r="B44" s="292">
        <v>0</v>
      </c>
      <c r="C44" s="292">
        <v>0</v>
      </c>
      <c r="D44" s="292">
        <v>0</v>
      </c>
      <c r="E44" s="446"/>
      <c r="F44" s="446"/>
      <c r="G44" s="292">
        <v>0</v>
      </c>
      <c r="H44" s="292">
        <v>0</v>
      </c>
      <c r="I44" s="292">
        <v>0</v>
      </c>
      <c r="J44" s="292">
        <v>0</v>
      </c>
      <c r="K44" s="292">
        <v>0</v>
      </c>
      <c r="L44" s="292">
        <v>0</v>
      </c>
      <c r="M44" s="292">
        <v>0</v>
      </c>
      <c r="N44" s="292">
        <v>0</v>
      </c>
      <c r="O44" s="292">
        <v>0</v>
      </c>
      <c r="P44" s="292">
        <v>0</v>
      </c>
      <c r="Q44" s="292">
        <v>0</v>
      </c>
      <c r="R44" s="292">
        <v>0</v>
      </c>
      <c r="S44" s="292">
        <v>0</v>
      </c>
      <c r="T44" s="410" t="e">
        <v>#DIV/0!</v>
      </c>
      <c r="U44" s="450">
        <v>0</v>
      </c>
      <c r="V44" s="450">
        <v>0</v>
      </c>
      <c r="W44" s="446"/>
      <c r="X44" s="446"/>
      <c r="Y44" s="446"/>
      <c r="Z44" s="446"/>
    </row>
    <row r="45" spans="1:26" x14ac:dyDescent="0.2">
      <c r="A45" s="409" t="s">
        <v>285</v>
      </c>
      <c r="B45" s="292">
        <v>0</v>
      </c>
      <c r="C45" s="292">
        <v>0</v>
      </c>
      <c r="D45" s="292">
        <v>0</v>
      </c>
      <c r="E45" s="446"/>
      <c r="F45" s="446"/>
      <c r="G45" s="292">
        <v>0</v>
      </c>
      <c r="H45" s="292">
        <v>0</v>
      </c>
      <c r="I45" s="292">
        <v>0</v>
      </c>
      <c r="J45" s="292">
        <v>0</v>
      </c>
      <c r="K45" s="292">
        <v>0</v>
      </c>
      <c r="L45" s="292">
        <v>0</v>
      </c>
      <c r="M45" s="292">
        <v>0</v>
      </c>
      <c r="N45" s="292">
        <v>0</v>
      </c>
      <c r="O45" s="292">
        <v>0</v>
      </c>
      <c r="P45" s="292">
        <v>0</v>
      </c>
      <c r="Q45" s="292">
        <v>0</v>
      </c>
      <c r="R45" s="292">
        <v>0</v>
      </c>
      <c r="S45" s="292">
        <v>0</v>
      </c>
      <c r="T45" s="410" t="e">
        <v>#DIV/0!</v>
      </c>
      <c r="U45" s="450">
        <v>0</v>
      </c>
      <c r="V45" s="450">
        <v>0</v>
      </c>
      <c r="W45" s="446"/>
      <c r="X45" s="446"/>
      <c r="Y45" s="446"/>
      <c r="Z45" s="446"/>
    </row>
    <row r="46" spans="1:26" x14ac:dyDescent="0.2">
      <c r="A46" s="409" t="s">
        <v>286</v>
      </c>
      <c r="B46" s="292">
        <v>0</v>
      </c>
      <c r="C46" s="292">
        <v>0</v>
      </c>
      <c r="D46" s="292">
        <v>0</v>
      </c>
      <c r="E46" s="446"/>
      <c r="F46" s="446"/>
      <c r="G46" s="292">
        <v>0</v>
      </c>
      <c r="H46" s="292">
        <v>0</v>
      </c>
      <c r="I46" s="292">
        <v>0</v>
      </c>
      <c r="J46" s="292">
        <v>0</v>
      </c>
      <c r="K46" s="292">
        <v>0</v>
      </c>
      <c r="L46" s="292">
        <v>0</v>
      </c>
      <c r="M46" s="292">
        <v>0</v>
      </c>
      <c r="N46" s="292">
        <v>0</v>
      </c>
      <c r="O46" s="292">
        <v>0</v>
      </c>
      <c r="P46" s="292">
        <v>0</v>
      </c>
      <c r="Q46" s="292">
        <v>0</v>
      </c>
      <c r="R46" s="292">
        <v>0</v>
      </c>
      <c r="S46" s="292">
        <v>0</v>
      </c>
      <c r="T46" s="410" t="e">
        <v>#DIV/0!</v>
      </c>
      <c r="U46" s="450">
        <v>0</v>
      </c>
      <c r="V46" s="450">
        <v>0</v>
      </c>
      <c r="W46" s="446"/>
      <c r="X46" s="446"/>
      <c r="Y46" s="446"/>
      <c r="Z46" s="446"/>
    </row>
    <row r="47" spans="1:26" x14ac:dyDescent="0.2">
      <c r="A47" s="409" t="s">
        <v>287</v>
      </c>
      <c r="B47" s="292">
        <v>0</v>
      </c>
      <c r="C47" s="292">
        <v>0</v>
      </c>
      <c r="D47" s="292">
        <v>0</v>
      </c>
      <c r="E47" s="446"/>
      <c r="F47" s="446"/>
      <c r="G47" s="292">
        <v>0</v>
      </c>
      <c r="H47" s="292">
        <v>0</v>
      </c>
      <c r="I47" s="292">
        <v>0</v>
      </c>
      <c r="J47" s="292">
        <v>0</v>
      </c>
      <c r="K47" s="292">
        <v>0</v>
      </c>
      <c r="L47" s="292">
        <v>0</v>
      </c>
      <c r="M47" s="292">
        <v>0</v>
      </c>
      <c r="N47" s="292">
        <v>0</v>
      </c>
      <c r="O47" s="292">
        <v>0</v>
      </c>
      <c r="P47" s="292">
        <v>0</v>
      </c>
      <c r="Q47" s="292">
        <v>0</v>
      </c>
      <c r="R47" s="292">
        <v>0</v>
      </c>
      <c r="S47" s="292">
        <v>0</v>
      </c>
      <c r="T47" s="410" t="e">
        <v>#DIV/0!</v>
      </c>
      <c r="U47" s="450">
        <v>0</v>
      </c>
      <c r="V47" s="450">
        <v>0</v>
      </c>
      <c r="W47" s="446"/>
      <c r="X47" s="446"/>
      <c r="Y47" s="446"/>
      <c r="Z47" s="446"/>
    </row>
    <row r="48" spans="1:26" x14ac:dyDescent="0.2">
      <c r="A48" s="409" t="s">
        <v>288</v>
      </c>
      <c r="B48" s="292">
        <v>0</v>
      </c>
      <c r="C48" s="292">
        <v>0</v>
      </c>
      <c r="D48" s="292">
        <v>0</v>
      </c>
      <c r="E48" s="446"/>
      <c r="F48" s="446"/>
      <c r="G48" s="292">
        <v>0</v>
      </c>
      <c r="H48" s="292">
        <v>0</v>
      </c>
      <c r="I48" s="292">
        <v>0</v>
      </c>
      <c r="J48" s="292">
        <v>0</v>
      </c>
      <c r="K48" s="292">
        <v>0</v>
      </c>
      <c r="L48" s="292">
        <v>0</v>
      </c>
      <c r="M48" s="292">
        <v>0</v>
      </c>
      <c r="N48" s="292">
        <v>0</v>
      </c>
      <c r="O48" s="292">
        <v>0</v>
      </c>
      <c r="P48" s="292">
        <v>0</v>
      </c>
      <c r="Q48" s="292">
        <v>0</v>
      </c>
      <c r="R48" s="292">
        <v>0</v>
      </c>
      <c r="S48" s="292">
        <v>0</v>
      </c>
      <c r="T48" s="410" t="e">
        <v>#DIV/0!</v>
      </c>
      <c r="U48" s="450">
        <v>0</v>
      </c>
      <c r="V48" s="450">
        <v>0</v>
      </c>
      <c r="W48" s="446"/>
      <c r="X48" s="446"/>
      <c r="Y48" s="446"/>
      <c r="Z48" s="446"/>
    </row>
    <row r="49" spans="1:26" x14ac:dyDescent="0.2">
      <c r="A49" s="404" t="s">
        <v>289</v>
      </c>
      <c r="B49" s="448">
        <v>0</v>
      </c>
      <c r="C49" s="448">
        <v>0</v>
      </c>
      <c r="D49" s="448">
        <v>0</v>
      </c>
      <c r="E49" s="443"/>
      <c r="F49" s="443"/>
      <c r="G49" s="448">
        <v>0</v>
      </c>
      <c r="H49" s="448">
        <v>0</v>
      </c>
      <c r="I49" s="448">
        <v>0</v>
      </c>
      <c r="J49" s="448">
        <v>0</v>
      </c>
      <c r="K49" s="448">
        <v>0</v>
      </c>
      <c r="L49" s="448">
        <v>0</v>
      </c>
      <c r="M49" s="448">
        <v>0</v>
      </c>
      <c r="N49" s="448">
        <v>0</v>
      </c>
      <c r="O49" s="448">
        <v>0</v>
      </c>
      <c r="P49" s="448">
        <v>0</v>
      </c>
      <c r="Q49" s="448">
        <v>0</v>
      </c>
      <c r="R49" s="448">
        <v>0</v>
      </c>
      <c r="S49" s="448">
        <v>0</v>
      </c>
      <c r="T49" s="407" t="e">
        <v>#DIV/0!</v>
      </c>
      <c r="U49" s="449">
        <v>0</v>
      </c>
      <c r="V49" s="449">
        <v>0</v>
      </c>
      <c r="W49" s="446"/>
      <c r="X49" s="446"/>
      <c r="Y49" s="446"/>
      <c r="Z49" s="446"/>
    </row>
    <row r="50" spans="1:26" x14ac:dyDescent="0.2">
      <c r="A50" s="409" t="s">
        <v>290</v>
      </c>
      <c r="B50" s="292">
        <v>0</v>
      </c>
      <c r="C50" s="292">
        <v>0</v>
      </c>
      <c r="D50" s="292">
        <v>0</v>
      </c>
      <c r="E50" s="446"/>
      <c r="F50" s="446"/>
      <c r="G50" s="292">
        <v>0</v>
      </c>
      <c r="H50" s="292">
        <v>0</v>
      </c>
      <c r="I50" s="292">
        <v>0</v>
      </c>
      <c r="J50" s="292">
        <v>0</v>
      </c>
      <c r="K50" s="292">
        <v>0</v>
      </c>
      <c r="L50" s="292">
        <v>0</v>
      </c>
      <c r="M50" s="292">
        <v>0</v>
      </c>
      <c r="N50" s="292">
        <v>0</v>
      </c>
      <c r="O50" s="292">
        <v>0</v>
      </c>
      <c r="P50" s="292">
        <v>0</v>
      </c>
      <c r="Q50" s="292">
        <v>0</v>
      </c>
      <c r="R50" s="292">
        <v>0</v>
      </c>
      <c r="S50" s="292">
        <v>0</v>
      </c>
      <c r="T50" s="410" t="e">
        <v>#DIV/0!</v>
      </c>
      <c r="U50" s="450">
        <v>0</v>
      </c>
      <c r="V50" s="450">
        <v>0</v>
      </c>
      <c r="W50" s="446"/>
      <c r="X50" s="446"/>
      <c r="Y50" s="446"/>
      <c r="Z50" s="446"/>
    </row>
    <row r="51" spans="1:26" x14ac:dyDescent="0.2">
      <c r="A51" s="409" t="s">
        <v>291</v>
      </c>
      <c r="B51" s="292">
        <v>0</v>
      </c>
      <c r="C51" s="292">
        <v>0</v>
      </c>
      <c r="D51" s="292">
        <v>0</v>
      </c>
      <c r="E51" s="446"/>
      <c r="F51" s="446"/>
      <c r="G51" s="292">
        <v>0</v>
      </c>
      <c r="H51" s="292">
        <v>0</v>
      </c>
      <c r="I51" s="292">
        <v>0</v>
      </c>
      <c r="J51" s="292">
        <v>0</v>
      </c>
      <c r="K51" s="292">
        <v>0</v>
      </c>
      <c r="L51" s="292">
        <v>0</v>
      </c>
      <c r="M51" s="292">
        <v>0</v>
      </c>
      <c r="N51" s="292">
        <v>0</v>
      </c>
      <c r="O51" s="292">
        <v>0</v>
      </c>
      <c r="P51" s="292">
        <v>0</v>
      </c>
      <c r="Q51" s="292">
        <v>0</v>
      </c>
      <c r="R51" s="292">
        <v>0</v>
      </c>
      <c r="S51" s="292">
        <v>0</v>
      </c>
      <c r="T51" s="410" t="e">
        <v>#DIV/0!</v>
      </c>
      <c r="U51" s="450">
        <v>0</v>
      </c>
      <c r="V51" s="450">
        <v>0</v>
      </c>
      <c r="W51" s="446"/>
      <c r="X51" s="446"/>
      <c r="Y51" s="446"/>
      <c r="Z51" s="446"/>
    </row>
    <row r="52" spans="1:26" x14ac:dyDescent="0.2">
      <c r="A52" s="409" t="s">
        <v>292</v>
      </c>
      <c r="B52" s="292">
        <v>0</v>
      </c>
      <c r="C52" s="292">
        <v>0</v>
      </c>
      <c r="D52" s="292">
        <v>0</v>
      </c>
      <c r="E52" s="446"/>
      <c r="F52" s="446"/>
      <c r="G52" s="292">
        <v>0</v>
      </c>
      <c r="H52" s="292">
        <v>0</v>
      </c>
      <c r="I52" s="292">
        <v>0</v>
      </c>
      <c r="J52" s="292">
        <v>0</v>
      </c>
      <c r="K52" s="292">
        <v>0</v>
      </c>
      <c r="L52" s="292">
        <v>0</v>
      </c>
      <c r="M52" s="292">
        <v>0</v>
      </c>
      <c r="N52" s="292">
        <v>0</v>
      </c>
      <c r="O52" s="292">
        <v>0</v>
      </c>
      <c r="P52" s="292">
        <v>0</v>
      </c>
      <c r="Q52" s="292">
        <v>0</v>
      </c>
      <c r="R52" s="292">
        <v>0</v>
      </c>
      <c r="S52" s="292">
        <v>0</v>
      </c>
      <c r="T52" s="410" t="e">
        <v>#DIV/0!</v>
      </c>
      <c r="U52" s="450">
        <v>0</v>
      </c>
      <c r="V52" s="450">
        <v>0</v>
      </c>
      <c r="W52" s="446"/>
      <c r="X52" s="446"/>
      <c r="Y52" s="446"/>
      <c r="Z52" s="446"/>
    </row>
    <row r="53" spans="1:26" x14ac:dyDescent="0.2">
      <c r="A53" s="409" t="s">
        <v>293</v>
      </c>
      <c r="B53" s="292">
        <v>0</v>
      </c>
      <c r="C53" s="292">
        <v>0</v>
      </c>
      <c r="D53" s="292">
        <v>0</v>
      </c>
      <c r="E53" s="446"/>
      <c r="F53" s="446"/>
      <c r="G53" s="292">
        <v>0</v>
      </c>
      <c r="H53" s="292">
        <v>0</v>
      </c>
      <c r="I53" s="292">
        <v>0</v>
      </c>
      <c r="J53" s="292">
        <v>0</v>
      </c>
      <c r="K53" s="292">
        <v>0</v>
      </c>
      <c r="L53" s="292">
        <v>0</v>
      </c>
      <c r="M53" s="292">
        <v>0</v>
      </c>
      <c r="N53" s="292">
        <v>0</v>
      </c>
      <c r="O53" s="292">
        <v>0</v>
      </c>
      <c r="P53" s="292">
        <v>0</v>
      </c>
      <c r="Q53" s="292">
        <v>0</v>
      </c>
      <c r="R53" s="292">
        <v>0</v>
      </c>
      <c r="S53" s="292">
        <v>0</v>
      </c>
      <c r="T53" s="410" t="e">
        <v>#DIV/0!</v>
      </c>
      <c r="U53" s="450">
        <v>0</v>
      </c>
      <c r="V53" s="450">
        <v>0</v>
      </c>
      <c r="W53" s="446"/>
      <c r="X53" s="446"/>
      <c r="Y53" s="446"/>
      <c r="Z53" s="446"/>
    </row>
    <row r="54" spans="1:26" x14ac:dyDescent="0.2">
      <c r="A54" s="409" t="s">
        <v>294</v>
      </c>
      <c r="B54" s="292">
        <v>0</v>
      </c>
      <c r="C54" s="292">
        <v>0</v>
      </c>
      <c r="D54" s="292">
        <v>0</v>
      </c>
      <c r="E54" s="446"/>
      <c r="F54" s="446"/>
      <c r="G54" s="292">
        <v>0</v>
      </c>
      <c r="H54" s="292">
        <v>0</v>
      </c>
      <c r="I54" s="292">
        <v>0</v>
      </c>
      <c r="J54" s="292">
        <v>0</v>
      </c>
      <c r="K54" s="292">
        <v>0</v>
      </c>
      <c r="L54" s="292">
        <v>0</v>
      </c>
      <c r="M54" s="292">
        <v>0</v>
      </c>
      <c r="N54" s="292">
        <v>0</v>
      </c>
      <c r="O54" s="292">
        <v>0</v>
      </c>
      <c r="P54" s="292">
        <v>0</v>
      </c>
      <c r="Q54" s="292">
        <v>0</v>
      </c>
      <c r="R54" s="292">
        <v>0</v>
      </c>
      <c r="S54" s="292">
        <v>0</v>
      </c>
      <c r="T54" s="410" t="e">
        <v>#DIV/0!</v>
      </c>
      <c r="U54" s="450">
        <v>0</v>
      </c>
      <c r="V54" s="450">
        <v>0</v>
      </c>
      <c r="W54" s="446"/>
      <c r="X54" s="446"/>
      <c r="Y54" s="446"/>
      <c r="Z54" s="446"/>
    </row>
    <row r="55" spans="1:26" x14ac:dyDescent="0.2">
      <c r="A55" s="409" t="s">
        <v>295</v>
      </c>
      <c r="B55" s="292">
        <v>0</v>
      </c>
      <c r="C55" s="292">
        <v>0</v>
      </c>
      <c r="D55" s="292">
        <v>0</v>
      </c>
      <c r="E55" s="446"/>
      <c r="F55" s="446"/>
      <c r="G55" s="292">
        <v>0</v>
      </c>
      <c r="H55" s="292">
        <v>0</v>
      </c>
      <c r="I55" s="292">
        <v>0</v>
      </c>
      <c r="J55" s="292">
        <v>0</v>
      </c>
      <c r="K55" s="292">
        <v>0</v>
      </c>
      <c r="L55" s="292">
        <v>0</v>
      </c>
      <c r="M55" s="292">
        <v>0</v>
      </c>
      <c r="N55" s="292">
        <v>0</v>
      </c>
      <c r="O55" s="292">
        <v>0</v>
      </c>
      <c r="P55" s="292">
        <v>0</v>
      </c>
      <c r="Q55" s="292">
        <v>0</v>
      </c>
      <c r="R55" s="292">
        <v>0</v>
      </c>
      <c r="S55" s="292">
        <v>0</v>
      </c>
      <c r="T55" s="410" t="e">
        <v>#DIV/0!</v>
      </c>
      <c r="U55" s="450">
        <v>0</v>
      </c>
      <c r="V55" s="450">
        <v>0</v>
      </c>
      <c r="W55" s="446"/>
      <c r="X55" s="446"/>
      <c r="Y55" s="446"/>
      <c r="Z55" s="446"/>
    </row>
    <row r="56" spans="1:26" x14ac:dyDescent="0.2">
      <c r="A56" s="409" t="s">
        <v>296</v>
      </c>
      <c r="B56" s="292">
        <v>0</v>
      </c>
      <c r="C56" s="292">
        <v>0</v>
      </c>
      <c r="D56" s="292">
        <v>0</v>
      </c>
      <c r="E56" s="446"/>
      <c r="F56" s="446"/>
      <c r="G56" s="292">
        <v>0</v>
      </c>
      <c r="H56" s="292">
        <v>0</v>
      </c>
      <c r="I56" s="292">
        <v>0</v>
      </c>
      <c r="J56" s="292">
        <v>0</v>
      </c>
      <c r="K56" s="292">
        <v>0</v>
      </c>
      <c r="L56" s="292">
        <v>0</v>
      </c>
      <c r="M56" s="292">
        <v>0</v>
      </c>
      <c r="N56" s="292">
        <v>0</v>
      </c>
      <c r="O56" s="292">
        <v>0</v>
      </c>
      <c r="P56" s="292">
        <v>0</v>
      </c>
      <c r="Q56" s="292">
        <v>0</v>
      </c>
      <c r="R56" s="292">
        <v>0</v>
      </c>
      <c r="S56" s="292">
        <v>0</v>
      </c>
      <c r="T56" s="410" t="e">
        <v>#DIV/0!</v>
      </c>
      <c r="U56" s="450">
        <v>0</v>
      </c>
      <c r="V56" s="450">
        <v>0</v>
      </c>
      <c r="W56" s="446"/>
      <c r="X56" s="446"/>
      <c r="Y56" s="446"/>
      <c r="Z56" s="446"/>
    </row>
    <row r="57" spans="1:26" x14ac:dyDescent="0.2">
      <c r="A57" s="441" t="s">
        <v>297</v>
      </c>
      <c r="B57" s="442">
        <v>50000</v>
      </c>
      <c r="C57" s="442">
        <v>50000</v>
      </c>
      <c r="D57" s="442">
        <v>0</v>
      </c>
      <c r="E57" s="443"/>
      <c r="F57" s="443"/>
      <c r="G57" s="442">
        <v>0</v>
      </c>
      <c r="H57" s="442">
        <v>0</v>
      </c>
      <c r="I57" s="442">
        <v>0</v>
      </c>
      <c r="J57" s="442">
        <v>0</v>
      </c>
      <c r="K57" s="442">
        <v>0</v>
      </c>
      <c r="L57" s="442">
        <v>0</v>
      </c>
      <c r="M57" s="442">
        <v>0</v>
      </c>
      <c r="N57" s="442">
        <v>0</v>
      </c>
      <c r="O57" s="442">
        <v>0</v>
      </c>
      <c r="P57" s="442">
        <v>0</v>
      </c>
      <c r="Q57" s="442">
        <v>0</v>
      </c>
      <c r="R57" s="442">
        <v>0</v>
      </c>
      <c r="S57" s="442">
        <v>0</v>
      </c>
      <c r="T57" s="444">
        <v>0</v>
      </c>
      <c r="U57" s="445">
        <v>50000</v>
      </c>
      <c r="V57" s="445">
        <v>0</v>
      </c>
      <c r="W57" s="446"/>
      <c r="X57" s="446"/>
      <c r="Y57" s="446"/>
      <c r="Z57" s="446"/>
    </row>
    <row r="58" spans="1:26" x14ac:dyDescent="0.2">
      <c r="A58" s="454" t="s">
        <v>298</v>
      </c>
      <c r="B58" s="448">
        <v>0</v>
      </c>
      <c r="C58" s="448">
        <v>0</v>
      </c>
      <c r="D58" s="448">
        <v>0</v>
      </c>
      <c r="E58" s="443"/>
      <c r="F58" s="443"/>
      <c r="G58" s="448">
        <v>0</v>
      </c>
      <c r="H58" s="448">
        <v>0</v>
      </c>
      <c r="I58" s="448">
        <v>0</v>
      </c>
      <c r="J58" s="448">
        <v>0</v>
      </c>
      <c r="K58" s="448">
        <v>0</v>
      </c>
      <c r="L58" s="448">
        <v>0</v>
      </c>
      <c r="M58" s="448">
        <v>0</v>
      </c>
      <c r="N58" s="448">
        <v>0</v>
      </c>
      <c r="O58" s="448">
        <v>0</v>
      </c>
      <c r="P58" s="448">
        <v>0</v>
      </c>
      <c r="Q58" s="448">
        <v>0</v>
      </c>
      <c r="R58" s="448">
        <v>0</v>
      </c>
      <c r="S58" s="448">
        <v>0</v>
      </c>
      <c r="T58" s="407" t="e">
        <v>#DIV/0!</v>
      </c>
      <c r="U58" s="449">
        <v>0</v>
      </c>
      <c r="V58" s="449">
        <v>0</v>
      </c>
      <c r="W58" s="446"/>
      <c r="X58" s="446"/>
      <c r="Y58" s="446"/>
      <c r="Z58" s="446"/>
    </row>
    <row r="59" spans="1:26" ht="24" x14ac:dyDescent="0.2">
      <c r="A59" s="409" t="s">
        <v>299</v>
      </c>
      <c r="B59" s="292">
        <v>0</v>
      </c>
      <c r="C59" s="292">
        <v>0</v>
      </c>
      <c r="D59" s="292">
        <v>0</v>
      </c>
      <c r="E59" s="446"/>
      <c r="F59" s="446"/>
      <c r="G59" s="292">
        <v>0</v>
      </c>
      <c r="H59" s="292">
        <v>0</v>
      </c>
      <c r="I59" s="292">
        <v>0</v>
      </c>
      <c r="J59" s="292">
        <v>0</v>
      </c>
      <c r="K59" s="292">
        <v>0</v>
      </c>
      <c r="L59" s="292">
        <v>0</v>
      </c>
      <c r="M59" s="292">
        <v>0</v>
      </c>
      <c r="N59" s="292">
        <v>0</v>
      </c>
      <c r="O59" s="292">
        <v>0</v>
      </c>
      <c r="P59" s="292">
        <v>0</v>
      </c>
      <c r="Q59" s="292">
        <v>0</v>
      </c>
      <c r="R59" s="292">
        <v>0</v>
      </c>
      <c r="S59" s="292">
        <v>0</v>
      </c>
      <c r="T59" s="410" t="e">
        <v>#DIV/0!</v>
      </c>
      <c r="U59" s="450">
        <v>0</v>
      </c>
      <c r="V59" s="450">
        <v>0</v>
      </c>
      <c r="W59" s="446"/>
      <c r="X59" s="446"/>
      <c r="Y59" s="446"/>
      <c r="Z59" s="446"/>
    </row>
    <row r="60" spans="1:26" x14ac:dyDescent="0.2">
      <c r="A60" s="409" t="s">
        <v>300</v>
      </c>
      <c r="B60" s="292">
        <v>0</v>
      </c>
      <c r="C60" s="292">
        <v>0</v>
      </c>
      <c r="D60" s="292">
        <v>0</v>
      </c>
      <c r="E60" s="446"/>
      <c r="F60" s="446"/>
      <c r="G60" s="292">
        <v>0</v>
      </c>
      <c r="H60" s="292">
        <v>0</v>
      </c>
      <c r="I60" s="292">
        <v>0</v>
      </c>
      <c r="J60" s="292">
        <v>0</v>
      </c>
      <c r="K60" s="292">
        <v>0</v>
      </c>
      <c r="L60" s="292">
        <v>0</v>
      </c>
      <c r="M60" s="292">
        <v>0</v>
      </c>
      <c r="N60" s="292">
        <v>0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410" t="e">
        <v>#DIV/0!</v>
      </c>
      <c r="U60" s="450">
        <v>0</v>
      </c>
      <c r="V60" s="450">
        <v>0</v>
      </c>
      <c r="W60" s="446"/>
      <c r="X60" s="446"/>
      <c r="Y60" s="446"/>
      <c r="Z60" s="446"/>
    </row>
    <row r="61" spans="1:26" ht="24" x14ac:dyDescent="0.2">
      <c r="A61" s="409" t="s">
        <v>301</v>
      </c>
      <c r="B61" s="292">
        <v>0</v>
      </c>
      <c r="C61" s="292">
        <v>0</v>
      </c>
      <c r="D61" s="292">
        <v>0</v>
      </c>
      <c r="E61" s="446"/>
      <c r="F61" s="446"/>
      <c r="G61" s="292">
        <v>0</v>
      </c>
      <c r="H61" s="292">
        <v>0</v>
      </c>
      <c r="I61" s="292">
        <v>0</v>
      </c>
      <c r="J61" s="292">
        <v>0</v>
      </c>
      <c r="K61" s="292">
        <v>0</v>
      </c>
      <c r="L61" s="292">
        <v>0</v>
      </c>
      <c r="M61" s="292">
        <v>0</v>
      </c>
      <c r="N61" s="292">
        <v>0</v>
      </c>
      <c r="O61" s="292">
        <v>0</v>
      </c>
      <c r="P61" s="292">
        <v>0</v>
      </c>
      <c r="Q61" s="292">
        <v>0</v>
      </c>
      <c r="R61" s="292">
        <v>0</v>
      </c>
      <c r="S61" s="292">
        <v>0</v>
      </c>
      <c r="T61" s="410" t="e">
        <v>#DIV/0!</v>
      </c>
      <c r="U61" s="450">
        <v>0</v>
      </c>
      <c r="V61" s="450">
        <v>0</v>
      </c>
      <c r="W61" s="446"/>
      <c r="X61" s="446"/>
      <c r="Y61" s="446"/>
      <c r="Z61" s="446"/>
    </row>
    <row r="62" spans="1:26" x14ac:dyDescent="0.2">
      <c r="A62" s="409" t="s">
        <v>302</v>
      </c>
      <c r="B62" s="292">
        <v>0</v>
      </c>
      <c r="C62" s="292">
        <v>0</v>
      </c>
      <c r="D62" s="292">
        <v>0</v>
      </c>
      <c r="E62" s="446"/>
      <c r="F62" s="446"/>
      <c r="G62" s="292">
        <v>0</v>
      </c>
      <c r="H62" s="292">
        <v>0</v>
      </c>
      <c r="I62" s="292">
        <v>0</v>
      </c>
      <c r="J62" s="292">
        <v>0</v>
      </c>
      <c r="K62" s="292">
        <v>0</v>
      </c>
      <c r="L62" s="292">
        <v>0</v>
      </c>
      <c r="M62" s="292">
        <v>0</v>
      </c>
      <c r="N62" s="292">
        <v>0</v>
      </c>
      <c r="O62" s="292">
        <v>0</v>
      </c>
      <c r="P62" s="292">
        <v>0</v>
      </c>
      <c r="Q62" s="292">
        <v>0</v>
      </c>
      <c r="R62" s="292">
        <v>0</v>
      </c>
      <c r="S62" s="292">
        <v>0</v>
      </c>
      <c r="T62" s="410" t="e">
        <v>#DIV/0!</v>
      </c>
      <c r="U62" s="450">
        <v>0</v>
      </c>
      <c r="V62" s="450">
        <v>0</v>
      </c>
      <c r="W62" s="446"/>
      <c r="X62" s="446"/>
      <c r="Y62" s="446"/>
      <c r="Z62" s="446"/>
    </row>
    <row r="63" spans="1:26" x14ac:dyDescent="0.2">
      <c r="A63" s="409" t="s">
        <v>303</v>
      </c>
      <c r="B63" s="292">
        <v>0</v>
      </c>
      <c r="C63" s="292">
        <v>0</v>
      </c>
      <c r="D63" s="292">
        <v>0</v>
      </c>
      <c r="E63" s="446"/>
      <c r="F63" s="446"/>
      <c r="G63" s="292">
        <v>0</v>
      </c>
      <c r="H63" s="292">
        <v>0</v>
      </c>
      <c r="I63" s="292">
        <v>0</v>
      </c>
      <c r="J63" s="292">
        <v>0</v>
      </c>
      <c r="K63" s="292">
        <v>0</v>
      </c>
      <c r="L63" s="292">
        <v>0</v>
      </c>
      <c r="M63" s="292">
        <v>0</v>
      </c>
      <c r="N63" s="292">
        <v>0</v>
      </c>
      <c r="O63" s="292">
        <v>0</v>
      </c>
      <c r="P63" s="292">
        <v>0</v>
      </c>
      <c r="Q63" s="292">
        <v>0</v>
      </c>
      <c r="R63" s="292">
        <v>0</v>
      </c>
      <c r="S63" s="292">
        <v>0</v>
      </c>
      <c r="T63" s="410" t="e">
        <v>#DIV/0!</v>
      </c>
      <c r="U63" s="450">
        <v>0</v>
      </c>
      <c r="V63" s="450">
        <v>0</v>
      </c>
      <c r="W63" s="446"/>
      <c r="X63" s="446"/>
      <c r="Y63" s="446"/>
      <c r="Z63" s="446"/>
    </row>
    <row r="64" spans="1:26" x14ac:dyDescent="0.2">
      <c r="A64" s="454" t="s">
        <v>304</v>
      </c>
      <c r="B64" s="451">
        <v>0</v>
      </c>
      <c r="C64" s="451">
        <v>0</v>
      </c>
      <c r="D64" s="451">
        <v>0</v>
      </c>
      <c r="E64" s="452"/>
      <c r="F64" s="452"/>
      <c r="G64" s="451">
        <v>0</v>
      </c>
      <c r="H64" s="451">
        <v>0</v>
      </c>
      <c r="I64" s="451">
        <v>0</v>
      </c>
      <c r="J64" s="451">
        <v>0</v>
      </c>
      <c r="K64" s="451">
        <v>0</v>
      </c>
      <c r="L64" s="451">
        <v>0</v>
      </c>
      <c r="M64" s="451">
        <v>0</v>
      </c>
      <c r="N64" s="451">
        <v>0</v>
      </c>
      <c r="O64" s="451">
        <v>0</v>
      </c>
      <c r="P64" s="451">
        <v>0</v>
      </c>
      <c r="Q64" s="451">
        <v>0</v>
      </c>
      <c r="R64" s="451">
        <v>0</v>
      </c>
      <c r="S64" s="451">
        <v>0</v>
      </c>
      <c r="T64" s="407" t="e">
        <v>#DIV/0!</v>
      </c>
      <c r="U64" s="449">
        <v>0</v>
      </c>
      <c r="V64" s="449">
        <v>0</v>
      </c>
      <c r="W64" s="452"/>
      <c r="X64" s="452"/>
      <c r="Y64" s="446"/>
      <c r="Z64" s="446"/>
    </row>
    <row r="65" spans="1:26" x14ac:dyDescent="0.2">
      <c r="A65" s="454" t="s">
        <v>305</v>
      </c>
      <c r="B65" s="451">
        <v>50000</v>
      </c>
      <c r="C65" s="451">
        <v>50000</v>
      </c>
      <c r="D65" s="451">
        <v>0</v>
      </c>
      <c r="E65" s="452"/>
      <c r="F65" s="452"/>
      <c r="G65" s="451">
        <v>0</v>
      </c>
      <c r="H65" s="451">
        <v>0</v>
      </c>
      <c r="I65" s="451">
        <v>0</v>
      </c>
      <c r="J65" s="451">
        <v>0</v>
      </c>
      <c r="K65" s="451">
        <v>0</v>
      </c>
      <c r="L65" s="451">
        <v>0</v>
      </c>
      <c r="M65" s="451">
        <v>0</v>
      </c>
      <c r="N65" s="451">
        <v>0</v>
      </c>
      <c r="O65" s="451">
        <v>0</v>
      </c>
      <c r="P65" s="451">
        <v>0</v>
      </c>
      <c r="Q65" s="451">
        <v>0</v>
      </c>
      <c r="R65" s="451">
        <v>0</v>
      </c>
      <c r="S65" s="451">
        <v>0</v>
      </c>
      <c r="T65" s="407">
        <v>0</v>
      </c>
      <c r="U65" s="449">
        <v>50000</v>
      </c>
      <c r="V65" s="449">
        <v>0</v>
      </c>
      <c r="W65" s="452"/>
      <c r="X65" s="452"/>
      <c r="Y65" s="446"/>
      <c r="Z65" s="446"/>
    </row>
    <row r="66" spans="1:26" x14ac:dyDescent="0.2">
      <c r="A66" s="454" t="s">
        <v>306</v>
      </c>
      <c r="B66" s="448">
        <v>0</v>
      </c>
      <c r="C66" s="448">
        <v>0</v>
      </c>
      <c r="D66" s="448">
        <v>0</v>
      </c>
      <c r="E66" s="443"/>
      <c r="F66" s="443"/>
      <c r="G66" s="448">
        <v>0</v>
      </c>
      <c r="H66" s="448">
        <v>0</v>
      </c>
      <c r="I66" s="448">
        <v>0</v>
      </c>
      <c r="J66" s="448">
        <v>0</v>
      </c>
      <c r="K66" s="448">
        <v>0</v>
      </c>
      <c r="L66" s="448">
        <v>0</v>
      </c>
      <c r="M66" s="448">
        <v>0</v>
      </c>
      <c r="N66" s="448">
        <v>0</v>
      </c>
      <c r="O66" s="448">
        <v>0</v>
      </c>
      <c r="P66" s="448">
        <v>0</v>
      </c>
      <c r="Q66" s="448">
        <v>0</v>
      </c>
      <c r="R66" s="448">
        <v>0</v>
      </c>
      <c r="S66" s="448">
        <v>0</v>
      </c>
      <c r="T66" s="407" t="e">
        <v>#DIV/0!</v>
      </c>
      <c r="U66" s="449">
        <v>0</v>
      </c>
      <c r="V66" s="449">
        <v>0</v>
      </c>
      <c r="W66" s="452"/>
      <c r="X66" s="452"/>
      <c r="Y66" s="446"/>
      <c r="Z66" s="446"/>
    </row>
    <row r="67" spans="1:26" x14ac:dyDescent="0.2">
      <c r="A67" s="409" t="s">
        <v>307</v>
      </c>
      <c r="B67" s="292">
        <v>0</v>
      </c>
      <c r="C67" s="292">
        <v>0</v>
      </c>
      <c r="D67" s="292">
        <v>0</v>
      </c>
      <c r="E67" s="446"/>
      <c r="F67" s="446"/>
      <c r="G67" s="292">
        <v>0</v>
      </c>
      <c r="H67" s="292">
        <v>0</v>
      </c>
      <c r="I67" s="292">
        <v>0</v>
      </c>
      <c r="J67" s="292">
        <v>0</v>
      </c>
      <c r="K67" s="292">
        <v>0</v>
      </c>
      <c r="L67" s="292">
        <v>0</v>
      </c>
      <c r="M67" s="292">
        <v>0</v>
      </c>
      <c r="N67" s="292">
        <v>0</v>
      </c>
      <c r="O67" s="292">
        <v>0</v>
      </c>
      <c r="P67" s="292">
        <v>0</v>
      </c>
      <c r="Q67" s="292">
        <v>0</v>
      </c>
      <c r="R67" s="292">
        <v>0</v>
      </c>
      <c r="S67" s="292">
        <v>0</v>
      </c>
      <c r="T67" s="410" t="e">
        <v>#DIV/0!</v>
      </c>
      <c r="U67" s="450">
        <v>0</v>
      </c>
      <c r="V67" s="450">
        <v>0</v>
      </c>
      <c r="W67" s="446"/>
      <c r="X67" s="446"/>
      <c r="Y67" s="446"/>
      <c r="Z67" s="446"/>
    </row>
    <row r="68" spans="1:26" ht="24" x14ac:dyDescent="0.2">
      <c r="A68" s="409" t="s">
        <v>308</v>
      </c>
      <c r="B68" s="292">
        <v>0</v>
      </c>
      <c r="C68" s="292">
        <v>0</v>
      </c>
      <c r="D68" s="292">
        <v>0</v>
      </c>
      <c r="E68" s="446"/>
      <c r="F68" s="446"/>
      <c r="G68" s="292">
        <v>0</v>
      </c>
      <c r="H68" s="292">
        <v>0</v>
      </c>
      <c r="I68" s="292">
        <v>0</v>
      </c>
      <c r="J68" s="292">
        <v>0</v>
      </c>
      <c r="K68" s="292">
        <v>0</v>
      </c>
      <c r="L68" s="292">
        <v>0</v>
      </c>
      <c r="M68" s="292">
        <v>0</v>
      </c>
      <c r="N68" s="292">
        <v>0</v>
      </c>
      <c r="O68" s="292">
        <v>0</v>
      </c>
      <c r="P68" s="292">
        <v>0</v>
      </c>
      <c r="Q68" s="292">
        <v>0</v>
      </c>
      <c r="R68" s="292">
        <v>0</v>
      </c>
      <c r="S68" s="292">
        <v>0</v>
      </c>
      <c r="T68" s="410" t="e">
        <v>#DIV/0!</v>
      </c>
      <c r="U68" s="450">
        <v>0</v>
      </c>
      <c r="V68" s="450">
        <v>0</v>
      </c>
      <c r="W68" s="446"/>
      <c r="X68" s="446"/>
      <c r="Y68" s="446"/>
      <c r="Z68" s="446"/>
    </row>
    <row r="69" spans="1:26" x14ac:dyDescent="0.2">
      <c r="A69" s="409" t="s">
        <v>309</v>
      </c>
      <c r="B69" s="292">
        <v>0</v>
      </c>
      <c r="C69" s="292">
        <v>0</v>
      </c>
      <c r="D69" s="292">
        <v>0</v>
      </c>
      <c r="E69" s="446"/>
      <c r="F69" s="446"/>
      <c r="G69" s="292">
        <v>0</v>
      </c>
      <c r="H69" s="292">
        <v>0</v>
      </c>
      <c r="I69" s="292">
        <v>0</v>
      </c>
      <c r="J69" s="292">
        <v>0</v>
      </c>
      <c r="K69" s="292">
        <v>0</v>
      </c>
      <c r="L69" s="292">
        <v>0</v>
      </c>
      <c r="M69" s="292">
        <v>0</v>
      </c>
      <c r="N69" s="292">
        <v>0</v>
      </c>
      <c r="O69" s="292">
        <v>0</v>
      </c>
      <c r="P69" s="292">
        <v>0</v>
      </c>
      <c r="Q69" s="292">
        <v>0</v>
      </c>
      <c r="R69" s="292">
        <v>0</v>
      </c>
      <c r="S69" s="292">
        <v>0</v>
      </c>
      <c r="T69" s="410" t="e">
        <v>#DIV/0!</v>
      </c>
      <c r="U69" s="450">
        <v>0</v>
      </c>
      <c r="V69" s="450">
        <v>0</v>
      </c>
      <c r="W69" s="446"/>
      <c r="X69" s="446"/>
      <c r="Y69" s="446"/>
      <c r="Z69" s="446"/>
    </row>
    <row r="70" spans="1:26" x14ac:dyDescent="0.2">
      <c r="A70" s="454" t="s">
        <v>310</v>
      </c>
      <c r="B70" s="451">
        <v>0</v>
      </c>
      <c r="C70" s="451">
        <v>0</v>
      </c>
      <c r="D70" s="451">
        <v>0</v>
      </c>
      <c r="E70" s="452"/>
      <c r="F70" s="452"/>
      <c r="G70" s="451">
        <v>0</v>
      </c>
      <c r="H70" s="451">
        <v>0</v>
      </c>
      <c r="I70" s="451">
        <v>0</v>
      </c>
      <c r="J70" s="451">
        <v>0</v>
      </c>
      <c r="K70" s="451">
        <v>0</v>
      </c>
      <c r="L70" s="451">
        <v>0</v>
      </c>
      <c r="M70" s="451">
        <v>0</v>
      </c>
      <c r="N70" s="451">
        <v>0</v>
      </c>
      <c r="O70" s="451">
        <v>0</v>
      </c>
      <c r="P70" s="451">
        <v>0</v>
      </c>
      <c r="Q70" s="451">
        <v>0</v>
      </c>
      <c r="R70" s="451">
        <v>0</v>
      </c>
      <c r="S70" s="451">
        <v>0</v>
      </c>
      <c r="T70" s="407" t="e">
        <v>#DIV/0!</v>
      </c>
      <c r="U70" s="449">
        <v>0</v>
      </c>
      <c r="V70" s="449">
        <v>0</v>
      </c>
      <c r="W70" s="452"/>
      <c r="X70" s="452"/>
      <c r="Y70" s="446"/>
      <c r="Z70" s="446"/>
    </row>
    <row r="71" spans="1:26" x14ac:dyDescent="0.2">
      <c r="A71" s="441" t="s">
        <v>311</v>
      </c>
      <c r="B71" s="442">
        <v>3450000</v>
      </c>
      <c r="C71" s="442">
        <v>2343919.9299999997</v>
      </c>
      <c r="D71" s="442">
        <v>618919.93000000005</v>
      </c>
      <c r="E71" s="443"/>
      <c r="F71" s="443"/>
      <c r="G71" s="442">
        <v>0</v>
      </c>
      <c r="H71" s="442">
        <v>0</v>
      </c>
      <c r="I71" s="442">
        <v>618919.93000000005</v>
      </c>
      <c r="J71" s="442">
        <v>0</v>
      </c>
      <c r="K71" s="442">
        <v>0</v>
      </c>
      <c r="L71" s="442">
        <v>0</v>
      </c>
      <c r="M71" s="442">
        <v>0</v>
      </c>
      <c r="N71" s="442">
        <v>0</v>
      </c>
      <c r="O71" s="442">
        <v>0</v>
      </c>
      <c r="P71" s="442">
        <v>0</v>
      </c>
      <c r="Q71" s="442">
        <v>0</v>
      </c>
      <c r="R71" s="442">
        <v>0</v>
      </c>
      <c r="S71" s="442">
        <v>618919.93000000005</v>
      </c>
      <c r="T71" s="444">
        <v>0.26405335868277724</v>
      </c>
      <c r="U71" s="445">
        <v>1724999.9999999995</v>
      </c>
      <c r="V71" s="445">
        <v>0</v>
      </c>
      <c r="W71" s="446"/>
      <c r="X71" s="446"/>
      <c r="Y71" s="446"/>
      <c r="Z71" s="446"/>
    </row>
    <row r="72" spans="1:26" ht="24" x14ac:dyDescent="0.2">
      <c r="A72" s="454" t="s">
        <v>312</v>
      </c>
      <c r="B72" s="451">
        <v>0</v>
      </c>
      <c r="C72" s="451">
        <v>0</v>
      </c>
      <c r="D72" s="451">
        <v>0</v>
      </c>
      <c r="E72" s="452"/>
      <c r="F72" s="452"/>
      <c r="G72" s="451">
        <v>0</v>
      </c>
      <c r="H72" s="451">
        <v>0</v>
      </c>
      <c r="I72" s="451">
        <v>0</v>
      </c>
      <c r="J72" s="451">
        <v>0</v>
      </c>
      <c r="K72" s="451">
        <v>0</v>
      </c>
      <c r="L72" s="451">
        <v>0</v>
      </c>
      <c r="M72" s="451">
        <v>0</v>
      </c>
      <c r="N72" s="451">
        <v>0</v>
      </c>
      <c r="O72" s="451">
        <v>0</v>
      </c>
      <c r="P72" s="451">
        <v>0</v>
      </c>
      <c r="Q72" s="451">
        <v>0</v>
      </c>
      <c r="R72" s="451">
        <v>0</v>
      </c>
      <c r="S72" s="451">
        <v>0</v>
      </c>
      <c r="T72" s="407" t="e">
        <v>#DIV/0!</v>
      </c>
      <c r="U72" s="449">
        <v>0</v>
      </c>
      <c r="V72" s="449">
        <v>0</v>
      </c>
      <c r="W72" s="452"/>
      <c r="X72" s="446"/>
      <c r="Y72" s="446"/>
      <c r="Z72" s="446"/>
    </row>
    <row r="73" spans="1:26" x14ac:dyDescent="0.2">
      <c r="A73" s="454" t="s">
        <v>313</v>
      </c>
      <c r="B73" s="448">
        <v>3450000</v>
      </c>
      <c r="C73" s="448">
        <v>2343919.9299999997</v>
      </c>
      <c r="D73" s="448">
        <v>618919.93000000005</v>
      </c>
      <c r="E73" s="443"/>
      <c r="F73" s="443"/>
      <c r="G73" s="448">
        <v>0</v>
      </c>
      <c r="H73" s="448">
        <v>0</v>
      </c>
      <c r="I73" s="448">
        <v>618919.93000000005</v>
      </c>
      <c r="J73" s="448">
        <v>0</v>
      </c>
      <c r="K73" s="448">
        <v>0</v>
      </c>
      <c r="L73" s="448">
        <v>0</v>
      </c>
      <c r="M73" s="448">
        <v>0</v>
      </c>
      <c r="N73" s="448">
        <v>0</v>
      </c>
      <c r="O73" s="448">
        <v>0</v>
      </c>
      <c r="P73" s="448">
        <v>0</v>
      </c>
      <c r="Q73" s="448">
        <v>0</v>
      </c>
      <c r="R73" s="448">
        <v>0</v>
      </c>
      <c r="S73" s="448">
        <v>618919.93000000005</v>
      </c>
      <c r="T73" s="407">
        <v>0.26405335868277724</v>
      </c>
      <c r="U73" s="449">
        <v>1724999.9999999995</v>
      </c>
      <c r="V73" s="449">
        <v>0</v>
      </c>
      <c r="W73" s="452"/>
      <c r="X73" s="446"/>
      <c r="Y73" s="446"/>
      <c r="Z73" s="446"/>
    </row>
    <row r="74" spans="1:26" x14ac:dyDescent="0.2">
      <c r="A74" s="409" t="s">
        <v>314</v>
      </c>
      <c r="B74" s="455">
        <v>3450000</v>
      </c>
      <c r="C74" s="455">
        <v>2343919.9299999997</v>
      </c>
      <c r="D74" s="455">
        <v>618919.93000000005</v>
      </c>
      <c r="E74" s="456"/>
      <c r="F74" s="456"/>
      <c r="G74" s="455">
        <v>0</v>
      </c>
      <c r="H74" s="455">
        <v>0</v>
      </c>
      <c r="I74" s="455">
        <v>618919.93000000005</v>
      </c>
      <c r="J74" s="455">
        <v>0</v>
      </c>
      <c r="K74" s="455">
        <v>0</v>
      </c>
      <c r="L74" s="455">
        <v>0</v>
      </c>
      <c r="M74" s="455">
        <v>0</v>
      </c>
      <c r="N74" s="455">
        <v>0</v>
      </c>
      <c r="O74" s="455">
        <v>0</v>
      </c>
      <c r="P74" s="455">
        <v>0</v>
      </c>
      <c r="Q74" s="455">
        <v>0</v>
      </c>
      <c r="R74" s="455">
        <v>0</v>
      </c>
      <c r="S74" s="455">
        <v>618919.93000000005</v>
      </c>
      <c r="T74" s="410">
        <v>0.26405335868277724</v>
      </c>
      <c r="U74" s="450">
        <v>1724999.9999999995</v>
      </c>
      <c r="V74" s="450">
        <v>0</v>
      </c>
      <c r="W74" s="446"/>
      <c r="X74" s="446"/>
      <c r="Y74" s="446"/>
      <c r="Z74" s="446"/>
    </row>
    <row r="75" spans="1:26" ht="24" x14ac:dyDescent="0.2">
      <c r="A75" s="414" t="s">
        <v>315</v>
      </c>
      <c r="B75" s="455">
        <v>3450000</v>
      </c>
      <c r="C75" s="455">
        <v>2343919.9299999997</v>
      </c>
      <c r="D75" s="455">
        <v>618919.93000000005</v>
      </c>
      <c r="E75" s="456"/>
      <c r="F75" s="456"/>
      <c r="G75" s="455">
        <v>0</v>
      </c>
      <c r="H75" s="455">
        <v>0</v>
      </c>
      <c r="I75" s="455">
        <v>618919.93000000005</v>
      </c>
      <c r="J75" s="455">
        <v>0</v>
      </c>
      <c r="K75" s="455">
        <v>0</v>
      </c>
      <c r="L75" s="455">
        <v>0</v>
      </c>
      <c r="M75" s="455">
        <v>0</v>
      </c>
      <c r="N75" s="455">
        <v>0</v>
      </c>
      <c r="O75" s="455">
        <v>0</v>
      </c>
      <c r="P75" s="455">
        <v>0</v>
      </c>
      <c r="Q75" s="455">
        <v>0</v>
      </c>
      <c r="R75" s="455">
        <v>0</v>
      </c>
      <c r="S75" s="455">
        <v>618919.93000000005</v>
      </c>
      <c r="T75" s="410">
        <v>0.26405335868277724</v>
      </c>
      <c r="U75" s="450">
        <v>1724999.9999999995</v>
      </c>
      <c r="V75" s="450">
        <v>0</v>
      </c>
      <c r="W75" s="446"/>
      <c r="X75" s="446"/>
      <c r="Y75" s="446"/>
      <c r="Z75" s="446"/>
    </row>
    <row r="76" spans="1:26" x14ac:dyDescent="0.2">
      <c r="A76" s="416" t="s">
        <v>316</v>
      </c>
      <c r="B76" s="292">
        <v>0</v>
      </c>
      <c r="C76" s="292">
        <v>0</v>
      </c>
      <c r="D76" s="292">
        <v>0</v>
      </c>
      <c r="E76" s="446"/>
      <c r="F76" s="446"/>
      <c r="G76" s="292">
        <v>0</v>
      </c>
      <c r="H76" s="292">
        <v>0</v>
      </c>
      <c r="I76" s="292">
        <v>0</v>
      </c>
      <c r="J76" s="292">
        <v>0</v>
      </c>
      <c r="K76" s="292">
        <v>0</v>
      </c>
      <c r="L76" s="292">
        <v>0</v>
      </c>
      <c r="M76" s="292">
        <v>0</v>
      </c>
      <c r="N76" s="292">
        <v>0</v>
      </c>
      <c r="O76" s="292">
        <v>0</v>
      </c>
      <c r="P76" s="292">
        <v>0</v>
      </c>
      <c r="Q76" s="292">
        <v>0</v>
      </c>
      <c r="R76" s="292">
        <v>0</v>
      </c>
      <c r="S76" s="292">
        <v>0</v>
      </c>
      <c r="T76" s="410" t="e">
        <v>#DIV/0!</v>
      </c>
      <c r="U76" s="450">
        <v>0</v>
      </c>
      <c r="V76" s="450">
        <v>0</v>
      </c>
      <c r="W76" s="446"/>
      <c r="X76" s="446"/>
      <c r="Y76" s="446"/>
      <c r="Z76" s="446"/>
    </row>
    <row r="77" spans="1:26" x14ac:dyDescent="0.2">
      <c r="A77" s="416" t="s">
        <v>317</v>
      </c>
      <c r="B77" s="292">
        <v>0</v>
      </c>
      <c r="C77" s="292">
        <v>0</v>
      </c>
      <c r="D77" s="292">
        <v>0</v>
      </c>
      <c r="E77" s="446"/>
      <c r="F77" s="446"/>
      <c r="G77" s="292">
        <v>0</v>
      </c>
      <c r="H77" s="292">
        <v>0</v>
      </c>
      <c r="I77" s="292">
        <v>0</v>
      </c>
      <c r="J77" s="292">
        <v>0</v>
      </c>
      <c r="K77" s="292">
        <v>0</v>
      </c>
      <c r="L77" s="292">
        <v>0</v>
      </c>
      <c r="M77" s="292">
        <v>0</v>
      </c>
      <c r="N77" s="292">
        <v>0</v>
      </c>
      <c r="O77" s="292">
        <v>0</v>
      </c>
      <c r="P77" s="292">
        <v>0</v>
      </c>
      <c r="Q77" s="292">
        <v>0</v>
      </c>
      <c r="R77" s="292">
        <v>0</v>
      </c>
      <c r="S77" s="292">
        <v>0</v>
      </c>
      <c r="T77" s="410" t="e">
        <v>#DIV/0!</v>
      </c>
      <c r="U77" s="450">
        <v>0</v>
      </c>
      <c r="V77" s="450">
        <v>0</v>
      </c>
      <c r="W77" s="446"/>
      <c r="X77" s="446"/>
      <c r="Y77" s="446"/>
      <c r="Z77" s="446"/>
    </row>
    <row r="78" spans="1:26" ht="24" x14ac:dyDescent="0.2">
      <c r="A78" s="416" t="s">
        <v>318</v>
      </c>
      <c r="B78" s="292">
        <v>3450000</v>
      </c>
      <c r="C78" s="292">
        <v>2343919.9299999997</v>
      </c>
      <c r="D78" s="292">
        <v>618919.93000000005</v>
      </c>
      <c r="E78" s="446"/>
      <c r="F78" s="446"/>
      <c r="G78" s="292">
        <v>0</v>
      </c>
      <c r="H78" s="292">
        <v>0</v>
      </c>
      <c r="I78" s="292">
        <v>618919.93000000005</v>
      </c>
      <c r="J78" s="292">
        <v>0</v>
      </c>
      <c r="K78" s="292">
        <v>0</v>
      </c>
      <c r="L78" s="292">
        <v>0</v>
      </c>
      <c r="M78" s="292">
        <v>0</v>
      </c>
      <c r="N78" s="292">
        <v>0</v>
      </c>
      <c r="O78" s="292">
        <v>0</v>
      </c>
      <c r="P78" s="292">
        <v>0</v>
      </c>
      <c r="Q78" s="292">
        <v>0</v>
      </c>
      <c r="R78" s="292">
        <v>0</v>
      </c>
      <c r="S78" s="292">
        <v>618919.93000000005</v>
      </c>
      <c r="T78" s="410">
        <v>0.26405335868277724</v>
      </c>
      <c r="U78" s="450">
        <v>1724999.9999999995</v>
      </c>
      <c r="V78" s="450">
        <v>0</v>
      </c>
      <c r="W78" s="446"/>
      <c r="X78" s="446"/>
      <c r="Y78" s="446"/>
      <c r="Z78" s="446"/>
    </row>
    <row r="79" spans="1:26" ht="24" x14ac:dyDescent="0.2">
      <c r="A79" s="416" t="s">
        <v>319</v>
      </c>
      <c r="B79" s="292">
        <v>0</v>
      </c>
      <c r="C79" s="292">
        <v>0</v>
      </c>
      <c r="D79" s="292">
        <v>0</v>
      </c>
      <c r="E79" s="446"/>
      <c r="F79" s="446"/>
      <c r="G79" s="292">
        <v>0</v>
      </c>
      <c r="H79" s="292">
        <v>0</v>
      </c>
      <c r="I79" s="292">
        <v>0</v>
      </c>
      <c r="J79" s="292">
        <v>0</v>
      </c>
      <c r="K79" s="292">
        <v>0</v>
      </c>
      <c r="L79" s="292">
        <v>0</v>
      </c>
      <c r="M79" s="292">
        <v>0</v>
      </c>
      <c r="N79" s="292">
        <v>0</v>
      </c>
      <c r="O79" s="292">
        <v>0</v>
      </c>
      <c r="P79" s="292">
        <v>0</v>
      </c>
      <c r="Q79" s="292">
        <v>0</v>
      </c>
      <c r="R79" s="292">
        <v>0</v>
      </c>
      <c r="S79" s="292">
        <v>0</v>
      </c>
      <c r="T79" s="410" t="e">
        <v>#DIV/0!</v>
      </c>
      <c r="U79" s="450">
        <v>0</v>
      </c>
      <c r="V79" s="450">
        <v>0</v>
      </c>
      <c r="W79" s="446"/>
      <c r="X79" s="446"/>
      <c r="Y79" s="446"/>
      <c r="Z79" s="446"/>
    </row>
    <row r="80" spans="1:26" ht="24" x14ac:dyDescent="0.2">
      <c r="A80" s="414" t="s">
        <v>320</v>
      </c>
      <c r="B80" s="292">
        <v>0</v>
      </c>
      <c r="C80" s="292">
        <v>0</v>
      </c>
      <c r="D80" s="292">
        <v>0</v>
      </c>
      <c r="E80" s="446"/>
      <c r="F80" s="446"/>
      <c r="G80" s="292">
        <v>0</v>
      </c>
      <c r="H80" s="292">
        <v>0</v>
      </c>
      <c r="I80" s="292">
        <v>0</v>
      </c>
      <c r="J80" s="292">
        <v>0</v>
      </c>
      <c r="K80" s="292">
        <v>0</v>
      </c>
      <c r="L80" s="292">
        <v>0</v>
      </c>
      <c r="M80" s="292">
        <v>0</v>
      </c>
      <c r="N80" s="292">
        <v>0</v>
      </c>
      <c r="O80" s="292">
        <v>0</v>
      </c>
      <c r="P80" s="292">
        <v>0</v>
      </c>
      <c r="Q80" s="292">
        <v>0</v>
      </c>
      <c r="R80" s="292">
        <v>0</v>
      </c>
      <c r="S80" s="292">
        <v>0</v>
      </c>
      <c r="T80" s="410" t="e">
        <v>#DIV/0!</v>
      </c>
      <c r="U80" s="450">
        <v>0</v>
      </c>
      <c r="V80" s="450">
        <v>0</v>
      </c>
      <c r="W80" s="446"/>
      <c r="X80" s="446"/>
      <c r="Y80" s="446"/>
      <c r="Z80" s="446"/>
    </row>
    <row r="81" spans="1:26" x14ac:dyDescent="0.2">
      <c r="A81" s="409" t="s">
        <v>1399</v>
      </c>
      <c r="B81" s="292">
        <v>0</v>
      </c>
      <c r="C81" s="292">
        <v>0</v>
      </c>
      <c r="D81" s="292">
        <v>0</v>
      </c>
      <c r="E81" s="446"/>
      <c r="F81" s="446"/>
      <c r="G81" s="292">
        <v>0</v>
      </c>
      <c r="H81" s="292">
        <v>0</v>
      </c>
      <c r="I81" s="292">
        <v>0</v>
      </c>
      <c r="J81" s="292">
        <v>0</v>
      </c>
      <c r="K81" s="292">
        <v>0</v>
      </c>
      <c r="L81" s="292">
        <v>0</v>
      </c>
      <c r="M81" s="292">
        <v>0</v>
      </c>
      <c r="N81" s="292">
        <v>0</v>
      </c>
      <c r="O81" s="292">
        <v>0</v>
      </c>
      <c r="P81" s="292">
        <v>0</v>
      </c>
      <c r="Q81" s="292">
        <v>0</v>
      </c>
      <c r="R81" s="292">
        <v>0</v>
      </c>
      <c r="S81" s="292">
        <v>0</v>
      </c>
      <c r="T81" s="410" t="e">
        <v>#DIV/0!</v>
      </c>
      <c r="U81" s="450">
        <v>0</v>
      </c>
      <c r="V81" s="450">
        <v>0</v>
      </c>
      <c r="W81" s="446"/>
      <c r="X81" s="446"/>
      <c r="Y81" s="446"/>
      <c r="Z81" s="446"/>
    </row>
    <row r="82" spans="1:26" x14ac:dyDescent="0.2">
      <c r="A82" s="414" t="s">
        <v>1400</v>
      </c>
      <c r="B82" s="292">
        <v>0</v>
      </c>
      <c r="C82" s="292">
        <v>0</v>
      </c>
      <c r="D82" s="292">
        <v>0</v>
      </c>
      <c r="E82" s="446"/>
      <c r="F82" s="446"/>
      <c r="G82" s="292">
        <v>0</v>
      </c>
      <c r="H82" s="292">
        <v>0</v>
      </c>
      <c r="I82" s="292">
        <v>0</v>
      </c>
      <c r="J82" s="292">
        <v>0</v>
      </c>
      <c r="K82" s="292">
        <v>0</v>
      </c>
      <c r="L82" s="292">
        <v>0</v>
      </c>
      <c r="M82" s="292">
        <v>0</v>
      </c>
      <c r="N82" s="292">
        <v>0</v>
      </c>
      <c r="O82" s="292">
        <v>0</v>
      </c>
      <c r="P82" s="292">
        <v>0</v>
      </c>
      <c r="Q82" s="292">
        <v>0</v>
      </c>
      <c r="R82" s="292">
        <v>0</v>
      </c>
      <c r="S82" s="292">
        <v>0</v>
      </c>
      <c r="T82" s="410" t="e">
        <v>#DIV/0!</v>
      </c>
      <c r="U82" s="450">
        <v>0</v>
      </c>
      <c r="V82" s="450">
        <v>0</v>
      </c>
      <c r="W82" s="446"/>
      <c r="X82" s="446"/>
      <c r="Y82" s="446"/>
      <c r="Z82" s="446"/>
    </row>
    <row r="83" spans="1:26" x14ac:dyDescent="0.2">
      <c r="A83" s="414" t="s">
        <v>1401</v>
      </c>
      <c r="B83" s="292">
        <v>0</v>
      </c>
      <c r="C83" s="292">
        <v>0</v>
      </c>
      <c r="D83" s="292">
        <v>0</v>
      </c>
      <c r="E83" s="446"/>
      <c r="F83" s="446"/>
      <c r="G83" s="292">
        <v>0</v>
      </c>
      <c r="H83" s="292">
        <v>0</v>
      </c>
      <c r="I83" s="292">
        <v>0</v>
      </c>
      <c r="J83" s="292">
        <v>0</v>
      </c>
      <c r="K83" s="292">
        <v>0</v>
      </c>
      <c r="L83" s="292">
        <v>0</v>
      </c>
      <c r="M83" s="292">
        <v>0</v>
      </c>
      <c r="N83" s="292">
        <v>0</v>
      </c>
      <c r="O83" s="292">
        <v>0</v>
      </c>
      <c r="P83" s="292">
        <v>0</v>
      </c>
      <c r="Q83" s="292">
        <v>0</v>
      </c>
      <c r="R83" s="292">
        <v>0</v>
      </c>
      <c r="S83" s="292">
        <v>0</v>
      </c>
      <c r="T83" s="410" t="e">
        <v>#DIV/0!</v>
      </c>
      <c r="U83" s="450">
        <v>0</v>
      </c>
      <c r="V83" s="450">
        <v>0</v>
      </c>
      <c r="W83" s="446"/>
      <c r="X83" s="446"/>
      <c r="Y83" s="446"/>
      <c r="Z83" s="446"/>
    </row>
    <row r="84" spans="1:26" x14ac:dyDescent="0.2">
      <c r="A84" s="409" t="s">
        <v>321</v>
      </c>
      <c r="B84" s="292">
        <v>0</v>
      </c>
      <c r="C84" s="292">
        <v>0</v>
      </c>
      <c r="D84" s="292">
        <v>0</v>
      </c>
      <c r="E84" s="446"/>
      <c r="F84" s="446"/>
      <c r="G84" s="292">
        <v>0</v>
      </c>
      <c r="H84" s="292">
        <v>0</v>
      </c>
      <c r="I84" s="292">
        <v>0</v>
      </c>
      <c r="J84" s="292">
        <v>0</v>
      </c>
      <c r="K84" s="292">
        <v>0</v>
      </c>
      <c r="L84" s="292">
        <v>0</v>
      </c>
      <c r="M84" s="292">
        <v>0</v>
      </c>
      <c r="N84" s="292">
        <v>0</v>
      </c>
      <c r="O84" s="292">
        <v>0</v>
      </c>
      <c r="P84" s="292">
        <v>0</v>
      </c>
      <c r="Q84" s="292">
        <v>0</v>
      </c>
      <c r="R84" s="292">
        <v>0</v>
      </c>
      <c r="S84" s="292">
        <v>0</v>
      </c>
      <c r="T84" s="410" t="e">
        <v>#DIV/0!</v>
      </c>
      <c r="U84" s="450">
        <v>0</v>
      </c>
      <c r="V84" s="450">
        <v>0</v>
      </c>
      <c r="W84" s="446"/>
      <c r="X84" s="446"/>
      <c r="Y84" s="446"/>
      <c r="Z84" s="446"/>
    </row>
    <row r="85" spans="1:26" x14ac:dyDescent="0.2">
      <c r="A85" s="409" t="s">
        <v>322</v>
      </c>
      <c r="B85" s="292">
        <v>0</v>
      </c>
      <c r="C85" s="292">
        <v>0</v>
      </c>
      <c r="D85" s="292">
        <v>0</v>
      </c>
      <c r="E85" s="446"/>
      <c r="F85" s="446"/>
      <c r="G85" s="292">
        <v>0</v>
      </c>
      <c r="H85" s="292">
        <v>0</v>
      </c>
      <c r="I85" s="292">
        <v>0</v>
      </c>
      <c r="J85" s="292">
        <v>0</v>
      </c>
      <c r="K85" s="292">
        <v>0</v>
      </c>
      <c r="L85" s="292">
        <v>0</v>
      </c>
      <c r="M85" s="292">
        <v>0</v>
      </c>
      <c r="N85" s="292">
        <v>0</v>
      </c>
      <c r="O85" s="292">
        <v>0</v>
      </c>
      <c r="P85" s="292">
        <v>0</v>
      </c>
      <c r="Q85" s="292">
        <v>0</v>
      </c>
      <c r="R85" s="292">
        <v>0</v>
      </c>
      <c r="S85" s="292">
        <v>0</v>
      </c>
      <c r="T85" s="410" t="e">
        <v>#DIV/0!</v>
      </c>
      <c r="U85" s="450">
        <v>0</v>
      </c>
      <c r="V85" s="450">
        <v>0</v>
      </c>
      <c r="W85" s="446"/>
      <c r="X85" s="446"/>
      <c r="Y85" s="446"/>
      <c r="Z85" s="446"/>
    </row>
    <row r="86" spans="1:26" x14ac:dyDescent="0.2">
      <c r="A86" s="454" t="s">
        <v>323</v>
      </c>
      <c r="B86" s="451">
        <v>0</v>
      </c>
      <c r="C86" s="451">
        <v>0</v>
      </c>
      <c r="D86" s="451">
        <v>0</v>
      </c>
      <c r="E86" s="452"/>
      <c r="F86" s="452"/>
      <c r="G86" s="451">
        <v>0</v>
      </c>
      <c r="H86" s="451">
        <v>0</v>
      </c>
      <c r="I86" s="451">
        <v>0</v>
      </c>
      <c r="J86" s="451">
        <v>0</v>
      </c>
      <c r="K86" s="451">
        <v>0</v>
      </c>
      <c r="L86" s="451">
        <v>0</v>
      </c>
      <c r="M86" s="451">
        <v>0</v>
      </c>
      <c r="N86" s="451">
        <v>0</v>
      </c>
      <c r="O86" s="451">
        <v>0</v>
      </c>
      <c r="P86" s="451">
        <v>0</v>
      </c>
      <c r="Q86" s="451">
        <v>0</v>
      </c>
      <c r="R86" s="451">
        <v>0</v>
      </c>
      <c r="S86" s="451">
        <v>0</v>
      </c>
      <c r="T86" s="407" t="e">
        <v>#DIV/0!</v>
      </c>
      <c r="U86" s="449">
        <v>0</v>
      </c>
      <c r="V86" s="449">
        <v>0</v>
      </c>
      <c r="W86" s="452"/>
      <c r="X86" s="446"/>
      <c r="Y86" s="446"/>
      <c r="Z86" s="446"/>
    </row>
    <row r="87" spans="1:26" x14ac:dyDescent="0.2">
      <c r="A87" s="454" t="s">
        <v>324</v>
      </c>
      <c r="B87" s="451">
        <v>0</v>
      </c>
      <c r="C87" s="451">
        <v>0</v>
      </c>
      <c r="D87" s="451">
        <v>0</v>
      </c>
      <c r="E87" s="452"/>
      <c r="F87" s="452"/>
      <c r="G87" s="451">
        <v>0</v>
      </c>
      <c r="H87" s="451">
        <v>0</v>
      </c>
      <c r="I87" s="451">
        <v>0</v>
      </c>
      <c r="J87" s="451">
        <v>0</v>
      </c>
      <c r="K87" s="451">
        <v>0</v>
      </c>
      <c r="L87" s="451">
        <v>0</v>
      </c>
      <c r="M87" s="451">
        <v>0</v>
      </c>
      <c r="N87" s="451">
        <v>0</v>
      </c>
      <c r="O87" s="451">
        <v>0</v>
      </c>
      <c r="P87" s="451">
        <v>0</v>
      </c>
      <c r="Q87" s="451">
        <v>0</v>
      </c>
      <c r="R87" s="451">
        <v>0</v>
      </c>
      <c r="S87" s="451">
        <v>0</v>
      </c>
      <c r="T87" s="407" t="e">
        <v>#DIV/0!</v>
      </c>
      <c r="U87" s="449">
        <v>0</v>
      </c>
      <c r="V87" s="449">
        <v>0</v>
      </c>
      <c r="W87" s="452"/>
      <c r="X87" s="446"/>
      <c r="Y87" s="446"/>
      <c r="Z87" s="446"/>
    </row>
    <row r="88" spans="1:26" x14ac:dyDescent="0.2">
      <c r="A88" s="454" t="s">
        <v>325</v>
      </c>
      <c r="B88" s="448">
        <v>0</v>
      </c>
      <c r="C88" s="448">
        <v>0</v>
      </c>
      <c r="D88" s="448">
        <v>0</v>
      </c>
      <c r="E88" s="443"/>
      <c r="F88" s="443"/>
      <c r="G88" s="448">
        <v>0</v>
      </c>
      <c r="H88" s="448">
        <v>0</v>
      </c>
      <c r="I88" s="448">
        <v>0</v>
      </c>
      <c r="J88" s="448">
        <v>0</v>
      </c>
      <c r="K88" s="448">
        <v>0</v>
      </c>
      <c r="L88" s="448">
        <v>0</v>
      </c>
      <c r="M88" s="448">
        <v>0</v>
      </c>
      <c r="N88" s="448">
        <v>0</v>
      </c>
      <c r="O88" s="448">
        <v>0</v>
      </c>
      <c r="P88" s="448">
        <v>0</v>
      </c>
      <c r="Q88" s="448">
        <v>0</v>
      </c>
      <c r="R88" s="448">
        <v>0</v>
      </c>
      <c r="S88" s="448">
        <v>0</v>
      </c>
      <c r="T88" s="407" t="e">
        <v>#DIV/0!</v>
      </c>
      <c r="U88" s="449">
        <v>0</v>
      </c>
      <c r="V88" s="449">
        <v>0</v>
      </c>
      <c r="W88" s="452"/>
      <c r="X88" s="446"/>
      <c r="Y88" s="446"/>
      <c r="Z88" s="446"/>
    </row>
    <row r="89" spans="1:26" x14ac:dyDescent="0.2">
      <c r="A89" s="409" t="s">
        <v>326</v>
      </c>
      <c r="B89" s="292">
        <v>0</v>
      </c>
      <c r="C89" s="292">
        <v>0</v>
      </c>
      <c r="D89" s="292">
        <v>0</v>
      </c>
      <c r="E89" s="446"/>
      <c r="F89" s="446"/>
      <c r="G89" s="292">
        <v>0</v>
      </c>
      <c r="H89" s="292">
        <v>0</v>
      </c>
      <c r="I89" s="292">
        <v>0</v>
      </c>
      <c r="J89" s="292">
        <v>0</v>
      </c>
      <c r="K89" s="292">
        <v>0</v>
      </c>
      <c r="L89" s="292">
        <v>0</v>
      </c>
      <c r="M89" s="292">
        <v>0</v>
      </c>
      <c r="N89" s="292">
        <v>0</v>
      </c>
      <c r="O89" s="292">
        <v>0</v>
      </c>
      <c r="P89" s="292">
        <v>0</v>
      </c>
      <c r="Q89" s="292">
        <v>0</v>
      </c>
      <c r="R89" s="292">
        <v>0</v>
      </c>
      <c r="S89" s="292">
        <v>0</v>
      </c>
      <c r="T89" s="410" t="e">
        <v>#DIV/0!</v>
      </c>
      <c r="U89" s="450">
        <v>0</v>
      </c>
      <c r="V89" s="450">
        <v>0</v>
      </c>
      <c r="W89" s="446"/>
      <c r="X89" s="446"/>
      <c r="Y89" s="446"/>
      <c r="Z89" s="446"/>
    </row>
    <row r="90" spans="1:26" x14ac:dyDescent="0.2">
      <c r="A90" s="409" t="s">
        <v>327</v>
      </c>
      <c r="B90" s="292">
        <v>0</v>
      </c>
      <c r="C90" s="292">
        <v>0</v>
      </c>
      <c r="D90" s="292">
        <v>0</v>
      </c>
      <c r="E90" s="446"/>
      <c r="F90" s="446"/>
      <c r="G90" s="292">
        <v>0</v>
      </c>
      <c r="H90" s="292">
        <v>0</v>
      </c>
      <c r="I90" s="292">
        <v>0</v>
      </c>
      <c r="J90" s="292">
        <v>0</v>
      </c>
      <c r="K90" s="292">
        <v>0</v>
      </c>
      <c r="L90" s="292">
        <v>0</v>
      </c>
      <c r="M90" s="292">
        <v>0</v>
      </c>
      <c r="N90" s="292">
        <v>0</v>
      </c>
      <c r="O90" s="292">
        <v>0</v>
      </c>
      <c r="P90" s="292">
        <v>0</v>
      </c>
      <c r="Q90" s="292">
        <v>0</v>
      </c>
      <c r="R90" s="292">
        <v>0</v>
      </c>
      <c r="S90" s="292">
        <v>0</v>
      </c>
      <c r="T90" s="410" t="e">
        <v>#DIV/0!</v>
      </c>
      <c r="U90" s="450">
        <v>0</v>
      </c>
      <c r="V90" s="450">
        <v>0</v>
      </c>
      <c r="W90" s="446"/>
      <c r="X90" s="446"/>
      <c r="Y90" s="446"/>
      <c r="Z90" s="446"/>
    </row>
    <row r="91" spans="1:26" ht="24" x14ac:dyDescent="0.2">
      <c r="A91" s="409" t="s">
        <v>328</v>
      </c>
      <c r="B91" s="292">
        <v>0</v>
      </c>
      <c r="C91" s="292">
        <v>0</v>
      </c>
      <c r="D91" s="292">
        <v>0</v>
      </c>
      <c r="E91" s="446"/>
      <c r="F91" s="446"/>
      <c r="G91" s="292">
        <v>0</v>
      </c>
      <c r="H91" s="292">
        <v>0</v>
      </c>
      <c r="I91" s="292">
        <v>0</v>
      </c>
      <c r="J91" s="292">
        <v>0</v>
      </c>
      <c r="K91" s="292">
        <v>0</v>
      </c>
      <c r="L91" s="292">
        <v>0</v>
      </c>
      <c r="M91" s="292">
        <v>0</v>
      </c>
      <c r="N91" s="292">
        <v>0</v>
      </c>
      <c r="O91" s="292">
        <v>0</v>
      </c>
      <c r="P91" s="292">
        <v>0</v>
      </c>
      <c r="Q91" s="292">
        <v>0</v>
      </c>
      <c r="R91" s="292">
        <v>0</v>
      </c>
      <c r="S91" s="292">
        <v>0</v>
      </c>
      <c r="T91" s="410" t="e">
        <v>#DIV/0!</v>
      </c>
      <c r="U91" s="450">
        <v>0</v>
      </c>
      <c r="V91" s="450">
        <v>0</v>
      </c>
      <c r="W91" s="446"/>
      <c r="X91" s="446"/>
      <c r="Y91" s="446"/>
      <c r="Z91" s="446"/>
    </row>
    <row r="92" spans="1:26" x14ac:dyDescent="0.2">
      <c r="A92" s="454" t="s">
        <v>329</v>
      </c>
      <c r="B92" s="448">
        <v>0</v>
      </c>
      <c r="C92" s="448">
        <v>0</v>
      </c>
      <c r="D92" s="448">
        <v>0</v>
      </c>
      <c r="E92" s="443"/>
      <c r="F92" s="443"/>
      <c r="G92" s="448">
        <v>0</v>
      </c>
      <c r="H92" s="448">
        <v>0</v>
      </c>
      <c r="I92" s="448">
        <v>0</v>
      </c>
      <c r="J92" s="448">
        <v>0</v>
      </c>
      <c r="K92" s="448">
        <v>0</v>
      </c>
      <c r="L92" s="448">
        <v>0</v>
      </c>
      <c r="M92" s="448">
        <v>0</v>
      </c>
      <c r="N92" s="448">
        <v>0</v>
      </c>
      <c r="O92" s="448">
        <v>0</v>
      </c>
      <c r="P92" s="448">
        <v>0</v>
      </c>
      <c r="Q92" s="448">
        <v>0</v>
      </c>
      <c r="R92" s="448">
        <v>0</v>
      </c>
      <c r="S92" s="448">
        <v>0</v>
      </c>
      <c r="T92" s="407" t="e">
        <v>#DIV/0!</v>
      </c>
      <c r="U92" s="449">
        <v>0</v>
      </c>
      <c r="V92" s="449">
        <v>0</v>
      </c>
      <c r="W92" s="452"/>
      <c r="X92" s="452"/>
      <c r="Y92" s="446"/>
      <c r="Z92" s="446"/>
    </row>
    <row r="93" spans="1:26" x14ac:dyDescent="0.2">
      <c r="A93" s="409" t="s">
        <v>330</v>
      </c>
      <c r="B93" s="292">
        <v>0</v>
      </c>
      <c r="C93" s="292">
        <v>0</v>
      </c>
      <c r="D93" s="292">
        <v>0</v>
      </c>
      <c r="E93" s="446"/>
      <c r="F93" s="446"/>
      <c r="G93" s="292">
        <v>0</v>
      </c>
      <c r="H93" s="292">
        <v>0</v>
      </c>
      <c r="I93" s="292">
        <v>0</v>
      </c>
      <c r="J93" s="292">
        <v>0</v>
      </c>
      <c r="K93" s="292">
        <v>0</v>
      </c>
      <c r="L93" s="292">
        <v>0</v>
      </c>
      <c r="M93" s="292">
        <v>0</v>
      </c>
      <c r="N93" s="292">
        <v>0</v>
      </c>
      <c r="O93" s="292">
        <v>0</v>
      </c>
      <c r="P93" s="292">
        <v>0</v>
      </c>
      <c r="Q93" s="292">
        <v>0</v>
      </c>
      <c r="R93" s="292">
        <v>0</v>
      </c>
      <c r="S93" s="292">
        <v>0</v>
      </c>
      <c r="T93" s="410" t="e">
        <v>#DIV/0!</v>
      </c>
      <c r="U93" s="450">
        <v>0</v>
      </c>
      <c r="V93" s="450">
        <v>0</v>
      </c>
      <c r="W93" s="446"/>
      <c r="X93" s="446"/>
      <c r="Y93" s="446"/>
      <c r="Z93" s="446"/>
    </row>
    <row r="94" spans="1:26" ht="24" x14ac:dyDescent="0.2">
      <c r="A94" s="409" t="s">
        <v>331</v>
      </c>
      <c r="B94" s="292">
        <v>0</v>
      </c>
      <c r="C94" s="292">
        <v>0</v>
      </c>
      <c r="D94" s="292">
        <v>0</v>
      </c>
      <c r="E94" s="446"/>
      <c r="F94" s="446"/>
      <c r="G94" s="292">
        <v>0</v>
      </c>
      <c r="H94" s="292">
        <v>0</v>
      </c>
      <c r="I94" s="292">
        <v>0</v>
      </c>
      <c r="J94" s="292">
        <v>0</v>
      </c>
      <c r="K94" s="292">
        <v>0</v>
      </c>
      <c r="L94" s="292">
        <v>0</v>
      </c>
      <c r="M94" s="292">
        <v>0</v>
      </c>
      <c r="N94" s="292">
        <v>0</v>
      </c>
      <c r="O94" s="292">
        <v>0</v>
      </c>
      <c r="P94" s="292">
        <v>0</v>
      </c>
      <c r="Q94" s="292">
        <v>0</v>
      </c>
      <c r="R94" s="292">
        <v>0</v>
      </c>
      <c r="S94" s="292">
        <v>0</v>
      </c>
      <c r="T94" s="410" t="e">
        <v>#DIV/0!</v>
      </c>
      <c r="U94" s="450">
        <v>0</v>
      </c>
      <c r="V94" s="450">
        <v>0</v>
      </c>
      <c r="W94" s="446"/>
      <c r="X94" s="446"/>
      <c r="Y94" s="446"/>
      <c r="Z94" s="446"/>
    </row>
    <row r="95" spans="1:26" x14ac:dyDescent="0.2">
      <c r="A95" s="409" t="s">
        <v>332</v>
      </c>
      <c r="B95" s="292">
        <v>0</v>
      </c>
      <c r="C95" s="292">
        <v>0</v>
      </c>
      <c r="D95" s="292">
        <v>0</v>
      </c>
      <c r="E95" s="446"/>
      <c r="F95" s="446"/>
      <c r="G95" s="292">
        <v>0</v>
      </c>
      <c r="H95" s="292">
        <v>0</v>
      </c>
      <c r="I95" s="292">
        <v>0</v>
      </c>
      <c r="J95" s="292">
        <v>0</v>
      </c>
      <c r="K95" s="292">
        <v>0</v>
      </c>
      <c r="L95" s="292">
        <v>0</v>
      </c>
      <c r="M95" s="292">
        <v>0</v>
      </c>
      <c r="N95" s="292">
        <v>0</v>
      </c>
      <c r="O95" s="292">
        <v>0</v>
      </c>
      <c r="P95" s="292">
        <v>0</v>
      </c>
      <c r="Q95" s="292">
        <v>0</v>
      </c>
      <c r="R95" s="292">
        <v>0</v>
      </c>
      <c r="S95" s="292">
        <v>0</v>
      </c>
      <c r="T95" s="410" t="e">
        <v>#DIV/0!</v>
      </c>
      <c r="U95" s="450">
        <v>0</v>
      </c>
      <c r="V95" s="450">
        <v>0</v>
      </c>
      <c r="W95" s="446"/>
      <c r="X95" s="446"/>
      <c r="Y95" s="446"/>
      <c r="Z95" s="446"/>
    </row>
    <row r="96" spans="1:26" x14ac:dyDescent="0.2">
      <c r="A96" s="454" t="s">
        <v>333</v>
      </c>
      <c r="B96" s="451">
        <v>0</v>
      </c>
      <c r="C96" s="451">
        <v>0</v>
      </c>
      <c r="D96" s="451">
        <v>0</v>
      </c>
      <c r="E96" s="452"/>
      <c r="F96" s="452"/>
      <c r="G96" s="451">
        <v>0</v>
      </c>
      <c r="H96" s="451">
        <v>0</v>
      </c>
      <c r="I96" s="451">
        <v>0</v>
      </c>
      <c r="J96" s="451">
        <v>0</v>
      </c>
      <c r="K96" s="451">
        <v>0</v>
      </c>
      <c r="L96" s="451">
        <v>0</v>
      </c>
      <c r="M96" s="451">
        <v>0</v>
      </c>
      <c r="N96" s="451">
        <v>0</v>
      </c>
      <c r="O96" s="451">
        <v>0</v>
      </c>
      <c r="P96" s="451">
        <v>0</v>
      </c>
      <c r="Q96" s="451">
        <v>0</v>
      </c>
      <c r="R96" s="451">
        <v>0</v>
      </c>
      <c r="S96" s="451">
        <v>0</v>
      </c>
      <c r="T96" s="407" t="e">
        <v>#DIV/0!</v>
      </c>
      <c r="U96" s="449">
        <v>0</v>
      </c>
      <c r="V96" s="449">
        <v>0</v>
      </c>
      <c r="W96" s="452"/>
      <c r="X96" s="452"/>
      <c r="Y96" s="446"/>
      <c r="Z96" s="446"/>
    </row>
    <row r="97" spans="1:26" ht="24" x14ac:dyDescent="0.2">
      <c r="A97" s="454" t="s">
        <v>334</v>
      </c>
      <c r="B97" s="451">
        <v>0</v>
      </c>
      <c r="C97" s="451">
        <v>0</v>
      </c>
      <c r="D97" s="451">
        <v>0</v>
      </c>
      <c r="E97" s="452"/>
      <c r="F97" s="452"/>
      <c r="G97" s="451">
        <v>0</v>
      </c>
      <c r="H97" s="451">
        <v>0</v>
      </c>
      <c r="I97" s="451">
        <v>0</v>
      </c>
      <c r="J97" s="451">
        <v>0</v>
      </c>
      <c r="K97" s="451">
        <v>0</v>
      </c>
      <c r="L97" s="451">
        <v>0</v>
      </c>
      <c r="M97" s="451">
        <v>0</v>
      </c>
      <c r="N97" s="451">
        <v>0</v>
      </c>
      <c r="O97" s="451">
        <v>0</v>
      </c>
      <c r="P97" s="451">
        <v>0</v>
      </c>
      <c r="Q97" s="451">
        <v>0</v>
      </c>
      <c r="R97" s="451">
        <v>0</v>
      </c>
      <c r="S97" s="451">
        <v>0</v>
      </c>
      <c r="T97" s="407" t="e">
        <v>#DIV/0!</v>
      </c>
      <c r="U97" s="449">
        <v>0</v>
      </c>
      <c r="V97" s="449">
        <v>0</v>
      </c>
      <c r="W97" s="452"/>
      <c r="X97" s="452"/>
      <c r="Y97" s="446"/>
      <c r="Z97" s="446"/>
    </row>
    <row r="98" spans="1:26" x14ac:dyDescent="0.2">
      <c r="A98" s="454" t="s">
        <v>335</v>
      </c>
      <c r="B98" s="448">
        <v>0</v>
      </c>
      <c r="C98" s="448">
        <v>0</v>
      </c>
      <c r="D98" s="448">
        <v>0</v>
      </c>
      <c r="E98" s="443"/>
      <c r="F98" s="443"/>
      <c r="G98" s="448">
        <v>0</v>
      </c>
      <c r="H98" s="448">
        <v>0</v>
      </c>
      <c r="I98" s="448">
        <v>0</v>
      </c>
      <c r="J98" s="448">
        <v>0</v>
      </c>
      <c r="K98" s="448">
        <v>0</v>
      </c>
      <c r="L98" s="448">
        <v>0</v>
      </c>
      <c r="M98" s="448">
        <v>0</v>
      </c>
      <c r="N98" s="448">
        <v>0</v>
      </c>
      <c r="O98" s="448">
        <v>0</v>
      </c>
      <c r="P98" s="448">
        <v>0</v>
      </c>
      <c r="Q98" s="448">
        <v>0</v>
      </c>
      <c r="R98" s="448">
        <v>0</v>
      </c>
      <c r="S98" s="448">
        <v>0</v>
      </c>
      <c r="T98" s="407" t="e">
        <v>#DIV/0!</v>
      </c>
      <c r="U98" s="449">
        <v>0</v>
      </c>
      <c r="V98" s="449">
        <v>0</v>
      </c>
      <c r="W98" s="452"/>
      <c r="X98" s="452"/>
      <c r="Y98" s="446"/>
      <c r="Z98" s="446"/>
    </row>
    <row r="99" spans="1:26" x14ac:dyDescent="0.2">
      <c r="A99" s="409" t="s">
        <v>336</v>
      </c>
      <c r="B99" s="292">
        <v>0</v>
      </c>
      <c r="C99" s="292">
        <v>0</v>
      </c>
      <c r="D99" s="292">
        <v>0</v>
      </c>
      <c r="E99" s="446"/>
      <c r="F99" s="446"/>
      <c r="G99" s="292">
        <v>0</v>
      </c>
      <c r="H99" s="292">
        <v>0</v>
      </c>
      <c r="I99" s="292">
        <v>0</v>
      </c>
      <c r="J99" s="292">
        <v>0</v>
      </c>
      <c r="K99" s="292">
        <v>0</v>
      </c>
      <c r="L99" s="292">
        <v>0</v>
      </c>
      <c r="M99" s="292">
        <v>0</v>
      </c>
      <c r="N99" s="292">
        <v>0</v>
      </c>
      <c r="O99" s="292">
        <v>0</v>
      </c>
      <c r="P99" s="292">
        <v>0</v>
      </c>
      <c r="Q99" s="292">
        <v>0</v>
      </c>
      <c r="R99" s="292">
        <v>0</v>
      </c>
      <c r="S99" s="292">
        <v>0</v>
      </c>
      <c r="T99" s="410" t="e">
        <v>#DIV/0!</v>
      </c>
      <c r="U99" s="450">
        <v>0</v>
      </c>
      <c r="V99" s="450">
        <v>0</v>
      </c>
      <c r="W99" s="446"/>
      <c r="X99" s="446"/>
      <c r="Y99" s="446"/>
      <c r="Z99" s="446"/>
    </row>
    <row r="100" spans="1:26" x14ac:dyDescent="0.2">
      <c r="A100" s="409" t="s">
        <v>1402</v>
      </c>
      <c r="B100" s="292">
        <v>0</v>
      </c>
      <c r="C100" s="292">
        <v>0</v>
      </c>
      <c r="D100" s="292">
        <v>0</v>
      </c>
      <c r="E100" s="446"/>
      <c r="F100" s="446"/>
      <c r="G100" s="292">
        <v>0</v>
      </c>
      <c r="H100" s="292">
        <v>0</v>
      </c>
      <c r="I100" s="292">
        <v>0</v>
      </c>
      <c r="J100" s="292">
        <v>0</v>
      </c>
      <c r="K100" s="292">
        <v>0</v>
      </c>
      <c r="L100" s="292">
        <v>0</v>
      </c>
      <c r="M100" s="292">
        <v>0</v>
      </c>
      <c r="N100" s="292">
        <v>0</v>
      </c>
      <c r="O100" s="292">
        <v>0</v>
      </c>
      <c r="P100" s="292">
        <v>0</v>
      </c>
      <c r="Q100" s="292">
        <v>0</v>
      </c>
      <c r="R100" s="292">
        <v>0</v>
      </c>
      <c r="S100" s="292">
        <v>0</v>
      </c>
      <c r="T100" s="410" t="e">
        <v>#DIV/0!</v>
      </c>
      <c r="U100" s="450">
        <v>0</v>
      </c>
      <c r="V100" s="450">
        <v>0</v>
      </c>
      <c r="W100" s="446"/>
      <c r="X100" s="446"/>
      <c r="Y100" s="446"/>
      <c r="Z100" s="446"/>
    </row>
    <row r="101" spans="1:26" x14ac:dyDescent="0.2">
      <c r="A101" s="414" t="s">
        <v>1403</v>
      </c>
      <c r="B101" s="292">
        <v>0</v>
      </c>
      <c r="C101" s="292">
        <v>0</v>
      </c>
      <c r="D101" s="292">
        <v>0</v>
      </c>
      <c r="E101" s="446"/>
      <c r="F101" s="446"/>
      <c r="G101" s="292">
        <v>0</v>
      </c>
      <c r="H101" s="292">
        <v>0</v>
      </c>
      <c r="I101" s="292">
        <v>0</v>
      </c>
      <c r="J101" s="292">
        <v>0</v>
      </c>
      <c r="K101" s="292">
        <v>0</v>
      </c>
      <c r="L101" s="292">
        <v>0</v>
      </c>
      <c r="M101" s="292">
        <v>0</v>
      </c>
      <c r="N101" s="292">
        <v>0</v>
      </c>
      <c r="O101" s="292">
        <v>0</v>
      </c>
      <c r="P101" s="292">
        <v>0</v>
      </c>
      <c r="Q101" s="292">
        <v>0</v>
      </c>
      <c r="R101" s="292">
        <v>0</v>
      </c>
      <c r="S101" s="292">
        <v>0</v>
      </c>
      <c r="T101" s="410" t="e">
        <v>#DIV/0!</v>
      </c>
      <c r="U101" s="450">
        <v>0</v>
      </c>
      <c r="V101" s="450">
        <v>0</v>
      </c>
      <c r="W101" s="446"/>
      <c r="X101" s="446"/>
      <c r="Y101" s="446"/>
      <c r="Z101" s="446"/>
    </row>
    <row r="102" spans="1:26" x14ac:dyDescent="0.2">
      <c r="A102" s="414" t="s">
        <v>1404</v>
      </c>
      <c r="B102" s="292">
        <v>0</v>
      </c>
      <c r="C102" s="292">
        <v>0</v>
      </c>
      <c r="D102" s="292">
        <v>0</v>
      </c>
      <c r="E102" s="446"/>
      <c r="F102" s="446"/>
      <c r="G102" s="292">
        <v>0</v>
      </c>
      <c r="H102" s="292">
        <v>0</v>
      </c>
      <c r="I102" s="292">
        <v>0</v>
      </c>
      <c r="J102" s="292">
        <v>0</v>
      </c>
      <c r="K102" s="292">
        <v>0</v>
      </c>
      <c r="L102" s="292">
        <v>0</v>
      </c>
      <c r="M102" s="292">
        <v>0</v>
      </c>
      <c r="N102" s="292">
        <v>0</v>
      </c>
      <c r="O102" s="292">
        <v>0</v>
      </c>
      <c r="P102" s="292">
        <v>0</v>
      </c>
      <c r="Q102" s="292">
        <v>0</v>
      </c>
      <c r="R102" s="292">
        <v>0</v>
      </c>
      <c r="S102" s="292">
        <v>0</v>
      </c>
      <c r="T102" s="410" t="e">
        <v>#DIV/0!</v>
      </c>
      <c r="U102" s="450">
        <v>0</v>
      </c>
      <c r="V102" s="450">
        <v>0</v>
      </c>
      <c r="W102" s="446"/>
      <c r="X102" s="446"/>
      <c r="Y102" s="446"/>
      <c r="Z102" s="446"/>
    </row>
    <row r="103" spans="1:26" x14ac:dyDescent="0.2">
      <c r="A103" s="409" t="s">
        <v>337</v>
      </c>
      <c r="B103" s="292">
        <v>0</v>
      </c>
      <c r="C103" s="292">
        <v>0</v>
      </c>
      <c r="D103" s="292">
        <v>0</v>
      </c>
      <c r="E103" s="446"/>
      <c r="F103" s="446"/>
      <c r="G103" s="292">
        <v>0</v>
      </c>
      <c r="H103" s="292">
        <v>0</v>
      </c>
      <c r="I103" s="292">
        <v>0</v>
      </c>
      <c r="J103" s="292">
        <v>0</v>
      </c>
      <c r="K103" s="292">
        <v>0</v>
      </c>
      <c r="L103" s="292">
        <v>0</v>
      </c>
      <c r="M103" s="292">
        <v>0</v>
      </c>
      <c r="N103" s="292">
        <v>0</v>
      </c>
      <c r="O103" s="292">
        <v>0</v>
      </c>
      <c r="P103" s="292">
        <v>0</v>
      </c>
      <c r="Q103" s="292">
        <v>0</v>
      </c>
      <c r="R103" s="292">
        <v>0</v>
      </c>
      <c r="S103" s="292">
        <v>0</v>
      </c>
      <c r="T103" s="410" t="e">
        <v>#DIV/0!</v>
      </c>
      <c r="U103" s="450">
        <v>0</v>
      </c>
      <c r="V103" s="450">
        <v>0</v>
      </c>
      <c r="W103" s="446"/>
      <c r="X103" s="446"/>
      <c r="Y103" s="446"/>
      <c r="Z103" s="446"/>
    </row>
    <row r="104" spans="1:26" x14ac:dyDescent="0.2">
      <c r="A104" s="409" t="s">
        <v>338</v>
      </c>
      <c r="B104" s="292">
        <v>0</v>
      </c>
      <c r="C104" s="292">
        <v>0</v>
      </c>
      <c r="D104" s="292">
        <v>0</v>
      </c>
      <c r="E104" s="446"/>
      <c r="F104" s="446"/>
      <c r="G104" s="292">
        <v>0</v>
      </c>
      <c r="H104" s="292">
        <v>0</v>
      </c>
      <c r="I104" s="292">
        <v>0</v>
      </c>
      <c r="J104" s="292">
        <v>0</v>
      </c>
      <c r="K104" s="292">
        <v>0</v>
      </c>
      <c r="L104" s="292">
        <v>0</v>
      </c>
      <c r="M104" s="292">
        <v>0</v>
      </c>
      <c r="N104" s="292">
        <v>0</v>
      </c>
      <c r="O104" s="292">
        <v>0</v>
      </c>
      <c r="P104" s="292">
        <v>0</v>
      </c>
      <c r="Q104" s="292">
        <v>0</v>
      </c>
      <c r="R104" s="292">
        <v>0</v>
      </c>
      <c r="S104" s="292">
        <v>0</v>
      </c>
      <c r="T104" s="410" t="e">
        <v>#DIV/0!</v>
      </c>
      <c r="U104" s="450">
        <v>0</v>
      </c>
      <c r="V104" s="450">
        <v>0</v>
      </c>
      <c r="W104" s="446"/>
      <c r="X104" s="446"/>
      <c r="Y104" s="446"/>
      <c r="Z104" s="446"/>
    </row>
    <row r="105" spans="1:26" x14ac:dyDescent="0.2">
      <c r="A105" s="454" t="s">
        <v>339</v>
      </c>
      <c r="B105" s="451">
        <v>0</v>
      </c>
      <c r="C105" s="451">
        <v>0</v>
      </c>
      <c r="D105" s="451">
        <v>0</v>
      </c>
      <c r="E105" s="452"/>
      <c r="F105" s="452"/>
      <c r="G105" s="451">
        <v>0</v>
      </c>
      <c r="H105" s="451">
        <v>0</v>
      </c>
      <c r="I105" s="451">
        <v>0</v>
      </c>
      <c r="J105" s="451">
        <v>0</v>
      </c>
      <c r="K105" s="451">
        <v>0</v>
      </c>
      <c r="L105" s="451">
        <v>0</v>
      </c>
      <c r="M105" s="451">
        <v>0</v>
      </c>
      <c r="N105" s="451">
        <v>0</v>
      </c>
      <c r="O105" s="451">
        <v>0</v>
      </c>
      <c r="P105" s="451">
        <v>0</v>
      </c>
      <c r="Q105" s="451">
        <v>0</v>
      </c>
      <c r="R105" s="451">
        <v>0</v>
      </c>
      <c r="S105" s="451">
        <v>0</v>
      </c>
      <c r="T105" s="407" t="e">
        <v>#DIV/0!</v>
      </c>
      <c r="U105" s="449">
        <v>0</v>
      </c>
      <c r="V105" s="449">
        <v>0</v>
      </c>
      <c r="W105" s="452"/>
      <c r="X105" s="452"/>
      <c r="Y105" s="452"/>
      <c r="Z105" s="446"/>
    </row>
    <row r="106" spans="1:26" x14ac:dyDescent="0.2">
      <c r="A106" s="441" t="s">
        <v>340</v>
      </c>
      <c r="B106" s="442">
        <v>0</v>
      </c>
      <c r="C106" s="442">
        <v>0</v>
      </c>
      <c r="D106" s="442">
        <v>0</v>
      </c>
      <c r="E106" s="443"/>
      <c r="F106" s="443"/>
      <c r="G106" s="442">
        <v>0</v>
      </c>
      <c r="H106" s="442">
        <v>0</v>
      </c>
      <c r="I106" s="442">
        <v>0</v>
      </c>
      <c r="J106" s="442">
        <v>0</v>
      </c>
      <c r="K106" s="442">
        <v>0</v>
      </c>
      <c r="L106" s="442">
        <v>0</v>
      </c>
      <c r="M106" s="442">
        <v>0</v>
      </c>
      <c r="N106" s="442">
        <v>0</v>
      </c>
      <c r="O106" s="442">
        <v>0</v>
      </c>
      <c r="P106" s="442">
        <v>0</v>
      </c>
      <c r="Q106" s="442">
        <v>0</v>
      </c>
      <c r="R106" s="442">
        <v>0</v>
      </c>
      <c r="S106" s="442">
        <v>0</v>
      </c>
      <c r="T106" s="444" t="e">
        <v>#DIV/0!</v>
      </c>
      <c r="U106" s="445">
        <v>0</v>
      </c>
      <c r="V106" s="445">
        <v>0</v>
      </c>
      <c r="W106" s="446"/>
      <c r="X106" s="446"/>
      <c r="Y106" s="446"/>
      <c r="Z106" s="446"/>
    </row>
    <row r="107" spans="1:26" x14ac:dyDescent="0.2">
      <c r="A107" s="454" t="s">
        <v>341</v>
      </c>
      <c r="B107" s="448">
        <v>0</v>
      </c>
      <c r="C107" s="448">
        <v>0</v>
      </c>
      <c r="D107" s="448">
        <v>0</v>
      </c>
      <c r="E107" s="443"/>
      <c r="F107" s="443"/>
      <c r="G107" s="448">
        <v>0</v>
      </c>
      <c r="H107" s="448">
        <v>0</v>
      </c>
      <c r="I107" s="448">
        <v>0</v>
      </c>
      <c r="J107" s="448">
        <v>0</v>
      </c>
      <c r="K107" s="448">
        <v>0</v>
      </c>
      <c r="L107" s="448">
        <v>0</v>
      </c>
      <c r="M107" s="448">
        <v>0</v>
      </c>
      <c r="N107" s="448">
        <v>0</v>
      </c>
      <c r="O107" s="448">
        <v>0</v>
      </c>
      <c r="P107" s="448">
        <v>0</v>
      </c>
      <c r="Q107" s="448">
        <v>0</v>
      </c>
      <c r="R107" s="448">
        <v>0</v>
      </c>
      <c r="S107" s="448">
        <v>0</v>
      </c>
      <c r="T107" s="407" t="e">
        <v>#DIV/0!</v>
      </c>
      <c r="U107" s="449">
        <v>0</v>
      </c>
      <c r="V107" s="449">
        <v>0</v>
      </c>
      <c r="W107" s="446"/>
      <c r="X107" s="446"/>
      <c r="Y107" s="446"/>
      <c r="Z107" s="446"/>
    </row>
    <row r="108" spans="1:26" x14ac:dyDescent="0.2">
      <c r="A108" s="409" t="s">
        <v>342</v>
      </c>
      <c r="B108" s="292">
        <v>0</v>
      </c>
      <c r="C108" s="292">
        <v>0</v>
      </c>
      <c r="D108" s="292">
        <v>0</v>
      </c>
      <c r="E108" s="446"/>
      <c r="F108" s="446"/>
      <c r="G108" s="292">
        <v>0</v>
      </c>
      <c r="H108" s="292">
        <v>0</v>
      </c>
      <c r="I108" s="292">
        <v>0</v>
      </c>
      <c r="J108" s="292">
        <v>0</v>
      </c>
      <c r="K108" s="292">
        <v>0</v>
      </c>
      <c r="L108" s="292">
        <v>0</v>
      </c>
      <c r="M108" s="292">
        <v>0</v>
      </c>
      <c r="N108" s="292">
        <v>0</v>
      </c>
      <c r="O108" s="292">
        <v>0</v>
      </c>
      <c r="P108" s="292">
        <v>0</v>
      </c>
      <c r="Q108" s="292">
        <v>0</v>
      </c>
      <c r="R108" s="292">
        <v>0</v>
      </c>
      <c r="S108" s="292">
        <v>0</v>
      </c>
      <c r="T108" s="410" t="e">
        <v>#DIV/0!</v>
      </c>
      <c r="U108" s="450">
        <v>0</v>
      </c>
      <c r="V108" s="450">
        <v>0</v>
      </c>
      <c r="W108" s="446"/>
      <c r="X108" s="446"/>
      <c r="Y108" s="446"/>
      <c r="Z108" s="446"/>
    </row>
    <row r="109" spans="1:26" x14ac:dyDescent="0.2">
      <c r="A109" s="409" t="s">
        <v>343</v>
      </c>
      <c r="B109" s="292">
        <v>0</v>
      </c>
      <c r="C109" s="292">
        <v>0</v>
      </c>
      <c r="D109" s="292">
        <v>0</v>
      </c>
      <c r="E109" s="446"/>
      <c r="F109" s="446"/>
      <c r="G109" s="292">
        <v>0</v>
      </c>
      <c r="H109" s="292">
        <v>0</v>
      </c>
      <c r="I109" s="292">
        <v>0</v>
      </c>
      <c r="J109" s="292">
        <v>0</v>
      </c>
      <c r="K109" s="292">
        <v>0</v>
      </c>
      <c r="L109" s="292">
        <v>0</v>
      </c>
      <c r="M109" s="292">
        <v>0</v>
      </c>
      <c r="N109" s="292">
        <v>0</v>
      </c>
      <c r="O109" s="292">
        <v>0</v>
      </c>
      <c r="P109" s="292">
        <v>0</v>
      </c>
      <c r="Q109" s="292">
        <v>0</v>
      </c>
      <c r="R109" s="292">
        <v>0</v>
      </c>
      <c r="S109" s="292">
        <v>0</v>
      </c>
      <c r="T109" s="410" t="e">
        <v>#DIV/0!</v>
      </c>
      <c r="U109" s="450">
        <v>0</v>
      </c>
      <c r="V109" s="450">
        <v>0</v>
      </c>
      <c r="W109" s="446"/>
      <c r="X109" s="446"/>
      <c r="Y109" s="446"/>
      <c r="Z109" s="446"/>
    </row>
    <row r="110" spans="1:26" x14ac:dyDescent="0.2">
      <c r="A110" s="409" t="s">
        <v>344</v>
      </c>
      <c r="B110" s="292">
        <v>0</v>
      </c>
      <c r="C110" s="292">
        <v>0</v>
      </c>
      <c r="D110" s="292">
        <v>0</v>
      </c>
      <c r="E110" s="446"/>
      <c r="F110" s="446"/>
      <c r="G110" s="292">
        <v>0</v>
      </c>
      <c r="H110" s="292">
        <v>0</v>
      </c>
      <c r="I110" s="292">
        <v>0</v>
      </c>
      <c r="J110" s="292">
        <v>0</v>
      </c>
      <c r="K110" s="292">
        <v>0</v>
      </c>
      <c r="L110" s="292">
        <v>0</v>
      </c>
      <c r="M110" s="292">
        <v>0</v>
      </c>
      <c r="N110" s="292">
        <v>0</v>
      </c>
      <c r="O110" s="292">
        <v>0</v>
      </c>
      <c r="P110" s="292">
        <v>0</v>
      </c>
      <c r="Q110" s="292">
        <v>0</v>
      </c>
      <c r="R110" s="292">
        <v>0</v>
      </c>
      <c r="S110" s="292">
        <v>0</v>
      </c>
      <c r="T110" s="410" t="e">
        <v>#DIV/0!</v>
      </c>
      <c r="U110" s="450">
        <v>0</v>
      </c>
      <c r="V110" s="450">
        <v>0</v>
      </c>
      <c r="W110" s="446"/>
      <c r="X110" s="446"/>
      <c r="Y110" s="446"/>
      <c r="Z110" s="446"/>
    </row>
    <row r="111" spans="1:26" x14ac:dyDescent="0.2">
      <c r="A111" s="409" t="s">
        <v>345</v>
      </c>
      <c r="B111" s="292">
        <v>0</v>
      </c>
      <c r="C111" s="292">
        <v>0</v>
      </c>
      <c r="D111" s="292">
        <v>0</v>
      </c>
      <c r="E111" s="446"/>
      <c r="F111" s="446"/>
      <c r="G111" s="292">
        <v>0</v>
      </c>
      <c r="H111" s="292">
        <v>0</v>
      </c>
      <c r="I111" s="292">
        <v>0</v>
      </c>
      <c r="J111" s="292">
        <v>0</v>
      </c>
      <c r="K111" s="292">
        <v>0</v>
      </c>
      <c r="L111" s="292">
        <v>0</v>
      </c>
      <c r="M111" s="292">
        <v>0</v>
      </c>
      <c r="N111" s="292">
        <v>0</v>
      </c>
      <c r="O111" s="292">
        <v>0</v>
      </c>
      <c r="P111" s="292">
        <v>0</v>
      </c>
      <c r="Q111" s="292">
        <v>0</v>
      </c>
      <c r="R111" s="292">
        <v>0</v>
      </c>
      <c r="S111" s="292">
        <v>0</v>
      </c>
      <c r="T111" s="410" t="e">
        <v>#DIV/0!</v>
      </c>
      <c r="U111" s="450">
        <v>0</v>
      </c>
      <c r="V111" s="450">
        <v>0</v>
      </c>
      <c r="W111" s="446"/>
      <c r="X111" s="446"/>
      <c r="Y111" s="446"/>
      <c r="Z111" s="446"/>
    </row>
    <row r="112" spans="1:26" x14ac:dyDescent="0.2">
      <c r="A112" s="409" t="s">
        <v>346</v>
      </c>
      <c r="B112" s="292">
        <v>0</v>
      </c>
      <c r="C112" s="292">
        <v>0</v>
      </c>
      <c r="D112" s="292">
        <v>0</v>
      </c>
      <c r="E112" s="446"/>
      <c r="F112" s="446"/>
      <c r="G112" s="292">
        <v>0</v>
      </c>
      <c r="H112" s="292">
        <v>0</v>
      </c>
      <c r="I112" s="292">
        <v>0</v>
      </c>
      <c r="J112" s="292">
        <v>0</v>
      </c>
      <c r="K112" s="292">
        <v>0</v>
      </c>
      <c r="L112" s="292">
        <v>0</v>
      </c>
      <c r="M112" s="292">
        <v>0</v>
      </c>
      <c r="N112" s="292">
        <v>0</v>
      </c>
      <c r="O112" s="292">
        <v>0</v>
      </c>
      <c r="P112" s="292">
        <v>0</v>
      </c>
      <c r="Q112" s="292">
        <v>0</v>
      </c>
      <c r="R112" s="292">
        <v>0</v>
      </c>
      <c r="S112" s="292">
        <v>0</v>
      </c>
      <c r="T112" s="410" t="e">
        <v>#DIV/0!</v>
      </c>
      <c r="U112" s="450">
        <v>0</v>
      </c>
      <c r="V112" s="450">
        <v>0</v>
      </c>
      <c r="W112" s="446"/>
      <c r="X112" s="446"/>
      <c r="Y112" s="446"/>
      <c r="Z112" s="446"/>
    </row>
    <row r="113" spans="1:26" x14ac:dyDescent="0.2">
      <c r="A113" s="409" t="s">
        <v>347</v>
      </c>
      <c r="B113" s="292">
        <v>0</v>
      </c>
      <c r="C113" s="292">
        <v>0</v>
      </c>
      <c r="D113" s="292">
        <v>0</v>
      </c>
      <c r="E113" s="446"/>
      <c r="F113" s="446"/>
      <c r="G113" s="292">
        <v>0</v>
      </c>
      <c r="H113" s="292">
        <v>0</v>
      </c>
      <c r="I113" s="292">
        <v>0</v>
      </c>
      <c r="J113" s="292">
        <v>0</v>
      </c>
      <c r="K113" s="292">
        <v>0</v>
      </c>
      <c r="L113" s="292">
        <v>0</v>
      </c>
      <c r="M113" s="292">
        <v>0</v>
      </c>
      <c r="N113" s="292">
        <v>0</v>
      </c>
      <c r="O113" s="292">
        <v>0</v>
      </c>
      <c r="P113" s="292">
        <v>0</v>
      </c>
      <c r="Q113" s="292">
        <v>0</v>
      </c>
      <c r="R113" s="292">
        <v>0</v>
      </c>
      <c r="S113" s="292">
        <v>0</v>
      </c>
      <c r="T113" s="410" t="e">
        <v>#DIV/0!</v>
      </c>
      <c r="U113" s="450">
        <v>0</v>
      </c>
      <c r="V113" s="450">
        <v>0</v>
      </c>
      <c r="W113" s="446"/>
      <c r="X113" s="446"/>
      <c r="Y113" s="446"/>
      <c r="Z113" s="446"/>
    </row>
    <row r="114" spans="1:26" x14ac:dyDescent="0.2">
      <c r="A114" s="409" t="s">
        <v>348</v>
      </c>
      <c r="B114" s="292">
        <v>0</v>
      </c>
      <c r="C114" s="292">
        <v>0</v>
      </c>
      <c r="D114" s="292">
        <v>0</v>
      </c>
      <c r="E114" s="446"/>
      <c r="F114" s="446"/>
      <c r="G114" s="292">
        <v>0</v>
      </c>
      <c r="H114" s="292">
        <v>0</v>
      </c>
      <c r="I114" s="292">
        <v>0</v>
      </c>
      <c r="J114" s="292">
        <v>0</v>
      </c>
      <c r="K114" s="292">
        <v>0</v>
      </c>
      <c r="L114" s="292">
        <v>0</v>
      </c>
      <c r="M114" s="292">
        <v>0</v>
      </c>
      <c r="N114" s="292">
        <v>0</v>
      </c>
      <c r="O114" s="292">
        <v>0</v>
      </c>
      <c r="P114" s="292">
        <v>0</v>
      </c>
      <c r="Q114" s="292">
        <v>0</v>
      </c>
      <c r="R114" s="292">
        <v>0</v>
      </c>
      <c r="S114" s="292">
        <v>0</v>
      </c>
      <c r="T114" s="410" t="e">
        <v>#DIV/0!</v>
      </c>
      <c r="U114" s="450">
        <v>0</v>
      </c>
      <c r="V114" s="450">
        <v>0</v>
      </c>
      <c r="W114" s="446"/>
      <c r="X114" s="446"/>
      <c r="Y114" s="446"/>
      <c r="Z114" s="446"/>
    </row>
    <row r="115" spans="1:26" x14ac:dyDescent="0.2">
      <c r="A115" s="409" t="s">
        <v>349</v>
      </c>
      <c r="B115" s="292">
        <v>0</v>
      </c>
      <c r="C115" s="292">
        <v>0</v>
      </c>
      <c r="D115" s="292">
        <v>0</v>
      </c>
      <c r="E115" s="446"/>
      <c r="F115" s="446"/>
      <c r="G115" s="292">
        <v>0</v>
      </c>
      <c r="H115" s="292">
        <v>0</v>
      </c>
      <c r="I115" s="292">
        <v>0</v>
      </c>
      <c r="J115" s="292">
        <v>0</v>
      </c>
      <c r="K115" s="292">
        <v>0</v>
      </c>
      <c r="L115" s="292">
        <v>0</v>
      </c>
      <c r="M115" s="292">
        <v>0</v>
      </c>
      <c r="N115" s="292">
        <v>0</v>
      </c>
      <c r="O115" s="292">
        <v>0</v>
      </c>
      <c r="P115" s="292">
        <v>0</v>
      </c>
      <c r="Q115" s="292">
        <v>0</v>
      </c>
      <c r="R115" s="292">
        <v>0</v>
      </c>
      <c r="S115" s="292">
        <v>0</v>
      </c>
      <c r="T115" s="410" t="e">
        <v>#DIV/0!</v>
      </c>
      <c r="U115" s="450">
        <v>0</v>
      </c>
      <c r="V115" s="450">
        <v>0</v>
      </c>
      <c r="W115" s="446"/>
      <c r="X115" s="446"/>
      <c r="Y115" s="446"/>
      <c r="Z115" s="446"/>
    </row>
    <row r="116" spans="1:26" x14ac:dyDescent="0.2">
      <c r="A116" s="409" t="s">
        <v>350</v>
      </c>
      <c r="B116" s="292">
        <v>0</v>
      </c>
      <c r="C116" s="292">
        <v>0</v>
      </c>
      <c r="D116" s="292">
        <v>0</v>
      </c>
      <c r="E116" s="446"/>
      <c r="F116" s="446"/>
      <c r="G116" s="292">
        <v>0</v>
      </c>
      <c r="H116" s="292">
        <v>0</v>
      </c>
      <c r="I116" s="292">
        <v>0</v>
      </c>
      <c r="J116" s="292">
        <v>0</v>
      </c>
      <c r="K116" s="292">
        <v>0</v>
      </c>
      <c r="L116" s="292">
        <v>0</v>
      </c>
      <c r="M116" s="292">
        <v>0</v>
      </c>
      <c r="N116" s="292">
        <v>0</v>
      </c>
      <c r="O116" s="292">
        <v>0</v>
      </c>
      <c r="P116" s="292">
        <v>0</v>
      </c>
      <c r="Q116" s="292">
        <v>0</v>
      </c>
      <c r="R116" s="292">
        <v>0</v>
      </c>
      <c r="S116" s="292">
        <v>0</v>
      </c>
      <c r="T116" s="410" t="e">
        <v>#DIV/0!</v>
      </c>
      <c r="U116" s="450">
        <v>0</v>
      </c>
      <c r="V116" s="450">
        <v>0</v>
      </c>
      <c r="W116" s="446"/>
      <c r="X116" s="446"/>
      <c r="Y116" s="446"/>
      <c r="Z116" s="446"/>
    </row>
    <row r="117" spans="1:26" x14ac:dyDescent="0.2">
      <c r="A117" s="409" t="s">
        <v>351</v>
      </c>
      <c r="B117" s="292">
        <v>0</v>
      </c>
      <c r="C117" s="292">
        <v>0</v>
      </c>
      <c r="D117" s="292">
        <v>0</v>
      </c>
      <c r="E117" s="446"/>
      <c r="F117" s="446"/>
      <c r="G117" s="292">
        <v>0</v>
      </c>
      <c r="H117" s="292">
        <v>0</v>
      </c>
      <c r="I117" s="292">
        <v>0</v>
      </c>
      <c r="J117" s="292">
        <v>0</v>
      </c>
      <c r="K117" s="292">
        <v>0</v>
      </c>
      <c r="L117" s="292">
        <v>0</v>
      </c>
      <c r="M117" s="292">
        <v>0</v>
      </c>
      <c r="N117" s="292">
        <v>0</v>
      </c>
      <c r="O117" s="292">
        <v>0</v>
      </c>
      <c r="P117" s="292">
        <v>0</v>
      </c>
      <c r="Q117" s="292">
        <v>0</v>
      </c>
      <c r="R117" s="292">
        <v>0</v>
      </c>
      <c r="S117" s="292">
        <v>0</v>
      </c>
      <c r="T117" s="410" t="e">
        <v>#DIV/0!</v>
      </c>
      <c r="U117" s="450">
        <v>0</v>
      </c>
      <c r="V117" s="450">
        <v>0</v>
      </c>
      <c r="W117" s="446"/>
      <c r="X117" s="446"/>
      <c r="Y117" s="446"/>
      <c r="Z117" s="446"/>
    </row>
    <row r="118" spans="1:26" x14ac:dyDescent="0.2">
      <c r="A118" s="404" t="s">
        <v>352</v>
      </c>
      <c r="B118" s="448">
        <v>0</v>
      </c>
      <c r="C118" s="448">
        <v>0</v>
      </c>
      <c r="D118" s="448">
        <v>0</v>
      </c>
      <c r="E118" s="443"/>
      <c r="F118" s="443"/>
      <c r="G118" s="448">
        <v>0</v>
      </c>
      <c r="H118" s="448">
        <v>0</v>
      </c>
      <c r="I118" s="448">
        <v>0</v>
      </c>
      <c r="J118" s="448">
        <v>0</v>
      </c>
      <c r="K118" s="448">
        <v>0</v>
      </c>
      <c r="L118" s="448">
        <v>0</v>
      </c>
      <c r="M118" s="448">
        <v>0</v>
      </c>
      <c r="N118" s="448">
        <v>0</v>
      </c>
      <c r="O118" s="448">
        <v>0</v>
      </c>
      <c r="P118" s="448">
        <v>0</v>
      </c>
      <c r="Q118" s="448">
        <v>0</v>
      </c>
      <c r="R118" s="448">
        <v>0</v>
      </c>
      <c r="S118" s="448">
        <v>0</v>
      </c>
      <c r="T118" s="407" t="e">
        <v>#DIV/0!</v>
      </c>
      <c r="U118" s="449">
        <v>0</v>
      </c>
      <c r="V118" s="449">
        <v>0</v>
      </c>
      <c r="W118" s="446"/>
      <c r="X118" s="446"/>
      <c r="Y118" s="446"/>
      <c r="Z118" s="446"/>
    </row>
    <row r="119" spans="1:26" x14ac:dyDescent="0.2">
      <c r="A119" s="409" t="s">
        <v>353</v>
      </c>
      <c r="B119" s="292">
        <v>0</v>
      </c>
      <c r="C119" s="292">
        <v>0</v>
      </c>
      <c r="D119" s="292">
        <v>0</v>
      </c>
      <c r="E119" s="446"/>
      <c r="F119" s="446"/>
      <c r="G119" s="292">
        <v>0</v>
      </c>
      <c r="H119" s="292">
        <v>0</v>
      </c>
      <c r="I119" s="292">
        <v>0</v>
      </c>
      <c r="J119" s="292">
        <v>0</v>
      </c>
      <c r="K119" s="292">
        <v>0</v>
      </c>
      <c r="L119" s="292">
        <v>0</v>
      </c>
      <c r="M119" s="292">
        <v>0</v>
      </c>
      <c r="N119" s="292">
        <v>0</v>
      </c>
      <c r="O119" s="292">
        <v>0</v>
      </c>
      <c r="P119" s="292">
        <v>0</v>
      </c>
      <c r="Q119" s="292">
        <v>0</v>
      </c>
      <c r="R119" s="292">
        <v>0</v>
      </c>
      <c r="S119" s="292">
        <v>0</v>
      </c>
      <c r="T119" s="410" t="e">
        <v>#DIV/0!</v>
      </c>
      <c r="U119" s="450">
        <v>0</v>
      </c>
      <c r="V119" s="450">
        <v>0</v>
      </c>
      <c r="W119" s="446"/>
      <c r="X119" s="446"/>
      <c r="Y119" s="446"/>
      <c r="Z119" s="446"/>
    </row>
    <row r="120" spans="1:26" x14ac:dyDescent="0.2">
      <c r="A120" s="409" t="s">
        <v>354</v>
      </c>
      <c r="B120" s="292">
        <v>0</v>
      </c>
      <c r="C120" s="292">
        <v>0</v>
      </c>
      <c r="D120" s="292">
        <v>0</v>
      </c>
      <c r="E120" s="446"/>
      <c r="F120" s="446"/>
      <c r="G120" s="292">
        <v>0</v>
      </c>
      <c r="H120" s="292">
        <v>0</v>
      </c>
      <c r="I120" s="292">
        <v>0</v>
      </c>
      <c r="J120" s="292">
        <v>0</v>
      </c>
      <c r="K120" s="292">
        <v>0</v>
      </c>
      <c r="L120" s="292">
        <v>0</v>
      </c>
      <c r="M120" s="292">
        <v>0</v>
      </c>
      <c r="N120" s="292">
        <v>0</v>
      </c>
      <c r="O120" s="292">
        <v>0</v>
      </c>
      <c r="P120" s="292">
        <v>0</v>
      </c>
      <c r="Q120" s="292">
        <v>0</v>
      </c>
      <c r="R120" s="292">
        <v>0</v>
      </c>
      <c r="S120" s="292">
        <v>0</v>
      </c>
      <c r="T120" s="410" t="e">
        <v>#DIV/0!</v>
      </c>
      <c r="U120" s="450">
        <v>0</v>
      </c>
      <c r="V120" s="450">
        <v>0</v>
      </c>
      <c r="W120" s="446"/>
      <c r="X120" s="446"/>
      <c r="Y120" s="446"/>
      <c r="Z120" s="446"/>
    </row>
    <row r="121" spans="1:26" x14ac:dyDescent="0.2">
      <c r="A121" s="409" t="s">
        <v>355</v>
      </c>
      <c r="B121" s="292">
        <v>0</v>
      </c>
      <c r="C121" s="292">
        <v>0</v>
      </c>
      <c r="D121" s="292">
        <v>0</v>
      </c>
      <c r="E121" s="446"/>
      <c r="F121" s="446"/>
      <c r="G121" s="292">
        <v>0</v>
      </c>
      <c r="H121" s="292">
        <v>0</v>
      </c>
      <c r="I121" s="292">
        <v>0</v>
      </c>
      <c r="J121" s="292">
        <v>0</v>
      </c>
      <c r="K121" s="292">
        <v>0</v>
      </c>
      <c r="L121" s="292">
        <v>0</v>
      </c>
      <c r="M121" s="292">
        <v>0</v>
      </c>
      <c r="N121" s="292">
        <v>0</v>
      </c>
      <c r="O121" s="292">
        <v>0</v>
      </c>
      <c r="P121" s="292">
        <v>0</v>
      </c>
      <c r="Q121" s="292">
        <v>0</v>
      </c>
      <c r="R121" s="292">
        <v>0</v>
      </c>
      <c r="S121" s="292">
        <v>0</v>
      </c>
      <c r="T121" s="410" t="e">
        <v>#DIV/0!</v>
      </c>
      <c r="U121" s="450">
        <v>0</v>
      </c>
      <c r="V121" s="450">
        <v>0</v>
      </c>
      <c r="W121" s="446"/>
      <c r="X121" s="446"/>
      <c r="Y121" s="446"/>
      <c r="Z121" s="446"/>
    </row>
    <row r="122" spans="1:26" x14ac:dyDescent="0.2">
      <c r="A122" s="409" t="s">
        <v>356</v>
      </c>
      <c r="B122" s="292">
        <v>0</v>
      </c>
      <c r="C122" s="292">
        <v>0</v>
      </c>
      <c r="D122" s="292">
        <v>0</v>
      </c>
      <c r="E122" s="446"/>
      <c r="F122" s="446"/>
      <c r="G122" s="292">
        <v>0</v>
      </c>
      <c r="H122" s="292">
        <v>0</v>
      </c>
      <c r="I122" s="292">
        <v>0</v>
      </c>
      <c r="J122" s="292">
        <v>0</v>
      </c>
      <c r="K122" s="292">
        <v>0</v>
      </c>
      <c r="L122" s="292">
        <v>0</v>
      </c>
      <c r="M122" s="292">
        <v>0</v>
      </c>
      <c r="N122" s="292">
        <v>0</v>
      </c>
      <c r="O122" s="292">
        <v>0</v>
      </c>
      <c r="P122" s="292">
        <v>0</v>
      </c>
      <c r="Q122" s="292">
        <v>0</v>
      </c>
      <c r="R122" s="292">
        <v>0</v>
      </c>
      <c r="S122" s="292">
        <v>0</v>
      </c>
      <c r="T122" s="410" t="e">
        <v>#DIV/0!</v>
      </c>
      <c r="U122" s="450">
        <v>0</v>
      </c>
      <c r="V122" s="450">
        <v>0</v>
      </c>
      <c r="W122" s="446"/>
      <c r="X122" s="446"/>
      <c r="Y122" s="446"/>
      <c r="Z122" s="446"/>
    </row>
    <row r="123" spans="1:26" x14ac:dyDescent="0.2">
      <c r="A123" s="409" t="s">
        <v>357</v>
      </c>
      <c r="B123" s="292">
        <v>0</v>
      </c>
      <c r="C123" s="292">
        <v>0</v>
      </c>
      <c r="D123" s="292">
        <v>0</v>
      </c>
      <c r="E123" s="446"/>
      <c r="F123" s="446"/>
      <c r="G123" s="292">
        <v>0</v>
      </c>
      <c r="H123" s="292">
        <v>0</v>
      </c>
      <c r="I123" s="292">
        <v>0</v>
      </c>
      <c r="J123" s="292">
        <v>0</v>
      </c>
      <c r="K123" s="292">
        <v>0</v>
      </c>
      <c r="L123" s="292">
        <v>0</v>
      </c>
      <c r="M123" s="292">
        <v>0</v>
      </c>
      <c r="N123" s="292">
        <v>0</v>
      </c>
      <c r="O123" s="292">
        <v>0</v>
      </c>
      <c r="P123" s="292">
        <v>0</v>
      </c>
      <c r="Q123" s="292">
        <v>0</v>
      </c>
      <c r="R123" s="292">
        <v>0</v>
      </c>
      <c r="S123" s="292">
        <v>0</v>
      </c>
      <c r="T123" s="410" t="e">
        <v>#DIV/0!</v>
      </c>
      <c r="U123" s="450">
        <v>0</v>
      </c>
      <c r="V123" s="450">
        <v>0</v>
      </c>
      <c r="W123" s="446"/>
      <c r="X123" s="446"/>
      <c r="Y123" s="446"/>
      <c r="Z123" s="446"/>
    </row>
    <row r="124" spans="1:26" x14ac:dyDescent="0.2">
      <c r="A124" s="409" t="s">
        <v>358</v>
      </c>
      <c r="B124" s="292">
        <v>0</v>
      </c>
      <c r="C124" s="292">
        <v>0</v>
      </c>
      <c r="D124" s="292">
        <v>0</v>
      </c>
      <c r="E124" s="446"/>
      <c r="F124" s="446"/>
      <c r="G124" s="292">
        <v>0</v>
      </c>
      <c r="H124" s="292">
        <v>0</v>
      </c>
      <c r="I124" s="292">
        <v>0</v>
      </c>
      <c r="J124" s="292">
        <v>0</v>
      </c>
      <c r="K124" s="292">
        <v>0</v>
      </c>
      <c r="L124" s="292">
        <v>0</v>
      </c>
      <c r="M124" s="292">
        <v>0</v>
      </c>
      <c r="N124" s="292">
        <v>0</v>
      </c>
      <c r="O124" s="292">
        <v>0</v>
      </c>
      <c r="P124" s="292">
        <v>0</v>
      </c>
      <c r="Q124" s="292">
        <v>0</v>
      </c>
      <c r="R124" s="292">
        <v>0</v>
      </c>
      <c r="S124" s="292">
        <v>0</v>
      </c>
      <c r="T124" s="410" t="e">
        <v>#DIV/0!</v>
      </c>
      <c r="U124" s="450">
        <v>0</v>
      </c>
      <c r="V124" s="450">
        <v>0</v>
      </c>
      <c r="W124" s="446"/>
      <c r="X124" s="446"/>
      <c r="Y124" s="446"/>
      <c r="Z124" s="446"/>
    </row>
    <row r="125" spans="1:26" x14ac:dyDescent="0.2">
      <c r="A125" s="409" t="s">
        <v>359</v>
      </c>
      <c r="B125" s="292">
        <v>0</v>
      </c>
      <c r="C125" s="292">
        <v>0</v>
      </c>
      <c r="D125" s="292">
        <v>0</v>
      </c>
      <c r="E125" s="446"/>
      <c r="F125" s="446"/>
      <c r="G125" s="292">
        <v>0</v>
      </c>
      <c r="H125" s="292">
        <v>0</v>
      </c>
      <c r="I125" s="292">
        <v>0</v>
      </c>
      <c r="J125" s="292">
        <v>0</v>
      </c>
      <c r="K125" s="292">
        <v>0</v>
      </c>
      <c r="L125" s="292">
        <v>0</v>
      </c>
      <c r="M125" s="292">
        <v>0</v>
      </c>
      <c r="N125" s="292">
        <v>0</v>
      </c>
      <c r="O125" s="292">
        <v>0</v>
      </c>
      <c r="P125" s="292">
        <v>0</v>
      </c>
      <c r="Q125" s="292">
        <v>0</v>
      </c>
      <c r="R125" s="292">
        <v>0</v>
      </c>
      <c r="S125" s="292">
        <v>0</v>
      </c>
      <c r="T125" s="410" t="e">
        <v>#DIV/0!</v>
      </c>
      <c r="U125" s="450">
        <v>0</v>
      </c>
      <c r="V125" s="450">
        <v>0</v>
      </c>
      <c r="W125" s="446"/>
      <c r="X125" s="446"/>
      <c r="Y125" s="446"/>
      <c r="Z125" s="446"/>
    </row>
    <row r="126" spans="1:26" x14ac:dyDescent="0.2">
      <c r="A126" s="409" t="s">
        <v>360</v>
      </c>
      <c r="B126" s="292">
        <v>0</v>
      </c>
      <c r="C126" s="292">
        <v>0</v>
      </c>
      <c r="D126" s="292">
        <v>0</v>
      </c>
      <c r="E126" s="446"/>
      <c r="F126" s="446"/>
      <c r="G126" s="292">
        <v>0</v>
      </c>
      <c r="H126" s="292">
        <v>0</v>
      </c>
      <c r="I126" s="292">
        <v>0</v>
      </c>
      <c r="J126" s="292">
        <v>0</v>
      </c>
      <c r="K126" s="292">
        <v>0</v>
      </c>
      <c r="L126" s="292">
        <v>0</v>
      </c>
      <c r="M126" s="292">
        <v>0</v>
      </c>
      <c r="N126" s="292">
        <v>0</v>
      </c>
      <c r="O126" s="292">
        <v>0</v>
      </c>
      <c r="P126" s="292">
        <v>0</v>
      </c>
      <c r="Q126" s="292">
        <v>0</v>
      </c>
      <c r="R126" s="292">
        <v>0</v>
      </c>
      <c r="S126" s="292">
        <v>0</v>
      </c>
      <c r="T126" s="410" t="e">
        <v>#DIV/0!</v>
      </c>
      <c r="U126" s="450">
        <v>0</v>
      </c>
      <c r="V126" s="450">
        <v>0</v>
      </c>
      <c r="W126" s="446"/>
      <c r="X126" s="446"/>
      <c r="Y126" s="446"/>
      <c r="Z126" s="446"/>
    </row>
    <row r="127" spans="1:26" x14ac:dyDescent="0.2">
      <c r="A127" s="409" t="s">
        <v>361</v>
      </c>
      <c r="B127" s="292">
        <v>0</v>
      </c>
      <c r="C127" s="292">
        <v>0</v>
      </c>
      <c r="D127" s="292">
        <v>0</v>
      </c>
      <c r="E127" s="446"/>
      <c r="F127" s="446"/>
      <c r="G127" s="292">
        <v>0</v>
      </c>
      <c r="H127" s="292">
        <v>0</v>
      </c>
      <c r="I127" s="292">
        <v>0</v>
      </c>
      <c r="J127" s="292">
        <v>0</v>
      </c>
      <c r="K127" s="292">
        <v>0</v>
      </c>
      <c r="L127" s="292">
        <v>0</v>
      </c>
      <c r="M127" s="292">
        <v>0</v>
      </c>
      <c r="N127" s="292">
        <v>0</v>
      </c>
      <c r="O127" s="292">
        <v>0</v>
      </c>
      <c r="P127" s="292">
        <v>0</v>
      </c>
      <c r="Q127" s="292">
        <v>0</v>
      </c>
      <c r="R127" s="292">
        <v>0</v>
      </c>
      <c r="S127" s="292">
        <v>0</v>
      </c>
      <c r="T127" s="410" t="e">
        <v>#DIV/0!</v>
      </c>
      <c r="U127" s="450">
        <v>0</v>
      </c>
      <c r="V127" s="450">
        <v>0</v>
      </c>
      <c r="W127" s="446"/>
      <c r="X127" s="446"/>
      <c r="Y127" s="446"/>
      <c r="Z127" s="446"/>
    </row>
    <row r="128" spans="1:26" x14ac:dyDescent="0.2">
      <c r="A128" s="409" t="s">
        <v>362</v>
      </c>
      <c r="B128" s="292">
        <v>0</v>
      </c>
      <c r="C128" s="292">
        <v>0</v>
      </c>
      <c r="D128" s="292">
        <v>0</v>
      </c>
      <c r="E128" s="446"/>
      <c r="F128" s="446"/>
      <c r="G128" s="292">
        <v>0</v>
      </c>
      <c r="H128" s="292">
        <v>0</v>
      </c>
      <c r="I128" s="292">
        <v>0</v>
      </c>
      <c r="J128" s="292">
        <v>0</v>
      </c>
      <c r="K128" s="292">
        <v>0</v>
      </c>
      <c r="L128" s="292">
        <v>0</v>
      </c>
      <c r="M128" s="292">
        <v>0</v>
      </c>
      <c r="N128" s="292">
        <v>0</v>
      </c>
      <c r="O128" s="292">
        <v>0</v>
      </c>
      <c r="P128" s="292">
        <v>0</v>
      </c>
      <c r="Q128" s="292">
        <v>0</v>
      </c>
      <c r="R128" s="292">
        <v>0</v>
      </c>
      <c r="S128" s="292">
        <v>0</v>
      </c>
      <c r="T128" s="410" t="e">
        <v>#DIV/0!</v>
      </c>
      <c r="U128" s="450">
        <v>0</v>
      </c>
      <c r="V128" s="450">
        <v>0</v>
      </c>
      <c r="W128" s="446"/>
      <c r="X128" s="446"/>
      <c r="Y128" s="446"/>
      <c r="Z128" s="446"/>
    </row>
    <row r="129" spans="1:26" x14ac:dyDescent="0.2">
      <c r="A129" s="409" t="s">
        <v>363</v>
      </c>
      <c r="B129" s="292">
        <v>0</v>
      </c>
      <c r="C129" s="292">
        <v>0</v>
      </c>
      <c r="D129" s="292">
        <v>0</v>
      </c>
      <c r="E129" s="446"/>
      <c r="F129" s="446"/>
      <c r="G129" s="292">
        <v>0</v>
      </c>
      <c r="H129" s="292">
        <v>0</v>
      </c>
      <c r="I129" s="292">
        <v>0</v>
      </c>
      <c r="J129" s="292">
        <v>0</v>
      </c>
      <c r="K129" s="292">
        <v>0</v>
      </c>
      <c r="L129" s="292">
        <v>0</v>
      </c>
      <c r="M129" s="292">
        <v>0</v>
      </c>
      <c r="N129" s="292">
        <v>0</v>
      </c>
      <c r="O129" s="292">
        <v>0</v>
      </c>
      <c r="P129" s="292">
        <v>0</v>
      </c>
      <c r="Q129" s="292">
        <v>0</v>
      </c>
      <c r="R129" s="292">
        <v>0</v>
      </c>
      <c r="S129" s="292">
        <v>0</v>
      </c>
      <c r="T129" s="410" t="e">
        <v>#DIV/0!</v>
      </c>
      <c r="U129" s="450">
        <v>0</v>
      </c>
      <c r="V129" s="450">
        <v>0</v>
      </c>
      <c r="W129" s="446"/>
      <c r="X129" s="446"/>
      <c r="Y129" s="446"/>
      <c r="Z129" s="446"/>
    </row>
    <row r="130" spans="1:26" x14ac:dyDescent="0.2">
      <c r="A130" s="409" t="s">
        <v>364</v>
      </c>
      <c r="B130" s="292">
        <v>0</v>
      </c>
      <c r="C130" s="292">
        <v>0</v>
      </c>
      <c r="D130" s="292">
        <v>0</v>
      </c>
      <c r="E130" s="446"/>
      <c r="F130" s="446"/>
      <c r="G130" s="292">
        <v>0</v>
      </c>
      <c r="H130" s="292">
        <v>0</v>
      </c>
      <c r="I130" s="292">
        <v>0</v>
      </c>
      <c r="J130" s="292">
        <v>0</v>
      </c>
      <c r="K130" s="292">
        <v>0</v>
      </c>
      <c r="L130" s="292">
        <v>0</v>
      </c>
      <c r="M130" s="292">
        <v>0</v>
      </c>
      <c r="N130" s="292">
        <v>0</v>
      </c>
      <c r="O130" s="292">
        <v>0</v>
      </c>
      <c r="P130" s="292">
        <v>0</v>
      </c>
      <c r="Q130" s="292">
        <v>0</v>
      </c>
      <c r="R130" s="292">
        <v>0</v>
      </c>
      <c r="S130" s="292">
        <v>0</v>
      </c>
      <c r="T130" s="410" t="e">
        <v>#DIV/0!</v>
      </c>
      <c r="U130" s="450">
        <v>0</v>
      </c>
      <c r="V130" s="450">
        <v>0</v>
      </c>
      <c r="W130" s="446"/>
      <c r="X130" s="446"/>
      <c r="Y130" s="446"/>
      <c r="Z130" s="446"/>
    </row>
    <row r="131" spans="1:26" x14ac:dyDescent="0.2">
      <c r="A131" s="409" t="s">
        <v>365</v>
      </c>
      <c r="B131" s="292">
        <v>0</v>
      </c>
      <c r="C131" s="292">
        <v>0</v>
      </c>
      <c r="D131" s="292">
        <v>0</v>
      </c>
      <c r="E131" s="446"/>
      <c r="F131" s="446"/>
      <c r="G131" s="292">
        <v>0</v>
      </c>
      <c r="H131" s="292">
        <v>0</v>
      </c>
      <c r="I131" s="292">
        <v>0</v>
      </c>
      <c r="J131" s="292">
        <v>0</v>
      </c>
      <c r="K131" s="292">
        <v>0</v>
      </c>
      <c r="L131" s="292">
        <v>0</v>
      </c>
      <c r="M131" s="292">
        <v>0</v>
      </c>
      <c r="N131" s="292">
        <v>0</v>
      </c>
      <c r="O131" s="292">
        <v>0</v>
      </c>
      <c r="P131" s="292">
        <v>0</v>
      </c>
      <c r="Q131" s="292">
        <v>0</v>
      </c>
      <c r="R131" s="292">
        <v>0</v>
      </c>
      <c r="S131" s="292">
        <v>0</v>
      </c>
      <c r="T131" s="410" t="e">
        <v>#DIV/0!</v>
      </c>
      <c r="U131" s="450">
        <v>0</v>
      </c>
      <c r="V131" s="450">
        <v>0</v>
      </c>
      <c r="W131" s="446"/>
      <c r="X131" s="446"/>
      <c r="Y131" s="446"/>
      <c r="Z131" s="446"/>
    </row>
    <row r="132" spans="1:26" x14ac:dyDescent="0.2">
      <c r="A132" s="409" t="s">
        <v>366</v>
      </c>
      <c r="B132" s="292">
        <v>0</v>
      </c>
      <c r="C132" s="292">
        <v>0</v>
      </c>
      <c r="D132" s="292">
        <v>0</v>
      </c>
      <c r="E132" s="446"/>
      <c r="F132" s="446"/>
      <c r="G132" s="292">
        <v>0</v>
      </c>
      <c r="H132" s="292">
        <v>0</v>
      </c>
      <c r="I132" s="292">
        <v>0</v>
      </c>
      <c r="J132" s="292">
        <v>0</v>
      </c>
      <c r="K132" s="292">
        <v>0</v>
      </c>
      <c r="L132" s="292">
        <v>0</v>
      </c>
      <c r="M132" s="292">
        <v>0</v>
      </c>
      <c r="N132" s="292">
        <v>0</v>
      </c>
      <c r="O132" s="292">
        <v>0</v>
      </c>
      <c r="P132" s="292">
        <v>0</v>
      </c>
      <c r="Q132" s="292">
        <v>0</v>
      </c>
      <c r="R132" s="292">
        <v>0</v>
      </c>
      <c r="S132" s="292">
        <v>0</v>
      </c>
      <c r="T132" s="410" t="e">
        <v>#DIV/0!</v>
      </c>
      <c r="U132" s="450">
        <v>0</v>
      </c>
      <c r="V132" s="450">
        <v>0</v>
      </c>
      <c r="W132" s="446"/>
      <c r="X132" s="446"/>
      <c r="Y132" s="446"/>
      <c r="Z132" s="446"/>
    </row>
    <row r="133" spans="1:26" x14ac:dyDescent="0.2">
      <c r="A133" s="409" t="s">
        <v>367</v>
      </c>
      <c r="B133" s="292">
        <v>0</v>
      </c>
      <c r="C133" s="292">
        <v>0</v>
      </c>
      <c r="D133" s="292">
        <v>0</v>
      </c>
      <c r="E133" s="446"/>
      <c r="F133" s="446"/>
      <c r="G133" s="292">
        <v>0</v>
      </c>
      <c r="H133" s="292">
        <v>0</v>
      </c>
      <c r="I133" s="292">
        <v>0</v>
      </c>
      <c r="J133" s="292">
        <v>0</v>
      </c>
      <c r="K133" s="292">
        <v>0</v>
      </c>
      <c r="L133" s="292">
        <v>0</v>
      </c>
      <c r="M133" s="292">
        <v>0</v>
      </c>
      <c r="N133" s="292">
        <v>0</v>
      </c>
      <c r="O133" s="292">
        <v>0</v>
      </c>
      <c r="P133" s="292">
        <v>0</v>
      </c>
      <c r="Q133" s="292">
        <v>0</v>
      </c>
      <c r="R133" s="292">
        <v>0</v>
      </c>
      <c r="S133" s="292">
        <v>0</v>
      </c>
      <c r="T133" s="410" t="e">
        <v>#DIV/0!</v>
      </c>
      <c r="U133" s="450">
        <v>0</v>
      </c>
      <c r="V133" s="450">
        <v>0</v>
      </c>
      <c r="W133" s="446"/>
      <c r="X133" s="446"/>
      <c r="Y133" s="446"/>
      <c r="Z133" s="446"/>
    </row>
    <row r="134" spans="1:26" x14ac:dyDescent="0.2">
      <c r="A134" s="409" t="s">
        <v>368</v>
      </c>
      <c r="B134" s="292">
        <v>0</v>
      </c>
      <c r="C134" s="292">
        <v>0</v>
      </c>
      <c r="D134" s="292">
        <v>0</v>
      </c>
      <c r="E134" s="446"/>
      <c r="F134" s="446"/>
      <c r="G134" s="292">
        <v>0</v>
      </c>
      <c r="H134" s="292">
        <v>0</v>
      </c>
      <c r="I134" s="292">
        <v>0</v>
      </c>
      <c r="J134" s="292">
        <v>0</v>
      </c>
      <c r="K134" s="292">
        <v>0</v>
      </c>
      <c r="L134" s="292">
        <v>0</v>
      </c>
      <c r="M134" s="292">
        <v>0</v>
      </c>
      <c r="N134" s="292">
        <v>0</v>
      </c>
      <c r="O134" s="292">
        <v>0</v>
      </c>
      <c r="P134" s="292">
        <v>0</v>
      </c>
      <c r="Q134" s="292">
        <v>0</v>
      </c>
      <c r="R134" s="292">
        <v>0</v>
      </c>
      <c r="S134" s="292">
        <v>0</v>
      </c>
      <c r="T134" s="410" t="e">
        <v>#DIV/0!</v>
      </c>
      <c r="U134" s="450">
        <v>0</v>
      </c>
      <c r="V134" s="450">
        <v>0</v>
      </c>
      <c r="W134" s="446"/>
      <c r="X134" s="446"/>
      <c r="Y134" s="446"/>
      <c r="Z134" s="446"/>
    </row>
    <row r="135" spans="1:26" x14ac:dyDescent="0.2">
      <c r="A135" s="409" t="s">
        <v>369</v>
      </c>
      <c r="B135" s="292">
        <v>0</v>
      </c>
      <c r="C135" s="292">
        <v>0</v>
      </c>
      <c r="D135" s="292">
        <v>0</v>
      </c>
      <c r="E135" s="446"/>
      <c r="F135" s="446"/>
      <c r="G135" s="292">
        <v>0</v>
      </c>
      <c r="H135" s="292">
        <v>0</v>
      </c>
      <c r="I135" s="292">
        <v>0</v>
      </c>
      <c r="J135" s="292">
        <v>0</v>
      </c>
      <c r="K135" s="292">
        <v>0</v>
      </c>
      <c r="L135" s="292">
        <v>0</v>
      </c>
      <c r="M135" s="292">
        <v>0</v>
      </c>
      <c r="N135" s="292">
        <v>0</v>
      </c>
      <c r="O135" s="292">
        <v>0</v>
      </c>
      <c r="P135" s="292">
        <v>0</v>
      </c>
      <c r="Q135" s="292">
        <v>0</v>
      </c>
      <c r="R135" s="292">
        <v>0</v>
      </c>
      <c r="S135" s="292">
        <v>0</v>
      </c>
      <c r="T135" s="410" t="e">
        <v>#DIV/0!</v>
      </c>
      <c r="U135" s="450">
        <v>0</v>
      </c>
      <c r="V135" s="450">
        <v>0</v>
      </c>
      <c r="W135" s="446"/>
      <c r="X135" s="446"/>
      <c r="Y135" s="446"/>
      <c r="Z135" s="446"/>
    </row>
    <row r="136" spans="1:26" x14ac:dyDescent="0.2">
      <c r="A136" s="454" t="s">
        <v>370</v>
      </c>
      <c r="B136" s="448">
        <v>0</v>
      </c>
      <c r="C136" s="448">
        <v>0</v>
      </c>
      <c r="D136" s="448">
        <v>0</v>
      </c>
      <c r="E136" s="443"/>
      <c r="F136" s="443"/>
      <c r="G136" s="448">
        <v>0</v>
      </c>
      <c r="H136" s="448">
        <v>0</v>
      </c>
      <c r="I136" s="448">
        <v>0</v>
      </c>
      <c r="J136" s="448">
        <v>0</v>
      </c>
      <c r="K136" s="448">
        <v>0</v>
      </c>
      <c r="L136" s="448">
        <v>0</v>
      </c>
      <c r="M136" s="448">
        <v>0</v>
      </c>
      <c r="N136" s="448">
        <v>0</v>
      </c>
      <c r="O136" s="448">
        <v>0</v>
      </c>
      <c r="P136" s="448">
        <v>0</v>
      </c>
      <c r="Q136" s="448">
        <v>0</v>
      </c>
      <c r="R136" s="448">
        <v>0</v>
      </c>
      <c r="S136" s="448">
        <v>0</v>
      </c>
      <c r="T136" s="407" t="e">
        <v>#DIV/0!</v>
      </c>
      <c r="U136" s="449">
        <v>0</v>
      </c>
      <c r="V136" s="449">
        <v>0</v>
      </c>
      <c r="W136" s="446"/>
      <c r="X136" s="446"/>
      <c r="Y136" s="446"/>
      <c r="Z136" s="446"/>
    </row>
    <row r="137" spans="1:26" x14ac:dyDescent="0.2">
      <c r="A137" s="409" t="s">
        <v>371</v>
      </c>
      <c r="B137" s="292">
        <v>0</v>
      </c>
      <c r="C137" s="292">
        <v>0</v>
      </c>
      <c r="D137" s="292">
        <v>0</v>
      </c>
      <c r="E137" s="446"/>
      <c r="F137" s="446"/>
      <c r="G137" s="292">
        <v>0</v>
      </c>
      <c r="H137" s="292">
        <v>0</v>
      </c>
      <c r="I137" s="292">
        <v>0</v>
      </c>
      <c r="J137" s="292">
        <v>0</v>
      </c>
      <c r="K137" s="292">
        <v>0</v>
      </c>
      <c r="L137" s="292">
        <v>0</v>
      </c>
      <c r="M137" s="292">
        <v>0</v>
      </c>
      <c r="N137" s="292">
        <v>0</v>
      </c>
      <c r="O137" s="292">
        <v>0</v>
      </c>
      <c r="P137" s="292">
        <v>0</v>
      </c>
      <c r="Q137" s="292">
        <v>0</v>
      </c>
      <c r="R137" s="292">
        <v>0</v>
      </c>
      <c r="S137" s="292">
        <v>0</v>
      </c>
      <c r="T137" s="410" t="e">
        <v>#DIV/0!</v>
      </c>
      <c r="U137" s="450">
        <v>0</v>
      </c>
      <c r="V137" s="450">
        <v>0</v>
      </c>
      <c r="W137" s="446"/>
      <c r="X137" s="446"/>
      <c r="Y137" s="446"/>
      <c r="Z137" s="446"/>
    </row>
    <row r="138" spans="1:26" x14ac:dyDescent="0.2">
      <c r="A138" s="409" t="s">
        <v>372</v>
      </c>
      <c r="B138" s="292">
        <v>0</v>
      </c>
      <c r="C138" s="292">
        <v>0</v>
      </c>
      <c r="D138" s="292">
        <v>0</v>
      </c>
      <c r="E138" s="446"/>
      <c r="F138" s="446"/>
      <c r="G138" s="292">
        <v>0</v>
      </c>
      <c r="H138" s="292">
        <v>0</v>
      </c>
      <c r="I138" s="292">
        <v>0</v>
      </c>
      <c r="J138" s="292">
        <v>0</v>
      </c>
      <c r="K138" s="292">
        <v>0</v>
      </c>
      <c r="L138" s="292">
        <v>0</v>
      </c>
      <c r="M138" s="292">
        <v>0</v>
      </c>
      <c r="N138" s="292">
        <v>0</v>
      </c>
      <c r="O138" s="292">
        <v>0</v>
      </c>
      <c r="P138" s="292">
        <v>0</v>
      </c>
      <c r="Q138" s="292">
        <v>0</v>
      </c>
      <c r="R138" s="292">
        <v>0</v>
      </c>
      <c r="S138" s="292">
        <v>0</v>
      </c>
      <c r="T138" s="410" t="e">
        <v>#DIV/0!</v>
      </c>
      <c r="U138" s="450">
        <v>0</v>
      </c>
      <c r="V138" s="450">
        <v>0</v>
      </c>
      <c r="W138" s="446"/>
      <c r="X138" s="446"/>
      <c r="Y138" s="446"/>
      <c r="Z138" s="446"/>
    </row>
    <row r="139" spans="1:26" x14ac:dyDescent="0.2">
      <c r="A139" s="409" t="s">
        <v>373</v>
      </c>
      <c r="B139" s="292">
        <v>0</v>
      </c>
      <c r="C139" s="292">
        <v>0</v>
      </c>
      <c r="D139" s="292">
        <v>0</v>
      </c>
      <c r="E139" s="446"/>
      <c r="F139" s="446"/>
      <c r="G139" s="292">
        <v>0</v>
      </c>
      <c r="H139" s="292">
        <v>0</v>
      </c>
      <c r="I139" s="292">
        <v>0</v>
      </c>
      <c r="J139" s="292">
        <v>0</v>
      </c>
      <c r="K139" s="292">
        <v>0</v>
      </c>
      <c r="L139" s="292">
        <v>0</v>
      </c>
      <c r="M139" s="292">
        <v>0</v>
      </c>
      <c r="N139" s="292">
        <v>0</v>
      </c>
      <c r="O139" s="292">
        <v>0</v>
      </c>
      <c r="P139" s="292">
        <v>0</v>
      </c>
      <c r="Q139" s="292">
        <v>0</v>
      </c>
      <c r="R139" s="292">
        <v>0</v>
      </c>
      <c r="S139" s="292">
        <v>0</v>
      </c>
      <c r="T139" s="410" t="e">
        <v>#DIV/0!</v>
      </c>
      <c r="U139" s="450">
        <v>0</v>
      </c>
      <c r="V139" s="450">
        <v>0</v>
      </c>
      <c r="W139" s="446"/>
      <c r="X139" s="446"/>
      <c r="Y139" s="446"/>
      <c r="Z139" s="446"/>
    </row>
    <row r="140" spans="1:26" x14ac:dyDescent="0.2">
      <c r="A140" s="409" t="s">
        <v>374</v>
      </c>
      <c r="B140" s="292">
        <v>0</v>
      </c>
      <c r="C140" s="292">
        <v>0</v>
      </c>
      <c r="D140" s="292">
        <v>0</v>
      </c>
      <c r="E140" s="446"/>
      <c r="F140" s="446"/>
      <c r="G140" s="292">
        <v>0</v>
      </c>
      <c r="H140" s="292">
        <v>0</v>
      </c>
      <c r="I140" s="292">
        <v>0</v>
      </c>
      <c r="J140" s="292">
        <v>0</v>
      </c>
      <c r="K140" s="292">
        <v>0</v>
      </c>
      <c r="L140" s="292">
        <v>0</v>
      </c>
      <c r="M140" s="292">
        <v>0</v>
      </c>
      <c r="N140" s="292">
        <v>0</v>
      </c>
      <c r="O140" s="292">
        <v>0</v>
      </c>
      <c r="P140" s="292">
        <v>0</v>
      </c>
      <c r="Q140" s="292">
        <v>0</v>
      </c>
      <c r="R140" s="292">
        <v>0</v>
      </c>
      <c r="S140" s="292">
        <v>0</v>
      </c>
      <c r="T140" s="410" t="e">
        <v>#DIV/0!</v>
      </c>
      <c r="U140" s="450">
        <v>0</v>
      </c>
      <c r="V140" s="450">
        <v>0</v>
      </c>
      <c r="W140" s="446"/>
      <c r="X140" s="446"/>
      <c r="Y140" s="446"/>
      <c r="Z140" s="446"/>
    </row>
    <row r="141" spans="1:26" x14ac:dyDescent="0.2">
      <c r="A141" s="409" t="s">
        <v>375</v>
      </c>
      <c r="B141" s="292">
        <v>0</v>
      </c>
      <c r="C141" s="292">
        <v>0</v>
      </c>
      <c r="D141" s="292">
        <v>0</v>
      </c>
      <c r="E141" s="446"/>
      <c r="F141" s="446"/>
      <c r="G141" s="292">
        <v>0</v>
      </c>
      <c r="H141" s="292">
        <v>0</v>
      </c>
      <c r="I141" s="292">
        <v>0</v>
      </c>
      <c r="J141" s="292">
        <v>0</v>
      </c>
      <c r="K141" s="292">
        <v>0</v>
      </c>
      <c r="L141" s="292">
        <v>0</v>
      </c>
      <c r="M141" s="292">
        <v>0</v>
      </c>
      <c r="N141" s="292">
        <v>0</v>
      </c>
      <c r="O141" s="292">
        <v>0</v>
      </c>
      <c r="P141" s="292">
        <v>0</v>
      </c>
      <c r="Q141" s="292">
        <v>0</v>
      </c>
      <c r="R141" s="292">
        <v>0</v>
      </c>
      <c r="S141" s="292">
        <v>0</v>
      </c>
      <c r="T141" s="410" t="e">
        <v>#DIV/0!</v>
      </c>
      <c r="U141" s="450">
        <v>0</v>
      </c>
      <c r="V141" s="450">
        <v>0</v>
      </c>
      <c r="W141" s="446"/>
      <c r="X141" s="446"/>
      <c r="Y141" s="446"/>
      <c r="Z141" s="446"/>
    </row>
    <row r="142" spans="1:26" x14ac:dyDescent="0.2">
      <c r="A142" s="409" t="s">
        <v>376</v>
      </c>
      <c r="B142" s="292">
        <v>0</v>
      </c>
      <c r="C142" s="292">
        <v>0</v>
      </c>
      <c r="D142" s="292">
        <v>0</v>
      </c>
      <c r="E142" s="446"/>
      <c r="F142" s="446"/>
      <c r="G142" s="292">
        <v>0</v>
      </c>
      <c r="H142" s="292">
        <v>0</v>
      </c>
      <c r="I142" s="292">
        <v>0</v>
      </c>
      <c r="J142" s="292">
        <v>0</v>
      </c>
      <c r="K142" s="292">
        <v>0</v>
      </c>
      <c r="L142" s="292">
        <v>0</v>
      </c>
      <c r="M142" s="292">
        <v>0</v>
      </c>
      <c r="N142" s="292">
        <v>0</v>
      </c>
      <c r="O142" s="292">
        <v>0</v>
      </c>
      <c r="P142" s="292">
        <v>0</v>
      </c>
      <c r="Q142" s="292">
        <v>0</v>
      </c>
      <c r="R142" s="292">
        <v>0</v>
      </c>
      <c r="S142" s="292">
        <v>0</v>
      </c>
      <c r="T142" s="410" t="e">
        <v>#DIV/0!</v>
      </c>
      <c r="U142" s="450">
        <v>0</v>
      </c>
      <c r="V142" s="450">
        <v>0</v>
      </c>
      <c r="W142" s="446"/>
      <c r="X142" s="446"/>
      <c r="Y142" s="446"/>
      <c r="Z142" s="446"/>
    </row>
    <row r="143" spans="1:26" x14ac:dyDescent="0.2">
      <c r="A143" s="409" t="s">
        <v>377</v>
      </c>
      <c r="B143" s="292">
        <v>0</v>
      </c>
      <c r="C143" s="292">
        <v>0</v>
      </c>
      <c r="D143" s="292">
        <v>0</v>
      </c>
      <c r="E143" s="446"/>
      <c r="F143" s="446"/>
      <c r="G143" s="292">
        <v>0</v>
      </c>
      <c r="H143" s="292">
        <v>0</v>
      </c>
      <c r="I143" s="292">
        <v>0</v>
      </c>
      <c r="J143" s="292">
        <v>0</v>
      </c>
      <c r="K143" s="292">
        <v>0</v>
      </c>
      <c r="L143" s="292">
        <v>0</v>
      </c>
      <c r="M143" s="292">
        <v>0</v>
      </c>
      <c r="N143" s="292">
        <v>0</v>
      </c>
      <c r="O143" s="292">
        <v>0</v>
      </c>
      <c r="P143" s="292">
        <v>0</v>
      </c>
      <c r="Q143" s="292">
        <v>0</v>
      </c>
      <c r="R143" s="292">
        <v>0</v>
      </c>
      <c r="S143" s="292">
        <v>0</v>
      </c>
      <c r="T143" s="410" t="e">
        <v>#DIV/0!</v>
      </c>
      <c r="U143" s="450">
        <v>0</v>
      </c>
      <c r="V143" s="450">
        <v>0</v>
      </c>
      <c r="W143" s="446"/>
      <c r="X143" s="446"/>
      <c r="Y143" s="446"/>
      <c r="Z143" s="446"/>
    </row>
    <row r="144" spans="1:26" x14ac:dyDescent="0.2">
      <c r="A144" s="409" t="s">
        <v>378</v>
      </c>
      <c r="B144" s="292">
        <v>0</v>
      </c>
      <c r="C144" s="292">
        <v>0</v>
      </c>
      <c r="D144" s="292">
        <v>0</v>
      </c>
      <c r="E144" s="446"/>
      <c r="F144" s="446"/>
      <c r="G144" s="292">
        <v>0</v>
      </c>
      <c r="H144" s="292">
        <v>0</v>
      </c>
      <c r="I144" s="292">
        <v>0</v>
      </c>
      <c r="J144" s="292">
        <v>0</v>
      </c>
      <c r="K144" s="292">
        <v>0</v>
      </c>
      <c r="L144" s="292">
        <v>0</v>
      </c>
      <c r="M144" s="292">
        <v>0</v>
      </c>
      <c r="N144" s="292">
        <v>0</v>
      </c>
      <c r="O144" s="292">
        <v>0</v>
      </c>
      <c r="P144" s="292">
        <v>0</v>
      </c>
      <c r="Q144" s="292">
        <v>0</v>
      </c>
      <c r="R144" s="292">
        <v>0</v>
      </c>
      <c r="S144" s="292">
        <v>0</v>
      </c>
      <c r="T144" s="410" t="e">
        <v>#DIV/0!</v>
      </c>
      <c r="U144" s="450">
        <v>0</v>
      </c>
      <c r="V144" s="450">
        <v>0</v>
      </c>
      <c r="W144" s="446"/>
      <c r="X144" s="446"/>
      <c r="Y144" s="446"/>
      <c r="Z144" s="446"/>
    </row>
    <row r="145" spans="1:26" x14ac:dyDescent="0.2">
      <c r="A145" s="409" t="s">
        <v>379</v>
      </c>
      <c r="B145" s="292">
        <v>0</v>
      </c>
      <c r="C145" s="292">
        <v>0</v>
      </c>
      <c r="D145" s="292">
        <v>0</v>
      </c>
      <c r="E145" s="446"/>
      <c r="F145" s="446"/>
      <c r="G145" s="292">
        <v>0</v>
      </c>
      <c r="H145" s="292">
        <v>0</v>
      </c>
      <c r="I145" s="292">
        <v>0</v>
      </c>
      <c r="J145" s="292">
        <v>0</v>
      </c>
      <c r="K145" s="292">
        <v>0</v>
      </c>
      <c r="L145" s="292">
        <v>0</v>
      </c>
      <c r="M145" s="292">
        <v>0</v>
      </c>
      <c r="N145" s="292">
        <v>0</v>
      </c>
      <c r="O145" s="292">
        <v>0</v>
      </c>
      <c r="P145" s="292">
        <v>0</v>
      </c>
      <c r="Q145" s="292">
        <v>0</v>
      </c>
      <c r="R145" s="292">
        <v>0</v>
      </c>
      <c r="S145" s="292">
        <v>0</v>
      </c>
      <c r="T145" s="410" t="e">
        <v>#DIV/0!</v>
      </c>
      <c r="U145" s="450">
        <v>0</v>
      </c>
      <c r="V145" s="450">
        <v>0</v>
      </c>
      <c r="W145" s="446"/>
      <c r="X145" s="446"/>
      <c r="Y145" s="446"/>
      <c r="Z145" s="446"/>
    </row>
    <row r="146" spans="1:26" x14ac:dyDescent="0.2">
      <c r="A146" s="409" t="s">
        <v>380</v>
      </c>
      <c r="B146" s="292">
        <v>0</v>
      </c>
      <c r="C146" s="292">
        <v>0</v>
      </c>
      <c r="D146" s="292">
        <v>0</v>
      </c>
      <c r="E146" s="446"/>
      <c r="F146" s="446"/>
      <c r="G146" s="292">
        <v>0</v>
      </c>
      <c r="H146" s="292">
        <v>0</v>
      </c>
      <c r="I146" s="292">
        <v>0</v>
      </c>
      <c r="J146" s="292">
        <v>0</v>
      </c>
      <c r="K146" s="292">
        <v>0</v>
      </c>
      <c r="L146" s="292">
        <v>0</v>
      </c>
      <c r="M146" s="292">
        <v>0</v>
      </c>
      <c r="N146" s="292">
        <v>0</v>
      </c>
      <c r="O146" s="292">
        <v>0</v>
      </c>
      <c r="P146" s="292">
        <v>0</v>
      </c>
      <c r="Q146" s="292">
        <v>0</v>
      </c>
      <c r="R146" s="292">
        <v>0</v>
      </c>
      <c r="S146" s="292">
        <v>0</v>
      </c>
      <c r="T146" s="410" t="e">
        <v>#DIV/0!</v>
      </c>
      <c r="U146" s="450">
        <v>0</v>
      </c>
      <c r="V146" s="450">
        <v>0</v>
      </c>
      <c r="W146" s="446"/>
      <c r="X146" s="446"/>
      <c r="Y146" s="446"/>
      <c r="Z146" s="446"/>
    </row>
    <row r="147" spans="1:26" x14ac:dyDescent="0.2">
      <c r="A147" s="454" t="s">
        <v>381</v>
      </c>
      <c r="B147" s="451">
        <v>0</v>
      </c>
      <c r="C147" s="451">
        <v>0</v>
      </c>
      <c r="D147" s="451">
        <v>0</v>
      </c>
      <c r="E147" s="452"/>
      <c r="F147" s="452"/>
      <c r="G147" s="451">
        <v>0</v>
      </c>
      <c r="H147" s="451">
        <v>0</v>
      </c>
      <c r="I147" s="451">
        <v>0</v>
      </c>
      <c r="J147" s="451">
        <v>0</v>
      </c>
      <c r="K147" s="451">
        <v>0</v>
      </c>
      <c r="L147" s="451">
        <v>0</v>
      </c>
      <c r="M147" s="451">
        <v>0</v>
      </c>
      <c r="N147" s="451">
        <v>0</v>
      </c>
      <c r="O147" s="451">
        <v>0</v>
      </c>
      <c r="P147" s="451">
        <v>0</v>
      </c>
      <c r="Q147" s="451">
        <v>0</v>
      </c>
      <c r="R147" s="451">
        <v>0</v>
      </c>
      <c r="S147" s="451">
        <v>0</v>
      </c>
      <c r="T147" s="407" t="e">
        <v>#DIV/0!</v>
      </c>
      <c r="U147" s="449">
        <v>0</v>
      </c>
      <c r="V147" s="449">
        <v>0</v>
      </c>
      <c r="W147" s="452"/>
      <c r="X147" s="452"/>
      <c r="Y147" s="446"/>
      <c r="Z147" s="446"/>
    </row>
    <row r="148" spans="1:26" x14ac:dyDescent="0.2">
      <c r="A148" s="441" t="s">
        <v>382</v>
      </c>
      <c r="B148" s="442">
        <v>0</v>
      </c>
      <c r="C148" s="442">
        <v>0</v>
      </c>
      <c r="D148" s="442">
        <v>0</v>
      </c>
      <c r="E148" s="443"/>
      <c r="F148" s="443"/>
      <c r="G148" s="442">
        <v>0</v>
      </c>
      <c r="H148" s="442">
        <v>0</v>
      </c>
      <c r="I148" s="442">
        <v>0</v>
      </c>
      <c r="J148" s="442">
        <v>0</v>
      </c>
      <c r="K148" s="442">
        <v>0</v>
      </c>
      <c r="L148" s="442">
        <v>0</v>
      </c>
      <c r="M148" s="442">
        <v>0</v>
      </c>
      <c r="N148" s="442">
        <v>0</v>
      </c>
      <c r="O148" s="442">
        <v>0</v>
      </c>
      <c r="P148" s="442">
        <v>0</v>
      </c>
      <c r="Q148" s="442">
        <v>0</v>
      </c>
      <c r="R148" s="442">
        <v>0</v>
      </c>
      <c r="S148" s="442">
        <v>0</v>
      </c>
      <c r="T148" s="444" t="e">
        <v>#DIV/0!</v>
      </c>
      <c r="U148" s="445">
        <v>0</v>
      </c>
      <c r="V148" s="445">
        <v>0</v>
      </c>
      <c r="W148" s="446"/>
      <c r="X148" s="446"/>
      <c r="Y148" s="446"/>
      <c r="Z148" s="446"/>
    </row>
    <row r="149" spans="1:26" x14ac:dyDescent="0.2">
      <c r="A149" s="454" t="s">
        <v>383</v>
      </c>
      <c r="B149" s="448">
        <v>0</v>
      </c>
      <c r="C149" s="448">
        <v>0</v>
      </c>
      <c r="D149" s="448">
        <v>0</v>
      </c>
      <c r="E149" s="443"/>
      <c r="F149" s="443"/>
      <c r="G149" s="448">
        <v>0</v>
      </c>
      <c r="H149" s="448">
        <v>0</v>
      </c>
      <c r="I149" s="448">
        <v>0</v>
      </c>
      <c r="J149" s="448">
        <v>0</v>
      </c>
      <c r="K149" s="448">
        <v>0</v>
      </c>
      <c r="L149" s="448">
        <v>0</v>
      </c>
      <c r="M149" s="448">
        <v>0</v>
      </c>
      <c r="N149" s="448">
        <v>0</v>
      </c>
      <c r="O149" s="448">
        <v>0</v>
      </c>
      <c r="P149" s="448">
        <v>0</v>
      </c>
      <c r="Q149" s="448">
        <v>0</v>
      </c>
      <c r="R149" s="448">
        <v>0</v>
      </c>
      <c r="S149" s="448">
        <v>0</v>
      </c>
      <c r="T149" s="407" t="e">
        <v>#DIV/0!</v>
      </c>
      <c r="U149" s="449">
        <v>0</v>
      </c>
      <c r="V149" s="449">
        <v>0</v>
      </c>
      <c r="W149" s="446"/>
      <c r="X149" s="446"/>
      <c r="Y149" s="446"/>
      <c r="Z149" s="446"/>
    </row>
    <row r="150" spans="1:26" x14ac:dyDescent="0.2">
      <c r="A150" s="409" t="s">
        <v>384</v>
      </c>
      <c r="B150" s="292">
        <v>0</v>
      </c>
      <c r="C150" s="292">
        <v>0</v>
      </c>
      <c r="D150" s="292">
        <v>0</v>
      </c>
      <c r="E150" s="446"/>
      <c r="F150" s="446"/>
      <c r="G150" s="292">
        <v>0</v>
      </c>
      <c r="H150" s="292">
        <v>0</v>
      </c>
      <c r="I150" s="292">
        <v>0</v>
      </c>
      <c r="J150" s="292">
        <v>0</v>
      </c>
      <c r="K150" s="292">
        <v>0</v>
      </c>
      <c r="L150" s="292">
        <v>0</v>
      </c>
      <c r="M150" s="292">
        <v>0</v>
      </c>
      <c r="N150" s="292">
        <v>0</v>
      </c>
      <c r="O150" s="292">
        <v>0</v>
      </c>
      <c r="P150" s="292">
        <v>0</v>
      </c>
      <c r="Q150" s="292">
        <v>0</v>
      </c>
      <c r="R150" s="292">
        <v>0</v>
      </c>
      <c r="S150" s="292">
        <v>0</v>
      </c>
      <c r="T150" s="410" t="e">
        <v>#DIV/0!</v>
      </c>
      <c r="U150" s="450">
        <v>0</v>
      </c>
      <c r="V150" s="450">
        <v>0</v>
      </c>
      <c r="W150" s="446"/>
      <c r="X150" s="446"/>
      <c r="Y150" s="446"/>
      <c r="Z150" s="446"/>
    </row>
    <row r="151" spans="1:26" x14ac:dyDescent="0.2">
      <c r="A151" s="409" t="s">
        <v>385</v>
      </c>
      <c r="B151" s="292">
        <v>0</v>
      </c>
      <c r="C151" s="292">
        <v>0</v>
      </c>
      <c r="D151" s="292">
        <v>0</v>
      </c>
      <c r="E151" s="446"/>
      <c r="F151" s="446"/>
      <c r="G151" s="292">
        <v>0</v>
      </c>
      <c r="H151" s="292">
        <v>0</v>
      </c>
      <c r="I151" s="292">
        <v>0</v>
      </c>
      <c r="J151" s="292">
        <v>0</v>
      </c>
      <c r="K151" s="292">
        <v>0</v>
      </c>
      <c r="L151" s="292">
        <v>0</v>
      </c>
      <c r="M151" s="292">
        <v>0</v>
      </c>
      <c r="N151" s="292">
        <v>0</v>
      </c>
      <c r="O151" s="292">
        <v>0</v>
      </c>
      <c r="P151" s="292">
        <v>0</v>
      </c>
      <c r="Q151" s="292">
        <v>0</v>
      </c>
      <c r="R151" s="292">
        <v>0</v>
      </c>
      <c r="S151" s="292">
        <v>0</v>
      </c>
      <c r="T151" s="410" t="e">
        <v>#DIV/0!</v>
      </c>
      <c r="U151" s="450">
        <v>0</v>
      </c>
      <c r="V151" s="450">
        <v>0</v>
      </c>
      <c r="W151" s="446"/>
      <c r="X151" s="446"/>
      <c r="Y151" s="446"/>
      <c r="Z151" s="446"/>
    </row>
    <row r="152" spans="1:26" x14ac:dyDescent="0.2">
      <c r="A152" s="409" t="s">
        <v>386</v>
      </c>
      <c r="B152" s="292">
        <v>0</v>
      </c>
      <c r="C152" s="292">
        <v>0</v>
      </c>
      <c r="D152" s="292">
        <v>0</v>
      </c>
      <c r="E152" s="446"/>
      <c r="F152" s="446"/>
      <c r="G152" s="292">
        <v>0</v>
      </c>
      <c r="H152" s="292">
        <v>0</v>
      </c>
      <c r="I152" s="292">
        <v>0</v>
      </c>
      <c r="J152" s="292">
        <v>0</v>
      </c>
      <c r="K152" s="292">
        <v>0</v>
      </c>
      <c r="L152" s="292">
        <v>0</v>
      </c>
      <c r="M152" s="292">
        <v>0</v>
      </c>
      <c r="N152" s="292">
        <v>0</v>
      </c>
      <c r="O152" s="292">
        <v>0</v>
      </c>
      <c r="P152" s="292">
        <v>0</v>
      </c>
      <c r="Q152" s="292">
        <v>0</v>
      </c>
      <c r="R152" s="292">
        <v>0</v>
      </c>
      <c r="S152" s="292">
        <v>0</v>
      </c>
      <c r="T152" s="410" t="e">
        <v>#DIV/0!</v>
      </c>
      <c r="U152" s="450">
        <v>0</v>
      </c>
      <c r="V152" s="450">
        <v>0</v>
      </c>
      <c r="W152" s="446"/>
      <c r="X152" s="446"/>
      <c r="Y152" s="446"/>
      <c r="Z152" s="446"/>
    </row>
    <row r="153" spans="1:26" x14ac:dyDescent="0.2">
      <c r="A153" s="409" t="s">
        <v>387</v>
      </c>
      <c r="B153" s="292">
        <v>0</v>
      </c>
      <c r="C153" s="292">
        <v>0</v>
      </c>
      <c r="D153" s="292">
        <v>0</v>
      </c>
      <c r="E153" s="446"/>
      <c r="F153" s="446"/>
      <c r="G153" s="292">
        <v>0</v>
      </c>
      <c r="H153" s="292">
        <v>0</v>
      </c>
      <c r="I153" s="292">
        <v>0</v>
      </c>
      <c r="J153" s="292">
        <v>0</v>
      </c>
      <c r="K153" s="292">
        <v>0</v>
      </c>
      <c r="L153" s="292">
        <v>0</v>
      </c>
      <c r="M153" s="292">
        <v>0</v>
      </c>
      <c r="N153" s="292">
        <v>0</v>
      </c>
      <c r="O153" s="292">
        <v>0</v>
      </c>
      <c r="P153" s="292">
        <v>0</v>
      </c>
      <c r="Q153" s="292">
        <v>0</v>
      </c>
      <c r="R153" s="292">
        <v>0</v>
      </c>
      <c r="S153" s="292">
        <v>0</v>
      </c>
      <c r="T153" s="410" t="e">
        <v>#DIV/0!</v>
      </c>
      <c r="U153" s="450">
        <v>0</v>
      </c>
      <c r="V153" s="450">
        <v>0</v>
      </c>
      <c r="W153" s="446"/>
      <c r="X153" s="446"/>
      <c r="Y153" s="446"/>
      <c r="Z153" s="446"/>
    </row>
    <row r="154" spans="1:26" x14ac:dyDescent="0.2">
      <c r="A154" s="409" t="s">
        <v>388</v>
      </c>
      <c r="B154" s="292">
        <v>0</v>
      </c>
      <c r="C154" s="292">
        <v>0</v>
      </c>
      <c r="D154" s="292">
        <v>0</v>
      </c>
      <c r="E154" s="446"/>
      <c r="F154" s="446"/>
      <c r="G154" s="292">
        <v>0</v>
      </c>
      <c r="H154" s="292">
        <v>0</v>
      </c>
      <c r="I154" s="292">
        <v>0</v>
      </c>
      <c r="J154" s="292">
        <v>0</v>
      </c>
      <c r="K154" s="292">
        <v>0</v>
      </c>
      <c r="L154" s="292">
        <v>0</v>
      </c>
      <c r="M154" s="292">
        <v>0</v>
      </c>
      <c r="N154" s="292">
        <v>0</v>
      </c>
      <c r="O154" s="292">
        <v>0</v>
      </c>
      <c r="P154" s="292">
        <v>0</v>
      </c>
      <c r="Q154" s="292">
        <v>0</v>
      </c>
      <c r="R154" s="292">
        <v>0</v>
      </c>
      <c r="S154" s="292">
        <v>0</v>
      </c>
      <c r="T154" s="410" t="e">
        <v>#DIV/0!</v>
      </c>
      <c r="U154" s="450">
        <v>0</v>
      </c>
      <c r="V154" s="450">
        <v>0</v>
      </c>
      <c r="W154" s="446"/>
      <c r="X154" s="446"/>
      <c r="Y154" s="446"/>
      <c r="Z154" s="446"/>
    </row>
    <row r="155" spans="1:26" x14ac:dyDescent="0.2">
      <c r="A155" s="409" t="s">
        <v>389</v>
      </c>
      <c r="B155" s="292">
        <v>0</v>
      </c>
      <c r="C155" s="292">
        <v>0</v>
      </c>
      <c r="D155" s="292">
        <v>0</v>
      </c>
      <c r="E155" s="446"/>
      <c r="F155" s="446"/>
      <c r="G155" s="292">
        <v>0</v>
      </c>
      <c r="H155" s="292">
        <v>0</v>
      </c>
      <c r="I155" s="292">
        <v>0</v>
      </c>
      <c r="J155" s="292">
        <v>0</v>
      </c>
      <c r="K155" s="292">
        <v>0</v>
      </c>
      <c r="L155" s="292">
        <v>0</v>
      </c>
      <c r="M155" s="292">
        <v>0</v>
      </c>
      <c r="N155" s="292">
        <v>0</v>
      </c>
      <c r="O155" s="292">
        <v>0</v>
      </c>
      <c r="P155" s="292">
        <v>0</v>
      </c>
      <c r="Q155" s="292">
        <v>0</v>
      </c>
      <c r="R155" s="292">
        <v>0</v>
      </c>
      <c r="S155" s="292">
        <v>0</v>
      </c>
      <c r="T155" s="410" t="e">
        <v>#DIV/0!</v>
      </c>
      <c r="U155" s="450">
        <v>0</v>
      </c>
      <c r="V155" s="450">
        <v>0</v>
      </c>
      <c r="W155" s="446"/>
      <c r="X155" s="446"/>
      <c r="Y155" s="446"/>
      <c r="Z155" s="446"/>
    </row>
    <row r="156" spans="1:26" x14ac:dyDescent="0.2">
      <c r="A156" s="404" t="s">
        <v>390</v>
      </c>
      <c r="B156" s="448">
        <v>0</v>
      </c>
      <c r="C156" s="448">
        <v>0</v>
      </c>
      <c r="D156" s="448">
        <v>0</v>
      </c>
      <c r="E156" s="443"/>
      <c r="F156" s="443"/>
      <c r="G156" s="448">
        <v>0</v>
      </c>
      <c r="H156" s="448">
        <v>0</v>
      </c>
      <c r="I156" s="448">
        <v>0</v>
      </c>
      <c r="J156" s="448">
        <v>0</v>
      </c>
      <c r="K156" s="448">
        <v>0</v>
      </c>
      <c r="L156" s="448">
        <v>0</v>
      </c>
      <c r="M156" s="448">
        <v>0</v>
      </c>
      <c r="N156" s="448">
        <v>0</v>
      </c>
      <c r="O156" s="448">
        <v>0</v>
      </c>
      <c r="P156" s="448">
        <v>0</v>
      </c>
      <c r="Q156" s="448">
        <v>0</v>
      </c>
      <c r="R156" s="448">
        <v>0</v>
      </c>
      <c r="S156" s="448">
        <v>0</v>
      </c>
      <c r="T156" s="407" t="e">
        <v>#DIV/0!</v>
      </c>
      <c r="U156" s="449">
        <v>0</v>
      </c>
      <c r="V156" s="449">
        <v>0</v>
      </c>
      <c r="W156" s="446"/>
      <c r="X156" s="446"/>
      <c r="Y156" s="446"/>
      <c r="Z156" s="446"/>
    </row>
    <row r="157" spans="1:26" x14ac:dyDescent="0.2">
      <c r="A157" s="412" t="s">
        <v>391</v>
      </c>
      <c r="B157" s="292">
        <v>0</v>
      </c>
      <c r="C157" s="292">
        <v>0</v>
      </c>
      <c r="D157" s="292">
        <v>0</v>
      </c>
      <c r="E157" s="446"/>
      <c r="F157" s="446"/>
      <c r="G157" s="292">
        <v>0</v>
      </c>
      <c r="H157" s="292">
        <v>0</v>
      </c>
      <c r="I157" s="292">
        <v>0</v>
      </c>
      <c r="J157" s="292">
        <v>0</v>
      </c>
      <c r="K157" s="292">
        <v>0</v>
      </c>
      <c r="L157" s="292">
        <v>0</v>
      </c>
      <c r="M157" s="292">
        <v>0</v>
      </c>
      <c r="N157" s="292">
        <v>0</v>
      </c>
      <c r="O157" s="292">
        <v>0</v>
      </c>
      <c r="P157" s="292">
        <v>0</v>
      </c>
      <c r="Q157" s="292">
        <v>0</v>
      </c>
      <c r="R157" s="292">
        <v>0</v>
      </c>
      <c r="S157" s="292">
        <v>0</v>
      </c>
      <c r="T157" s="410" t="e">
        <v>#DIV/0!</v>
      </c>
      <c r="U157" s="450">
        <v>0</v>
      </c>
      <c r="V157" s="450">
        <v>0</v>
      </c>
      <c r="W157" s="446"/>
      <c r="X157" s="446"/>
      <c r="Y157" s="446"/>
      <c r="Z157" s="446"/>
    </row>
    <row r="158" spans="1:26" x14ac:dyDescent="0.2">
      <c r="A158" s="412" t="s">
        <v>392</v>
      </c>
      <c r="B158" s="292">
        <v>0</v>
      </c>
      <c r="C158" s="292">
        <v>0</v>
      </c>
      <c r="D158" s="292">
        <v>0</v>
      </c>
      <c r="E158" s="446"/>
      <c r="F158" s="446"/>
      <c r="G158" s="292">
        <v>0</v>
      </c>
      <c r="H158" s="292">
        <v>0</v>
      </c>
      <c r="I158" s="292">
        <v>0</v>
      </c>
      <c r="J158" s="292">
        <v>0</v>
      </c>
      <c r="K158" s="292">
        <v>0</v>
      </c>
      <c r="L158" s="292">
        <v>0</v>
      </c>
      <c r="M158" s="292">
        <v>0</v>
      </c>
      <c r="N158" s="292">
        <v>0</v>
      </c>
      <c r="O158" s="292">
        <v>0</v>
      </c>
      <c r="P158" s="292">
        <v>0</v>
      </c>
      <c r="Q158" s="292">
        <v>0</v>
      </c>
      <c r="R158" s="292">
        <v>0</v>
      </c>
      <c r="S158" s="292">
        <v>0</v>
      </c>
      <c r="T158" s="410" t="e">
        <v>#DIV/0!</v>
      </c>
      <c r="U158" s="450">
        <v>0</v>
      </c>
      <c r="V158" s="450">
        <v>0</v>
      </c>
      <c r="W158" s="446"/>
      <c r="X158" s="446"/>
      <c r="Y158" s="446"/>
      <c r="Z158" s="446"/>
    </row>
    <row r="159" spans="1:26" x14ac:dyDescent="0.2">
      <c r="A159" s="412" t="s">
        <v>393</v>
      </c>
      <c r="B159" s="292">
        <v>0</v>
      </c>
      <c r="C159" s="292">
        <v>0</v>
      </c>
      <c r="D159" s="292">
        <v>0</v>
      </c>
      <c r="E159" s="446"/>
      <c r="F159" s="446"/>
      <c r="G159" s="292">
        <v>0</v>
      </c>
      <c r="H159" s="292">
        <v>0</v>
      </c>
      <c r="I159" s="292">
        <v>0</v>
      </c>
      <c r="J159" s="292">
        <v>0</v>
      </c>
      <c r="K159" s="292">
        <v>0</v>
      </c>
      <c r="L159" s="292">
        <v>0</v>
      </c>
      <c r="M159" s="292">
        <v>0</v>
      </c>
      <c r="N159" s="292">
        <v>0</v>
      </c>
      <c r="O159" s="292">
        <v>0</v>
      </c>
      <c r="P159" s="292">
        <v>0</v>
      </c>
      <c r="Q159" s="292">
        <v>0</v>
      </c>
      <c r="R159" s="292">
        <v>0</v>
      </c>
      <c r="S159" s="292">
        <v>0</v>
      </c>
      <c r="T159" s="410" t="e">
        <v>#DIV/0!</v>
      </c>
      <c r="U159" s="450">
        <v>0</v>
      </c>
      <c r="V159" s="450">
        <v>0</v>
      </c>
      <c r="W159" s="446"/>
      <c r="X159" s="446"/>
      <c r="Y159" s="446"/>
      <c r="Z159" s="446"/>
    </row>
    <row r="160" spans="1:26" x14ac:dyDescent="0.2">
      <c r="A160" s="441" t="s">
        <v>394</v>
      </c>
      <c r="B160" s="458">
        <v>0</v>
      </c>
      <c r="C160" s="458">
        <v>0</v>
      </c>
      <c r="D160" s="458">
        <v>0</v>
      </c>
      <c r="E160" s="452"/>
      <c r="F160" s="452"/>
      <c r="G160" s="458">
        <v>0</v>
      </c>
      <c r="H160" s="458">
        <v>0</v>
      </c>
      <c r="I160" s="458">
        <v>0</v>
      </c>
      <c r="J160" s="458">
        <v>0</v>
      </c>
      <c r="K160" s="458">
        <v>0</v>
      </c>
      <c r="L160" s="458">
        <v>0</v>
      </c>
      <c r="M160" s="458">
        <v>0</v>
      </c>
      <c r="N160" s="458">
        <v>0</v>
      </c>
      <c r="O160" s="458">
        <v>0</v>
      </c>
      <c r="P160" s="458">
        <v>0</v>
      </c>
      <c r="Q160" s="458">
        <v>0</v>
      </c>
      <c r="R160" s="458">
        <v>0</v>
      </c>
      <c r="S160" s="458">
        <v>0</v>
      </c>
      <c r="T160" s="444" t="e">
        <v>#DIV/0!</v>
      </c>
      <c r="U160" s="445">
        <v>0</v>
      </c>
      <c r="V160" s="445">
        <v>0</v>
      </c>
      <c r="W160" s="446"/>
      <c r="X160" s="446"/>
      <c r="Y160" s="446"/>
      <c r="Z160" s="446"/>
    </row>
    <row r="161" spans="1:27" x14ac:dyDescent="0.2">
      <c r="A161" s="459" t="s">
        <v>395</v>
      </c>
      <c r="B161" s="458">
        <v>0</v>
      </c>
      <c r="C161" s="458">
        <v>970727.28</v>
      </c>
      <c r="D161" s="458">
        <v>970727.28</v>
      </c>
      <c r="E161" s="452"/>
      <c r="F161" s="452"/>
      <c r="G161" s="458">
        <v>970727.28</v>
      </c>
      <c r="H161" s="458">
        <v>0</v>
      </c>
      <c r="I161" s="458">
        <v>0</v>
      </c>
      <c r="J161" s="458">
        <v>0</v>
      </c>
      <c r="K161" s="458">
        <v>0</v>
      </c>
      <c r="L161" s="458">
        <v>0</v>
      </c>
      <c r="M161" s="458">
        <v>0</v>
      </c>
      <c r="N161" s="458">
        <v>0</v>
      </c>
      <c r="O161" s="458">
        <v>0</v>
      </c>
      <c r="P161" s="458">
        <v>0</v>
      </c>
      <c r="Q161" s="458">
        <v>0</v>
      </c>
      <c r="R161" s="458">
        <v>0</v>
      </c>
      <c r="S161" s="458">
        <v>970727.28</v>
      </c>
      <c r="T161" s="444">
        <v>1</v>
      </c>
      <c r="U161" s="445">
        <v>0</v>
      </c>
      <c r="V161" s="445">
        <v>0</v>
      </c>
      <c r="W161" s="446"/>
      <c r="X161" s="446"/>
      <c r="Y161" s="446"/>
      <c r="Z161" s="446"/>
    </row>
    <row r="162" spans="1:27" x14ac:dyDescent="0.2">
      <c r="A162" s="460" t="s">
        <v>396</v>
      </c>
      <c r="B162" s="461">
        <v>0</v>
      </c>
      <c r="C162" s="461">
        <v>0</v>
      </c>
      <c r="D162" s="461">
        <v>0</v>
      </c>
      <c r="E162" s="443"/>
      <c r="F162" s="443"/>
      <c r="G162" s="461">
        <v>0</v>
      </c>
      <c r="H162" s="461">
        <v>0</v>
      </c>
      <c r="I162" s="461">
        <v>0</v>
      </c>
      <c r="J162" s="461">
        <v>0</v>
      </c>
      <c r="K162" s="461">
        <v>0</v>
      </c>
      <c r="L162" s="461">
        <v>0</v>
      </c>
      <c r="M162" s="461">
        <v>0</v>
      </c>
      <c r="N162" s="461">
        <v>0</v>
      </c>
      <c r="O162" s="461">
        <v>0</v>
      </c>
      <c r="P162" s="461">
        <v>0</v>
      </c>
      <c r="Q162" s="461">
        <v>0</v>
      </c>
      <c r="R162" s="461">
        <v>0</v>
      </c>
      <c r="S162" s="461">
        <v>0</v>
      </c>
      <c r="T162" s="420" t="e">
        <v>#DIV/0!</v>
      </c>
      <c r="U162" s="462">
        <v>0</v>
      </c>
      <c r="V162" s="462">
        <v>0</v>
      </c>
      <c r="W162" s="446"/>
      <c r="X162" s="446"/>
      <c r="Y162" s="446"/>
      <c r="Z162" s="446"/>
    </row>
    <row r="163" spans="1:27" x14ac:dyDescent="0.2">
      <c r="A163" s="454" t="s">
        <v>397</v>
      </c>
      <c r="B163" s="451">
        <v>0</v>
      </c>
      <c r="C163" s="451">
        <v>0</v>
      </c>
      <c r="D163" s="451">
        <v>0</v>
      </c>
      <c r="E163" s="452"/>
      <c r="F163" s="452"/>
      <c r="G163" s="451">
        <v>0</v>
      </c>
      <c r="H163" s="451">
        <v>0</v>
      </c>
      <c r="I163" s="451">
        <v>0</v>
      </c>
      <c r="J163" s="451">
        <v>0</v>
      </c>
      <c r="K163" s="451">
        <v>0</v>
      </c>
      <c r="L163" s="451">
        <v>0</v>
      </c>
      <c r="M163" s="451">
        <v>0</v>
      </c>
      <c r="N163" s="451">
        <v>0</v>
      </c>
      <c r="O163" s="451">
        <v>0</v>
      </c>
      <c r="P163" s="451">
        <v>0</v>
      </c>
      <c r="Q163" s="451">
        <v>0</v>
      </c>
      <c r="R163" s="451">
        <v>0</v>
      </c>
      <c r="S163" s="451">
        <v>0</v>
      </c>
      <c r="T163" s="407" t="e">
        <v>#DIV/0!</v>
      </c>
      <c r="U163" s="449">
        <v>0</v>
      </c>
      <c r="V163" s="449">
        <v>0</v>
      </c>
      <c r="W163" s="452"/>
      <c r="X163" s="452"/>
      <c r="Y163" s="446"/>
      <c r="Z163" s="446"/>
    </row>
    <row r="164" spans="1:27" x14ac:dyDescent="0.2">
      <c r="A164" s="454" t="s">
        <v>398</v>
      </c>
      <c r="B164" s="451">
        <v>0</v>
      </c>
      <c r="C164" s="451">
        <v>0</v>
      </c>
      <c r="D164" s="451">
        <v>0</v>
      </c>
      <c r="E164" s="452"/>
      <c r="F164" s="452"/>
      <c r="G164" s="451">
        <v>0</v>
      </c>
      <c r="H164" s="451">
        <v>0</v>
      </c>
      <c r="I164" s="451">
        <v>0</v>
      </c>
      <c r="J164" s="451">
        <v>0</v>
      </c>
      <c r="K164" s="451">
        <v>0</v>
      </c>
      <c r="L164" s="451">
        <v>0</v>
      </c>
      <c r="M164" s="451">
        <v>0</v>
      </c>
      <c r="N164" s="451">
        <v>0</v>
      </c>
      <c r="O164" s="451">
        <v>0</v>
      </c>
      <c r="P164" s="451">
        <v>0</v>
      </c>
      <c r="Q164" s="451">
        <v>0</v>
      </c>
      <c r="R164" s="451">
        <v>0</v>
      </c>
      <c r="S164" s="451">
        <v>0</v>
      </c>
      <c r="T164" s="407" t="e">
        <v>#DIV/0!</v>
      </c>
      <c r="U164" s="449">
        <v>0</v>
      </c>
      <c r="V164" s="449">
        <v>0</v>
      </c>
      <c r="W164" s="452"/>
      <c r="X164" s="452"/>
      <c r="Y164" s="446"/>
      <c r="Z164" s="446"/>
    </row>
    <row r="165" spans="1:27" x14ac:dyDescent="0.2">
      <c r="A165" s="454" t="s">
        <v>399</v>
      </c>
      <c r="B165" s="448">
        <v>0</v>
      </c>
      <c r="C165" s="448">
        <v>0</v>
      </c>
      <c r="D165" s="448">
        <v>0</v>
      </c>
      <c r="E165" s="443"/>
      <c r="F165" s="443"/>
      <c r="G165" s="448">
        <v>0</v>
      </c>
      <c r="H165" s="448">
        <v>0</v>
      </c>
      <c r="I165" s="448">
        <v>0</v>
      </c>
      <c r="J165" s="448">
        <v>0</v>
      </c>
      <c r="K165" s="448">
        <v>0</v>
      </c>
      <c r="L165" s="448">
        <v>0</v>
      </c>
      <c r="M165" s="448">
        <v>0</v>
      </c>
      <c r="N165" s="448">
        <v>0</v>
      </c>
      <c r="O165" s="448">
        <v>0</v>
      </c>
      <c r="P165" s="448">
        <v>0</v>
      </c>
      <c r="Q165" s="448">
        <v>0</v>
      </c>
      <c r="R165" s="448">
        <v>0</v>
      </c>
      <c r="S165" s="448">
        <v>0</v>
      </c>
      <c r="T165" s="407" t="e">
        <v>#DIV/0!</v>
      </c>
      <c r="U165" s="449">
        <v>0</v>
      </c>
      <c r="V165" s="449">
        <v>0</v>
      </c>
      <c r="W165" s="452"/>
      <c r="X165" s="452"/>
      <c r="Y165" s="446"/>
      <c r="Z165" s="446"/>
    </row>
    <row r="166" spans="1:27" x14ac:dyDescent="0.2">
      <c r="A166" s="409" t="s">
        <v>400</v>
      </c>
      <c r="B166" s="292">
        <v>0</v>
      </c>
      <c r="C166" s="292">
        <v>0</v>
      </c>
      <c r="D166" s="292">
        <v>0</v>
      </c>
      <c r="E166" s="446"/>
      <c r="F166" s="446"/>
      <c r="G166" s="292">
        <v>0</v>
      </c>
      <c r="H166" s="292">
        <v>0</v>
      </c>
      <c r="I166" s="292">
        <v>0</v>
      </c>
      <c r="J166" s="292">
        <v>0</v>
      </c>
      <c r="K166" s="292">
        <v>0</v>
      </c>
      <c r="L166" s="292">
        <v>0</v>
      </c>
      <c r="M166" s="292">
        <v>0</v>
      </c>
      <c r="N166" s="292">
        <v>0</v>
      </c>
      <c r="O166" s="292">
        <v>0</v>
      </c>
      <c r="P166" s="292">
        <v>0</v>
      </c>
      <c r="Q166" s="292">
        <v>0</v>
      </c>
      <c r="R166" s="292">
        <v>0</v>
      </c>
      <c r="S166" s="292">
        <v>0</v>
      </c>
      <c r="T166" s="410" t="e">
        <v>#DIV/0!</v>
      </c>
      <c r="U166" s="450">
        <v>0</v>
      </c>
      <c r="V166" s="450">
        <v>0</v>
      </c>
      <c r="W166" s="446"/>
      <c r="X166" s="446"/>
      <c r="Y166" s="446"/>
      <c r="Z166" s="446"/>
    </row>
    <row r="167" spans="1:27" x14ac:dyDescent="0.2">
      <c r="A167" s="409" t="s">
        <v>401</v>
      </c>
      <c r="B167" s="292">
        <v>0</v>
      </c>
      <c r="C167" s="292">
        <v>0</v>
      </c>
      <c r="D167" s="292">
        <v>0</v>
      </c>
      <c r="E167" s="446"/>
      <c r="F167" s="446"/>
      <c r="G167" s="292">
        <v>0</v>
      </c>
      <c r="H167" s="292">
        <v>0</v>
      </c>
      <c r="I167" s="292">
        <v>0</v>
      </c>
      <c r="J167" s="292">
        <v>0</v>
      </c>
      <c r="K167" s="292">
        <v>0</v>
      </c>
      <c r="L167" s="292">
        <v>0</v>
      </c>
      <c r="M167" s="292">
        <v>0</v>
      </c>
      <c r="N167" s="292">
        <v>0</v>
      </c>
      <c r="O167" s="292">
        <v>0</v>
      </c>
      <c r="P167" s="292">
        <v>0</v>
      </c>
      <c r="Q167" s="292">
        <v>0</v>
      </c>
      <c r="R167" s="292">
        <v>0</v>
      </c>
      <c r="S167" s="292">
        <v>0</v>
      </c>
      <c r="T167" s="410" t="e">
        <v>#DIV/0!</v>
      </c>
      <c r="U167" s="450">
        <v>0</v>
      </c>
      <c r="V167" s="450">
        <v>0</v>
      </c>
      <c r="W167" s="446"/>
      <c r="X167" s="446"/>
      <c r="Y167" s="446"/>
      <c r="Z167" s="446"/>
    </row>
    <row r="168" spans="1:27" x14ac:dyDescent="0.2">
      <c r="A168" s="409" t="s">
        <v>402</v>
      </c>
      <c r="B168" s="292">
        <v>0</v>
      </c>
      <c r="C168" s="292">
        <v>0</v>
      </c>
      <c r="D168" s="292">
        <v>0</v>
      </c>
      <c r="E168" s="446"/>
      <c r="F168" s="446"/>
      <c r="G168" s="292">
        <v>0</v>
      </c>
      <c r="H168" s="292">
        <v>0</v>
      </c>
      <c r="I168" s="292">
        <v>0</v>
      </c>
      <c r="J168" s="292">
        <v>0</v>
      </c>
      <c r="K168" s="292">
        <v>0</v>
      </c>
      <c r="L168" s="292">
        <v>0</v>
      </c>
      <c r="M168" s="292">
        <v>0</v>
      </c>
      <c r="N168" s="292">
        <v>0</v>
      </c>
      <c r="O168" s="292">
        <v>0</v>
      </c>
      <c r="P168" s="292">
        <v>0</v>
      </c>
      <c r="Q168" s="292">
        <v>0</v>
      </c>
      <c r="R168" s="292">
        <v>0</v>
      </c>
      <c r="S168" s="292">
        <v>0</v>
      </c>
      <c r="T168" s="410" t="e">
        <v>#DIV/0!</v>
      </c>
      <c r="U168" s="450">
        <v>0</v>
      </c>
      <c r="V168" s="450">
        <v>0</v>
      </c>
      <c r="W168" s="446"/>
      <c r="X168" s="446"/>
      <c r="Y168" s="446"/>
      <c r="Z168" s="446"/>
    </row>
    <row r="169" spans="1:27" x14ac:dyDescent="0.2">
      <c r="A169" s="454" t="s">
        <v>403</v>
      </c>
      <c r="B169" s="451">
        <v>0</v>
      </c>
      <c r="C169" s="451">
        <v>0</v>
      </c>
      <c r="D169" s="451">
        <v>0</v>
      </c>
      <c r="E169" s="452"/>
      <c r="F169" s="452"/>
      <c r="G169" s="451">
        <v>0</v>
      </c>
      <c r="H169" s="451">
        <v>0</v>
      </c>
      <c r="I169" s="451">
        <v>0</v>
      </c>
      <c r="J169" s="451">
        <v>0</v>
      </c>
      <c r="K169" s="451">
        <v>0</v>
      </c>
      <c r="L169" s="451">
        <v>0</v>
      </c>
      <c r="M169" s="451">
        <v>0</v>
      </c>
      <c r="N169" s="451">
        <v>0</v>
      </c>
      <c r="O169" s="451">
        <v>0</v>
      </c>
      <c r="P169" s="451">
        <v>0</v>
      </c>
      <c r="Q169" s="451">
        <v>0</v>
      </c>
      <c r="R169" s="451">
        <v>0</v>
      </c>
      <c r="S169" s="451">
        <v>0</v>
      </c>
      <c r="T169" s="407" t="e">
        <v>#DIV/0!</v>
      </c>
      <c r="U169" s="449">
        <v>0</v>
      </c>
      <c r="V169" s="449">
        <v>0</v>
      </c>
      <c r="W169" s="452"/>
      <c r="X169" s="452"/>
      <c r="Y169" s="452"/>
      <c r="Z169" s="446"/>
    </row>
    <row r="170" spans="1:27" x14ac:dyDescent="0.2">
      <c r="A170" s="463" t="s">
        <v>53</v>
      </c>
      <c r="B170" s="464">
        <v>3500000</v>
      </c>
      <c r="C170" s="464">
        <v>3364647.21</v>
      </c>
      <c r="D170" s="464">
        <v>1589647.21</v>
      </c>
      <c r="E170" s="464">
        <v>0</v>
      </c>
      <c r="F170" s="464">
        <v>0</v>
      </c>
      <c r="G170" s="464">
        <v>970727.28</v>
      </c>
      <c r="H170" s="464">
        <v>0</v>
      </c>
      <c r="I170" s="464">
        <v>618919.93000000005</v>
      </c>
      <c r="J170" s="464">
        <v>0</v>
      </c>
      <c r="K170" s="464">
        <v>0</v>
      </c>
      <c r="L170" s="464">
        <v>0</v>
      </c>
      <c r="M170" s="464">
        <v>0</v>
      </c>
      <c r="N170" s="464">
        <v>0</v>
      </c>
      <c r="O170" s="464">
        <v>0</v>
      </c>
      <c r="P170" s="464">
        <v>0</v>
      </c>
      <c r="Q170" s="464">
        <v>0</v>
      </c>
      <c r="R170" s="464">
        <v>0</v>
      </c>
      <c r="S170" s="464">
        <v>1589647.21</v>
      </c>
      <c r="T170" s="465">
        <v>0.4724558358675589</v>
      </c>
      <c r="U170" s="466">
        <v>1775000</v>
      </c>
      <c r="V170" s="466">
        <v>0</v>
      </c>
      <c r="W170" s="452"/>
      <c r="X170" s="452"/>
      <c r="Y170" s="452"/>
      <c r="Z170" s="452"/>
      <c r="AA170" s="453"/>
    </row>
    <row r="171" spans="1:27" x14ac:dyDescent="0.2">
      <c r="A171" s="467" t="s">
        <v>54</v>
      </c>
      <c r="B171" s="468">
        <v>3500000</v>
      </c>
      <c r="C171" s="468">
        <v>3364647.21</v>
      </c>
      <c r="D171" s="468">
        <v>1589647.21</v>
      </c>
      <c r="E171" s="468">
        <v>0</v>
      </c>
      <c r="F171" s="468">
        <v>0</v>
      </c>
      <c r="G171" s="468">
        <v>970727.28</v>
      </c>
      <c r="H171" s="468">
        <v>0</v>
      </c>
      <c r="I171" s="468">
        <v>618919.93000000005</v>
      </c>
      <c r="J171" s="468">
        <v>0</v>
      </c>
      <c r="K171" s="468">
        <v>0</v>
      </c>
      <c r="L171" s="468">
        <v>0</v>
      </c>
      <c r="M171" s="468">
        <v>0</v>
      </c>
      <c r="N171" s="468">
        <v>0</v>
      </c>
      <c r="O171" s="468">
        <v>0</v>
      </c>
      <c r="P171" s="468">
        <v>0</v>
      </c>
      <c r="Q171" s="468">
        <v>0</v>
      </c>
      <c r="R171" s="468">
        <v>0</v>
      </c>
      <c r="S171" s="468">
        <v>1589647.21</v>
      </c>
      <c r="T171" s="469">
        <v>0.4724558358675589</v>
      </c>
      <c r="U171" s="470">
        <v>1775000</v>
      </c>
      <c r="V171" s="470">
        <v>0</v>
      </c>
      <c r="W171" s="452"/>
      <c r="X171" s="452"/>
      <c r="Y171" s="452"/>
      <c r="Z171" s="452"/>
      <c r="AA171" s="453"/>
    </row>
    <row r="172" spans="1:27" x14ac:dyDescent="0.2">
      <c r="A172" s="467" t="s">
        <v>55</v>
      </c>
      <c r="B172" s="468">
        <v>3500000</v>
      </c>
      <c r="C172" s="468">
        <v>2393919.9299999997</v>
      </c>
      <c r="D172" s="468">
        <v>618919.92999999993</v>
      </c>
      <c r="E172" s="468">
        <v>0</v>
      </c>
      <c r="F172" s="468">
        <v>0</v>
      </c>
      <c r="G172" s="468">
        <v>0</v>
      </c>
      <c r="H172" s="468">
        <v>0</v>
      </c>
      <c r="I172" s="468">
        <v>618919.93000000005</v>
      </c>
      <c r="J172" s="468">
        <v>0</v>
      </c>
      <c r="K172" s="468">
        <v>0</v>
      </c>
      <c r="L172" s="468">
        <v>0</v>
      </c>
      <c r="M172" s="468">
        <v>0</v>
      </c>
      <c r="N172" s="468">
        <v>0</v>
      </c>
      <c r="O172" s="468">
        <v>0</v>
      </c>
      <c r="P172" s="468">
        <v>0</v>
      </c>
      <c r="Q172" s="468">
        <v>0</v>
      </c>
      <c r="R172" s="468">
        <v>0</v>
      </c>
      <c r="S172" s="468">
        <v>618919.92999999993</v>
      </c>
      <c r="T172" s="469">
        <v>0.25853827533822321</v>
      </c>
      <c r="U172" s="470">
        <v>1774999.9999999998</v>
      </c>
      <c r="V172" s="470">
        <v>0</v>
      </c>
      <c r="W172" s="452"/>
      <c r="X172" s="452"/>
      <c r="Y172" s="452"/>
      <c r="Z172" s="452"/>
      <c r="AA172" s="453"/>
    </row>
    <row r="173" spans="1:27" x14ac:dyDescent="0.2">
      <c r="A173" s="467" t="s">
        <v>56</v>
      </c>
      <c r="B173" s="468">
        <v>3500000</v>
      </c>
      <c r="C173" s="468">
        <v>2393919.9299999997</v>
      </c>
      <c r="D173" s="468">
        <v>618919.92999999993</v>
      </c>
      <c r="E173" s="468">
        <v>0</v>
      </c>
      <c r="F173" s="468">
        <v>0</v>
      </c>
      <c r="G173" s="468">
        <v>0</v>
      </c>
      <c r="H173" s="468">
        <v>0</v>
      </c>
      <c r="I173" s="468">
        <v>618919.93000000005</v>
      </c>
      <c r="J173" s="468">
        <v>0</v>
      </c>
      <c r="K173" s="468">
        <v>0</v>
      </c>
      <c r="L173" s="468">
        <v>0</v>
      </c>
      <c r="M173" s="468">
        <v>0</v>
      </c>
      <c r="N173" s="468">
        <v>0</v>
      </c>
      <c r="O173" s="468">
        <v>0</v>
      </c>
      <c r="P173" s="468">
        <v>0</v>
      </c>
      <c r="Q173" s="468">
        <v>0</v>
      </c>
      <c r="R173" s="468">
        <v>0</v>
      </c>
      <c r="S173" s="468">
        <v>618919.92999999993</v>
      </c>
      <c r="T173" s="469">
        <v>0.25853827533822321</v>
      </c>
      <c r="U173" s="470">
        <v>1774999.9999999998</v>
      </c>
      <c r="V173" s="470">
        <v>0</v>
      </c>
      <c r="W173" s="452"/>
      <c r="X173" s="452"/>
      <c r="Y173" s="452"/>
      <c r="Z173" s="452"/>
      <c r="AA173" s="453"/>
    </row>
    <row r="174" spans="1:27" s="263" customFormat="1" x14ac:dyDescent="0.2">
      <c r="A174" s="551" t="s">
        <v>34</v>
      </c>
      <c r="B174" s="551"/>
      <c r="C174" s="551"/>
      <c r="D174" s="551"/>
      <c r="E174" s="551"/>
      <c r="F174" s="551"/>
      <c r="G174" s="551"/>
      <c r="H174" s="551"/>
      <c r="I174" s="551"/>
      <c r="J174" s="551"/>
      <c r="K174" s="551"/>
      <c r="L174" s="551"/>
      <c r="M174" s="551"/>
      <c r="N174" s="551"/>
      <c r="O174" s="551"/>
      <c r="P174" s="551"/>
      <c r="Q174" s="551"/>
      <c r="R174" s="551"/>
      <c r="S174" s="551"/>
      <c r="T174" s="551"/>
      <c r="U174" s="551"/>
      <c r="V174" s="551"/>
      <c r="W174" s="551"/>
      <c r="X174" s="551"/>
      <c r="Y174" s="551"/>
      <c r="Z174" s="551"/>
    </row>
    <row r="175" spans="1:27" s="263" customFormat="1" x14ac:dyDescent="0.2">
      <c r="A175" s="537" t="s">
        <v>1093</v>
      </c>
      <c r="B175" s="553" t="s">
        <v>2</v>
      </c>
      <c r="C175" s="553" t="s">
        <v>3</v>
      </c>
      <c r="D175" s="471" t="s">
        <v>57</v>
      </c>
      <c r="E175" s="471" t="s">
        <v>30</v>
      </c>
      <c r="F175" s="471" t="s">
        <v>58</v>
      </c>
      <c r="G175" s="552" t="s">
        <v>5</v>
      </c>
      <c r="H175" s="552" t="s">
        <v>6</v>
      </c>
      <c r="I175" s="552" t="s">
        <v>7</v>
      </c>
      <c r="J175" s="552" t="s">
        <v>8</v>
      </c>
      <c r="K175" s="552" t="s">
        <v>9</v>
      </c>
      <c r="L175" s="552" t="s">
        <v>10</v>
      </c>
      <c r="M175" s="552" t="s">
        <v>11</v>
      </c>
      <c r="N175" s="552" t="s">
        <v>12</v>
      </c>
      <c r="O175" s="552" t="s">
        <v>13</v>
      </c>
      <c r="P175" s="552" t="s">
        <v>14</v>
      </c>
      <c r="Q175" s="552" t="s">
        <v>15</v>
      </c>
      <c r="R175" s="552" t="s">
        <v>16</v>
      </c>
      <c r="S175" s="471" t="s">
        <v>17</v>
      </c>
      <c r="T175" s="471" t="s">
        <v>18</v>
      </c>
      <c r="U175" s="552" t="s">
        <v>59</v>
      </c>
      <c r="V175" s="552" t="s">
        <v>60</v>
      </c>
      <c r="W175" s="552" t="s">
        <v>32</v>
      </c>
      <c r="X175" s="552" t="s">
        <v>31</v>
      </c>
      <c r="Y175" s="552" t="s">
        <v>61</v>
      </c>
      <c r="Z175" s="552" t="s">
        <v>62</v>
      </c>
    </row>
    <row r="176" spans="1:27" s="263" customFormat="1" ht="24" x14ac:dyDescent="0.2">
      <c r="A176" s="537"/>
      <c r="B176" s="553"/>
      <c r="C176" s="553"/>
      <c r="D176" s="472" t="s">
        <v>1426</v>
      </c>
      <c r="E176" s="472" t="s">
        <v>1426</v>
      </c>
      <c r="F176" s="472" t="s">
        <v>1426</v>
      </c>
      <c r="G176" s="552"/>
      <c r="H176" s="552"/>
      <c r="I176" s="552"/>
      <c r="J176" s="552"/>
      <c r="K176" s="552"/>
      <c r="L176" s="552"/>
      <c r="M176" s="552"/>
      <c r="N176" s="552"/>
      <c r="O176" s="552"/>
      <c r="P176" s="552"/>
      <c r="Q176" s="552"/>
      <c r="R176" s="552"/>
      <c r="S176" s="472" t="s">
        <v>1426</v>
      </c>
      <c r="T176" s="472" t="s">
        <v>1426</v>
      </c>
      <c r="U176" s="552"/>
      <c r="V176" s="552"/>
      <c r="W176" s="552"/>
      <c r="X176" s="552"/>
      <c r="Y176" s="552"/>
      <c r="Z176" s="552"/>
    </row>
    <row r="177" spans="1:26" s="263" customFormat="1" x14ac:dyDescent="0.2">
      <c r="A177" s="537"/>
      <c r="B177" s="473" t="s">
        <v>20</v>
      </c>
      <c r="C177" s="473" t="s">
        <v>21</v>
      </c>
      <c r="D177" s="473" t="s">
        <v>22</v>
      </c>
      <c r="E177" s="473" t="s">
        <v>23</v>
      </c>
      <c r="F177" s="473" t="s">
        <v>24</v>
      </c>
      <c r="G177" s="473" t="s">
        <v>63</v>
      </c>
      <c r="H177" s="473" t="s">
        <v>63</v>
      </c>
      <c r="I177" s="473" t="s">
        <v>63</v>
      </c>
      <c r="J177" s="473" t="s">
        <v>63</v>
      </c>
      <c r="K177" s="473" t="s">
        <v>63</v>
      </c>
      <c r="L177" s="473" t="s">
        <v>63</v>
      </c>
      <c r="M177" s="473" t="s">
        <v>63</v>
      </c>
      <c r="N177" s="473" t="s">
        <v>63</v>
      </c>
      <c r="O177" s="473" t="s">
        <v>63</v>
      </c>
      <c r="P177" s="473" t="s">
        <v>63</v>
      </c>
      <c r="Q177" s="473" t="s">
        <v>63</v>
      </c>
      <c r="R177" s="473" t="s">
        <v>63</v>
      </c>
      <c r="S177" s="473" t="s">
        <v>64</v>
      </c>
      <c r="T177" s="473" t="s">
        <v>65</v>
      </c>
      <c r="U177" s="473" t="s">
        <v>66</v>
      </c>
      <c r="V177" s="473" t="s">
        <v>67</v>
      </c>
      <c r="W177" s="473" t="s">
        <v>68</v>
      </c>
      <c r="X177" s="473" t="s">
        <v>69</v>
      </c>
      <c r="Y177" s="473" t="s">
        <v>70</v>
      </c>
      <c r="Z177" s="473" t="s">
        <v>71</v>
      </c>
    </row>
    <row r="178" spans="1:26" x14ac:dyDescent="0.2">
      <c r="A178" s="399" t="s">
        <v>404</v>
      </c>
      <c r="B178" s="474">
        <v>2017198</v>
      </c>
      <c r="C178" s="474">
        <v>2017198</v>
      </c>
      <c r="D178" s="474">
        <v>2017198</v>
      </c>
      <c r="E178" s="474">
        <v>1800553.38</v>
      </c>
      <c r="F178" s="474">
        <v>1354471.6400000001</v>
      </c>
      <c r="G178" s="474">
        <v>153398.09</v>
      </c>
      <c r="H178" s="474">
        <v>152096.41999999998</v>
      </c>
      <c r="I178" s="474">
        <v>150131.49</v>
      </c>
      <c r="J178" s="474">
        <v>151506.44</v>
      </c>
      <c r="K178" s="474">
        <v>150090.79999999999</v>
      </c>
      <c r="L178" s="474">
        <v>150292.12000000002</v>
      </c>
      <c r="M178" s="474">
        <v>150809.12</v>
      </c>
      <c r="N178" s="474">
        <v>148739.1</v>
      </c>
      <c r="O178" s="474">
        <v>147408.06</v>
      </c>
      <c r="P178" s="474">
        <v>0</v>
      </c>
      <c r="Q178" s="474">
        <v>0</v>
      </c>
      <c r="R178" s="474">
        <v>0</v>
      </c>
      <c r="S178" s="474">
        <v>1354471.6400000001</v>
      </c>
      <c r="T178" s="402">
        <v>0.67146191895887275</v>
      </c>
      <c r="U178" s="401">
        <v>662726.35999999987</v>
      </c>
      <c r="V178" s="401">
        <v>0</v>
      </c>
      <c r="W178" s="401">
        <v>216644.62000000011</v>
      </c>
      <c r="X178" s="401">
        <v>216644.62000000011</v>
      </c>
      <c r="Y178" s="401">
        <v>446081.73999999976</v>
      </c>
      <c r="Z178" s="401">
        <v>0</v>
      </c>
    </row>
    <row r="179" spans="1:26" x14ac:dyDescent="0.2">
      <c r="A179" s="404" t="s">
        <v>405</v>
      </c>
      <c r="B179" s="448">
        <v>1855168</v>
      </c>
      <c r="C179" s="448">
        <v>1864298</v>
      </c>
      <c r="D179" s="448">
        <v>1864298</v>
      </c>
      <c r="E179" s="448">
        <v>1687657.92</v>
      </c>
      <c r="F179" s="448">
        <v>1241576.18</v>
      </c>
      <c r="G179" s="448">
        <v>134715.66999999998</v>
      </c>
      <c r="H179" s="448">
        <v>140119.57999999999</v>
      </c>
      <c r="I179" s="448">
        <v>138026.32999999999</v>
      </c>
      <c r="J179" s="448">
        <v>139297.60000000001</v>
      </c>
      <c r="K179" s="448">
        <v>138588.43</v>
      </c>
      <c r="L179" s="448">
        <v>138767.07</v>
      </c>
      <c r="M179" s="448">
        <v>138782.62</v>
      </c>
      <c r="N179" s="448">
        <v>137412.12</v>
      </c>
      <c r="O179" s="448">
        <v>135866.76</v>
      </c>
      <c r="P179" s="448">
        <v>0</v>
      </c>
      <c r="Q179" s="448">
        <v>0</v>
      </c>
      <c r="R179" s="448">
        <v>0</v>
      </c>
      <c r="S179" s="448">
        <v>1241576.18</v>
      </c>
      <c r="T179" s="407">
        <v>0.66597517135136119</v>
      </c>
      <c r="U179" s="406">
        <v>622721.82000000007</v>
      </c>
      <c r="V179" s="406">
        <v>0</v>
      </c>
      <c r="W179" s="406">
        <v>176640.08000000007</v>
      </c>
      <c r="X179" s="406">
        <v>176640.08000000007</v>
      </c>
      <c r="Y179" s="406">
        <v>446081.74</v>
      </c>
      <c r="Z179" s="406">
        <v>0</v>
      </c>
    </row>
    <row r="180" spans="1:26" x14ac:dyDescent="0.2">
      <c r="A180" s="409" t="s">
        <v>406</v>
      </c>
      <c r="B180" s="457">
        <v>0</v>
      </c>
      <c r="C180" s="457">
        <v>0</v>
      </c>
      <c r="D180" s="457">
        <v>0</v>
      </c>
      <c r="E180" s="457">
        <v>0</v>
      </c>
      <c r="F180" s="457">
        <v>0</v>
      </c>
      <c r="G180" s="457">
        <v>0</v>
      </c>
      <c r="H180" s="457">
        <v>0</v>
      </c>
      <c r="I180" s="457">
        <v>0</v>
      </c>
      <c r="J180" s="457">
        <v>0</v>
      </c>
      <c r="K180" s="457">
        <v>0</v>
      </c>
      <c r="L180" s="457">
        <v>0</v>
      </c>
      <c r="M180" s="457">
        <v>0</v>
      </c>
      <c r="N180" s="457">
        <v>0</v>
      </c>
      <c r="O180" s="457">
        <v>0</v>
      </c>
      <c r="P180" s="457">
        <v>0</v>
      </c>
      <c r="Q180" s="457">
        <v>0</v>
      </c>
      <c r="R180" s="457">
        <v>0</v>
      </c>
      <c r="S180" s="457">
        <v>0</v>
      </c>
      <c r="T180" s="410" t="e">
        <v>#DIV/0!</v>
      </c>
      <c r="U180" s="285">
        <v>0</v>
      </c>
      <c r="V180" s="285">
        <v>0</v>
      </c>
      <c r="W180" s="285">
        <v>0</v>
      </c>
      <c r="X180" s="285">
        <v>0</v>
      </c>
      <c r="Y180" s="285">
        <v>0</v>
      </c>
      <c r="Z180" s="285">
        <v>0</v>
      </c>
    </row>
    <row r="181" spans="1:26" x14ac:dyDescent="0.2">
      <c r="A181" s="409" t="s">
        <v>407</v>
      </c>
      <c r="B181" s="457">
        <v>87600</v>
      </c>
      <c r="C181" s="457">
        <v>87454.45</v>
      </c>
      <c r="D181" s="457">
        <v>87454.45</v>
      </c>
      <c r="E181" s="457">
        <v>86873.51</v>
      </c>
      <c r="F181" s="457">
        <v>62946.96</v>
      </c>
      <c r="G181" s="457">
        <v>6299.7000000000007</v>
      </c>
      <c r="H181" s="457">
        <v>7510.9000000000005</v>
      </c>
      <c r="I181" s="457">
        <v>7300</v>
      </c>
      <c r="J181" s="457">
        <v>7300</v>
      </c>
      <c r="K181" s="457">
        <v>7300</v>
      </c>
      <c r="L181" s="457">
        <v>7300</v>
      </c>
      <c r="M181" s="457">
        <v>7300</v>
      </c>
      <c r="N181" s="457">
        <v>7300</v>
      </c>
      <c r="O181" s="457">
        <v>5336.36</v>
      </c>
      <c r="P181" s="457">
        <v>0</v>
      </c>
      <c r="Q181" s="457">
        <v>0</v>
      </c>
      <c r="R181" s="457">
        <v>0</v>
      </c>
      <c r="S181" s="457">
        <v>62946.960000000006</v>
      </c>
      <c r="T181" s="410">
        <v>0.71976851949786447</v>
      </c>
      <c r="U181" s="285">
        <v>24507.489999999991</v>
      </c>
      <c r="V181" s="285">
        <v>0</v>
      </c>
      <c r="W181" s="285">
        <v>580.94000000000233</v>
      </c>
      <c r="X181" s="285">
        <v>580.94000000000233</v>
      </c>
      <c r="Y181" s="285">
        <v>23926.549999999996</v>
      </c>
      <c r="Z181" s="285">
        <v>0</v>
      </c>
    </row>
    <row r="182" spans="1:26" x14ac:dyDescent="0.2">
      <c r="A182" s="409" t="s">
        <v>408</v>
      </c>
      <c r="B182" s="457">
        <v>411804</v>
      </c>
      <c r="C182" s="457">
        <v>445049.55</v>
      </c>
      <c r="D182" s="457">
        <v>445049.55</v>
      </c>
      <c r="E182" s="457">
        <v>444730.38999999996</v>
      </c>
      <c r="F182" s="457">
        <v>316153.37</v>
      </c>
      <c r="G182" s="457">
        <v>33213.42</v>
      </c>
      <c r="H182" s="457">
        <v>35594.949999999997</v>
      </c>
      <c r="I182" s="457">
        <v>35474.81</v>
      </c>
      <c r="J182" s="457">
        <v>35363.599999999999</v>
      </c>
      <c r="K182" s="457">
        <v>35094.43</v>
      </c>
      <c r="L182" s="457">
        <v>35273.07</v>
      </c>
      <c r="M182" s="457">
        <v>36087.97</v>
      </c>
      <c r="N182" s="457">
        <v>35017.520000000004</v>
      </c>
      <c r="O182" s="457">
        <v>35033.600000000006</v>
      </c>
      <c r="P182" s="457">
        <v>0</v>
      </c>
      <c r="Q182" s="457">
        <v>0</v>
      </c>
      <c r="R182" s="457">
        <v>0</v>
      </c>
      <c r="S182" s="457">
        <v>316153.37</v>
      </c>
      <c r="T182" s="410">
        <v>0.71037791185273635</v>
      </c>
      <c r="U182" s="285">
        <v>128896.18</v>
      </c>
      <c r="V182" s="285">
        <v>0</v>
      </c>
      <c r="W182" s="285">
        <v>319.1600000000326</v>
      </c>
      <c r="X182" s="285">
        <v>319.1600000000326</v>
      </c>
      <c r="Y182" s="285">
        <v>128577.01999999996</v>
      </c>
      <c r="Z182" s="285">
        <v>0</v>
      </c>
    </row>
    <row r="183" spans="1:26" x14ac:dyDescent="0.2">
      <c r="A183" s="409" t="s">
        <v>409</v>
      </c>
      <c r="B183" s="457">
        <v>81060</v>
      </c>
      <c r="C183" s="457">
        <v>68576</v>
      </c>
      <c r="D183" s="457">
        <v>68576</v>
      </c>
      <c r="E183" s="457">
        <v>67552.22</v>
      </c>
      <c r="F183" s="457">
        <v>52646.180000000037</v>
      </c>
      <c r="G183" s="457">
        <v>5624.2799999999988</v>
      </c>
      <c r="H183" s="457">
        <v>8789.06</v>
      </c>
      <c r="I183" s="457">
        <v>5566.5199999999986</v>
      </c>
      <c r="J183" s="457">
        <v>5427</v>
      </c>
      <c r="K183" s="457">
        <v>5427</v>
      </c>
      <c r="L183" s="457">
        <v>5427</v>
      </c>
      <c r="M183" s="457">
        <v>5514.36</v>
      </c>
      <c r="N183" s="457">
        <v>5443.12</v>
      </c>
      <c r="O183" s="457">
        <v>5427.84</v>
      </c>
      <c r="P183" s="457">
        <v>0</v>
      </c>
      <c r="Q183" s="457">
        <v>0</v>
      </c>
      <c r="R183" s="457">
        <v>0</v>
      </c>
      <c r="S183" s="457">
        <v>52646.180000000008</v>
      </c>
      <c r="T183" s="410">
        <v>0.76770561129258064</v>
      </c>
      <c r="U183" s="285">
        <v>15929.819999999992</v>
      </c>
      <c r="V183" s="285">
        <v>0</v>
      </c>
      <c r="W183" s="285">
        <v>1023.7799999999988</v>
      </c>
      <c r="X183" s="285">
        <v>1023.7799999999988</v>
      </c>
      <c r="Y183" s="285">
        <v>14906.039999999964</v>
      </c>
      <c r="Z183" s="285">
        <v>0</v>
      </c>
    </row>
    <row r="184" spans="1:26" x14ac:dyDescent="0.2">
      <c r="A184" s="409" t="s">
        <v>410</v>
      </c>
      <c r="B184" s="457">
        <v>954768</v>
      </c>
      <c r="C184" s="457">
        <v>1021282</v>
      </c>
      <c r="D184" s="457">
        <v>1021282</v>
      </c>
      <c r="E184" s="457">
        <v>964101.3600000001</v>
      </c>
      <c r="F184" s="457">
        <v>714309.22999999986</v>
      </c>
      <c r="G184" s="457">
        <v>70057.83</v>
      </c>
      <c r="H184" s="457">
        <v>78724.67</v>
      </c>
      <c r="I184" s="457">
        <v>80185</v>
      </c>
      <c r="J184" s="457">
        <v>81707</v>
      </c>
      <c r="K184" s="457">
        <v>81267</v>
      </c>
      <c r="L184" s="457">
        <v>81267</v>
      </c>
      <c r="M184" s="457">
        <v>80380.289999999994</v>
      </c>
      <c r="N184" s="457">
        <v>80151.48</v>
      </c>
      <c r="O184" s="457">
        <v>80568.960000000006</v>
      </c>
      <c r="P184" s="457">
        <v>0</v>
      </c>
      <c r="Q184" s="457">
        <v>0</v>
      </c>
      <c r="R184" s="457">
        <v>0</v>
      </c>
      <c r="S184" s="457">
        <v>714309.23</v>
      </c>
      <c r="T184" s="410">
        <v>0.6994240865892084</v>
      </c>
      <c r="U184" s="285">
        <v>306972.77</v>
      </c>
      <c r="V184" s="285">
        <v>0</v>
      </c>
      <c r="W184" s="285">
        <v>57180.639999999898</v>
      </c>
      <c r="X184" s="285">
        <v>57180.639999999898</v>
      </c>
      <c r="Y184" s="285">
        <v>249792.13000000024</v>
      </c>
      <c r="Z184" s="285">
        <v>0</v>
      </c>
    </row>
    <row r="185" spans="1:26" x14ac:dyDescent="0.2">
      <c r="A185" s="409" t="s">
        <v>411</v>
      </c>
      <c r="B185" s="457">
        <v>192000</v>
      </c>
      <c r="C185" s="457">
        <v>114000</v>
      </c>
      <c r="D185" s="457">
        <v>114000</v>
      </c>
      <c r="E185" s="457">
        <v>114000</v>
      </c>
      <c r="F185" s="457">
        <v>85120</v>
      </c>
      <c r="G185" s="457">
        <v>9120</v>
      </c>
      <c r="H185" s="457">
        <v>9500</v>
      </c>
      <c r="I185" s="457">
        <v>9500</v>
      </c>
      <c r="J185" s="457">
        <v>9500</v>
      </c>
      <c r="K185" s="457">
        <v>9500</v>
      </c>
      <c r="L185" s="457">
        <v>9500</v>
      </c>
      <c r="M185" s="457">
        <v>9500</v>
      </c>
      <c r="N185" s="457">
        <v>9500</v>
      </c>
      <c r="O185" s="457">
        <v>9500</v>
      </c>
      <c r="P185" s="457">
        <v>0</v>
      </c>
      <c r="Q185" s="457">
        <v>0</v>
      </c>
      <c r="R185" s="457">
        <v>0</v>
      </c>
      <c r="S185" s="457">
        <v>85120</v>
      </c>
      <c r="T185" s="410">
        <v>0.7466666666666667</v>
      </c>
      <c r="U185" s="285">
        <v>28880</v>
      </c>
      <c r="V185" s="285">
        <v>0</v>
      </c>
      <c r="W185" s="285">
        <v>0</v>
      </c>
      <c r="X185" s="285">
        <v>0</v>
      </c>
      <c r="Y185" s="285">
        <v>28880</v>
      </c>
      <c r="Z185" s="285">
        <v>0</v>
      </c>
    </row>
    <row r="186" spans="1:26" ht="24" x14ac:dyDescent="0.2">
      <c r="A186" s="409" t="s">
        <v>412</v>
      </c>
      <c r="B186" s="457">
        <v>0</v>
      </c>
      <c r="C186" s="457">
        <v>0</v>
      </c>
      <c r="D186" s="457">
        <v>0</v>
      </c>
      <c r="E186" s="457">
        <v>0</v>
      </c>
      <c r="F186" s="457">
        <v>0</v>
      </c>
      <c r="G186" s="457">
        <v>0</v>
      </c>
      <c r="H186" s="457">
        <v>0</v>
      </c>
      <c r="I186" s="457">
        <v>0</v>
      </c>
      <c r="J186" s="457">
        <v>0</v>
      </c>
      <c r="K186" s="457">
        <v>0</v>
      </c>
      <c r="L186" s="457">
        <v>0</v>
      </c>
      <c r="M186" s="457">
        <v>0</v>
      </c>
      <c r="N186" s="457">
        <v>0</v>
      </c>
      <c r="O186" s="457">
        <v>0</v>
      </c>
      <c r="P186" s="457">
        <v>0</v>
      </c>
      <c r="Q186" s="457">
        <v>0</v>
      </c>
      <c r="R186" s="457">
        <v>0</v>
      </c>
      <c r="S186" s="457">
        <v>0</v>
      </c>
      <c r="T186" s="410" t="e">
        <v>#DIV/0!</v>
      </c>
      <c r="U186" s="285">
        <v>0</v>
      </c>
      <c r="V186" s="285">
        <v>0</v>
      </c>
      <c r="W186" s="285">
        <v>0</v>
      </c>
      <c r="X186" s="285">
        <v>0</v>
      </c>
      <c r="Y186" s="285">
        <v>0</v>
      </c>
      <c r="Z186" s="285">
        <v>0</v>
      </c>
    </row>
    <row r="187" spans="1:26" ht="24" x14ac:dyDescent="0.2">
      <c r="A187" s="409" t="s">
        <v>413</v>
      </c>
      <c r="B187" s="457">
        <v>0</v>
      </c>
      <c r="C187" s="457">
        <v>0</v>
      </c>
      <c r="D187" s="457">
        <v>0</v>
      </c>
      <c r="E187" s="457">
        <v>0</v>
      </c>
      <c r="F187" s="457">
        <v>0</v>
      </c>
      <c r="G187" s="457">
        <v>0</v>
      </c>
      <c r="H187" s="457">
        <v>0</v>
      </c>
      <c r="I187" s="457">
        <v>0</v>
      </c>
      <c r="J187" s="457">
        <v>0</v>
      </c>
      <c r="K187" s="457">
        <v>0</v>
      </c>
      <c r="L187" s="457">
        <v>0</v>
      </c>
      <c r="M187" s="457">
        <v>0</v>
      </c>
      <c r="N187" s="457">
        <v>0</v>
      </c>
      <c r="O187" s="457">
        <v>0</v>
      </c>
      <c r="P187" s="457">
        <v>0</v>
      </c>
      <c r="Q187" s="457">
        <v>0</v>
      </c>
      <c r="R187" s="457">
        <v>0</v>
      </c>
      <c r="S187" s="457">
        <v>0</v>
      </c>
      <c r="T187" s="410" t="e">
        <v>#DIV/0!</v>
      </c>
      <c r="U187" s="285">
        <v>0</v>
      </c>
      <c r="V187" s="285">
        <v>0</v>
      </c>
      <c r="W187" s="285">
        <v>0</v>
      </c>
      <c r="X187" s="285">
        <v>0</v>
      </c>
      <c r="Y187" s="285">
        <v>0</v>
      </c>
      <c r="Z187" s="285">
        <v>0</v>
      </c>
    </row>
    <row r="188" spans="1:26" x14ac:dyDescent="0.2">
      <c r="A188" s="409" t="s">
        <v>414</v>
      </c>
      <c r="B188" s="457">
        <v>0</v>
      </c>
      <c r="C188" s="457">
        <v>0</v>
      </c>
      <c r="D188" s="457">
        <v>0</v>
      </c>
      <c r="E188" s="457">
        <v>0</v>
      </c>
      <c r="F188" s="457">
        <v>0</v>
      </c>
      <c r="G188" s="457">
        <v>0</v>
      </c>
      <c r="H188" s="457">
        <v>0</v>
      </c>
      <c r="I188" s="457">
        <v>0</v>
      </c>
      <c r="J188" s="457">
        <v>0</v>
      </c>
      <c r="K188" s="457">
        <v>0</v>
      </c>
      <c r="L188" s="457">
        <v>0</v>
      </c>
      <c r="M188" s="457">
        <v>0</v>
      </c>
      <c r="N188" s="457">
        <v>0</v>
      </c>
      <c r="O188" s="457">
        <v>0</v>
      </c>
      <c r="P188" s="457">
        <v>0</v>
      </c>
      <c r="Q188" s="457">
        <v>0</v>
      </c>
      <c r="R188" s="457">
        <v>0</v>
      </c>
      <c r="S188" s="457">
        <v>0</v>
      </c>
      <c r="T188" s="410" t="e">
        <v>#DIV/0!</v>
      </c>
      <c r="U188" s="285">
        <v>0</v>
      </c>
      <c r="V188" s="285">
        <v>0</v>
      </c>
      <c r="W188" s="285">
        <v>0</v>
      </c>
      <c r="X188" s="285">
        <v>0</v>
      </c>
      <c r="Y188" s="285">
        <v>0</v>
      </c>
      <c r="Z188" s="285">
        <v>0</v>
      </c>
    </row>
    <row r="189" spans="1:26" x14ac:dyDescent="0.2">
      <c r="A189" s="409" t="s">
        <v>415</v>
      </c>
      <c r="B189" s="457">
        <v>0</v>
      </c>
      <c r="C189" s="457">
        <v>0</v>
      </c>
      <c r="D189" s="457">
        <v>0</v>
      </c>
      <c r="E189" s="457">
        <v>0</v>
      </c>
      <c r="F189" s="457">
        <v>0</v>
      </c>
      <c r="G189" s="457">
        <v>0</v>
      </c>
      <c r="H189" s="457">
        <v>0</v>
      </c>
      <c r="I189" s="457">
        <v>0</v>
      </c>
      <c r="J189" s="457">
        <v>0</v>
      </c>
      <c r="K189" s="457">
        <v>0</v>
      </c>
      <c r="L189" s="457">
        <v>0</v>
      </c>
      <c r="M189" s="457">
        <v>0</v>
      </c>
      <c r="N189" s="457">
        <v>0</v>
      </c>
      <c r="O189" s="457">
        <v>0</v>
      </c>
      <c r="P189" s="457">
        <v>0</v>
      </c>
      <c r="Q189" s="457">
        <v>0</v>
      </c>
      <c r="R189" s="457">
        <v>0</v>
      </c>
      <c r="S189" s="457">
        <v>0</v>
      </c>
      <c r="T189" s="410" t="e">
        <v>#DIV/0!</v>
      </c>
      <c r="U189" s="285">
        <v>0</v>
      </c>
      <c r="V189" s="285">
        <v>0</v>
      </c>
      <c r="W189" s="285">
        <v>0</v>
      </c>
      <c r="X189" s="285">
        <v>0</v>
      </c>
      <c r="Y189" s="285">
        <v>0</v>
      </c>
      <c r="Z189" s="285">
        <v>0</v>
      </c>
    </row>
    <row r="190" spans="1:26" x14ac:dyDescent="0.2">
      <c r="A190" s="409" t="s">
        <v>416</v>
      </c>
      <c r="B190" s="457">
        <v>127936</v>
      </c>
      <c r="C190" s="457">
        <v>127936</v>
      </c>
      <c r="D190" s="457">
        <v>127936</v>
      </c>
      <c r="E190" s="457">
        <v>10400.44</v>
      </c>
      <c r="F190" s="457">
        <v>10400.44</v>
      </c>
      <c r="G190" s="457">
        <v>10400.44</v>
      </c>
      <c r="H190" s="457">
        <v>0</v>
      </c>
      <c r="I190" s="457">
        <v>0</v>
      </c>
      <c r="J190" s="457">
        <v>0</v>
      </c>
      <c r="K190" s="457">
        <v>0</v>
      </c>
      <c r="L190" s="457">
        <v>0</v>
      </c>
      <c r="M190" s="457">
        <v>0</v>
      </c>
      <c r="N190" s="457">
        <v>0</v>
      </c>
      <c r="O190" s="457">
        <v>0</v>
      </c>
      <c r="P190" s="457">
        <v>0</v>
      </c>
      <c r="Q190" s="457">
        <v>0</v>
      </c>
      <c r="R190" s="457">
        <v>0</v>
      </c>
      <c r="S190" s="457">
        <v>10400.44</v>
      </c>
      <c r="T190" s="410">
        <v>8.1294084542271133E-2</v>
      </c>
      <c r="U190" s="285">
        <v>117535.56</v>
      </c>
      <c r="V190" s="285">
        <v>0</v>
      </c>
      <c r="W190" s="285">
        <v>117535.56</v>
      </c>
      <c r="X190" s="285">
        <v>117535.56</v>
      </c>
      <c r="Y190" s="285">
        <v>0</v>
      </c>
      <c r="Z190" s="285">
        <v>0</v>
      </c>
    </row>
    <row r="191" spans="1:26" x14ac:dyDescent="0.2">
      <c r="A191" s="409" t="s">
        <v>417</v>
      </c>
      <c r="B191" s="457">
        <v>0</v>
      </c>
      <c r="C191" s="457">
        <v>0</v>
      </c>
      <c r="D191" s="457">
        <v>0</v>
      </c>
      <c r="E191" s="457">
        <v>0</v>
      </c>
      <c r="F191" s="457">
        <v>0</v>
      </c>
      <c r="G191" s="457">
        <v>0</v>
      </c>
      <c r="H191" s="457">
        <v>0</v>
      </c>
      <c r="I191" s="457">
        <v>0</v>
      </c>
      <c r="J191" s="457">
        <v>0</v>
      </c>
      <c r="K191" s="457">
        <v>0</v>
      </c>
      <c r="L191" s="457">
        <v>0</v>
      </c>
      <c r="M191" s="457">
        <v>0</v>
      </c>
      <c r="N191" s="457">
        <v>0</v>
      </c>
      <c r="O191" s="457">
        <v>0</v>
      </c>
      <c r="P191" s="457">
        <v>0</v>
      </c>
      <c r="Q191" s="457">
        <v>0</v>
      </c>
      <c r="R191" s="457">
        <v>0</v>
      </c>
      <c r="S191" s="457">
        <v>0</v>
      </c>
      <c r="T191" s="410" t="e">
        <v>#DIV/0!</v>
      </c>
      <c r="U191" s="285">
        <v>0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</row>
    <row r="192" spans="1:26" x14ac:dyDescent="0.2">
      <c r="A192" s="404" t="s">
        <v>418</v>
      </c>
      <c r="B192" s="448">
        <v>55400</v>
      </c>
      <c r="C192" s="448">
        <v>52500</v>
      </c>
      <c r="D192" s="448">
        <v>52500</v>
      </c>
      <c r="E192" s="448">
        <v>31238.58</v>
      </c>
      <c r="F192" s="448">
        <v>31238.58</v>
      </c>
      <c r="G192" s="448">
        <v>3081.76</v>
      </c>
      <c r="H192" s="448">
        <v>4150</v>
      </c>
      <c r="I192" s="448">
        <v>3700</v>
      </c>
      <c r="J192" s="448">
        <v>3925</v>
      </c>
      <c r="K192" s="448">
        <v>3171.4300000000003</v>
      </c>
      <c r="L192" s="448">
        <v>3210.39</v>
      </c>
      <c r="M192" s="448">
        <v>3700</v>
      </c>
      <c r="N192" s="448">
        <v>3000</v>
      </c>
      <c r="O192" s="448">
        <v>3300</v>
      </c>
      <c r="P192" s="448">
        <v>0</v>
      </c>
      <c r="Q192" s="448">
        <v>0</v>
      </c>
      <c r="R192" s="448">
        <v>0</v>
      </c>
      <c r="S192" s="448">
        <v>31238.58</v>
      </c>
      <c r="T192" s="407">
        <v>0.59502057142857145</v>
      </c>
      <c r="U192" s="406">
        <v>21261.42</v>
      </c>
      <c r="V192" s="406">
        <v>0</v>
      </c>
      <c r="W192" s="406">
        <v>21261.42</v>
      </c>
      <c r="X192" s="406">
        <v>21261.42</v>
      </c>
      <c r="Y192" s="406">
        <v>0</v>
      </c>
      <c r="Z192" s="406">
        <v>0</v>
      </c>
    </row>
    <row r="193" spans="1:26" x14ac:dyDescent="0.2">
      <c r="A193" s="409" t="s">
        <v>419</v>
      </c>
      <c r="B193" s="457">
        <v>0</v>
      </c>
      <c r="C193" s="457">
        <v>0</v>
      </c>
      <c r="D193" s="457">
        <v>0</v>
      </c>
      <c r="E193" s="457">
        <v>0</v>
      </c>
      <c r="F193" s="457">
        <v>0</v>
      </c>
      <c r="G193" s="457">
        <v>0</v>
      </c>
      <c r="H193" s="457">
        <v>0</v>
      </c>
      <c r="I193" s="457">
        <v>0</v>
      </c>
      <c r="J193" s="457">
        <v>0</v>
      </c>
      <c r="K193" s="457">
        <v>0</v>
      </c>
      <c r="L193" s="457">
        <v>0</v>
      </c>
      <c r="M193" s="457">
        <v>0</v>
      </c>
      <c r="N193" s="457">
        <v>0</v>
      </c>
      <c r="O193" s="457">
        <v>0</v>
      </c>
      <c r="P193" s="457">
        <v>0</v>
      </c>
      <c r="Q193" s="457">
        <v>0</v>
      </c>
      <c r="R193" s="457">
        <v>0</v>
      </c>
      <c r="S193" s="457">
        <v>0</v>
      </c>
      <c r="T193" s="410" t="e">
        <v>#DIV/0!</v>
      </c>
      <c r="U193" s="285">
        <v>0</v>
      </c>
      <c r="V193" s="285">
        <v>0</v>
      </c>
      <c r="W193" s="285">
        <v>0</v>
      </c>
      <c r="X193" s="285">
        <v>0</v>
      </c>
      <c r="Y193" s="285">
        <v>0</v>
      </c>
      <c r="Z193" s="285">
        <v>0</v>
      </c>
    </row>
    <row r="194" spans="1:26" x14ac:dyDescent="0.2">
      <c r="A194" s="409" t="s">
        <v>420</v>
      </c>
      <c r="B194" s="457">
        <v>42300</v>
      </c>
      <c r="C194" s="457">
        <v>39400</v>
      </c>
      <c r="D194" s="457">
        <v>39400</v>
      </c>
      <c r="E194" s="457">
        <v>28138.58</v>
      </c>
      <c r="F194" s="457">
        <v>28138.58</v>
      </c>
      <c r="G194" s="457">
        <v>3081.76</v>
      </c>
      <c r="H194" s="457">
        <v>3150</v>
      </c>
      <c r="I194" s="457">
        <v>3300</v>
      </c>
      <c r="J194" s="457">
        <v>3225</v>
      </c>
      <c r="K194" s="457">
        <v>3171.4300000000003</v>
      </c>
      <c r="L194" s="457">
        <v>3210.39</v>
      </c>
      <c r="M194" s="457">
        <v>3000</v>
      </c>
      <c r="N194" s="457">
        <v>3000</v>
      </c>
      <c r="O194" s="457">
        <v>3000</v>
      </c>
      <c r="P194" s="457">
        <v>0</v>
      </c>
      <c r="Q194" s="457">
        <v>0</v>
      </c>
      <c r="R194" s="457">
        <v>0</v>
      </c>
      <c r="S194" s="457">
        <v>28138.58</v>
      </c>
      <c r="T194" s="410">
        <v>0.7141771573604061</v>
      </c>
      <c r="U194" s="285">
        <v>11261.419999999998</v>
      </c>
      <c r="V194" s="285">
        <v>0</v>
      </c>
      <c r="W194" s="285">
        <v>11261.419999999998</v>
      </c>
      <c r="X194" s="285">
        <v>11261.419999999998</v>
      </c>
      <c r="Y194" s="285">
        <v>0</v>
      </c>
      <c r="Z194" s="285">
        <v>0</v>
      </c>
    </row>
    <row r="195" spans="1:26" x14ac:dyDescent="0.2">
      <c r="A195" s="409" t="s">
        <v>421</v>
      </c>
      <c r="B195" s="457">
        <v>0</v>
      </c>
      <c r="C195" s="457">
        <v>0</v>
      </c>
      <c r="D195" s="457">
        <v>0</v>
      </c>
      <c r="E195" s="457">
        <v>0</v>
      </c>
      <c r="F195" s="457">
        <v>0</v>
      </c>
      <c r="G195" s="457">
        <v>0</v>
      </c>
      <c r="H195" s="457">
        <v>0</v>
      </c>
      <c r="I195" s="457">
        <v>0</v>
      </c>
      <c r="J195" s="457">
        <v>0</v>
      </c>
      <c r="K195" s="457">
        <v>0</v>
      </c>
      <c r="L195" s="457">
        <v>0</v>
      </c>
      <c r="M195" s="457">
        <v>0</v>
      </c>
      <c r="N195" s="457">
        <v>0</v>
      </c>
      <c r="O195" s="457">
        <v>0</v>
      </c>
      <c r="P195" s="457">
        <v>0</v>
      </c>
      <c r="Q195" s="457">
        <v>0</v>
      </c>
      <c r="R195" s="457">
        <v>0</v>
      </c>
      <c r="S195" s="457">
        <v>0</v>
      </c>
      <c r="T195" s="410" t="e">
        <v>#DIV/0!</v>
      </c>
      <c r="U195" s="285">
        <v>0</v>
      </c>
      <c r="V195" s="285">
        <v>0</v>
      </c>
      <c r="W195" s="285">
        <v>0</v>
      </c>
      <c r="X195" s="285">
        <v>0</v>
      </c>
      <c r="Y195" s="285">
        <v>0</v>
      </c>
      <c r="Z195" s="285">
        <v>0</v>
      </c>
    </row>
    <row r="196" spans="1:26" x14ac:dyDescent="0.2">
      <c r="A196" s="409" t="s">
        <v>422</v>
      </c>
      <c r="B196" s="457">
        <v>0</v>
      </c>
      <c r="C196" s="457">
        <v>0</v>
      </c>
      <c r="D196" s="457">
        <v>0</v>
      </c>
      <c r="E196" s="457">
        <v>0</v>
      </c>
      <c r="F196" s="457">
        <v>0</v>
      </c>
      <c r="G196" s="457">
        <v>0</v>
      </c>
      <c r="H196" s="457">
        <v>0</v>
      </c>
      <c r="I196" s="457">
        <v>0</v>
      </c>
      <c r="J196" s="457">
        <v>0</v>
      </c>
      <c r="K196" s="457">
        <v>0</v>
      </c>
      <c r="L196" s="457">
        <v>0</v>
      </c>
      <c r="M196" s="457">
        <v>0</v>
      </c>
      <c r="N196" s="457">
        <v>0</v>
      </c>
      <c r="O196" s="457">
        <v>0</v>
      </c>
      <c r="P196" s="457">
        <v>0</v>
      </c>
      <c r="Q196" s="457">
        <v>0</v>
      </c>
      <c r="R196" s="457">
        <v>0</v>
      </c>
      <c r="S196" s="457">
        <v>0</v>
      </c>
      <c r="T196" s="410" t="e">
        <v>#DIV/0!</v>
      </c>
      <c r="U196" s="285">
        <v>0</v>
      </c>
      <c r="V196" s="285">
        <v>0</v>
      </c>
      <c r="W196" s="285">
        <v>0</v>
      </c>
      <c r="X196" s="285">
        <v>0</v>
      </c>
      <c r="Y196" s="285">
        <v>0</v>
      </c>
      <c r="Z196" s="285">
        <v>0</v>
      </c>
    </row>
    <row r="197" spans="1:26" ht="24" x14ac:dyDescent="0.2">
      <c r="A197" s="409" t="s">
        <v>423</v>
      </c>
      <c r="B197" s="457">
        <v>0</v>
      </c>
      <c r="C197" s="457">
        <v>0</v>
      </c>
      <c r="D197" s="457">
        <v>0</v>
      </c>
      <c r="E197" s="457">
        <v>0</v>
      </c>
      <c r="F197" s="457">
        <v>0</v>
      </c>
      <c r="G197" s="457">
        <v>0</v>
      </c>
      <c r="H197" s="457">
        <v>0</v>
      </c>
      <c r="I197" s="457">
        <v>0</v>
      </c>
      <c r="J197" s="457">
        <v>0</v>
      </c>
      <c r="K197" s="457">
        <v>0</v>
      </c>
      <c r="L197" s="457">
        <v>0</v>
      </c>
      <c r="M197" s="457">
        <v>0</v>
      </c>
      <c r="N197" s="457">
        <v>0</v>
      </c>
      <c r="O197" s="457">
        <v>0</v>
      </c>
      <c r="P197" s="457">
        <v>0</v>
      </c>
      <c r="Q197" s="457">
        <v>0</v>
      </c>
      <c r="R197" s="457">
        <v>0</v>
      </c>
      <c r="S197" s="457">
        <v>0</v>
      </c>
      <c r="T197" s="410" t="e">
        <v>#DIV/0!</v>
      </c>
      <c r="U197" s="285">
        <v>0</v>
      </c>
      <c r="V197" s="285">
        <v>0</v>
      </c>
      <c r="W197" s="285">
        <v>0</v>
      </c>
      <c r="X197" s="285">
        <v>0</v>
      </c>
      <c r="Y197" s="285">
        <v>0</v>
      </c>
      <c r="Z197" s="285">
        <v>0</v>
      </c>
    </row>
    <row r="198" spans="1:26" x14ac:dyDescent="0.2">
      <c r="A198" s="409" t="s">
        <v>424</v>
      </c>
      <c r="B198" s="457">
        <v>0</v>
      </c>
      <c r="C198" s="457">
        <v>0</v>
      </c>
      <c r="D198" s="457">
        <v>0</v>
      </c>
      <c r="E198" s="457">
        <v>0</v>
      </c>
      <c r="F198" s="457">
        <v>0</v>
      </c>
      <c r="G198" s="457">
        <v>0</v>
      </c>
      <c r="H198" s="457">
        <v>0</v>
      </c>
      <c r="I198" s="457">
        <v>0</v>
      </c>
      <c r="J198" s="457">
        <v>0</v>
      </c>
      <c r="K198" s="457">
        <v>0</v>
      </c>
      <c r="L198" s="457">
        <v>0</v>
      </c>
      <c r="M198" s="457">
        <v>0</v>
      </c>
      <c r="N198" s="457">
        <v>0</v>
      </c>
      <c r="O198" s="457">
        <v>0</v>
      </c>
      <c r="P198" s="457">
        <v>0</v>
      </c>
      <c r="Q198" s="457">
        <v>0</v>
      </c>
      <c r="R198" s="457">
        <v>0</v>
      </c>
      <c r="S198" s="457">
        <v>0</v>
      </c>
      <c r="T198" s="410" t="e">
        <v>#DIV/0!</v>
      </c>
      <c r="U198" s="285">
        <v>0</v>
      </c>
      <c r="V198" s="285">
        <v>0</v>
      </c>
      <c r="W198" s="285">
        <v>0</v>
      </c>
      <c r="X198" s="285">
        <v>0</v>
      </c>
      <c r="Y198" s="285">
        <v>0</v>
      </c>
      <c r="Z198" s="285">
        <v>0</v>
      </c>
    </row>
    <row r="199" spans="1:26" x14ac:dyDescent="0.2">
      <c r="A199" s="409" t="s">
        <v>425</v>
      </c>
      <c r="B199" s="457">
        <v>0</v>
      </c>
      <c r="C199" s="457">
        <v>0</v>
      </c>
      <c r="D199" s="457">
        <v>0</v>
      </c>
      <c r="E199" s="457">
        <v>0</v>
      </c>
      <c r="F199" s="457">
        <v>0</v>
      </c>
      <c r="G199" s="457">
        <v>0</v>
      </c>
      <c r="H199" s="457">
        <v>0</v>
      </c>
      <c r="I199" s="457">
        <v>0</v>
      </c>
      <c r="J199" s="457">
        <v>0</v>
      </c>
      <c r="K199" s="457">
        <v>0</v>
      </c>
      <c r="L199" s="457">
        <v>0</v>
      </c>
      <c r="M199" s="457">
        <v>0</v>
      </c>
      <c r="N199" s="457">
        <v>0</v>
      </c>
      <c r="O199" s="457">
        <v>0</v>
      </c>
      <c r="P199" s="457">
        <v>0</v>
      </c>
      <c r="Q199" s="457">
        <v>0</v>
      </c>
      <c r="R199" s="457">
        <v>0</v>
      </c>
      <c r="S199" s="457">
        <v>0</v>
      </c>
      <c r="T199" s="410" t="e">
        <v>#DIV/0!</v>
      </c>
      <c r="U199" s="285">
        <v>0</v>
      </c>
      <c r="V199" s="285">
        <v>0</v>
      </c>
      <c r="W199" s="285">
        <v>0</v>
      </c>
      <c r="X199" s="285">
        <v>0</v>
      </c>
      <c r="Y199" s="285">
        <v>0</v>
      </c>
      <c r="Z199" s="285">
        <v>0</v>
      </c>
    </row>
    <row r="200" spans="1:26" x14ac:dyDescent="0.2">
      <c r="A200" s="409" t="s">
        <v>426</v>
      </c>
      <c r="B200" s="457">
        <v>0</v>
      </c>
      <c r="C200" s="457">
        <v>0</v>
      </c>
      <c r="D200" s="457">
        <v>0</v>
      </c>
      <c r="E200" s="457">
        <v>0</v>
      </c>
      <c r="F200" s="457">
        <v>0</v>
      </c>
      <c r="G200" s="457">
        <v>0</v>
      </c>
      <c r="H200" s="457">
        <v>0</v>
      </c>
      <c r="I200" s="457">
        <v>0</v>
      </c>
      <c r="J200" s="457">
        <v>0</v>
      </c>
      <c r="K200" s="457">
        <v>0</v>
      </c>
      <c r="L200" s="457">
        <v>0</v>
      </c>
      <c r="M200" s="457">
        <v>0</v>
      </c>
      <c r="N200" s="457">
        <v>0</v>
      </c>
      <c r="O200" s="457">
        <v>0</v>
      </c>
      <c r="P200" s="457">
        <v>0</v>
      </c>
      <c r="Q200" s="457">
        <v>0</v>
      </c>
      <c r="R200" s="457">
        <v>0</v>
      </c>
      <c r="S200" s="457">
        <v>0</v>
      </c>
      <c r="T200" s="410" t="e">
        <v>#DIV/0!</v>
      </c>
      <c r="U200" s="285">
        <v>0</v>
      </c>
      <c r="V200" s="285">
        <v>0</v>
      </c>
      <c r="W200" s="285">
        <v>0</v>
      </c>
      <c r="X200" s="285">
        <v>0</v>
      </c>
      <c r="Y200" s="285">
        <v>0</v>
      </c>
      <c r="Z200" s="285">
        <v>0</v>
      </c>
    </row>
    <row r="201" spans="1:26" x14ac:dyDescent="0.2">
      <c r="A201" s="409" t="s">
        <v>427</v>
      </c>
      <c r="B201" s="457">
        <v>13100</v>
      </c>
      <c r="C201" s="457">
        <v>13100</v>
      </c>
      <c r="D201" s="457">
        <v>13100</v>
      </c>
      <c r="E201" s="457">
        <v>3100</v>
      </c>
      <c r="F201" s="457">
        <v>3100</v>
      </c>
      <c r="G201" s="457">
        <v>0</v>
      </c>
      <c r="H201" s="457">
        <v>1000</v>
      </c>
      <c r="I201" s="457">
        <v>400</v>
      </c>
      <c r="J201" s="457">
        <v>700</v>
      </c>
      <c r="K201" s="457">
        <v>0</v>
      </c>
      <c r="L201" s="457">
        <v>0</v>
      </c>
      <c r="M201" s="457">
        <v>700</v>
      </c>
      <c r="N201" s="457">
        <v>0</v>
      </c>
      <c r="O201" s="457">
        <v>300</v>
      </c>
      <c r="P201" s="457">
        <v>0</v>
      </c>
      <c r="Q201" s="457">
        <v>0</v>
      </c>
      <c r="R201" s="457">
        <v>0</v>
      </c>
      <c r="S201" s="457">
        <v>3100</v>
      </c>
      <c r="T201" s="410">
        <v>0.23664122137404581</v>
      </c>
      <c r="U201" s="285">
        <v>10000</v>
      </c>
      <c r="V201" s="285">
        <v>0</v>
      </c>
      <c r="W201" s="285">
        <v>10000</v>
      </c>
      <c r="X201" s="285">
        <v>10000</v>
      </c>
      <c r="Y201" s="285">
        <v>0</v>
      </c>
      <c r="Z201" s="285">
        <v>0</v>
      </c>
    </row>
    <row r="202" spans="1:26" ht="24" x14ac:dyDescent="0.2">
      <c r="A202" s="404" t="s">
        <v>428</v>
      </c>
      <c r="B202" s="247">
        <v>106630</v>
      </c>
      <c r="C202" s="247">
        <v>100400</v>
      </c>
      <c r="D202" s="247">
        <v>100400</v>
      </c>
      <c r="E202" s="247">
        <v>81656.88</v>
      </c>
      <c r="F202" s="247">
        <v>81656.88</v>
      </c>
      <c r="G202" s="247">
        <v>15600.66</v>
      </c>
      <c r="H202" s="247">
        <v>7826.8399999999992</v>
      </c>
      <c r="I202" s="247">
        <v>8405.16</v>
      </c>
      <c r="J202" s="247">
        <v>8283.84</v>
      </c>
      <c r="K202" s="247">
        <v>8330.94</v>
      </c>
      <c r="L202" s="247">
        <v>8314.66</v>
      </c>
      <c r="M202" s="247">
        <v>8326.5</v>
      </c>
      <c r="N202" s="247">
        <v>8326.98</v>
      </c>
      <c r="O202" s="247">
        <v>8241.2999999999993</v>
      </c>
      <c r="P202" s="247">
        <v>0</v>
      </c>
      <c r="Q202" s="247">
        <v>0</v>
      </c>
      <c r="R202" s="247">
        <v>0</v>
      </c>
      <c r="S202" s="247">
        <v>81656.88</v>
      </c>
      <c r="T202" s="407">
        <v>0.81331553784860566</v>
      </c>
      <c r="U202" s="406">
        <v>18743.119999999995</v>
      </c>
      <c r="V202" s="406">
        <v>0</v>
      </c>
      <c r="W202" s="406">
        <v>18743.119999999995</v>
      </c>
      <c r="X202" s="406">
        <v>18743.119999999995</v>
      </c>
      <c r="Y202" s="406">
        <v>0</v>
      </c>
      <c r="Z202" s="406">
        <v>0</v>
      </c>
    </row>
    <row r="203" spans="1:26" x14ac:dyDescent="0.2">
      <c r="A203" s="404" t="s">
        <v>429</v>
      </c>
      <c r="B203" s="247">
        <v>0</v>
      </c>
      <c r="C203" s="247">
        <v>0</v>
      </c>
      <c r="D203" s="247">
        <v>0</v>
      </c>
      <c r="E203" s="247">
        <v>0</v>
      </c>
      <c r="F203" s="247">
        <v>0</v>
      </c>
      <c r="G203" s="247">
        <v>0</v>
      </c>
      <c r="H203" s="247">
        <v>0</v>
      </c>
      <c r="I203" s="247">
        <v>0</v>
      </c>
      <c r="J203" s="247">
        <v>0</v>
      </c>
      <c r="K203" s="247">
        <v>0</v>
      </c>
      <c r="L203" s="247">
        <v>0</v>
      </c>
      <c r="M203" s="247">
        <v>0</v>
      </c>
      <c r="N203" s="247">
        <v>0</v>
      </c>
      <c r="O203" s="247">
        <v>0</v>
      </c>
      <c r="P203" s="247">
        <v>0</v>
      </c>
      <c r="Q203" s="247">
        <v>0</v>
      </c>
      <c r="R203" s="247">
        <v>0</v>
      </c>
      <c r="S203" s="247">
        <v>0</v>
      </c>
      <c r="T203" s="407" t="e">
        <v>#DIV/0!</v>
      </c>
      <c r="U203" s="406">
        <v>0</v>
      </c>
      <c r="V203" s="406">
        <v>0</v>
      </c>
      <c r="W203" s="406">
        <v>0</v>
      </c>
      <c r="X203" s="406">
        <v>0</v>
      </c>
      <c r="Y203" s="406">
        <v>0</v>
      </c>
      <c r="Z203" s="406">
        <v>0</v>
      </c>
    </row>
    <row r="204" spans="1:26" x14ac:dyDescent="0.2">
      <c r="A204" s="399" t="s">
        <v>430</v>
      </c>
      <c r="B204" s="474">
        <v>1148995</v>
      </c>
      <c r="C204" s="474">
        <v>1148995</v>
      </c>
      <c r="D204" s="474">
        <v>1098995</v>
      </c>
      <c r="E204" s="474">
        <v>618570.07999999996</v>
      </c>
      <c r="F204" s="474">
        <v>487185.74999999994</v>
      </c>
      <c r="G204" s="474">
        <v>3255.8199999999997</v>
      </c>
      <c r="H204" s="474">
        <v>7830.4100000000008</v>
      </c>
      <c r="I204" s="474">
        <v>15603.7</v>
      </c>
      <c r="J204" s="474">
        <v>108159.74000000002</v>
      </c>
      <c r="K204" s="474">
        <v>72306.389999999985</v>
      </c>
      <c r="L204" s="474">
        <v>81210.12</v>
      </c>
      <c r="M204" s="474">
        <v>41545.620000000003</v>
      </c>
      <c r="N204" s="474">
        <v>55278.82</v>
      </c>
      <c r="O204" s="474">
        <v>101795.1</v>
      </c>
      <c r="P204" s="474">
        <v>0</v>
      </c>
      <c r="Q204" s="474">
        <v>0</v>
      </c>
      <c r="R204" s="474">
        <v>0</v>
      </c>
      <c r="S204" s="474">
        <v>486985.72</v>
      </c>
      <c r="T204" s="402">
        <v>0.42383623949625537</v>
      </c>
      <c r="U204" s="401">
        <v>662009.28</v>
      </c>
      <c r="V204" s="401">
        <v>50000</v>
      </c>
      <c r="W204" s="401">
        <v>530424.92000000004</v>
      </c>
      <c r="X204" s="401">
        <v>480424.92000000004</v>
      </c>
      <c r="Y204" s="401">
        <v>131384.33000000002</v>
      </c>
      <c r="Z204" s="401">
        <v>200.02999999996973</v>
      </c>
    </row>
    <row r="205" spans="1:26" x14ac:dyDescent="0.2">
      <c r="A205" s="404" t="s">
        <v>431</v>
      </c>
      <c r="B205" s="247">
        <v>0</v>
      </c>
      <c r="C205" s="247">
        <v>0</v>
      </c>
      <c r="D205" s="247">
        <v>0</v>
      </c>
      <c r="E205" s="247">
        <v>0</v>
      </c>
      <c r="F205" s="247">
        <v>0</v>
      </c>
      <c r="G205" s="247">
        <v>0</v>
      </c>
      <c r="H205" s="247">
        <v>0</v>
      </c>
      <c r="I205" s="247">
        <v>0</v>
      </c>
      <c r="J205" s="247">
        <v>0</v>
      </c>
      <c r="K205" s="247">
        <v>0</v>
      </c>
      <c r="L205" s="247">
        <v>0</v>
      </c>
      <c r="M205" s="247">
        <v>0</v>
      </c>
      <c r="N205" s="247">
        <v>0</v>
      </c>
      <c r="O205" s="247">
        <v>0</v>
      </c>
      <c r="P205" s="247">
        <v>0</v>
      </c>
      <c r="Q205" s="247">
        <v>0</v>
      </c>
      <c r="R205" s="247">
        <v>0</v>
      </c>
      <c r="S205" s="247">
        <v>0</v>
      </c>
      <c r="T205" s="407" t="e">
        <v>#DIV/0!</v>
      </c>
      <c r="U205" s="406">
        <v>0</v>
      </c>
      <c r="V205" s="406">
        <v>0</v>
      </c>
      <c r="W205" s="406">
        <v>0</v>
      </c>
      <c r="X205" s="406">
        <v>0</v>
      </c>
      <c r="Y205" s="406">
        <v>0</v>
      </c>
      <c r="Z205" s="406">
        <v>0</v>
      </c>
    </row>
    <row r="206" spans="1:26" x14ac:dyDescent="0.2">
      <c r="A206" s="404" t="s">
        <v>432</v>
      </c>
      <c r="B206" s="247">
        <v>0</v>
      </c>
      <c r="C206" s="247">
        <v>0</v>
      </c>
      <c r="D206" s="247">
        <v>0</v>
      </c>
      <c r="E206" s="247">
        <v>0</v>
      </c>
      <c r="F206" s="247">
        <v>0</v>
      </c>
      <c r="G206" s="247">
        <v>0</v>
      </c>
      <c r="H206" s="247">
        <v>0</v>
      </c>
      <c r="I206" s="247">
        <v>0</v>
      </c>
      <c r="J206" s="247">
        <v>0</v>
      </c>
      <c r="K206" s="247">
        <v>0</v>
      </c>
      <c r="L206" s="247">
        <v>0</v>
      </c>
      <c r="M206" s="247">
        <v>0</v>
      </c>
      <c r="N206" s="247">
        <v>0</v>
      </c>
      <c r="O206" s="247">
        <v>0</v>
      </c>
      <c r="P206" s="247">
        <v>0</v>
      </c>
      <c r="Q206" s="247">
        <v>0</v>
      </c>
      <c r="R206" s="247">
        <v>0</v>
      </c>
      <c r="S206" s="247">
        <v>0</v>
      </c>
      <c r="T206" s="407" t="e">
        <v>#DIV/0!</v>
      </c>
      <c r="U206" s="406">
        <v>0</v>
      </c>
      <c r="V206" s="406">
        <v>0</v>
      </c>
      <c r="W206" s="406">
        <v>0</v>
      </c>
      <c r="X206" s="406">
        <v>0</v>
      </c>
      <c r="Y206" s="406">
        <v>0</v>
      </c>
      <c r="Z206" s="406">
        <v>0</v>
      </c>
    </row>
    <row r="207" spans="1:26" x14ac:dyDescent="0.2">
      <c r="A207" s="404" t="s">
        <v>433</v>
      </c>
      <c r="B207" s="448">
        <v>0</v>
      </c>
      <c r="C207" s="448">
        <v>0</v>
      </c>
      <c r="D207" s="448">
        <v>0</v>
      </c>
      <c r="E207" s="448">
        <v>0</v>
      </c>
      <c r="F207" s="448">
        <v>0</v>
      </c>
      <c r="G207" s="448">
        <v>0</v>
      </c>
      <c r="H207" s="448">
        <v>0</v>
      </c>
      <c r="I207" s="448">
        <v>0</v>
      </c>
      <c r="J207" s="448">
        <v>0</v>
      </c>
      <c r="K207" s="448">
        <v>0</v>
      </c>
      <c r="L207" s="448">
        <v>0</v>
      </c>
      <c r="M207" s="448">
        <v>0</v>
      </c>
      <c r="N207" s="448">
        <v>0</v>
      </c>
      <c r="O207" s="448">
        <v>0</v>
      </c>
      <c r="P207" s="448">
        <v>0</v>
      </c>
      <c r="Q207" s="448">
        <v>0</v>
      </c>
      <c r="R207" s="448">
        <v>0</v>
      </c>
      <c r="S207" s="448">
        <v>0</v>
      </c>
      <c r="T207" s="407" t="e">
        <v>#DIV/0!</v>
      </c>
      <c r="U207" s="406">
        <v>0</v>
      </c>
      <c r="V207" s="406">
        <v>0</v>
      </c>
      <c r="W207" s="406">
        <v>0</v>
      </c>
      <c r="X207" s="406">
        <v>0</v>
      </c>
      <c r="Y207" s="406">
        <v>0</v>
      </c>
      <c r="Z207" s="406">
        <v>0</v>
      </c>
    </row>
    <row r="208" spans="1:26" x14ac:dyDescent="0.2">
      <c r="A208" s="409" t="s">
        <v>434</v>
      </c>
      <c r="B208" s="457">
        <v>0</v>
      </c>
      <c r="C208" s="457">
        <v>0</v>
      </c>
      <c r="D208" s="457">
        <v>0</v>
      </c>
      <c r="E208" s="457">
        <v>0</v>
      </c>
      <c r="F208" s="457">
        <v>0</v>
      </c>
      <c r="G208" s="457">
        <v>0</v>
      </c>
      <c r="H208" s="457">
        <v>0</v>
      </c>
      <c r="I208" s="457">
        <v>0</v>
      </c>
      <c r="J208" s="457">
        <v>0</v>
      </c>
      <c r="K208" s="457">
        <v>0</v>
      </c>
      <c r="L208" s="457">
        <v>0</v>
      </c>
      <c r="M208" s="457">
        <v>0</v>
      </c>
      <c r="N208" s="457">
        <v>0</v>
      </c>
      <c r="O208" s="457">
        <v>0</v>
      </c>
      <c r="P208" s="457">
        <v>0</v>
      </c>
      <c r="Q208" s="457">
        <v>0</v>
      </c>
      <c r="R208" s="457">
        <v>0</v>
      </c>
      <c r="S208" s="457">
        <v>0</v>
      </c>
      <c r="T208" s="410" t="e">
        <v>#DIV/0!</v>
      </c>
      <c r="U208" s="285">
        <v>0</v>
      </c>
      <c r="V208" s="285">
        <v>0</v>
      </c>
      <c r="W208" s="285">
        <v>0</v>
      </c>
      <c r="X208" s="285">
        <v>0</v>
      </c>
      <c r="Y208" s="285">
        <v>0</v>
      </c>
      <c r="Z208" s="285">
        <v>0</v>
      </c>
    </row>
    <row r="209" spans="1:26" x14ac:dyDescent="0.2">
      <c r="A209" s="409" t="s">
        <v>435</v>
      </c>
      <c r="B209" s="457">
        <v>0</v>
      </c>
      <c r="C209" s="457">
        <v>0</v>
      </c>
      <c r="D209" s="457">
        <v>0</v>
      </c>
      <c r="E209" s="457">
        <v>0</v>
      </c>
      <c r="F209" s="457">
        <v>0</v>
      </c>
      <c r="G209" s="457">
        <v>0</v>
      </c>
      <c r="H209" s="457">
        <v>0</v>
      </c>
      <c r="I209" s="457">
        <v>0</v>
      </c>
      <c r="J209" s="457">
        <v>0</v>
      </c>
      <c r="K209" s="457">
        <v>0</v>
      </c>
      <c r="L209" s="457">
        <v>0</v>
      </c>
      <c r="M209" s="457">
        <v>0</v>
      </c>
      <c r="N209" s="457">
        <v>0</v>
      </c>
      <c r="O209" s="457">
        <v>0</v>
      </c>
      <c r="P209" s="457">
        <v>0</v>
      </c>
      <c r="Q209" s="457">
        <v>0</v>
      </c>
      <c r="R209" s="457">
        <v>0</v>
      </c>
      <c r="S209" s="457">
        <v>0</v>
      </c>
      <c r="T209" s="410" t="e">
        <v>#DIV/0!</v>
      </c>
      <c r="U209" s="285">
        <v>0</v>
      </c>
      <c r="V209" s="285">
        <v>0</v>
      </c>
      <c r="W209" s="285">
        <v>0</v>
      </c>
      <c r="X209" s="285">
        <v>0</v>
      </c>
      <c r="Y209" s="285">
        <v>0</v>
      </c>
      <c r="Z209" s="285">
        <v>0</v>
      </c>
    </row>
    <row r="210" spans="1:26" x14ac:dyDescent="0.2">
      <c r="A210" s="404" t="s">
        <v>436</v>
      </c>
      <c r="B210" s="448">
        <v>0</v>
      </c>
      <c r="C210" s="448">
        <v>0</v>
      </c>
      <c r="D210" s="448">
        <v>0</v>
      </c>
      <c r="E210" s="448">
        <v>0</v>
      </c>
      <c r="F210" s="448">
        <v>0</v>
      </c>
      <c r="G210" s="448">
        <v>0</v>
      </c>
      <c r="H210" s="448">
        <v>0</v>
      </c>
      <c r="I210" s="448">
        <v>0</v>
      </c>
      <c r="J210" s="448">
        <v>0</v>
      </c>
      <c r="K210" s="448">
        <v>0</v>
      </c>
      <c r="L210" s="448">
        <v>0</v>
      </c>
      <c r="M210" s="448">
        <v>0</v>
      </c>
      <c r="N210" s="448">
        <v>0</v>
      </c>
      <c r="O210" s="448">
        <v>0</v>
      </c>
      <c r="P210" s="448">
        <v>0</v>
      </c>
      <c r="Q210" s="448">
        <v>0</v>
      </c>
      <c r="R210" s="448">
        <v>0</v>
      </c>
      <c r="S210" s="448">
        <v>0</v>
      </c>
      <c r="T210" s="407" t="e">
        <v>#DIV/0!</v>
      </c>
      <c r="U210" s="406">
        <v>0</v>
      </c>
      <c r="V210" s="406">
        <v>0</v>
      </c>
      <c r="W210" s="406">
        <v>0</v>
      </c>
      <c r="X210" s="406">
        <v>0</v>
      </c>
      <c r="Y210" s="406">
        <v>0</v>
      </c>
      <c r="Z210" s="406">
        <v>0</v>
      </c>
    </row>
    <row r="211" spans="1:26" x14ac:dyDescent="0.2">
      <c r="A211" s="409" t="s">
        <v>437</v>
      </c>
      <c r="B211" s="457">
        <v>0</v>
      </c>
      <c r="C211" s="457">
        <v>0</v>
      </c>
      <c r="D211" s="457">
        <v>0</v>
      </c>
      <c r="E211" s="457">
        <v>0</v>
      </c>
      <c r="F211" s="457">
        <v>0</v>
      </c>
      <c r="G211" s="457">
        <v>0</v>
      </c>
      <c r="H211" s="457">
        <v>0</v>
      </c>
      <c r="I211" s="457">
        <v>0</v>
      </c>
      <c r="J211" s="457">
        <v>0</v>
      </c>
      <c r="K211" s="457">
        <v>0</v>
      </c>
      <c r="L211" s="457">
        <v>0</v>
      </c>
      <c r="M211" s="457">
        <v>0</v>
      </c>
      <c r="N211" s="457">
        <v>0</v>
      </c>
      <c r="O211" s="457">
        <v>0</v>
      </c>
      <c r="P211" s="457">
        <v>0</v>
      </c>
      <c r="Q211" s="457">
        <v>0</v>
      </c>
      <c r="R211" s="457">
        <v>0</v>
      </c>
      <c r="S211" s="457">
        <v>0</v>
      </c>
      <c r="T211" s="410" t="e">
        <v>#DIV/0!</v>
      </c>
      <c r="U211" s="285">
        <v>0</v>
      </c>
      <c r="V211" s="285">
        <v>0</v>
      </c>
      <c r="W211" s="285">
        <v>0</v>
      </c>
      <c r="X211" s="285">
        <v>0</v>
      </c>
      <c r="Y211" s="285">
        <v>0</v>
      </c>
      <c r="Z211" s="285">
        <v>0</v>
      </c>
    </row>
    <row r="212" spans="1:26" x14ac:dyDescent="0.2">
      <c r="A212" s="409" t="s">
        <v>438</v>
      </c>
      <c r="B212" s="457">
        <v>0</v>
      </c>
      <c r="C212" s="457">
        <v>0</v>
      </c>
      <c r="D212" s="457">
        <v>0</v>
      </c>
      <c r="E212" s="457">
        <v>0</v>
      </c>
      <c r="F212" s="457">
        <v>0</v>
      </c>
      <c r="G212" s="457">
        <v>0</v>
      </c>
      <c r="H212" s="457">
        <v>0</v>
      </c>
      <c r="I212" s="457">
        <v>0</v>
      </c>
      <c r="J212" s="457">
        <v>0</v>
      </c>
      <c r="K212" s="457">
        <v>0</v>
      </c>
      <c r="L212" s="457">
        <v>0</v>
      </c>
      <c r="M212" s="457">
        <v>0</v>
      </c>
      <c r="N212" s="457">
        <v>0</v>
      </c>
      <c r="O212" s="457">
        <v>0</v>
      </c>
      <c r="P212" s="457">
        <v>0</v>
      </c>
      <c r="Q212" s="457">
        <v>0</v>
      </c>
      <c r="R212" s="457">
        <v>0</v>
      </c>
      <c r="S212" s="457">
        <v>0</v>
      </c>
      <c r="T212" s="410" t="e">
        <v>#DIV/0!</v>
      </c>
      <c r="U212" s="285">
        <v>0</v>
      </c>
      <c r="V212" s="285">
        <v>0</v>
      </c>
      <c r="W212" s="285">
        <v>0</v>
      </c>
      <c r="X212" s="285">
        <v>0</v>
      </c>
      <c r="Y212" s="285">
        <v>0</v>
      </c>
      <c r="Z212" s="285">
        <v>0</v>
      </c>
    </row>
    <row r="213" spans="1:26" x14ac:dyDescent="0.2">
      <c r="A213" s="409" t="s">
        <v>439</v>
      </c>
      <c r="B213" s="457">
        <v>0</v>
      </c>
      <c r="C213" s="457">
        <v>0</v>
      </c>
      <c r="D213" s="457">
        <v>0</v>
      </c>
      <c r="E213" s="457">
        <v>0</v>
      </c>
      <c r="F213" s="457">
        <v>0</v>
      </c>
      <c r="G213" s="457">
        <v>0</v>
      </c>
      <c r="H213" s="457">
        <v>0</v>
      </c>
      <c r="I213" s="457">
        <v>0</v>
      </c>
      <c r="J213" s="457">
        <v>0</v>
      </c>
      <c r="K213" s="457">
        <v>0</v>
      </c>
      <c r="L213" s="457">
        <v>0</v>
      </c>
      <c r="M213" s="457">
        <v>0</v>
      </c>
      <c r="N213" s="457">
        <v>0</v>
      </c>
      <c r="O213" s="457">
        <v>0</v>
      </c>
      <c r="P213" s="457">
        <v>0</v>
      </c>
      <c r="Q213" s="457">
        <v>0</v>
      </c>
      <c r="R213" s="457">
        <v>0</v>
      </c>
      <c r="S213" s="457">
        <v>0</v>
      </c>
      <c r="T213" s="410" t="e">
        <v>#DIV/0!</v>
      </c>
      <c r="U213" s="285">
        <v>0</v>
      </c>
      <c r="V213" s="285">
        <v>0</v>
      </c>
      <c r="W213" s="285">
        <v>0</v>
      </c>
      <c r="X213" s="285">
        <v>0</v>
      </c>
      <c r="Y213" s="285">
        <v>0</v>
      </c>
      <c r="Z213" s="285">
        <v>0</v>
      </c>
    </row>
    <row r="214" spans="1:26" x14ac:dyDescent="0.2">
      <c r="A214" s="409" t="s">
        <v>440</v>
      </c>
      <c r="B214" s="457">
        <v>0</v>
      </c>
      <c r="C214" s="457">
        <v>0</v>
      </c>
      <c r="D214" s="457">
        <v>0</v>
      </c>
      <c r="E214" s="457">
        <v>0</v>
      </c>
      <c r="F214" s="457">
        <v>0</v>
      </c>
      <c r="G214" s="457">
        <v>0</v>
      </c>
      <c r="H214" s="457">
        <v>0</v>
      </c>
      <c r="I214" s="457">
        <v>0</v>
      </c>
      <c r="J214" s="457">
        <v>0</v>
      </c>
      <c r="K214" s="457">
        <v>0</v>
      </c>
      <c r="L214" s="457">
        <v>0</v>
      </c>
      <c r="M214" s="457">
        <v>0</v>
      </c>
      <c r="N214" s="457">
        <v>0</v>
      </c>
      <c r="O214" s="457">
        <v>0</v>
      </c>
      <c r="P214" s="457">
        <v>0</v>
      </c>
      <c r="Q214" s="457">
        <v>0</v>
      </c>
      <c r="R214" s="457">
        <v>0</v>
      </c>
      <c r="S214" s="457">
        <v>0</v>
      </c>
      <c r="T214" s="410" t="e">
        <v>#DIV/0!</v>
      </c>
      <c r="U214" s="285">
        <v>0</v>
      </c>
      <c r="V214" s="285">
        <v>0</v>
      </c>
      <c r="W214" s="285">
        <v>0</v>
      </c>
      <c r="X214" s="285">
        <v>0</v>
      </c>
      <c r="Y214" s="285">
        <v>0</v>
      </c>
      <c r="Z214" s="285">
        <v>0</v>
      </c>
    </row>
    <row r="215" spans="1:26" x14ac:dyDescent="0.2">
      <c r="A215" s="404" t="s">
        <v>441</v>
      </c>
      <c r="B215" s="448">
        <v>10000</v>
      </c>
      <c r="C215" s="448">
        <v>10174</v>
      </c>
      <c r="D215" s="448">
        <v>10174</v>
      </c>
      <c r="E215" s="448">
        <v>10000</v>
      </c>
      <c r="F215" s="448">
        <v>7304.8</v>
      </c>
      <c r="G215" s="448">
        <v>0</v>
      </c>
      <c r="H215" s="448">
        <v>0</v>
      </c>
      <c r="I215" s="448">
        <v>0</v>
      </c>
      <c r="J215" s="448">
        <v>0</v>
      </c>
      <c r="K215" s="448">
        <v>0</v>
      </c>
      <c r="L215" s="448">
        <v>0</v>
      </c>
      <c r="M215" s="448">
        <v>0</v>
      </c>
      <c r="N215" s="448">
        <v>7304.8</v>
      </c>
      <c r="O215" s="448">
        <v>0</v>
      </c>
      <c r="P215" s="448">
        <v>0</v>
      </c>
      <c r="Q215" s="448">
        <v>0</v>
      </c>
      <c r="R215" s="448">
        <v>0</v>
      </c>
      <c r="S215" s="448">
        <v>7304.8</v>
      </c>
      <c r="T215" s="407">
        <v>0.71798702575191664</v>
      </c>
      <c r="U215" s="406">
        <v>2869.2</v>
      </c>
      <c r="V215" s="406">
        <v>0</v>
      </c>
      <c r="W215" s="406">
        <v>174</v>
      </c>
      <c r="X215" s="406">
        <v>174</v>
      </c>
      <c r="Y215" s="406">
        <v>2695.2</v>
      </c>
      <c r="Z215" s="406">
        <v>0</v>
      </c>
    </row>
    <row r="216" spans="1:26" x14ac:dyDescent="0.2">
      <c r="A216" s="409" t="s">
        <v>442</v>
      </c>
      <c r="B216" s="457">
        <v>7000</v>
      </c>
      <c r="C216" s="457">
        <v>7000</v>
      </c>
      <c r="D216" s="457">
        <v>7000</v>
      </c>
      <c r="E216" s="457">
        <v>7000</v>
      </c>
      <c r="F216" s="457">
        <v>6057.05</v>
      </c>
      <c r="G216" s="457">
        <v>0</v>
      </c>
      <c r="H216" s="457">
        <v>0</v>
      </c>
      <c r="I216" s="457">
        <v>0</v>
      </c>
      <c r="J216" s="457">
        <v>0</v>
      </c>
      <c r="K216" s="457">
        <v>0</v>
      </c>
      <c r="L216" s="457">
        <v>0</v>
      </c>
      <c r="M216" s="457">
        <v>0</v>
      </c>
      <c r="N216" s="457">
        <v>6057.05</v>
      </c>
      <c r="O216" s="457">
        <v>0</v>
      </c>
      <c r="P216" s="457">
        <v>0</v>
      </c>
      <c r="Q216" s="457">
        <v>0</v>
      </c>
      <c r="R216" s="457">
        <v>0</v>
      </c>
      <c r="S216" s="457">
        <v>6057.05</v>
      </c>
      <c r="T216" s="410">
        <v>0.8652928571428572</v>
      </c>
      <c r="U216" s="285">
        <v>942.94999999999982</v>
      </c>
      <c r="V216" s="285">
        <v>0</v>
      </c>
      <c r="W216" s="285">
        <v>0</v>
      </c>
      <c r="X216" s="285">
        <v>0</v>
      </c>
      <c r="Y216" s="285">
        <v>942.94999999999982</v>
      </c>
      <c r="Z216" s="285">
        <v>0</v>
      </c>
    </row>
    <row r="217" spans="1:26" x14ac:dyDescent="0.2">
      <c r="A217" s="409" t="s">
        <v>443</v>
      </c>
      <c r="B217" s="457">
        <v>0</v>
      </c>
      <c r="C217" s="457">
        <v>0</v>
      </c>
      <c r="D217" s="457">
        <v>0</v>
      </c>
      <c r="E217" s="457">
        <v>0</v>
      </c>
      <c r="F217" s="457">
        <v>0</v>
      </c>
      <c r="G217" s="457">
        <v>0</v>
      </c>
      <c r="H217" s="457">
        <v>0</v>
      </c>
      <c r="I217" s="457">
        <v>0</v>
      </c>
      <c r="J217" s="457">
        <v>0</v>
      </c>
      <c r="K217" s="457">
        <v>0</v>
      </c>
      <c r="L217" s="457">
        <v>0</v>
      </c>
      <c r="M217" s="457">
        <v>0</v>
      </c>
      <c r="N217" s="457">
        <v>0</v>
      </c>
      <c r="O217" s="457">
        <v>0</v>
      </c>
      <c r="P217" s="457">
        <v>0</v>
      </c>
      <c r="Q217" s="457">
        <v>0</v>
      </c>
      <c r="R217" s="457">
        <v>0</v>
      </c>
      <c r="S217" s="457">
        <v>0</v>
      </c>
      <c r="T217" s="410" t="e">
        <v>#DIV/0!</v>
      </c>
      <c r="U217" s="285">
        <v>0</v>
      </c>
      <c r="V217" s="285">
        <v>0</v>
      </c>
      <c r="W217" s="285">
        <v>0</v>
      </c>
      <c r="X217" s="285">
        <v>0</v>
      </c>
      <c r="Y217" s="285">
        <v>0</v>
      </c>
      <c r="Z217" s="285">
        <v>0</v>
      </c>
    </row>
    <row r="218" spans="1:26" x14ac:dyDescent="0.2">
      <c r="A218" s="409" t="s">
        <v>444</v>
      </c>
      <c r="B218" s="457">
        <v>3000</v>
      </c>
      <c r="C218" s="457">
        <v>3174</v>
      </c>
      <c r="D218" s="457">
        <v>3174</v>
      </c>
      <c r="E218" s="457">
        <v>3000</v>
      </c>
      <c r="F218" s="457">
        <v>1247.75</v>
      </c>
      <c r="G218" s="457">
        <v>0</v>
      </c>
      <c r="H218" s="457">
        <v>0</v>
      </c>
      <c r="I218" s="457">
        <v>0</v>
      </c>
      <c r="J218" s="457">
        <v>0</v>
      </c>
      <c r="K218" s="457">
        <v>0</v>
      </c>
      <c r="L218" s="457">
        <v>0</v>
      </c>
      <c r="M218" s="457">
        <v>0</v>
      </c>
      <c r="N218" s="457">
        <v>1247.75</v>
      </c>
      <c r="O218" s="457">
        <v>0</v>
      </c>
      <c r="P218" s="457">
        <v>0</v>
      </c>
      <c r="Q218" s="457">
        <v>0</v>
      </c>
      <c r="R218" s="457">
        <v>0</v>
      </c>
      <c r="S218" s="457">
        <v>1247.75</v>
      </c>
      <c r="T218" s="410">
        <v>0.39311594202898553</v>
      </c>
      <c r="U218" s="285">
        <v>1926.25</v>
      </c>
      <c r="V218" s="285">
        <v>0</v>
      </c>
      <c r="W218" s="285">
        <v>174</v>
      </c>
      <c r="X218" s="285">
        <v>174</v>
      </c>
      <c r="Y218" s="285">
        <v>1752.25</v>
      </c>
      <c r="Z218" s="285">
        <v>0</v>
      </c>
    </row>
    <row r="219" spans="1:26" x14ac:dyDescent="0.2">
      <c r="A219" s="409" t="s">
        <v>445</v>
      </c>
      <c r="B219" s="457">
        <v>0</v>
      </c>
      <c r="C219" s="457">
        <v>0</v>
      </c>
      <c r="D219" s="457">
        <v>0</v>
      </c>
      <c r="E219" s="457">
        <v>0</v>
      </c>
      <c r="F219" s="457">
        <v>0</v>
      </c>
      <c r="G219" s="457">
        <v>0</v>
      </c>
      <c r="H219" s="457">
        <v>0</v>
      </c>
      <c r="I219" s="457">
        <v>0</v>
      </c>
      <c r="J219" s="457">
        <v>0</v>
      </c>
      <c r="K219" s="457">
        <v>0</v>
      </c>
      <c r="L219" s="457">
        <v>0</v>
      </c>
      <c r="M219" s="457">
        <v>0</v>
      </c>
      <c r="N219" s="457">
        <v>0</v>
      </c>
      <c r="O219" s="457">
        <v>0</v>
      </c>
      <c r="P219" s="457">
        <v>0</v>
      </c>
      <c r="Q219" s="457">
        <v>0</v>
      </c>
      <c r="R219" s="457">
        <v>0</v>
      </c>
      <c r="S219" s="457">
        <v>0</v>
      </c>
      <c r="T219" s="410" t="e">
        <v>#DIV/0!</v>
      </c>
      <c r="U219" s="285">
        <v>0</v>
      </c>
      <c r="V219" s="285">
        <v>0</v>
      </c>
      <c r="W219" s="285">
        <v>0</v>
      </c>
      <c r="X219" s="285">
        <v>0</v>
      </c>
      <c r="Y219" s="285">
        <v>0</v>
      </c>
      <c r="Z219" s="285">
        <v>0</v>
      </c>
    </row>
    <row r="220" spans="1:26" x14ac:dyDescent="0.2">
      <c r="A220" s="404" t="s">
        <v>446</v>
      </c>
      <c r="B220" s="247">
        <v>0</v>
      </c>
      <c r="C220" s="247">
        <v>0</v>
      </c>
      <c r="D220" s="247">
        <v>0</v>
      </c>
      <c r="E220" s="247">
        <v>0</v>
      </c>
      <c r="F220" s="247">
        <v>0</v>
      </c>
      <c r="G220" s="247">
        <v>0</v>
      </c>
      <c r="H220" s="247">
        <v>0</v>
      </c>
      <c r="I220" s="247">
        <v>0</v>
      </c>
      <c r="J220" s="247">
        <v>0</v>
      </c>
      <c r="K220" s="247">
        <v>0</v>
      </c>
      <c r="L220" s="247">
        <v>0</v>
      </c>
      <c r="M220" s="247">
        <v>0</v>
      </c>
      <c r="N220" s="247">
        <v>0</v>
      </c>
      <c r="O220" s="247">
        <v>0</v>
      </c>
      <c r="P220" s="247">
        <v>0</v>
      </c>
      <c r="Q220" s="247">
        <v>0</v>
      </c>
      <c r="R220" s="247">
        <v>0</v>
      </c>
      <c r="S220" s="247">
        <v>0</v>
      </c>
      <c r="T220" s="407" t="e">
        <v>#DIV/0!</v>
      </c>
      <c r="U220" s="406">
        <v>0</v>
      </c>
      <c r="V220" s="406">
        <v>0</v>
      </c>
      <c r="W220" s="406">
        <v>0</v>
      </c>
      <c r="X220" s="406">
        <v>0</v>
      </c>
      <c r="Y220" s="406">
        <v>0</v>
      </c>
      <c r="Z220" s="406">
        <v>0</v>
      </c>
    </row>
    <row r="221" spans="1:26" x14ac:dyDescent="0.2">
      <c r="A221" s="404" t="s">
        <v>447</v>
      </c>
      <c r="B221" s="247">
        <v>0</v>
      </c>
      <c r="C221" s="247">
        <v>0</v>
      </c>
      <c r="D221" s="247">
        <v>0</v>
      </c>
      <c r="E221" s="247">
        <v>0</v>
      </c>
      <c r="F221" s="247">
        <v>0</v>
      </c>
      <c r="G221" s="247">
        <v>0</v>
      </c>
      <c r="H221" s="247">
        <v>0</v>
      </c>
      <c r="I221" s="247">
        <v>0</v>
      </c>
      <c r="J221" s="247">
        <v>0</v>
      </c>
      <c r="K221" s="247">
        <v>0</v>
      </c>
      <c r="L221" s="247">
        <v>0</v>
      </c>
      <c r="M221" s="247">
        <v>0</v>
      </c>
      <c r="N221" s="247">
        <v>0</v>
      </c>
      <c r="O221" s="247">
        <v>0</v>
      </c>
      <c r="P221" s="247">
        <v>0</v>
      </c>
      <c r="Q221" s="247">
        <v>0</v>
      </c>
      <c r="R221" s="247">
        <v>0</v>
      </c>
      <c r="S221" s="247">
        <v>0</v>
      </c>
      <c r="T221" s="407" t="e">
        <v>#DIV/0!</v>
      </c>
      <c r="U221" s="406">
        <v>0</v>
      </c>
      <c r="V221" s="406">
        <v>0</v>
      </c>
      <c r="W221" s="406">
        <v>0</v>
      </c>
      <c r="X221" s="406">
        <v>0</v>
      </c>
      <c r="Y221" s="406">
        <v>0</v>
      </c>
      <c r="Z221" s="406">
        <v>0</v>
      </c>
    </row>
    <row r="222" spans="1:26" x14ac:dyDescent="0.2">
      <c r="A222" s="404" t="s">
        <v>448</v>
      </c>
      <c r="B222" s="247">
        <v>0</v>
      </c>
      <c r="C222" s="247">
        <v>0</v>
      </c>
      <c r="D222" s="247">
        <v>0</v>
      </c>
      <c r="E222" s="247">
        <v>0</v>
      </c>
      <c r="F222" s="247">
        <v>0</v>
      </c>
      <c r="G222" s="247">
        <v>0</v>
      </c>
      <c r="H222" s="247">
        <v>0</v>
      </c>
      <c r="I222" s="247">
        <v>0</v>
      </c>
      <c r="J222" s="247">
        <v>0</v>
      </c>
      <c r="K222" s="247">
        <v>0</v>
      </c>
      <c r="L222" s="247">
        <v>0</v>
      </c>
      <c r="M222" s="247">
        <v>0</v>
      </c>
      <c r="N222" s="247">
        <v>0</v>
      </c>
      <c r="O222" s="247">
        <v>0</v>
      </c>
      <c r="P222" s="247">
        <v>0</v>
      </c>
      <c r="Q222" s="247">
        <v>0</v>
      </c>
      <c r="R222" s="247">
        <v>0</v>
      </c>
      <c r="S222" s="247">
        <v>0</v>
      </c>
      <c r="T222" s="407" t="e">
        <v>#DIV/0!</v>
      </c>
      <c r="U222" s="406">
        <v>0</v>
      </c>
      <c r="V222" s="406">
        <v>0</v>
      </c>
      <c r="W222" s="406">
        <v>0</v>
      </c>
      <c r="X222" s="406">
        <v>0</v>
      </c>
      <c r="Y222" s="406">
        <v>0</v>
      </c>
      <c r="Z222" s="406">
        <v>0</v>
      </c>
    </row>
    <row r="223" spans="1:26" x14ac:dyDescent="0.2">
      <c r="A223" s="404" t="s">
        <v>449</v>
      </c>
      <c r="B223" s="247">
        <v>40000</v>
      </c>
      <c r="C223" s="247">
        <v>40000</v>
      </c>
      <c r="D223" s="247">
        <v>40000</v>
      </c>
      <c r="E223" s="247">
        <v>38380</v>
      </c>
      <c r="F223" s="247">
        <v>38380</v>
      </c>
      <c r="G223" s="247">
        <v>0</v>
      </c>
      <c r="H223" s="247">
        <v>0</v>
      </c>
      <c r="I223" s="247">
        <v>0</v>
      </c>
      <c r="J223" s="247">
        <v>0</v>
      </c>
      <c r="K223" s="247">
        <v>19990</v>
      </c>
      <c r="L223" s="247">
        <v>0</v>
      </c>
      <c r="M223" s="247">
        <v>0</v>
      </c>
      <c r="N223" s="247">
        <v>0</v>
      </c>
      <c r="O223" s="247">
        <v>18390</v>
      </c>
      <c r="P223" s="247">
        <v>0</v>
      </c>
      <c r="Q223" s="247">
        <v>0</v>
      </c>
      <c r="R223" s="247">
        <v>0</v>
      </c>
      <c r="S223" s="247">
        <v>38380</v>
      </c>
      <c r="T223" s="407">
        <v>0.95950000000000002</v>
      </c>
      <c r="U223" s="406">
        <v>1620</v>
      </c>
      <c r="V223" s="406">
        <v>0</v>
      </c>
      <c r="W223" s="406">
        <v>1620</v>
      </c>
      <c r="X223" s="406">
        <v>1620</v>
      </c>
      <c r="Y223" s="406">
        <v>0</v>
      </c>
      <c r="Z223" s="406">
        <v>0</v>
      </c>
    </row>
    <row r="224" spans="1:26" x14ac:dyDescent="0.2">
      <c r="A224" s="404" t="s">
        <v>450</v>
      </c>
      <c r="B224" s="448">
        <v>40000</v>
      </c>
      <c r="C224" s="448">
        <v>40000</v>
      </c>
      <c r="D224" s="448">
        <v>40000</v>
      </c>
      <c r="E224" s="448">
        <v>37460.19</v>
      </c>
      <c r="F224" s="448">
        <v>37460.19</v>
      </c>
      <c r="G224" s="448">
        <v>0</v>
      </c>
      <c r="H224" s="448">
        <v>0</v>
      </c>
      <c r="I224" s="448">
        <v>0</v>
      </c>
      <c r="J224" s="448">
        <v>36441.32</v>
      </c>
      <c r="K224" s="448">
        <v>1018.87</v>
      </c>
      <c r="L224" s="448">
        <v>0</v>
      </c>
      <c r="M224" s="448">
        <v>0</v>
      </c>
      <c r="N224" s="448">
        <v>0</v>
      </c>
      <c r="O224" s="448">
        <v>0</v>
      </c>
      <c r="P224" s="448">
        <v>0</v>
      </c>
      <c r="Q224" s="448">
        <v>0</v>
      </c>
      <c r="R224" s="448">
        <v>0</v>
      </c>
      <c r="S224" s="448">
        <v>37460.19</v>
      </c>
      <c r="T224" s="407">
        <v>0.93650475000000011</v>
      </c>
      <c r="U224" s="406">
        <v>2539.8099999999977</v>
      </c>
      <c r="V224" s="406">
        <v>0</v>
      </c>
      <c r="W224" s="406">
        <v>2539.8099999999977</v>
      </c>
      <c r="X224" s="406">
        <v>2539.8099999999977</v>
      </c>
      <c r="Y224" s="406">
        <v>0</v>
      </c>
      <c r="Z224" s="406">
        <v>0</v>
      </c>
    </row>
    <row r="225" spans="1:26" x14ac:dyDescent="0.2">
      <c r="A225" s="409" t="s">
        <v>451</v>
      </c>
      <c r="B225" s="457">
        <v>2250</v>
      </c>
      <c r="C225" s="457">
        <v>2250</v>
      </c>
      <c r="D225" s="457">
        <v>2250</v>
      </c>
      <c r="E225" s="457">
        <v>2100</v>
      </c>
      <c r="F225" s="457">
        <v>2100</v>
      </c>
      <c r="G225" s="457">
        <v>0</v>
      </c>
      <c r="H225" s="457">
        <v>0</v>
      </c>
      <c r="I225" s="457">
        <v>0</v>
      </c>
      <c r="J225" s="457">
        <v>2100</v>
      </c>
      <c r="K225" s="457">
        <v>0</v>
      </c>
      <c r="L225" s="457">
        <v>0</v>
      </c>
      <c r="M225" s="457">
        <v>0</v>
      </c>
      <c r="N225" s="457">
        <v>0</v>
      </c>
      <c r="O225" s="457">
        <v>0</v>
      </c>
      <c r="P225" s="457">
        <v>0</v>
      </c>
      <c r="Q225" s="457">
        <v>0</v>
      </c>
      <c r="R225" s="457">
        <v>0</v>
      </c>
      <c r="S225" s="457">
        <v>2100</v>
      </c>
      <c r="T225" s="410">
        <v>0.93333333333333335</v>
      </c>
      <c r="U225" s="285">
        <v>150</v>
      </c>
      <c r="V225" s="285">
        <v>0</v>
      </c>
      <c r="W225" s="285">
        <v>150</v>
      </c>
      <c r="X225" s="285">
        <v>150</v>
      </c>
      <c r="Y225" s="285">
        <v>0</v>
      </c>
      <c r="Z225" s="285">
        <v>0</v>
      </c>
    </row>
    <row r="226" spans="1:26" x14ac:dyDescent="0.2">
      <c r="A226" s="409" t="s">
        <v>452</v>
      </c>
      <c r="B226" s="457">
        <v>37450</v>
      </c>
      <c r="C226" s="457">
        <v>37450</v>
      </c>
      <c r="D226" s="457">
        <v>37450</v>
      </c>
      <c r="E226" s="457">
        <v>35360.19</v>
      </c>
      <c r="F226" s="457">
        <v>35360.19</v>
      </c>
      <c r="G226" s="457">
        <v>0</v>
      </c>
      <c r="H226" s="457">
        <v>0</v>
      </c>
      <c r="I226" s="457">
        <v>0</v>
      </c>
      <c r="J226" s="457">
        <v>34341.32</v>
      </c>
      <c r="K226" s="457">
        <v>1018.87</v>
      </c>
      <c r="L226" s="457">
        <v>0</v>
      </c>
      <c r="M226" s="457">
        <v>0</v>
      </c>
      <c r="N226" s="457">
        <v>0</v>
      </c>
      <c r="O226" s="457">
        <v>0</v>
      </c>
      <c r="P226" s="457">
        <v>0</v>
      </c>
      <c r="Q226" s="457">
        <v>0</v>
      </c>
      <c r="R226" s="457">
        <v>0</v>
      </c>
      <c r="S226" s="457">
        <v>35360.19</v>
      </c>
      <c r="T226" s="410">
        <v>0.94419732977303072</v>
      </c>
      <c r="U226" s="285">
        <v>2089.8099999999977</v>
      </c>
      <c r="V226" s="285">
        <v>0</v>
      </c>
      <c r="W226" s="285">
        <v>2089.8099999999977</v>
      </c>
      <c r="X226" s="285">
        <v>2089.8099999999977</v>
      </c>
      <c r="Y226" s="285">
        <v>0</v>
      </c>
      <c r="Z226" s="285">
        <v>0</v>
      </c>
    </row>
    <row r="227" spans="1:26" x14ac:dyDescent="0.2">
      <c r="A227" s="409" t="s">
        <v>453</v>
      </c>
      <c r="B227" s="457">
        <v>0</v>
      </c>
      <c r="C227" s="457">
        <v>0</v>
      </c>
      <c r="D227" s="457">
        <v>0</v>
      </c>
      <c r="E227" s="457">
        <v>0</v>
      </c>
      <c r="F227" s="457">
        <v>0</v>
      </c>
      <c r="G227" s="457">
        <v>0</v>
      </c>
      <c r="H227" s="457">
        <v>0</v>
      </c>
      <c r="I227" s="457">
        <v>0</v>
      </c>
      <c r="J227" s="457">
        <v>0</v>
      </c>
      <c r="K227" s="457">
        <v>0</v>
      </c>
      <c r="L227" s="457">
        <v>0</v>
      </c>
      <c r="M227" s="457">
        <v>0</v>
      </c>
      <c r="N227" s="457">
        <v>0</v>
      </c>
      <c r="O227" s="457">
        <v>0</v>
      </c>
      <c r="P227" s="457">
        <v>0</v>
      </c>
      <c r="Q227" s="457">
        <v>0</v>
      </c>
      <c r="R227" s="457">
        <v>0</v>
      </c>
      <c r="S227" s="457">
        <v>0</v>
      </c>
      <c r="T227" s="410" t="e">
        <v>#DIV/0!</v>
      </c>
      <c r="U227" s="285">
        <v>0</v>
      </c>
      <c r="V227" s="285">
        <v>0</v>
      </c>
      <c r="W227" s="285">
        <v>0</v>
      </c>
      <c r="X227" s="285">
        <v>0</v>
      </c>
      <c r="Y227" s="285">
        <v>0</v>
      </c>
      <c r="Z227" s="285">
        <v>0</v>
      </c>
    </row>
    <row r="228" spans="1:26" x14ac:dyDescent="0.2">
      <c r="A228" s="409" t="s">
        <v>454</v>
      </c>
      <c r="B228" s="457">
        <v>0</v>
      </c>
      <c r="C228" s="457">
        <v>0</v>
      </c>
      <c r="D228" s="457">
        <v>0</v>
      </c>
      <c r="E228" s="457">
        <v>0</v>
      </c>
      <c r="F228" s="457">
        <v>0</v>
      </c>
      <c r="G228" s="457">
        <v>0</v>
      </c>
      <c r="H228" s="457">
        <v>0</v>
      </c>
      <c r="I228" s="457">
        <v>0</v>
      </c>
      <c r="J228" s="457">
        <v>0</v>
      </c>
      <c r="K228" s="457">
        <v>0</v>
      </c>
      <c r="L228" s="457">
        <v>0</v>
      </c>
      <c r="M228" s="457">
        <v>0</v>
      </c>
      <c r="N228" s="457">
        <v>0</v>
      </c>
      <c r="O228" s="457">
        <v>0</v>
      </c>
      <c r="P228" s="457">
        <v>0</v>
      </c>
      <c r="Q228" s="457">
        <v>0</v>
      </c>
      <c r="R228" s="457">
        <v>0</v>
      </c>
      <c r="S228" s="457">
        <v>0</v>
      </c>
      <c r="T228" s="410" t="e">
        <v>#DIV/0!</v>
      </c>
      <c r="U228" s="285">
        <v>0</v>
      </c>
      <c r="V228" s="285">
        <v>0</v>
      </c>
      <c r="W228" s="285">
        <v>0</v>
      </c>
      <c r="X228" s="285">
        <v>0</v>
      </c>
      <c r="Y228" s="285">
        <v>0</v>
      </c>
      <c r="Z228" s="285">
        <v>0</v>
      </c>
    </row>
    <row r="229" spans="1:26" x14ac:dyDescent="0.2">
      <c r="A229" s="409" t="s">
        <v>455</v>
      </c>
      <c r="B229" s="457">
        <v>300</v>
      </c>
      <c r="C229" s="457">
        <v>300</v>
      </c>
      <c r="D229" s="457">
        <v>300</v>
      </c>
      <c r="E229" s="457">
        <v>0</v>
      </c>
      <c r="F229" s="457">
        <v>0</v>
      </c>
      <c r="G229" s="457">
        <v>0</v>
      </c>
      <c r="H229" s="457">
        <v>0</v>
      </c>
      <c r="I229" s="457">
        <v>0</v>
      </c>
      <c r="J229" s="457">
        <v>0</v>
      </c>
      <c r="K229" s="457">
        <v>0</v>
      </c>
      <c r="L229" s="457">
        <v>0</v>
      </c>
      <c r="M229" s="457">
        <v>0</v>
      </c>
      <c r="N229" s="457">
        <v>0</v>
      </c>
      <c r="O229" s="457">
        <v>0</v>
      </c>
      <c r="P229" s="457">
        <v>0</v>
      </c>
      <c r="Q229" s="457">
        <v>0</v>
      </c>
      <c r="R229" s="457">
        <v>0</v>
      </c>
      <c r="S229" s="457">
        <v>0</v>
      </c>
      <c r="T229" s="410">
        <v>0</v>
      </c>
      <c r="U229" s="285">
        <v>300</v>
      </c>
      <c r="V229" s="285">
        <v>0</v>
      </c>
      <c r="W229" s="285">
        <v>300</v>
      </c>
      <c r="X229" s="285">
        <v>300</v>
      </c>
      <c r="Y229" s="285">
        <v>0</v>
      </c>
      <c r="Z229" s="285">
        <v>0</v>
      </c>
    </row>
    <row r="230" spans="1:26" x14ac:dyDescent="0.2">
      <c r="A230" s="404" t="s">
        <v>456</v>
      </c>
      <c r="B230" s="448">
        <v>3000</v>
      </c>
      <c r="C230" s="448">
        <v>3000</v>
      </c>
      <c r="D230" s="448">
        <v>3000</v>
      </c>
      <c r="E230" s="448">
        <v>3000</v>
      </c>
      <c r="F230" s="448">
        <v>495</v>
      </c>
      <c r="G230" s="448">
        <v>0</v>
      </c>
      <c r="H230" s="448">
        <v>0</v>
      </c>
      <c r="I230" s="448">
        <v>0</v>
      </c>
      <c r="J230" s="448">
        <v>0</v>
      </c>
      <c r="K230" s="448">
        <v>0</v>
      </c>
      <c r="L230" s="448">
        <v>0</v>
      </c>
      <c r="M230" s="448">
        <v>0</v>
      </c>
      <c r="N230" s="448">
        <v>495</v>
      </c>
      <c r="O230" s="448">
        <v>0</v>
      </c>
      <c r="P230" s="448">
        <v>0</v>
      </c>
      <c r="Q230" s="448">
        <v>0</v>
      </c>
      <c r="R230" s="448">
        <v>0</v>
      </c>
      <c r="S230" s="448">
        <v>495</v>
      </c>
      <c r="T230" s="407">
        <v>0.16500000000000001</v>
      </c>
      <c r="U230" s="406">
        <v>2505</v>
      </c>
      <c r="V230" s="406">
        <v>0</v>
      </c>
      <c r="W230" s="406">
        <v>0</v>
      </c>
      <c r="X230" s="406">
        <v>0</v>
      </c>
      <c r="Y230" s="406">
        <v>2505</v>
      </c>
      <c r="Z230" s="406">
        <v>0</v>
      </c>
    </row>
    <row r="231" spans="1:26" x14ac:dyDescent="0.2">
      <c r="A231" s="409" t="s">
        <v>457</v>
      </c>
      <c r="B231" s="457">
        <v>0</v>
      </c>
      <c r="C231" s="457">
        <v>0</v>
      </c>
      <c r="D231" s="457">
        <v>0</v>
      </c>
      <c r="E231" s="457">
        <v>0</v>
      </c>
      <c r="F231" s="457">
        <v>0</v>
      </c>
      <c r="G231" s="457">
        <v>0</v>
      </c>
      <c r="H231" s="457">
        <v>0</v>
      </c>
      <c r="I231" s="457">
        <v>0</v>
      </c>
      <c r="J231" s="457">
        <v>0</v>
      </c>
      <c r="K231" s="457">
        <v>0</v>
      </c>
      <c r="L231" s="457">
        <v>0</v>
      </c>
      <c r="M231" s="457">
        <v>0</v>
      </c>
      <c r="N231" s="457">
        <v>0</v>
      </c>
      <c r="O231" s="457">
        <v>0</v>
      </c>
      <c r="P231" s="457">
        <v>0</v>
      </c>
      <c r="Q231" s="457">
        <v>0</v>
      </c>
      <c r="R231" s="457">
        <v>0</v>
      </c>
      <c r="S231" s="457">
        <v>0</v>
      </c>
      <c r="T231" s="410" t="e">
        <v>#DIV/0!</v>
      </c>
      <c r="U231" s="285">
        <v>0</v>
      </c>
      <c r="V231" s="285">
        <v>0</v>
      </c>
      <c r="W231" s="285">
        <v>0</v>
      </c>
      <c r="X231" s="285">
        <v>0</v>
      </c>
      <c r="Y231" s="285">
        <v>0</v>
      </c>
      <c r="Z231" s="285">
        <v>0</v>
      </c>
    </row>
    <row r="232" spans="1:26" x14ac:dyDescent="0.2">
      <c r="A232" s="409" t="s">
        <v>458</v>
      </c>
      <c r="B232" s="457">
        <v>3000</v>
      </c>
      <c r="C232" s="457">
        <v>3000</v>
      </c>
      <c r="D232" s="457">
        <v>3000</v>
      </c>
      <c r="E232" s="457">
        <v>3000</v>
      </c>
      <c r="F232" s="457">
        <v>495</v>
      </c>
      <c r="G232" s="457">
        <v>0</v>
      </c>
      <c r="H232" s="457">
        <v>0</v>
      </c>
      <c r="I232" s="457">
        <v>0</v>
      </c>
      <c r="J232" s="457">
        <v>0</v>
      </c>
      <c r="K232" s="457">
        <v>0</v>
      </c>
      <c r="L232" s="457">
        <v>0</v>
      </c>
      <c r="M232" s="457">
        <v>0</v>
      </c>
      <c r="N232" s="457">
        <v>495</v>
      </c>
      <c r="O232" s="457">
        <v>0</v>
      </c>
      <c r="P232" s="457">
        <v>0</v>
      </c>
      <c r="Q232" s="457">
        <v>0</v>
      </c>
      <c r="R232" s="457">
        <v>0</v>
      </c>
      <c r="S232" s="457">
        <v>495</v>
      </c>
      <c r="T232" s="410">
        <v>0.16500000000000001</v>
      </c>
      <c r="U232" s="285">
        <v>2505</v>
      </c>
      <c r="V232" s="285">
        <v>0</v>
      </c>
      <c r="W232" s="285">
        <v>0</v>
      </c>
      <c r="X232" s="285">
        <v>0</v>
      </c>
      <c r="Y232" s="285">
        <v>2505</v>
      </c>
      <c r="Z232" s="285">
        <v>0</v>
      </c>
    </row>
    <row r="233" spans="1:26" x14ac:dyDescent="0.2">
      <c r="A233" s="409" t="s">
        <v>459</v>
      </c>
      <c r="B233" s="457">
        <v>0</v>
      </c>
      <c r="C233" s="457">
        <v>0</v>
      </c>
      <c r="D233" s="457">
        <v>0</v>
      </c>
      <c r="E233" s="457">
        <v>0</v>
      </c>
      <c r="F233" s="457">
        <v>0</v>
      </c>
      <c r="G233" s="457">
        <v>0</v>
      </c>
      <c r="H233" s="457">
        <v>0</v>
      </c>
      <c r="I233" s="457">
        <v>0</v>
      </c>
      <c r="J233" s="457">
        <v>0</v>
      </c>
      <c r="K233" s="457">
        <v>0</v>
      </c>
      <c r="L233" s="457">
        <v>0</v>
      </c>
      <c r="M233" s="457">
        <v>0</v>
      </c>
      <c r="N233" s="457">
        <v>0</v>
      </c>
      <c r="O233" s="457">
        <v>0</v>
      </c>
      <c r="P233" s="457">
        <v>0</v>
      </c>
      <c r="Q233" s="457">
        <v>0</v>
      </c>
      <c r="R233" s="457">
        <v>0</v>
      </c>
      <c r="S233" s="457">
        <v>0</v>
      </c>
      <c r="T233" s="410" t="e">
        <v>#DIV/0!</v>
      </c>
      <c r="U233" s="285">
        <v>0</v>
      </c>
      <c r="V233" s="285">
        <v>0</v>
      </c>
      <c r="W233" s="285">
        <v>0</v>
      </c>
      <c r="X233" s="285">
        <v>0</v>
      </c>
      <c r="Y233" s="285">
        <v>0</v>
      </c>
      <c r="Z233" s="285">
        <v>0</v>
      </c>
    </row>
    <row r="234" spans="1:26" x14ac:dyDescent="0.2">
      <c r="A234" s="409" t="s">
        <v>460</v>
      </c>
      <c r="B234" s="457">
        <v>0</v>
      </c>
      <c r="C234" s="457">
        <v>0</v>
      </c>
      <c r="D234" s="457">
        <v>0</v>
      </c>
      <c r="E234" s="457">
        <v>0</v>
      </c>
      <c r="F234" s="457">
        <v>0</v>
      </c>
      <c r="G234" s="457">
        <v>0</v>
      </c>
      <c r="H234" s="457">
        <v>0</v>
      </c>
      <c r="I234" s="457">
        <v>0</v>
      </c>
      <c r="J234" s="457">
        <v>0</v>
      </c>
      <c r="K234" s="457">
        <v>0</v>
      </c>
      <c r="L234" s="457">
        <v>0</v>
      </c>
      <c r="M234" s="457">
        <v>0</v>
      </c>
      <c r="N234" s="457">
        <v>0</v>
      </c>
      <c r="O234" s="457">
        <v>0</v>
      </c>
      <c r="P234" s="457">
        <v>0</v>
      </c>
      <c r="Q234" s="457">
        <v>0</v>
      </c>
      <c r="R234" s="457">
        <v>0</v>
      </c>
      <c r="S234" s="457">
        <v>0</v>
      </c>
      <c r="T234" s="410" t="e">
        <v>#DIV/0!</v>
      </c>
      <c r="U234" s="285">
        <v>0</v>
      </c>
      <c r="V234" s="285">
        <v>0</v>
      </c>
      <c r="W234" s="285">
        <v>0</v>
      </c>
      <c r="X234" s="285">
        <v>0</v>
      </c>
      <c r="Y234" s="285">
        <v>0</v>
      </c>
      <c r="Z234" s="285">
        <v>0</v>
      </c>
    </row>
    <row r="235" spans="1:26" x14ac:dyDescent="0.2">
      <c r="A235" s="409" t="s">
        <v>461</v>
      </c>
      <c r="B235" s="457">
        <v>0</v>
      </c>
      <c r="C235" s="457">
        <v>0</v>
      </c>
      <c r="D235" s="457">
        <v>0</v>
      </c>
      <c r="E235" s="457">
        <v>0</v>
      </c>
      <c r="F235" s="457">
        <v>0</v>
      </c>
      <c r="G235" s="457">
        <v>0</v>
      </c>
      <c r="H235" s="457">
        <v>0</v>
      </c>
      <c r="I235" s="457">
        <v>0</v>
      </c>
      <c r="J235" s="457">
        <v>0</v>
      </c>
      <c r="K235" s="457">
        <v>0</v>
      </c>
      <c r="L235" s="457">
        <v>0</v>
      </c>
      <c r="M235" s="457">
        <v>0</v>
      </c>
      <c r="N235" s="457">
        <v>0</v>
      </c>
      <c r="O235" s="457">
        <v>0</v>
      </c>
      <c r="P235" s="457">
        <v>0</v>
      </c>
      <c r="Q235" s="457">
        <v>0</v>
      </c>
      <c r="R235" s="457">
        <v>0</v>
      </c>
      <c r="S235" s="457">
        <v>0</v>
      </c>
      <c r="T235" s="410" t="e">
        <v>#DIV/0!</v>
      </c>
      <c r="U235" s="285">
        <v>0</v>
      </c>
      <c r="V235" s="285">
        <v>0</v>
      </c>
      <c r="W235" s="285">
        <v>0</v>
      </c>
      <c r="X235" s="285">
        <v>0</v>
      </c>
      <c r="Y235" s="285">
        <v>0</v>
      </c>
      <c r="Z235" s="285">
        <v>0</v>
      </c>
    </row>
    <row r="236" spans="1:26" x14ac:dyDescent="0.2">
      <c r="A236" s="409" t="s">
        <v>462</v>
      </c>
      <c r="B236" s="457">
        <v>0</v>
      </c>
      <c r="C236" s="457">
        <v>0</v>
      </c>
      <c r="D236" s="457">
        <v>0</v>
      </c>
      <c r="E236" s="457">
        <v>0</v>
      </c>
      <c r="F236" s="457">
        <v>0</v>
      </c>
      <c r="G236" s="457">
        <v>0</v>
      </c>
      <c r="H236" s="457">
        <v>0</v>
      </c>
      <c r="I236" s="457">
        <v>0</v>
      </c>
      <c r="J236" s="457">
        <v>0</v>
      </c>
      <c r="K236" s="457">
        <v>0</v>
      </c>
      <c r="L236" s="457">
        <v>0</v>
      </c>
      <c r="M236" s="457">
        <v>0</v>
      </c>
      <c r="N236" s="457">
        <v>0</v>
      </c>
      <c r="O236" s="457">
        <v>0</v>
      </c>
      <c r="P236" s="457">
        <v>0</v>
      </c>
      <c r="Q236" s="457">
        <v>0</v>
      </c>
      <c r="R236" s="457">
        <v>0</v>
      </c>
      <c r="S236" s="457">
        <v>0</v>
      </c>
      <c r="T236" s="410" t="e">
        <v>#DIV/0!</v>
      </c>
      <c r="U236" s="285">
        <v>0</v>
      </c>
      <c r="V236" s="285">
        <v>0</v>
      </c>
      <c r="W236" s="285">
        <v>0</v>
      </c>
      <c r="X236" s="285">
        <v>0</v>
      </c>
      <c r="Y236" s="285">
        <v>0</v>
      </c>
      <c r="Z236" s="285">
        <v>0</v>
      </c>
    </row>
    <row r="237" spans="1:26" x14ac:dyDescent="0.2">
      <c r="A237" s="404" t="s">
        <v>463</v>
      </c>
      <c r="B237" s="448">
        <v>0</v>
      </c>
      <c r="C237" s="448">
        <v>0</v>
      </c>
      <c r="D237" s="448">
        <v>0</v>
      </c>
      <c r="E237" s="448">
        <v>0</v>
      </c>
      <c r="F237" s="448">
        <v>0</v>
      </c>
      <c r="G237" s="448">
        <v>0</v>
      </c>
      <c r="H237" s="448">
        <v>0</v>
      </c>
      <c r="I237" s="448">
        <v>0</v>
      </c>
      <c r="J237" s="448">
        <v>0</v>
      </c>
      <c r="K237" s="448">
        <v>0</v>
      </c>
      <c r="L237" s="448">
        <v>0</v>
      </c>
      <c r="M237" s="448">
        <v>0</v>
      </c>
      <c r="N237" s="448">
        <v>0</v>
      </c>
      <c r="O237" s="448">
        <v>0</v>
      </c>
      <c r="P237" s="448">
        <v>0</v>
      </c>
      <c r="Q237" s="448">
        <v>0</v>
      </c>
      <c r="R237" s="448">
        <v>0</v>
      </c>
      <c r="S237" s="448">
        <v>0</v>
      </c>
      <c r="T237" s="407" t="e">
        <v>#DIV/0!</v>
      </c>
      <c r="U237" s="406">
        <v>0</v>
      </c>
      <c r="V237" s="406">
        <v>0</v>
      </c>
      <c r="W237" s="406">
        <v>0</v>
      </c>
      <c r="X237" s="406">
        <v>0</v>
      </c>
      <c r="Y237" s="406">
        <v>0</v>
      </c>
      <c r="Z237" s="406">
        <v>0</v>
      </c>
    </row>
    <row r="238" spans="1:26" x14ac:dyDescent="0.2">
      <c r="A238" s="409" t="s">
        <v>464</v>
      </c>
      <c r="B238" s="457">
        <v>0</v>
      </c>
      <c r="C238" s="457">
        <v>0</v>
      </c>
      <c r="D238" s="457">
        <v>0</v>
      </c>
      <c r="E238" s="457">
        <v>0</v>
      </c>
      <c r="F238" s="457">
        <v>0</v>
      </c>
      <c r="G238" s="457">
        <v>0</v>
      </c>
      <c r="H238" s="457">
        <v>0</v>
      </c>
      <c r="I238" s="457">
        <v>0</v>
      </c>
      <c r="J238" s="457">
        <v>0</v>
      </c>
      <c r="K238" s="457">
        <v>0</v>
      </c>
      <c r="L238" s="457">
        <v>0</v>
      </c>
      <c r="M238" s="457">
        <v>0</v>
      </c>
      <c r="N238" s="457">
        <v>0</v>
      </c>
      <c r="O238" s="457">
        <v>0</v>
      </c>
      <c r="P238" s="457">
        <v>0</v>
      </c>
      <c r="Q238" s="457">
        <v>0</v>
      </c>
      <c r="R238" s="457">
        <v>0</v>
      </c>
      <c r="S238" s="457">
        <v>0</v>
      </c>
      <c r="T238" s="410" t="e">
        <v>#DIV/0!</v>
      </c>
      <c r="U238" s="285">
        <v>0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</row>
    <row r="239" spans="1:26" x14ac:dyDescent="0.2">
      <c r="A239" s="409" t="s">
        <v>465</v>
      </c>
      <c r="B239" s="457">
        <v>0</v>
      </c>
      <c r="C239" s="457">
        <v>0</v>
      </c>
      <c r="D239" s="457">
        <v>0</v>
      </c>
      <c r="E239" s="457">
        <v>0</v>
      </c>
      <c r="F239" s="457">
        <v>0</v>
      </c>
      <c r="G239" s="457">
        <v>0</v>
      </c>
      <c r="H239" s="457">
        <v>0</v>
      </c>
      <c r="I239" s="457">
        <v>0</v>
      </c>
      <c r="J239" s="457">
        <v>0</v>
      </c>
      <c r="K239" s="457">
        <v>0</v>
      </c>
      <c r="L239" s="457">
        <v>0</v>
      </c>
      <c r="M239" s="457">
        <v>0</v>
      </c>
      <c r="N239" s="457">
        <v>0</v>
      </c>
      <c r="O239" s="457">
        <v>0</v>
      </c>
      <c r="P239" s="457">
        <v>0</v>
      </c>
      <c r="Q239" s="457">
        <v>0</v>
      </c>
      <c r="R239" s="457">
        <v>0</v>
      </c>
      <c r="S239" s="457">
        <v>0</v>
      </c>
      <c r="T239" s="410" t="e">
        <v>#DIV/0!</v>
      </c>
      <c r="U239" s="285">
        <v>0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</row>
    <row r="240" spans="1:26" x14ac:dyDescent="0.2">
      <c r="A240" s="404" t="s">
        <v>466</v>
      </c>
      <c r="B240" s="247">
        <v>0</v>
      </c>
      <c r="C240" s="247">
        <v>0</v>
      </c>
      <c r="D240" s="247">
        <v>0</v>
      </c>
      <c r="E240" s="247">
        <v>0</v>
      </c>
      <c r="F240" s="247">
        <v>0</v>
      </c>
      <c r="G240" s="247">
        <v>0</v>
      </c>
      <c r="H240" s="247">
        <v>0</v>
      </c>
      <c r="I240" s="247">
        <v>0</v>
      </c>
      <c r="J240" s="247">
        <v>0</v>
      </c>
      <c r="K240" s="247">
        <v>0</v>
      </c>
      <c r="L240" s="247">
        <v>0</v>
      </c>
      <c r="M240" s="247">
        <v>0</v>
      </c>
      <c r="N240" s="247">
        <v>0</v>
      </c>
      <c r="O240" s="247">
        <v>0</v>
      </c>
      <c r="P240" s="247">
        <v>0</v>
      </c>
      <c r="Q240" s="247">
        <v>0</v>
      </c>
      <c r="R240" s="247">
        <v>0</v>
      </c>
      <c r="S240" s="247">
        <v>0</v>
      </c>
      <c r="T240" s="407" t="e">
        <v>#DIV/0!</v>
      </c>
      <c r="U240" s="406">
        <v>0</v>
      </c>
      <c r="V240" s="406">
        <v>0</v>
      </c>
      <c r="W240" s="406">
        <v>0</v>
      </c>
      <c r="X240" s="406">
        <v>0</v>
      </c>
      <c r="Y240" s="406">
        <v>0</v>
      </c>
      <c r="Z240" s="406">
        <v>0</v>
      </c>
    </row>
    <row r="241" spans="1:26" x14ac:dyDescent="0.2">
      <c r="A241" s="404" t="s">
        <v>467</v>
      </c>
      <c r="B241" s="247">
        <v>0</v>
      </c>
      <c r="C241" s="247">
        <v>0</v>
      </c>
      <c r="D241" s="247">
        <v>0</v>
      </c>
      <c r="E241" s="247">
        <v>0</v>
      </c>
      <c r="F241" s="247">
        <v>0</v>
      </c>
      <c r="G241" s="247">
        <v>0</v>
      </c>
      <c r="H241" s="247">
        <v>0</v>
      </c>
      <c r="I241" s="247">
        <v>0</v>
      </c>
      <c r="J241" s="247">
        <v>0</v>
      </c>
      <c r="K241" s="247">
        <v>0</v>
      </c>
      <c r="L241" s="247">
        <v>0</v>
      </c>
      <c r="M241" s="247">
        <v>0</v>
      </c>
      <c r="N241" s="247">
        <v>0</v>
      </c>
      <c r="O241" s="247">
        <v>0</v>
      </c>
      <c r="P241" s="247">
        <v>0</v>
      </c>
      <c r="Q241" s="247">
        <v>0</v>
      </c>
      <c r="R241" s="247">
        <v>0</v>
      </c>
      <c r="S241" s="247">
        <v>0</v>
      </c>
      <c r="T241" s="407" t="e">
        <v>#DIV/0!</v>
      </c>
      <c r="U241" s="406">
        <v>0</v>
      </c>
      <c r="V241" s="406">
        <v>0</v>
      </c>
      <c r="W241" s="406">
        <v>0</v>
      </c>
      <c r="X241" s="406">
        <v>0</v>
      </c>
      <c r="Y241" s="406">
        <v>0</v>
      </c>
      <c r="Z241" s="406">
        <v>0</v>
      </c>
    </row>
    <row r="242" spans="1:26" x14ac:dyDescent="0.2">
      <c r="A242" s="404" t="s">
        <v>468</v>
      </c>
      <c r="B242" s="247">
        <v>30000</v>
      </c>
      <c r="C242" s="247">
        <v>30000</v>
      </c>
      <c r="D242" s="247">
        <v>30000</v>
      </c>
      <c r="E242" s="247">
        <v>14180.25</v>
      </c>
      <c r="F242" s="247">
        <v>2943.8</v>
      </c>
      <c r="G242" s="247">
        <v>0</v>
      </c>
      <c r="H242" s="247">
        <v>0</v>
      </c>
      <c r="I242" s="247">
        <v>0</v>
      </c>
      <c r="J242" s="247">
        <v>733.5</v>
      </c>
      <c r="K242" s="247">
        <v>186.05</v>
      </c>
      <c r="L242" s="247">
        <v>110</v>
      </c>
      <c r="M242" s="247">
        <v>120.25</v>
      </c>
      <c r="N242" s="247">
        <v>0</v>
      </c>
      <c r="O242" s="247">
        <v>1794</v>
      </c>
      <c r="P242" s="247">
        <v>0</v>
      </c>
      <c r="Q242" s="247">
        <v>0</v>
      </c>
      <c r="R242" s="247">
        <v>0</v>
      </c>
      <c r="S242" s="247">
        <v>2943.8</v>
      </c>
      <c r="T242" s="407">
        <v>9.8126666666666668E-2</v>
      </c>
      <c r="U242" s="406">
        <v>27056.2</v>
      </c>
      <c r="V242" s="406">
        <v>0</v>
      </c>
      <c r="W242" s="406">
        <v>15819.75</v>
      </c>
      <c r="X242" s="406">
        <v>15819.75</v>
      </c>
      <c r="Y242" s="406">
        <v>11236.45</v>
      </c>
      <c r="Z242" s="406">
        <v>0</v>
      </c>
    </row>
    <row r="243" spans="1:26" x14ac:dyDescent="0.2">
      <c r="A243" s="404" t="s">
        <v>469</v>
      </c>
      <c r="B243" s="448">
        <v>27000</v>
      </c>
      <c r="C243" s="448">
        <v>27000</v>
      </c>
      <c r="D243" s="448">
        <v>27000</v>
      </c>
      <c r="E243" s="448">
        <v>25106</v>
      </c>
      <c r="F243" s="448">
        <v>18803</v>
      </c>
      <c r="G243" s="448">
        <v>0</v>
      </c>
      <c r="H243" s="448">
        <v>1995</v>
      </c>
      <c r="I243" s="448">
        <v>4202</v>
      </c>
      <c r="J243" s="448">
        <v>2101</v>
      </c>
      <c r="K243" s="448">
        <v>2101</v>
      </c>
      <c r="L243" s="448">
        <v>2101</v>
      </c>
      <c r="M243" s="448">
        <v>2101</v>
      </c>
      <c r="N243" s="448">
        <v>2101</v>
      </c>
      <c r="O243" s="448">
        <v>2101</v>
      </c>
      <c r="P243" s="448">
        <v>0</v>
      </c>
      <c r="Q243" s="448">
        <v>0</v>
      </c>
      <c r="R243" s="448">
        <v>0</v>
      </c>
      <c r="S243" s="448">
        <v>18803</v>
      </c>
      <c r="T243" s="407">
        <v>0.69640740740740736</v>
      </c>
      <c r="U243" s="406">
        <v>8197</v>
      </c>
      <c r="V243" s="406">
        <v>0</v>
      </c>
      <c r="W243" s="406">
        <v>1894</v>
      </c>
      <c r="X243" s="406">
        <v>1894</v>
      </c>
      <c r="Y243" s="406">
        <v>6303</v>
      </c>
      <c r="Z243" s="406">
        <v>0</v>
      </c>
    </row>
    <row r="244" spans="1:26" x14ac:dyDescent="0.2">
      <c r="A244" s="409" t="s">
        <v>470</v>
      </c>
      <c r="B244" s="457">
        <v>27000</v>
      </c>
      <c r="C244" s="457">
        <v>27000</v>
      </c>
      <c r="D244" s="457">
        <v>27000</v>
      </c>
      <c r="E244" s="457">
        <v>25106</v>
      </c>
      <c r="F244" s="457">
        <v>18803</v>
      </c>
      <c r="G244" s="457">
        <v>0</v>
      </c>
      <c r="H244" s="457">
        <v>1995</v>
      </c>
      <c r="I244" s="457">
        <v>4202</v>
      </c>
      <c r="J244" s="457">
        <v>2101</v>
      </c>
      <c r="K244" s="457">
        <v>2101</v>
      </c>
      <c r="L244" s="457">
        <v>2101</v>
      </c>
      <c r="M244" s="457">
        <v>2101</v>
      </c>
      <c r="N244" s="457">
        <v>2101</v>
      </c>
      <c r="O244" s="457">
        <v>2101</v>
      </c>
      <c r="P244" s="457">
        <v>0</v>
      </c>
      <c r="Q244" s="457">
        <v>0</v>
      </c>
      <c r="R244" s="457">
        <v>0</v>
      </c>
      <c r="S244" s="457">
        <v>18803</v>
      </c>
      <c r="T244" s="410">
        <v>0.69640740740740736</v>
      </c>
      <c r="U244" s="285">
        <v>8197</v>
      </c>
      <c r="V244" s="285">
        <v>0</v>
      </c>
      <c r="W244" s="285">
        <v>1894</v>
      </c>
      <c r="X244" s="285">
        <v>1894</v>
      </c>
      <c r="Y244" s="285">
        <v>6303</v>
      </c>
      <c r="Z244" s="285">
        <v>0</v>
      </c>
    </row>
    <row r="245" spans="1:26" x14ac:dyDescent="0.2">
      <c r="A245" s="409" t="s">
        <v>471</v>
      </c>
      <c r="B245" s="457">
        <v>0</v>
      </c>
      <c r="C245" s="457">
        <v>0</v>
      </c>
      <c r="D245" s="457">
        <v>0</v>
      </c>
      <c r="E245" s="457">
        <v>0</v>
      </c>
      <c r="F245" s="457">
        <v>0</v>
      </c>
      <c r="G245" s="457">
        <v>0</v>
      </c>
      <c r="H245" s="457">
        <v>0</v>
      </c>
      <c r="I245" s="457">
        <v>0</v>
      </c>
      <c r="J245" s="457">
        <v>0</v>
      </c>
      <c r="K245" s="457">
        <v>0</v>
      </c>
      <c r="L245" s="457">
        <v>0</v>
      </c>
      <c r="M245" s="457">
        <v>0</v>
      </c>
      <c r="N245" s="457">
        <v>0</v>
      </c>
      <c r="O245" s="457">
        <v>0</v>
      </c>
      <c r="P245" s="457">
        <v>0</v>
      </c>
      <c r="Q245" s="457">
        <v>0</v>
      </c>
      <c r="R245" s="457">
        <v>0</v>
      </c>
      <c r="S245" s="457">
        <v>0</v>
      </c>
      <c r="T245" s="410" t="e">
        <v>#DIV/0!</v>
      </c>
      <c r="U245" s="285">
        <v>0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</row>
    <row r="246" spans="1:26" x14ac:dyDescent="0.2">
      <c r="A246" s="404" t="s">
        <v>472</v>
      </c>
      <c r="B246" s="448">
        <v>41500</v>
      </c>
      <c r="C246" s="448">
        <v>45000</v>
      </c>
      <c r="D246" s="448">
        <v>45000</v>
      </c>
      <c r="E246" s="448">
        <v>40200</v>
      </c>
      <c r="F246" s="448">
        <v>6905.6</v>
      </c>
      <c r="G246" s="448">
        <v>0</v>
      </c>
      <c r="H246" s="448">
        <v>0</v>
      </c>
      <c r="I246" s="448">
        <v>0</v>
      </c>
      <c r="J246" s="448">
        <v>0</v>
      </c>
      <c r="K246" s="448">
        <v>3760.84</v>
      </c>
      <c r="L246" s="448">
        <v>0</v>
      </c>
      <c r="M246" s="448">
        <v>1000</v>
      </c>
      <c r="N246" s="448">
        <v>1259.73</v>
      </c>
      <c r="O246" s="448">
        <v>885</v>
      </c>
      <c r="P246" s="448">
        <v>0</v>
      </c>
      <c r="Q246" s="448">
        <v>0</v>
      </c>
      <c r="R246" s="448">
        <v>0</v>
      </c>
      <c r="S246" s="448">
        <v>6905.57</v>
      </c>
      <c r="T246" s="407">
        <v>0.1534571111111111</v>
      </c>
      <c r="U246" s="406">
        <v>38094.43</v>
      </c>
      <c r="V246" s="406">
        <v>0</v>
      </c>
      <c r="W246" s="406">
        <v>4800</v>
      </c>
      <c r="X246" s="406">
        <v>4800</v>
      </c>
      <c r="Y246" s="406">
        <v>33294.400000000001</v>
      </c>
      <c r="Z246" s="406">
        <v>3.0000000000654836E-2</v>
      </c>
    </row>
    <row r="247" spans="1:26" x14ac:dyDescent="0.2">
      <c r="A247" s="412" t="s">
        <v>473</v>
      </c>
      <c r="B247" s="457">
        <v>21900</v>
      </c>
      <c r="C247" s="457">
        <v>21900</v>
      </c>
      <c r="D247" s="457">
        <v>21900</v>
      </c>
      <c r="E247" s="457">
        <v>21900</v>
      </c>
      <c r="F247" s="457">
        <v>4804.6000000000004</v>
      </c>
      <c r="G247" s="457">
        <v>0</v>
      </c>
      <c r="H247" s="457">
        <v>0</v>
      </c>
      <c r="I247" s="457">
        <v>0</v>
      </c>
      <c r="J247" s="457">
        <v>0</v>
      </c>
      <c r="K247" s="457">
        <v>3760.84</v>
      </c>
      <c r="L247" s="457">
        <v>0</v>
      </c>
      <c r="M247" s="457">
        <v>0</v>
      </c>
      <c r="N247" s="457">
        <v>1043.73</v>
      </c>
      <c r="O247" s="457">
        <v>0</v>
      </c>
      <c r="P247" s="457">
        <v>0</v>
      </c>
      <c r="Q247" s="457">
        <v>0</v>
      </c>
      <c r="R247" s="457">
        <v>0</v>
      </c>
      <c r="S247" s="457">
        <v>4804.57</v>
      </c>
      <c r="T247" s="410">
        <v>0.21938675799086757</v>
      </c>
      <c r="U247" s="285">
        <v>17095.43</v>
      </c>
      <c r="V247" s="285">
        <v>0</v>
      </c>
      <c r="W247" s="285">
        <v>0</v>
      </c>
      <c r="X247" s="285">
        <v>0</v>
      </c>
      <c r="Y247" s="285">
        <v>17095.400000000001</v>
      </c>
      <c r="Z247" s="285">
        <v>3.0000000000654836E-2</v>
      </c>
    </row>
    <row r="248" spans="1:26" x14ac:dyDescent="0.2">
      <c r="A248" s="412" t="s">
        <v>474</v>
      </c>
      <c r="B248" s="457">
        <v>0</v>
      </c>
      <c r="C248" s="457">
        <v>0</v>
      </c>
      <c r="D248" s="457">
        <v>0</v>
      </c>
      <c r="E248" s="457">
        <v>0</v>
      </c>
      <c r="F248" s="457">
        <v>0</v>
      </c>
      <c r="G248" s="457">
        <v>0</v>
      </c>
      <c r="H248" s="457">
        <v>0</v>
      </c>
      <c r="I248" s="457">
        <v>0</v>
      </c>
      <c r="J248" s="457">
        <v>0</v>
      </c>
      <c r="K248" s="457">
        <v>0</v>
      </c>
      <c r="L248" s="457">
        <v>0</v>
      </c>
      <c r="M248" s="457">
        <v>0</v>
      </c>
      <c r="N248" s="457">
        <v>0</v>
      </c>
      <c r="O248" s="457">
        <v>0</v>
      </c>
      <c r="P248" s="457">
        <v>0</v>
      </c>
      <c r="Q248" s="457">
        <v>0</v>
      </c>
      <c r="R248" s="457">
        <v>0</v>
      </c>
      <c r="S248" s="457">
        <v>0</v>
      </c>
      <c r="T248" s="410" t="e">
        <v>#DIV/0!</v>
      </c>
      <c r="U248" s="285">
        <v>0</v>
      </c>
      <c r="V248" s="285">
        <v>0</v>
      </c>
      <c r="W248" s="285">
        <v>0</v>
      </c>
      <c r="X248" s="285">
        <v>0</v>
      </c>
      <c r="Y248" s="285">
        <v>0</v>
      </c>
      <c r="Z248" s="285">
        <v>0</v>
      </c>
    </row>
    <row r="249" spans="1:26" x14ac:dyDescent="0.2">
      <c r="A249" s="412" t="s">
        <v>475</v>
      </c>
      <c r="B249" s="457">
        <v>0</v>
      </c>
      <c r="C249" s="457">
        <v>0</v>
      </c>
      <c r="D249" s="457">
        <v>0</v>
      </c>
      <c r="E249" s="457">
        <v>0</v>
      </c>
      <c r="F249" s="457">
        <v>0</v>
      </c>
      <c r="G249" s="457">
        <v>0</v>
      </c>
      <c r="H249" s="457">
        <v>0</v>
      </c>
      <c r="I249" s="457">
        <v>0</v>
      </c>
      <c r="J249" s="457">
        <v>0</v>
      </c>
      <c r="K249" s="457">
        <v>0</v>
      </c>
      <c r="L249" s="457">
        <v>0</v>
      </c>
      <c r="M249" s="457">
        <v>0</v>
      </c>
      <c r="N249" s="457">
        <v>0</v>
      </c>
      <c r="O249" s="457">
        <v>0</v>
      </c>
      <c r="P249" s="457">
        <v>0</v>
      </c>
      <c r="Q249" s="457">
        <v>0</v>
      </c>
      <c r="R249" s="457">
        <v>0</v>
      </c>
      <c r="S249" s="457">
        <v>0</v>
      </c>
      <c r="T249" s="410" t="e">
        <v>#DIV/0!</v>
      </c>
      <c r="U249" s="285">
        <v>0</v>
      </c>
      <c r="V249" s="285">
        <v>0</v>
      </c>
      <c r="W249" s="285">
        <v>0</v>
      </c>
      <c r="X249" s="285">
        <v>0</v>
      </c>
      <c r="Y249" s="285">
        <v>0</v>
      </c>
      <c r="Z249" s="285">
        <v>0</v>
      </c>
    </row>
    <row r="250" spans="1:26" x14ac:dyDescent="0.2">
      <c r="A250" s="412" t="s">
        <v>476</v>
      </c>
      <c r="B250" s="457">
        <v>2000</v>
      </c>
      <c r="C250" s="457">
        <v>2000</v>
      </c>
      <c r="D250" s="457">
        <v>2000</v>
      </c>
      <c r="E250" s="457">
        <v>2000</v>
      </c>
      <c r="F250" s="457">
        <v>216</v>
      </c>
      <c r="G250" s="457">
        <v>0</v>
      </c>
      <c r="H250" s="457">
        <v>0</v>
      </c>
      <c r="I250" s="457">
        <v>0</v>
      </c>
      <c r="J250" s="457">
        <v>0</v>
      </c>
      <c r="K250" s="457">
        <v>0</v>
      </c>
      <c r="L250" s="457">
        <v>0</v>
      </c>
      <c r="M250" s="457">
        <v>0</v>
      </c>
      <c r="N250" s="457">
        <v>216</v>
      </c>
      <c r="O250" s="457">
        <v>0</v>
      </c>
      <c r="P250" s="457">
        <v>0</v>
      </c>
      <c r="Q250" s="457">
        <v>0</v>
      </c>
      <c r="R250" s="457">
        <v>0</v>
      </c>
      <c r="S250" s="457">
        <v>216</v>
      </c>
      <c r="T250" s="410">
        <v>0.108</v>
      </c>
      <c r="U250" s="285">
        <v>1784</v>
      </c>
      <c r="V250" s="285">
        <v>0</v>
      </c>
      <c r="W250" s="285">
        <v>0</v>
      </c>
      <c r="X250" s="285">
        <v>0</v>
      </c>
      <c r="Y250" s="285">
        <v>1784</v>
      </c>
      <c r="Z250" s="285">
        <v>0</v>
      </c>
    </row>
    <row r="251" spans="1:26" x14ac:dyDescent="0.2">
      <c r="A251" s="412" t="s">
        <v>477</v>
      </c>
      <c r="B251" s="457">
        <v>0</v>
      </c>
      <c r="C251" s="457">
        <v>0</v>
      </c>
      <c r="D251" s="457">
        <v>0</v>
      </c>
      <c r="E251" s="457">
        <v>0</v>
      </c>
      <c r="F251" s="457">
        <v>0</v>
      </c>
      <c r="G251" s="457">
        <v>0</v>
      </c>
      <c r="H251" s="457">
        <v>0</v>
      </c>
      <c r="I251" s="457">
        <v>0</v>
      </c>
      <c r="J251" s="457">
        <v>0</v>
      </c>
      <c r="K251" s="457">
        <v>0</v>
      </c>
      <c r="L251" s="457">
        <v>0</v>
      </c>
      <c r="M251" s="457">
        <v>0</v>
      </c>
      <c r="N251" s="457">
        <v>0</v>
      </c>
      <c r="O251" s="457">
        <v>0</v>
      </c>
      <c r="P251" s="457">
        <v>0</v>
      </c>
      <c r="Q251" s="457">
        <v>0</v>
      </c>
      <c r="R251" s="457">
        <v>0</v>
      </c>
      <c r="S251" s="457">
        <v>0</v>
      </c>
      <c r="T251" s="410" t="e">
        <v>#DIV/0!</v>
      </c>
      <c r="U251" s="285">
        <v>0</v>
      </c>
      <c r="V251" s="285">
        <v>0</v>
      </c>
      <c r="W251" s="285">
        <v>0</v>
      </c>
      <c r="X251" s="285">
        <v>0</v>
      </c>
      <c r="Y251" s="285">
        <v>0</v>
      </c>
      <c r="Z251" s="285">
        <v>0</v>
      </c>
    </row>
    <row r="252" spans="1:26" x14ac:dyDescent="0.2">
      <c r="A252" s="412" t="s">
        <v>478</v>
      </c>
      <c r="B252" s="457">
        <v>7200</v>
      </c>
      <c r="C252" s="457">
        <v>7200</v>
      </c>
      <c r="D252" s="457">
        <v>7200</v>
      </c>
      <c r="E252" s="457">
        <v>7200</v>
      </c>
      <c r="F252" s="457">
        <v>1000</v>
      </c>
      <c r="G252" s="457">
        <v>0</v>
      </c>
      <c r="H252" s="457">
        <v>0</v>
      </c>
      <c r="I252" s="457">
        <v>0</v>
      </c>
      <c r="J252" s="457">
        <v>0</v>
      </c>
      <c r="K252" s="457">
        <v>0</v>
      </c>
      <c r="L252" s="457">
        <v>0</v>
      </c>
      <c r="M252" s="457">
        <v>1000</v>
      </c>
      <c r="N252" s="457">
        <v>0</v>
      </c>
      <c r="O252" s="457">
        <v>0</v>
      </c>
      <c r="P252" s="457">
        <v>0</v>
      </c>
      <c r="Q252" s="457">
        <v>0</v>
      </c>
      <c r="R252" s="457">
        <v>0</v>
      </c>
      <c r="S252" s="457">
        <v>1000</v>
      </c>
      <c r="T252" s="410">
        <v>0.1388888888888889</v>
      </c>
      <c r="U252" s="285">
        <v>6200</v>
      </c>
      <c r="V252" s="285">
        <v>0</v>
      </c>
      <c r="W252" s="285">
        <v>0</v>
      </c>
      <c r="X252" s="285">
        <v>0</v>
      </c>
      <c r="Y252" s="285">
        <v>6200</v>
      </c>
      <c r="Z252" s="285">
        <v>0</v>
      </c>
    </row>
    <row r="253" spans="1:26" x14ac:dyDescent="0.2">
      <c r="A253" s="412" t="s">
        <v>479</v>
      </c>
      <c r="B253" s="457">
        <v>400</v>
      </c>
      <c r="C253" s="457">
        <v>400</v>
      </c>
      <c r="D253" s="457">
        <v>400</v>
      </c>
      <c r="E253" s="457">
        <v>0</v>
      </c>
      <c r="F253" s="457">
        <v>0</v>
      </c>
      <c r="G253" s="457">
        <v>0</v>
      </c>
      <c r="H253" s="457">
        <v>0</v>
      </c>
      <c r="I253" s="457">
        <v>0</v>
      </c>
      <c r="J253" s="457">
        <v>0</v>
      </c>
      <c r="K253" s="457">
        <v>0</v>
      </c>
      <c r="L253" s="457">
        <v>0</v>
      </c>
      <c r="M253" s="457">
        <v>0</v>
      </c>
      <c r="N253" s="457">
        <v>0</v>
      </c>
      <c r="O253" s="457">
        <v>0</v>
      </c>
      <c r="P253" s="457">
        <v>0</v>
      </c>
      <c r="Q253" s="457">
        <v>0</v>
      </c>
      <c r="R253" s="457">
        <v>0</v>
      </c>
      <c r="S253" s="457">
        <v>0</v>
      </c>
      <c r="T253" s="410">
        <v>0</v>
      </c>
      <c r="U253" s="285">
        <v>400</v>
      </c>
      <c r="V253" s="285">
        <v>0</v>
      </c>
      <c r="W253" s="285">
        <v>400</v>
      </c>
      <c r="X253" s="285">
        <v>400</v>
      </c>
      <c r="Y253" s="285">
        <v>0</v>
      </c>
      <c r="Z253" s="285">
        <v>0</v>
      </c>
    </row>
    <row r="254" spans="1:26" x14ac:dyDescent="0.2">
      <c r="A254" s="412" t="s">
        <v>480</v>
      </c>
      <c r="B254" s="457">
        <v>10000</v>
      </c>
      <c r="C254" s="457">
        <v>10000</v>
      </c>
      <c r="D254" s="457">
        <v>10000</v>
      </c>
      <c r="E254" s="457">
        <v>9100</v>
      </c>
      <c r="F254" s="457">
        <v>885</v>
      </c>
      <c r="G254" s="457">
        <v>0</v>
      </c>
      <c r="H254" s="457">
        <v>0</v>
      </c>
      <c r="I254" s="457">
        <v>0</v>
      </c>
      <c r="J254" s="457">
        <v>0</v>
      </c>
      <c r="K254" s="457">
        <v>0</v>
      </c>
      <c r="L254" s="457">
        <v>0</v>
      </c>
      <c r="M254" s="457">
        <v>0</v>
      </c>
      <c r="N254" s="457">
        <v>0</v>
      </c>
      <c r="O254" s="457">
        <v>885</v>
      </c>
      <c r="P254" s="457">
        <v>0</v>
      </c>
      <c r="Q254" s="457">
        <v>0</v>
      </c>
      <c r="R254" s="457">
        <v>0</v>
      </c>
      <c r="S254" s="457">
        <v>885</v>
      </c>
      <c r="T254" s="410">
        <v>8.8499999999999995E-2</v>
      </c>
      <c r="U254" s="285">
        <v>9115</v>
      </c>
      <c r="V254" s="285">
        <v>0</v>
      </c>
      <c r="W254" s="285">
        <v>900</v>
      </c>
      <c r="X254" s="285">
        <v>900</v>
      </c>
      <c r="Y254" s="285">
        <v>8215</v>
      </c>
      <c r="Z254" s="285">
        <v>0</v>
      </c>
    </row>
    <row r="255" spans="1:26" x14ac:dyDescent="0.2">
      <c r="A255" s="412" t="s">
        <v>481</v>
      </c>
      <c r="B255" s="457">
        <v>0</v>
      </c>
      <c r="C255" s="457">
        <v>0</v>
      </c>
      <c r="D255" s="457">
        <v>0</v>
      </c>
      <c r="E255" s="457">
        <v>0</v>
      </c>
      <c r="F255" s="457">
        <v>0</v>
      </c>
      <c r="G255" s="457">
        <v>0</v>
      </c>
      <c r="H255" s="457">
        <v>0</v>
      </c>
      <c r="I255" s="457">
        <v>0</v>
      </c>
      <c r="J255" s="457">
        <v>0</v>
      </c>
      <c r="K255" s="457">
        <v>0</v>
      </c>
      <c r="L255" s="457">
        <v>0</v>
      </c>
      <c r="M255" s="457">
        <v>0</v>
      </c>
      <c r="N255" s="457">
        <v>0</v>
      </c>
      <c r="O255" s="457">
        <v>0</v>
      </c>
      <c r="P255" s="457">
        <v>0</v>
      </c>
      <c r="Q255" s="457">
        <v>0</v>
      </c>
      <c r="R255" s="457">
        <v>0</v>
      </c>
      <c r="S255" s="457">
        <v>0</v>
      </c>
      <c r="T255" s="410" t="e">
        <v>#DIV/0!</v>
      </c>
      <c r="U255" s="285">
        <v>0</v>
      </c>
      <c r="V255" s="285">
        <v>0</v>
      </c>
      <c r="W255" s="285">
        <v>0</v>
      </c>
      <c r="X255" s="285">
        <v>0</v>
      </c>
      <c r="Y255" s="285">
        <v>0</v>
      </c>
      <c r="Z255" s="285">
        <v>0</v>
      </c>
    </row>
    <row r="256" spans="1:26" x14ac:dyDescent="0.2">
      <c r="A256" s="412" t="s">
        <v>482</v>
      </c>
      <c r="B256" s="457">
        <v>0</v>
      </c>
      <c r="C256" s="457">
        <v>0</v>
      </c>
      <c r="D256" s="457">
        <v>0</v>
      </c>
      <c r="E256" s="457">
        <v>0</v>
      </c>
      <c r="F256" s="457">
        <v>0</v>
      </c>
      <c r="G256" s="457">
        <v>0</v>
      </c>
      <c r="H256" s="457">
        <v>0</v>
      </c>
      <c r="I256" s="457">
        <v>0</v>
      </c>
      <c r="J256" s="457">
        <v>0</v>
      </c>
      <c r="K256" s="457">
        <v>0</v>
      </c>
      <c r="L256" s="457">
        <v>0</v>
      </c>
      <c r="M256" s="457">
        <v>0</v>
      </c>
      <c r="N256" s="457">
        <v>0</v>
      </c>
      <c r="O256" s="457">
        <v>0</v>
      </c>
      <c r="P256" s="457">
        <v>0</v>
      </c>
      <c r="Q256" s="457">
        <v>0</v>
      </c>
      <c r="R256" s="457">
        <v>0</v>
      </c>
      <c r="S256" s="457">
        <v>0</v>
      </c>
      <c r="T256" s="410" t="e">
        <v>#DIV/0!</v>
      </c>
      <c r="U256" s="285">
        <v>0</v>
      </c>
      <c r="V256" s="285">
        <v>0</v>
      </c>
      <c r="W256" s="285">
        <v>0</v>
      </c>
      <c r="X256" s="285">
        <v>0</v>
      </c>
      <c r="Y256" s="285">
        <v>0</v>
      </c>
      <c r="Z256" s="285">
        <v>0</v>
      </c>
    </row>
    <row r="257" spans="1:26" x14ac:dyDescent="0.2">
      <c r="A257" s="412" t="s">
        <v>483</v>
      </c>
      <c r="B257" s="457">
        <v>0</v>
      </c>
      <c r="C257" s="457">
        <v>0</v>
      </c>
      <c r="D257" s="457">
        <v>0</v>
      </c>
      <c r="E257" s="457">
        <v>0</v>
      </c>
      <c r="F257" s="457">
        <v>0</v>
      </c>
      <c r="G257" s="457">
        <v>0</v>
      </c>
      <c r="H257" s="457">
        <v>0</v>
      </c>
      <c r="I257" s="457">
        <v>0</v>
      </c>
      <c r="J257" s="457">
        <v>0</v>
      </c>
      <c r="K257" s="457">
        <v>0</v>
      </c>
      <c r="L257" s="457">
        <v>0</v>
      </c>
      <c r="M257" s="457">
        <v>0</v>
      </c>
      <c r="N257" s="457">
        <v>0</v>
      </c>
      <c r="O257" s="457">
        <v>0</v>
      </c>
      <c r="P257" s="457">
        <v>0</v>
      </c>
      <c r="Q257" s="457">
        <v>0</v>
      </c>
      <c r="R257" s="457">
        <v>0</v>
      </c>
      <c r="S257" s="457">
        <v>0</v>
      </c>
      <c r="T257" s="410" t="e">
        <v>#DIV/0!</v>
      </c>
      <c r="U257" s="285">
        <v>0</v>
      </c>
      <c r="V257" s="285">
        <v>0</v>
      </c>
      <c r="W257" s="285">
        <v>0</v>
      </c>
      <c r="X257" s="285">
        <v>0</v>
      </c>
      <c r="Y257" s="285">
        <v>0</v>
      </c>
      <c r="Z257" s="285">
        <v>0</v>
      </c>
    </row>
    <row r="258" spans="1:26" x14ac:dyDescent="0.2">
      <c r="A258" s="412" t="s">
        <v>484</v>
      </c>
      <c r="B258" s="457">
        <v>0</v>
      </c>
      <c r="C258" s="457">
        <v>0</v>
      </c>
      <c r="D258" s="457">
        <v>0</v>
      </c>
      <c r="E258" s="457">
        <v>0</v>
      </c>
      <c r="F258" s="457">
        <v>0</v>
      </c>
      <c r="G258" s="457">
        <v>0</v>
      </c>
      <c r="H258" s="457">
        <v>0</v>
      </c>
      <c r="I258" s="457">
        <v>0</v>
      </c>
      <c r="J258" s="457">
        <v>0</v>
      </c>
      <c r="K258" s="457">
        <v>0</v>
      </c>
      <c r="L258" s="457">
        <v>0</v>
      </c>
      <c r="M258" s="457">
        <v>0</v>
      </c>
      <c r="N258" s="457">
        <v>0</v>
      </c>
      <c r="O258" s="457">
        <v>0</v>
      </c>
      <c r="P258" s="457">
        <v>0</v>
      </c>
      <c r="Q258" s="457">
        <v>0</v>
      </c>
      <c r="R258" s="457">
        <v>0</v>
      </c>
      <c r="S258" s="457">
        <v>0</v>
      </c>
      <c r="T258" s="410" t="e">
        <v>#DIV/0!</v>
      </c>
      <c r="U258" s="285">
        <v>0</v>
      </c>
      <c r="V258" s="285">
        <v>0</v>
      </c>
      <c r="W258" s="285">
        <v>0</v>
      </c>
      <c r="X258" s="285">
        <v>0</v>
      </c>
      <c r="Y258" s="285">
        <v>0</v>
      </c>
      <c r="Z258" s="285">
        <v>0</v>
      </c>
    </row>
    <row r="259" spans="1:26" x14ac:dyDescent="0.2">
      <c r="A259" s="412" t="s">
        <v>485</v>
      </c>
      <c r="B259" s="457">
        <v>0</v>
      </c>
      <c r="C259" s="457">
        <v>0</v>
      </c>
      <c r="D259" s="457">
        <v>0</v>
      </c>
      <c r="E259" s="457">
        <v>0</v>
      </c>
      <c r="F259" s="457">
        <v>0</v>
      </c>
      <c r="G259" s="457">
        <v>0</v>
      </c>
      <c r="H259" s="457">
        <v>0</v>
      </c>
      <c r="I259" s="457">
        <v>0</v>
      </c>
      <c r="J259" s="457">
        <v>0</v>
      </c>
      <c r="K259" s="457">
        <v>0</v>
      </c>
      <c r="L259" s="457">
        <v>0</v>
      </c>
      <c r="M259" s="457">
        <v>0</v>
      </c>
      <c r="N259" s="457">
        <v>0</v>
      </c>
      <c r="O259" s="457">
        <v>0</v>
      </c>
      <c r="P259" s="457">
        <v>0</v>
      </c>
      <c r="Q259" s="457">
        <v>0</v>
      </c>
      <c r="R259" s="457">
        <v>0</v>
      </c>
      <c r="S259" s="457">
        <v>0</v>
      </c>
      <c r="T259" s="410" t="e">
        <v>#DIV/0!</v>
      </c>
      <c r="U259" s="285">
        <v>0</v>
      </c>
      <c r="V259" s="285">
        <v>0</v>
      </c>
      <c r="W259" s="285">
        <v>0</v>
      </c>
      <c r="X259" s="285">
        <v>0</v>
      </c>
      <c r="Y259" s="285">
        <v>0</v>
      </c>
      <c r="Z259" s="285">
        <v>0</v>
      </c>
    </row>
    <row r="260" spans="1:26" x14ac:dyDescent="0.2">
      <c r="A260" s="412" t="s">
        <v>486</v>
      </c>
      <c r="B260" s="457">
        <v>0</v>
      </c>
      <c r="C260" s="457">
        <v>0</v>
      </c>
      <c r="D260" s="457">
        <v>0</v>
      </c>
      <c r="E260" s="457">
        <v>0</v>
      </c>
      <c r="F260" s="457">
        <v>0</v>
      </c>
      <c r="G260" s="457">
        <v>0</v>
      </c>
      <c r="H260" s="457">
        <v>0</v>
      </c>
      <c r="I260" s="457">
        <v>0</v>
      </c>
      <c r="J260" s="457">
        <v>0</v>
      </c>
      <c r="K260" s="457">
        <v>0</v>
      </c>
      <c r="L260" s="457">
        <v>0</v>
      </c>
      <c r="M260" s="457">
        <v>0</v>
      </c>
      <c r="N260" s="457">
        <v>0</v>
      </c>
      <c r="O260" s="457">
        <v>0</v>
      </c>
      <c r="P260" s="457">
        <v>0</v>
      </c>
      <c r="Q260" s="457">
        <v>0</v>
      </c>
      <c r="R260" s="457">
        <v>0</v>
      </c>
      <c r="S260" s="457">
        <v>0</v>
      </c>
      <c r="T260" s="410" t="e">
        <v>#DIV/0!</v>
      </c>
      <c r="U260" s="285">
        <v>0</v>
      </c>
      <c r="V260" s="285">
        <v>0</v>
      </c>
      <c r="W260" s="285">
        <v>0</v>
      </c>
      <c r="X260" s="285">
        <v>0</v>
      </c>
      <c r="Y260" s="285">
        <v>0</v>
      </c>
      <c r="Z260" s="285">
        <v>0</v>
      </c>
    </row>
    <row r="261" spans="1:26" x14ac:dyDescent="0.2">
      <c r="A261" s="412" t="s">
        <v>487</v>
      </c>
      <c r="B261" s="457">
        <v>0</v>
      </c>
      <c r="C261" s="457">
        <v>0</v>
      </c>
      <c r="D261" s="457">
        <v>0</v>
      </c>
      <c r="E261" s="457">
        <v>0</v>
      </c>
      <c r="F261" s="457">
        <v>0</v>
      </c>
      <c r="G261" s="457">
        <v>0</v>
      </c>
      <c r="H261" s="457">
        <v>0</v>
      </c>
      <c r="I261" s="457">
        <v>0</v>
      </c>
      <c r="J261" s="457">
        <v>0</v>
      </c>
      <c r="K261" s="457">
        <v>0</v>
      </c>
      <c r="L261" s="457">
        <v>0</v>
      </c>
      <c r="M261" s="457">
        <v>0</v>
      </c>
      <c r="N261" s="457">
        <v>0</v>
      </c>
      <c r="O261" s="457">
        <v>0</v>
      </c>
      <c r="P261" s="457">
        <v>0</v>
      </c>
      <c r="Q261" s="457">
        <v>0</v>
      </c>
      <c r="R261" s="457">
        <v>0</v>
      </c>
      <c r="S261" s="457">
        <v>0</v>
      </c>
      <c r="T261" s="410" t="e">
        <v>#DIV/0!</v>
      </c>
      <c r="U261" s="285">
        <v>0</v>
      </c>
      <c r="V261" s="285">
        <v>0</v>
      </c>
      <c r="W261" s="285">
        <v>0</v>
      </c>
      <c r="X261" s="285">
        <v>0</v>
      </c>
      <c r="Y261" s="285">
        <v>0</v>
      </c>
      <c r="Z261" s="285">
        <v>0</v>
      </c>
    </row>
    <row r="262" spans="1:26" x14ac:dyDescent="0.2">
      <c r="A262" s="412" t="s">
        <v>488</v>
      </c>
      <c r="B262" s="457">
        <v>0</v>
      </c>
      <c r="C262" s="457">
        <v>0</v>
      </c>
      <c r="D262" s="457">
        <v>0</v>
      </c>
      <c r="E262" s="457">
        <v>0</v>
      </c>
      <c r="F262" s="457">
        <v>0</v>
      </c>
      <c r="G262" s="457">
        <v>0</v>
      </c>
      <c r="H262" s="457">
        <v>0</v>
      </c>
      <c r="I262" s="457">
        <v>0</v>
      </c>
      <c r="J262" s="457">
        <v>0</v>
      </c>
      <c r="K262" s="457">
        <v>0</v>
      </c>
      <c r="L262" s="457">
        <v>0</v>
      </c>
      <c r="M262" s="457">
        <v>0</v>
      </c>
      <c r="N262" s="457">
        <v>0</v>
      </c>
      <c r="O262" s="457">
        <v>0</v>
      </c>
      <c r="P262" s="457">
        <v>0</v>
      </c>
      <c r="Q262" s="457">
        <v>0</v>
      </c>
      <c r="R262" s="457">
        <v>0</v>
      </c>
      <c r="S262" s="457">
        <v>0</v>
      </c>
      <c r="T262" s="410" t="e">
        <v>#DIV/0!</v>
      </c>
      <c r="U262" s="285">
        <v>0</v>
      </c>
      <c r="V262" s="285">
        <v>0</v>
      </c>
      <c r="W262" s="285">
        <v>0</v>
      </c>
      <c r="X262" s="285">
        <v>0</v>
      </c>
      <c r="Y262" s="285">
        <v>0</v>
      </c>
      <c r="Z262" s="285">
        <v>0</v>
      </c>
    </row>
    <row r="263" spans="1:26" x14ac:dyDescent="0.2">
      <c r="A263" s="412" t="s">
        <v>489</v>
      </c>
      <c r="B263" s="457">
        <v>0</v>
      </c>
      <c r="C263" s="457">
        <v>0</v>
      </c>
      <c r="D263" s="457">
        <v>0</v>
      </c>
      <c r="E263" s="457">
        <v>0</v>
      </c>
      <c r="F263" s="457">
        <v>0</v>
      </c>
      <c r="G263" s="457">
        <v>0</v>
      </c>
      <c r="H263" s="457">
        <v>0</v>
      </c>
      <c r="I263" s="457">
        <v>0</v>
      </c>
      <c r="J263" s="457">
        <v>0</v>
      </c>
      <c r="K263" s="457">
        <v>0</v>
      </c>
      <c r="L263" s="457">
        <v>0</v>
      </c>
      <c r="M263" s="457">
        <v>0</v>
      </c>
      <c r="N263" s="457">
        <v>0</v>
      </c>
      <c r="O263" s="457">
        <v>0</v>
      </c>
      <c r="P263" s="457">
        <v>0</v>
      </c>
      <c r="Q263" s="457">
        <v>0</v>
      </c>
      <c r="R263" s="457">
        <v>0</v>
      </c>
      <c r="S263" s="457">
        <v>0</v>
      </c>
      <c r="T263" s="410" t="e">
        <v>#DIV/0!</v>
      </c>
      <c r="U263" s="285">
        <v>0</v>
      </c>
      <c r="V263" s="285">
        <v>0</v>
      </c>
      <c r="W263" s="285">
        <v>0</v>
      </c>
      <c r="X263" s="285">
        <v>0</v>
      </c>
      <c r="Y263" s="285">
        <v>0</v>
      </c>
      <c r="Z263" s="285">
        <v>0</v>
      </c>
    </row>
    <row r="264" spans="1:26" x14ac:dyDescent="0.2">
      <c r="A264" s="412" t="s">
        <v>490</v>
      </c>
      <c r="B264" s="457">
        <v>0</v>
      </c>
      <c r="C264" s="457">
        <v>0</v>
      </c>
      <c r="D264" s="457">
        <v>0</v>
      </c>
      <c r="E264" s="457">
        <v>0</v>
      </c>
      <c r="F264" s="457">
        <v>0</v>
      </c>
      <c r="G264" s="457">
        <v>0</v>
      </c>
      <c r="H264" s="457">
        <v>0</v>
      </c>
      <c r="I264" s="457">
        <v>0</v>
      </c>
      <c r="J264" s="457">
        <v>0</v>
      </c>
      <c r="K264" s="457">
        <v>0</v>
      </c>
      <c r="L264" s="457">
        <v>0</v>
      </c>
      <c r="M264" s="457">
        <v>0</v>
      </c>
      <c r="N264" s="457">
        <v>0</v>
      </c>
      <c r="O264" s="457">
        <v>0</v>
      </c>
      <c r="P264" s="457">
        <v>0</v>
      </c>
      <c r="Q264" s="457">
        <v>0</v>
      </c>
      <c r="R264" s="457">
        <v>0</v>
      </c>
      <c r="S264" s="457">
        <v>0</v>
      </c>
      <c r="T264" s="410" t="e">
        <v>#DIV/0!</v>
      </c>
      <c r="U264" s="285">
        <v>0</v>
      </c>
      <c r="V264" s="285">
        <v>0</v>
      </c>
      <c r="W264" s="285">
        <v>0</v>
      </c>
      <c r="X264" s="285">
        <v>0</v>
      </c>
      <c r="Y264" s="285">
        <v>0</v>
      </c>
      <c r="Z264" s="285">
        <v>0</v>
      </c>
    </row>
    <row r="265" spans="1:26" ht="24" x14ac:dyDescent="0.2">
      <c r="A265" s="412" t="s">
        <v>491</v>
      </c>
      <c r="B265" s="457">
        <v>0</v>
      </c>
      <c r="C265" s="457">
        <v>0</v>
      </c>
      <c r="D265" s="457">
        <v>0</v>
      </c>
      <c r="E265" s="457">
        <v>0</v>
      </c>
      <c r="F265" s="457">
        <v>0</v>
      </c>
      <c r="G265" s="457">
        <v>0</v>
      </c>
      <c r="H265" s="457">
        <v>0</v>
      </c>
      <c r="I265" s="457">
        <v>0</v>
      </c>
      <c r="J265" s="457">
        <v>0</v>
      </c>
      <c r="K265" s="457">
        <v>0</v>
      </c>
      <c r="L265" s="457">
        <v>0</v>
      </c>
      <c r="M265" s="457">
        <v>0</v>
      </c>
      <c r="N265" s="457">
        <v>0</v>
      </c>
      <c r="O265" s="457">
        <v>0</v>
      </c>
      <c r="P265" s="457">
        <v>0</v>
      </c>
      <c r="Q265" s="457">
        <v>0</v>
      </c>
      <c r="R265" s="457">
        <v>0</v>
      </c>
      <c r="S265" s="457">
        <v>0</v>
      </c>
      <c r="T265" s="410" t="e">
        <v>#DIV/0!</v>
      </c>
      <c r="U265" s="285">
        <v>0</v>
      </c>
      <c r="V265" s="285">
        <v>0</v>
      </c>
      <c r="W265" s="285">
        <v>0</v>
      </c>
      <c r="X265" s="285">
        <v>0</v>
      </c>
      <c r="Y265" s="285">
        <v>0</v>
      </c>
      <c r="Z265" s="285">
        <v>0</v>
      </c>
    </row>
    <row r="266" spans="1:26" x14ac:dyDescent="0.2">
      <c r="A266" s="412" t="s">
        <v>492</v>
      </c>
      <c r="B266" s="457">
        <v>0</v>
      </c>
      <c r="C266" s="457">
        <v>0</v>
      </c>
      <c r="D266" s="457">
        <v>0</v>
      </c>
      <c r="E266" s="457">
        <v>0</v>
      </c>
      <c r="F266" s="457">
        <v>0</v>
      </c>
      <c r="G266" s="457">
        <v>0</v>
      </c>
      <c r="H266" s="457">
        <v>0</v>
      </c>
      <c r="I266" s="457">
        <v>0</v>
      </c>
      <c r="J266" s="457">
        <v>0</v>
      </c>
      <c r="K266" s="457">
        <v>0</v>
      </c>
      <c r="L266" s="457">
        <v>0</v>
      </c>
      <c r="M266" s="457">
        <v>0</v>
      </c>
      <c r="N266" s="457">
        <v>0</v>
      </c>
      <c r="O266" s="457">
        <v>0</v>
      </c>
      <c r="P266" s="457">
        <v>0</v>
      </c>
      <c r="Q266" s="457">
        <v>0</v>
      </c>
      <c r="R266" s="457">
        <v>0</v>
      </c>
      <c r="S266" s="457">
        <v>0</v>
      </c>
      <c r="T266" s="410" t="e">
        <v>#DIV/0!</v>
      </c>
      <c r="U266" s="285">
        <v>0</v>
      </c>
      <c r="V266" s="285">
        <v>0</v>
      </c>
      <c r="W266" s="285">
        <v>0</v>
      </c>
      <c r="X266" s="285">
        <v>0</v>
      </c>
      <c r="Y266" s="285">
        <v>0</v>
      </c>
      <c r="Z266" s="285">
        <v>0</v>
      </c>
    </row>
    <row r="267" spans="1:26" x14ac:dyDescent="0.2">
      <c r="A267" s="412" t="s">
        <v>493</v>
      </c>
      <c r="B267" s="457">
        <v>0</v>
      </c>
      <c r="C267" s="457">
        <v>0</v>
      </c>
      <c r="D267" s="457">
        <v>0</v>
      </c>
      <c r="E267" s="457">
        <v>0</v>
      </c>
      <c r="F267" s="457">
        <v>0</v>
      </c>
      <c r="G267" s="457">
        <v>0</v>
      </c>
      <c r="H267" s="457">
        <v>0</v>
      </c>
      <c r="I267" s="457">
        <v>0</v>
      </c>
      <c r="J267" s="457">
        <v>0</v>
      </c>
      <c r="K267" s="457">
        <v>0</v>
      </c>
      <c r="L267" s="457">
        <v>0</v>
      </c>
      <c r="M267" s="457">
        <v>0</v>
      </c>
      <c r="N267" s="457">
        <v>0</v>
      </c>
      <c r="O267" s="457">
        <v>0</v>
      </c>
      <c r="P267" s="457">
        <v>0</v>
      </c>
      <c r="Q267" s="457">
        <v>0</v>
      </c>
      <c r="R267" s="457">
        <v>0</v>
      </c>
      <c r="S267" s="457">
        <v>0</v>
      </c>
      <c r="T267" s="410" t="e">
        <v>#DIV/0!</v>
      </c>
      <c r="U267" s="285">
        <v>0</v>
      </c>
      <c r="V267" s="285">
        <v>0</v>
      </c>
      <c r="W267" s="285">
        <v>0</v>
      </c>
      <c r="X267" s="285">
        <v>0</v>
      </c>
      <c r="Y267" s="285">
        <v>0</v>
      </c>
      <c r="Z267" s="285">
        <v>0</v>
      </c>
    </row>
    <row r="268" spans="1:26" ht="24" x14ac:dyDescent="0.2">
      <c r="A268" s="412" t="s">
        <v>494</v>
      </c>
      <c r="B268" s="457">
        <v>0</v>
      </c>
      <c r="C268" s="457">
        <v>0</v>
      </c>
      <c r="D268" s="457">
        <v>0</v>
      </c>
      <c r="E268" s="457">
        <v>0</v>
      </c>
      <c r="F268" s="457">
        <v>0</v>
      </c>
      <c r="G268" s="457">
        <v>0</v>
      </c>
      <c r="H268" s="457">
        <v>0</v>
      </c>
      <c r="I268" s="457">
        <v>0</v>
      </c>
      <c r="J268" s="457">
        <v>0</v>
      </c>
      <c r="K268" s="457">
        <v>0</v>
      </c>
      <c r="L268" s="457">
        <v>0</v>
      </c>
      <c r="M268" s="457">
        <v>0</v>
      </c>
      <c r="N268" s="457">
        <v>0</v>
      </c>
      <c r="O268" s="457">
        <v>0</v>
      </c>
      <c r="P268" s="457">
        <v>0</v>
      </c>
      <c r="Q268" s="457">
        <v>0</v>
      </c>
      <c r="R268" s="457">
        <v>0</v>
      </c>
      <c r="S268" s="457">
        <v>0</v>
      </c>
      <c r="T268" s="410" t="e">
        <v>#DIV/0!</v>
      </c>
      <c r="U268" s="285">
        <v>0</v>
      </c>
      <c r="V268" s="285">
        <v>0</v>
      </c>
      <c r="W268" s="285">
        <v>0</v>
      </c>
      <c r="X268" s="285">
        <v>0</v>
      </c>
      <c r="Y268" s="285">
        <v>0</v>
      </c>
      <c r="Z268" s="285">
        <v>0</v>
      </c>
    </row>
    <row r="269" spans="1:26" ht="24" x14ac:dyDescent="0.2">
      <c r="A269" s="412" t="s">
        <v>495</v>
      </c>
      <c r="B269" s="457">
        <v>0</v>
      </c>
      <c r="C269" s="457">
        <v>0</v>
      </c>
      <c r="D269" s="457">
        <v>0</v>
      </c>
      <c r="E269" s="457">
        <v>0</v>
      </c>
      <c r="F269" s="457">
        <v>0</v>
      </c>
      <c r="G269" s="457">
        <v>0</v>
      </c>
      <c r="H269" s="457">
        <v>0</v>
      </c>
      <c r="I269" s="457">
        <v>0</v>
      </c>
      <c r="J269" s="457">
        <v>0</v>
      </c>
      <c r="K269" s="457">
        <v>0</v>
      </c>
      <c r="L269" s="457">
        <v>0</v>
      </c>
      <c r="M269" s="457">
        <v>0</v>
      </c>
      <c r="N269" s="457">
        <v>0</v>
      </c>
      <c r="O269" s="457">
        <v>0</v>
      </c>
      <c r="P269" s="457">
        <v>0</v>
      </c>
      <c r="Q269" s="457">
        <v>0</v>
      </c>
      <c r="R269" s="457">
        <v>0</v>
      </c>
      <c r="S269" s="457">
        <v>0</v>
      </c>
      <c r="T269" s="410" t="e">
        <v>#DIV/0!</v>
      </c>
      <c r="U269" s="285">
        <v>0</v>
      </c>
      <c r="V269" s="285">
        <v>0</v>
      </c>
      <c r="W269" s="285">
        <v>0</v>
      </c>
      <c r="X269" s="285">
        <v>0</v>
      </c>
      <c r="Y269" s="285">
        <v>0</v>
      </c>
      <c r="Z269" s="285">
        <v>0</v>
      </c>
    </row>
    <row r="270" spans="1:26" x14ac:dyDescent="0.2">
      <c r="A270" s="412" t="s">
        <v>496</v>
      </c>
      <c r="B270" s="457">
        <v>0</v>
      </c>
      <c r="C270" s="457">
        <v>0</v>
      </c>
      <c r="D270" s="457">
        <v>0</v>
      </c>
      <c r="E270" s="457">
        <v>0</v>
      </c>
      <c r="F270" s="457">
        <v>0</v>
      </c>
      <c r="G270" s="457">
        <v>0</v>
      </c>
      <c r="H270" s="457">
        <v>0</v>
      </c>
      <c r="I270" s="457">
        <v>0</v>
      </c>
      <c r="J270" s="457">
        <v>0</v>
      </c>
      <c r="K270" s="457">
        <v>0</v>
      </c>
      <c r="L270" s="457">
        <v>0</v>
      </c>
      <c r="M270" s="457">
        <v>0</v>
      </c>
      <c r="N270" s="457">
        <v>0</v>
      </c>
      <c r="O270" s="457">
        <v>0</v>
      </c>
      <c r="P270" s="457">
        <v>0</v>
      </c>
      <c r="Q270" s="457">
        <v>0</v>
      </c>
      <c r="R270" s="457">
        <v>0</v>
      </c>
      <c r="S270" s="457">
        <v>0</v>
      </c>
      <c r="T270" s="410" t="e">
        <v>#DIV/0!</v>
      </c>
      <c r="U270" s="285">
        <v>0</v>
      </c>
      <c r="V270" s="285">
        <v>0</v>
      </c>
      <c r="W270" s="285">
        <v>0</v>
      </c>
      <c r="X270" s="285">
        <v>0</v>
      </c>
      <c r="Y270" s="285">
        <v>0</v>
      </c>
      <c r="Z270" s="285">
        <v>0</v>
      </c>
    </row>
    <row r="271" spans="1:26" x14ac:dyDescent="0.2">
      <c r="A271" s="412" t="s">
        <v>497</v>
      </c>
      <c r="B271" s="457">
        <v>0</v>
      </c>
      <c r="C271" s="457">
        <v>0</v>
      </c>
      <c r="D271" s="457">
        <v>0</v>
      </c>
      <c r="E271" s="457">
        <v>0</v>
      </c>
      <c r="F271" s="457">
        <v>0</v>
      </c>
      <c r="G271" s="457">
        <v>0</v>
      </c>
      <c r="H271" s="457">
        <v>0</v>
      </c>
      <c r="I271" s="457">
        <v>0</v>
      </c>
      <c r="J271" s="457">
        <v>0</v>
      </c>
      <c r="K271" s="457">
        <v>0</v>
      </c>
      <c r="L271" s="457">
        <v>0</v>
      </c>
      <c r="M271" s="457">
        <v>0</v>
      </c>
      <c r="N271" s="457">
        <v>0</v>
      </c>
      <c r="O271" s="457">
        <v>0</v>
      </c>
      <c r="P271" s="457">
        <v>0</v>
      </c>
      <c r="Q271" s="457">
        <v>0</v>
      </c>
      <c r="R271" s="457">
        <v>0</v>
      </c>
      <c r="S271" s="457">
        <v>0</v>
      </c>
      <c r="T271" s="410" t="e">
        <v>#DIV/0!</v>
      </c>
      <c r="U271" s="285">
        <v>0</v>
      </c>
      <c r="V271" s="285">
        <v>0</v>
      </c>
      <c r="W271" s="285">
        <v>0</v>
      </c>
      <c r="X271" s="285">
        <v>0</v>
      </c>
      <c r="Y271" s="285">
        <v>0</v>
      </c>
      <c r="Z271" s="285">
        <v>0</v>
      </c>
    </row>
    <row r="272" spans="1:26" x14ac:dyDescent="0.2">
      <c r="A272" s="412" t="s">
        <v>498</v>
      </c>
      <c r="B272" s="457">
        <v>0</v>
      </c>
      <c r="C272" s="457">
        <v>3500</v>
      </c>
      <c r="D272" s="457">
        <v>3500</v>
      </c>
      <c r="E272" s="457">
        <v>0</v>
      </c>
      <c r="F272" s="457">
        <v>0</v>
      </c>
      <c r="G272" s="457">
        <v>0</v>
      </c>
      <c r="H272" s="457">
        <v>0</v>
      </c>
      <c r="I272" s="457">
        <v>0</v>
      </c>
      <c r="J272" s="457">
        <v>0</v>
      </c>
      <c r="K272" s="457">
        <v>0</v>
      </c>
      <c r="L272" s="457">
        <v>0</v>
      </c>
      <c r="M272" s="457">
        <v>0</v>
      </c>
      <c r="N272" s="457">
        <v>0</v>
      </c>
      <c r="O272" s="457">
        <v>0</v>
      </c>
      <c r="P272" s="457">
        <v>0</v>
      </c>
      <c r="Q272" s="457">
        <v>0</v>
      </c>
      <c r="R272" s="457">
        <v>0</v>
      </c>
      <c r="S272" s="457">
        <v>0</v>
      </c>
      <c r="T272" s="410">
        <v>0</v>
      </c>
      <c r="U272" s="285">
        <v>3500</v>
      </c>
      <c r="V272" s="285">
        <v>0</v>
      </c>
      <c r="W272" s="285">
        <v>3500</v>
      </c>
      <c r="X272" s="285">
        <v>3500</v>
      </c>
      <c r="Y272" s="285">
        <v>0</v>
      </c>
      <c r="Z272" s="285">
        <v>0</v>
      </c>
    </row>
    <row r="273" spans="1:26" x14ac:dyDescent="0.2">
      <c r="A273" s="404" t="s">
        <v>499</v>
      </c>
      <c r="B273" s="448">
        <v>63600</v>
      </c>
      <c r="C273" s="448">
        <v>60100</v>
      </c>
      <c r="D273" s="448">
        <v>60100</v>
      </c>
      <c r="E273" s="448">
        <v>26901.600000000002</v>
      </c>
      <c r="F273" s="448">
        <v>26901.600000000002</v>
      </c>
      <c r="G273" s="448">
        <v>2857.68</v>
      </c>
      <c r="H273" s="448">
        <v>2969.5200000000004</v>
      </c>
      <c r="I273" s="448">
        <v>2559.84</v>
      </c>
      <c r="J273" s="448">
        <v>4519.4399999999996</v>
      </c>
      <c r="K273" s="448">
        <v>0</v>
      </c>
      <c r="L273" s="448">
        <v>10149.359999999999</v>
      </c>
      <c r="M273" s="448">
        <v>3764.64</v>
      </c>
      <c r="N273" s="448">
        <v>81.12</v>
      </c>
      <c r="O273" s="448">
        <v>0</v>
      </c>
      <c r="P273" s="448">
        <v>0</v>
      </c>
      <c r="Q273" s="448">
        <v>0</v>
      </c>
      <c r="R273" s="448">
        <v>0</v>
      </c>
      <c r="S273" s="448">
        <v>26901.599999999995</v>
      </c>
      <c r="T273" s="407">
        <v>0.44761397670549075</v>
      </c>
      <c r="U273" s="406">
        <v>33198.400000000009</v>
      </c>
      <c r="V273" s="406">
        <v>0</v>
      </c>
      <c r="W273" s="406">
        <v>33198.399999999994</v>
      </c>
      <c r="X273" s="406">
        <v>33198.399999999994</v>
      </c>
      <c r="Y273" s="406">
        <v>0</v>
      </c>
      <c r="Z273" s="406">
        <v>0</v>
      </c>
    </row>
    <row r="274" spans="1:26" x14ac:dyDescent="0.2">
      <c r="A274" s="412" t="s">
        <v>500</v>
      </c>
      <c r="B274" s="457">
        <v>7800</v>
      </c>
      <c r="C274" s="457">
        <v>4300</v>
      </c>
      <c r="D274" s="457">
        <v>4300</v>
      </c>
      <c r="E274" s="457">
        <v>174</v>
      </c>
      <c r="F274" s="457">
        <v>174</v>
      </c>
      <c r="G274" s="457">
        <v>0</v>
      </c>
      <c r="H274" s="457">
        <v>0</v>
      </c>
      <c r="I274" s="457">
        <v>0</v>
      </c>
      <c r="J274" s="457">
        <v>0</v>
      </c>
      <c r="K274" s="457">
        <v>0</v>
      </c>
      <c r="L274" s="457">
        <v>174</v>
      </c>
      <c r="M274" s="457">
        <v>0</v>
      </c>
      <c r="N274" s="457">
        <v>0</v>
      </c>
      <c r="O274" s="457">
        <v>0</v>
      </c>
      <c r="P274" s="457">
        <v>0</v>
      </c>
      <c r="Q274" s="457">
        <v>0</v>
      </c>
      <c r="R274" s="457">
        <v>0</v>
      </c>
      <c r="S274" s="457">
        <v>174</v>
      </c>
      <c r="T274" s="410">
        <v>4.046511627906977E-2</v>
      </c>
      <c r="U274" s="285">
        <v>4126</v>
      </c>
      <c r="V274" s="285">
        <v>0</v>
      </c>
      <c r="W274" s="285">
        <v>4126</v>
      </c>
      <c r="X274" s="285">
        <v>4126</v>
      </c>
      <c r="Y274" s="285">
        <v>0</v>
      </c>
      <c r="Z274" s="285">
        <v>0</v>
      </c>
    </row>
    <row r="275" spans="1:26" x14ac:dyDescent="0.2">
      <c r="A275" s="412" t="s">
        <v>501</v>
      </c>
      <c r="B275" s="457">
        <v>55800</v>
      </c>
      <c r="C275" s="457">
        <v>55800</v>
      </c>
      <c r="D275" s="457">
        <v>55800</v>
      </c>
      <c r="E275" s="457">
        <v>26727.600000000002</v>
      </c>
      <c r="F275" s="457">
        <v>26727.600000000002</v>
      </c>
      <c r="G275" s="457">
        <v>2857.68</v>
      </c>
      <c r="H275" s="457">
        <v>2969.5200000000004</v>
      </c>
      <c r="I275" s="457">
        <v>2559.84</v>
      </c>
      <c r="J275" s="457">
        <v>4519.4399999999996</v>
      </c>
      <c r="K275" s="457">
        <v>0</v>
      </c>
      <c r="L275" s="457">
        <v>9975.3599999999988</v>
      </c>
      <c r="M275" s="457">
        <v>3764.64</v>
      </c>
      <c r="N275" s="457">
        <v>81.12</v>
      </c>
      <c r="O275" s="457">
        <v>0</v>
      </c>
      <c r="P275" s="457">
        <v>0</v>
      </c>
      <c r="Q275" s="457">
        <v>0</v>
      </c>
      <c r="R275" s="457">
        <v>0</v>
      </c>
      <c r="S275" s="457">
        <v>26727.599999999995</v>
      </c>
      <c r="T275" s="410">
        <v>0.47898924731182785</v>
      </c>
      <c r="U275" s="285">
        <v>29072.400000000005</v>
      </c>
      <c r="V275" s="285">
        <v>0</v>
      </c>
      <c r="W275" s="285">
        <v>29072.399999999998</v>
      </c>
      <c r="X275" s="285">
        <v>29072.399999999998</v>
      </c>
      <c r="Y275" s="285">
        <v>0</v>
      </c>
      <c r="Z275" s="285">
        <v>0</v>
      </c>
    </row>
    <row r="276" spans="1:26" x14ac:dyDescent="0.2">
      <c r="A276" s="412" t="s">
        <v>502</v>
      </c>
      <c r="B276" s="457">
        <v>0</v>
      </c>
      <c r="C276" s="457">
        <v>0</v>
      </c>
      <c r="D276" s="457">
        <v>0</v>
      </c>
      <c r="E276" s="457">
        <v>0</v>
      </c>
      <c r="F276" s="457">
        <v>0</v>
      </c>
      <c r="G276" s="457">
        <v>0</v>
      </c>
      <c r="H276" s="457">
        <v>0</v>
      </c>
      <c r="I276" s="457">
        <v>0</v>
      </c>
      <c r="J276" s="457">
        <v>0</v>
      </c>
      <c r="K276" s="457">
        <v>0</v>
      </c>
      <c r="L276" s="457">
        <v>0</v>
      </c>
      <c r="M276" s="457">
        <v>0</v>
      </c>
      <c r="N276" s="457">
        <v>0</v>
      </c>
      <c r="O276" s="457">
        <v>0</v>
      </c>
      <c r="P276" s="457">
        <v>0</v>
      </c>
      <c r="Q276" s="457">
        <v>0</v>
      </c>
      <c r="R276" s="457">
        <v>0</v>
      </c>
      <c r="S276" s="457">
        <v>0</v>
      </c>
      <c r="T276" s="410" t="e">
        <v>#DIV/0!</v>
      </c>
      <c r="U276" s="285">
        <v>0</v>
      </c>
      <c r="V276" s="285">
        <v>0</v>
      </c>
      <c r="W276" s="285">
        <v>0</v>
      </c>
      <c r="X276" s="285">
        <v>0</v>
      </c>
      <c r="Y276" s="285">
        <v>0</v>
      </c>
      <c r="Z276" s="285">
        <v>0</v>
      </c>
    </row>
    <row r="277" spans="1:26" x14ac:dyDescent="0.2">
      <c r="A277" s="412" t="s">
        <v>503</v>
      </c>
      <c r="B277" s="457">
        <v>0</v>
      </c>
      <c r="C277" s="457">
        <v>0</v>
      </c>
      <c r="D277" s="457">
        <v>0</v>
      </c>
      <c r="E277" s="457">
        <v>0</v>
      </c>
      <c r="F277" s="457">
        <v>0</v>
      </c>
      <c r="G277" s="457">
        <v>0</v>
      </c>
      <c r="H277" s="457">
        <v>0</v>
      </c>
      <c r="I277" s="457">
        <v>0</v>
      </c>
      <c r="J277" s="457">
        <v>0</v>
      </c>
      <c r="K277" s="457">
        <v>0</v>
      </c>
      <c r="L277" s="457">
        <v>0</v>
      </c>
      <c r="M277" s="457">
        <v>0</v>
      </c>
      <c r="N277" s="457">
        <v>0</v>
      </c>
      <c r="O277" s="457">
        <v>0</v>
      </c>
      <c r="P277" s="457">
        <v>0</v>
      </c>
      <c r="Q277" s="457">
        <v>0</v>
      </c>
      <c r="R277" s="457">
        <v>0</v>
      </c>
      <c r="S277" s="457">
        <v>0</v>
      </c>
      <c r="T277" s="410" t="e">
        <v>#DIV/0!</v>
      </c>
      <c r="U277" s="285">
        <v>0</v>
      </c>
      <c r="V277" s="285">
        <v>0</v>
      </c>
      <c r="W277" s="285">
        <v>0</v>
      </c>
      <c r="X277" s="285">
        <v>0</v>
      </c>
      <c r="Y277" s="285">
        <v>0</v>
      </c>
      <c r="Z277" s="285">
        <v>0</v>
      </c>
    </row>
    <row r="278" spans="1:26" x14ac:dyDescent="0.2">
      <c r="A278" s="404" t="s">
        <v>504</v>
      </c>
      <c r="B278" s="448">
        <v>158140</v>
      </c>
      <c r="C278" s="448">
        <v>158140</v>
      </c>
      <c r="D278" s="448">
        <v>158140</v>
      </c>
      <c r="E278" s="448">
        <v>124900</v>
      </c>
      <c r="F278" s="448">
        <v>72505</v>
      </c>
      <c r="G278" s="448">
        <v>0</v>
      </c>
      <c r="H278" s="448">
        <v>0</v>
      </c>
      <c r="I278" s="448">
        <v>0</v>
      </c>
      <c r="J278" s="448">
        <v>30000</v>
      </c>
      <c r="K278" s="448">
        <v>15890</v>
      </c>
      <c r="L278" s="448">
        <v>0</v>
      </c>
      <c r="M278" s="448">
        <v>11917.5</v>
      </c>
      <c r="N278" s="448">
        <v>3972.5</v>
      </c>
      <c r="O278" s="448">
        <v>10725</v>
      </c>
      <c r="P278" s="448">
        <v>0</v>
      </c>
      <c r="Q278" s="448">
        <v>0</v>
      </c>
      <c r="R278" s="448">
        <v>0</v>
      </c>
      <c r="S278" s="448">
        <v>72505</v>
      </c>
      <c r="T278" s="407">
        <v>0.45848615151131911</v>
      </c>
      <c r="U278" s="406">
        <v>85635</v>
      </c>
      <c r="V278" s="406">
        <v>0</v>
      </c>
      <c r="W278" s="406">
        <v>33240</v>
      </c>
      <c r="X278" s="406">
        <v>33240</v>
      </c>
      <c r="Y278" s="406">
        <v>52395</v>
      </c>
      <c r="Z278" s="406">
        <v>0</v>
      </c>
    </row>
    <row r="279" spans="1:26" x14ac:dyDescent="0.2">
      <c r="A279" s="412" t="s">
        <v>505</v>
      </c>
      <c r="B279" s="457">
        <v>0</v>
      </c>
      <c r="C279" s="457">
        <v>0</v>
      </c>
      <c r="D279" s="457">
        <v>0</v>
      </c>
      <c r="E279" s="457">
        <v>0</v>
      </c>
      <c r="F279" s="457">
        <v>0</v>
      </c>
      <c r="G279" s="457">
        <v>0</v>
      </c>
      <c r="H279" s="457">
        <v>0</v>
      </c>
      <c r="I279" s="457">
        <v>0</v>
      </c>
      <c r="J279" s="457">
        <v>0</v>
      </c>
      <c r="K279" s="457">
        <v>0</v>
      </c>
      <c r="L279" s="457">
        <v>0</v>
      </c>
      <c r="M279" s="457">
        <v>0</v>
      </c>
      <c r="N279" s="457">
        <v>0</v>
      </c>
      <c r="O279" s="457">
        <v>0</v>
      </c>
      <c r="P279" s="457">
        <v>0</v>
      </c>
      <c r="Q279" s="457">
        <v>0</v>
      </c>
      <c r="R279" s="457">
        <v>0</v>
      </c>
      <c r="S279" s="457">
        <v>0</v>
      </c>
      <c r="T279" s="410" t="e">
        <v>#DIV/0!</v>
      </c>
      <c r="U279" s="285">
        <v>0</v>
      </c>
      <c r="V279" s="285">
        <v>0</v>
      </c>
      <c r="W279" s="285">
        <v>0</v>
      </c>
      <c r="X279" s="285">
        <v>0</v>
      </c>
      <c r="Y279" s="285">
        <v>0</v>
      </c>
      <c r="Z279" s="285">
        <v>0</v>
      </c>
    </row>
    <row r="280" spans="1:26" x14ac:dyDescent="0.2">
      <c r="A280" s="412" t="s">
        <v>506</v>
      </c>
      <c r="B280" s="457">
        <v>30000</v>
      </c>
      <c r="C280" s="457">
        <v>30000</v>
      </c>
      <c r="D280" s="457">
        <v>30000</v>
      </c>
      <c r="E280" s="457">
        <v>30000</v>
      </c>
      <c r="F280" s="457">
        <v>30000</v>
      </c>
      <c r="G280" s="457">
        <v>0</v>
      </c>
      <c r="H280" s="457">
        <v>0</v>
      </c>
      <c r="I280" s="457">
        <v>0</v>
      </c>
      <c r="J280" s="457">
        <v>30000</v>
      </c>
      <c r="K280" s="457">
        <v>0</v>
      </c>
      <c r="L280" s="457">
        <v>0</v>
      </c>
      <c r="M280" s="457">
        <v>0</v>
      </c>
      <c r="N280" s="457">
        <v>0</v>
      </c>
      <c r="O280" s="457">
        <v>0</v>
      </c>
      <c r="P280" s="457">
        <v>0</v>
      </c>
      <c r="Q280" s="457">
        <v>0</v>
      </c>
      <c r="R280" s="457">
        <v>0</v>
      </c>
      <c r="S280" s="457">
        <v>30000</v>
      </c>
      <c r="T280" s="410">
        <v>1</v>
      </c>
      <c r="U280" s="285">
        <v>0</v>
      </c>
      <c r="V280" s="285">
        <v>0</v>
      </c>
      <c r="W280" s="285">
        <v>0</v>
      </c>
      <c r="X280" s="285">
        <v>0</v>
      </c>
      <c r="Y280" s="285">
        <v>0</v>
      </c>
      <c r="Z280" s="285">
        <v>0</v>
      </c>
    </row>
    <row r="281" spans="1:26" x14ac:dyDescent="0.2">
      <c r="A281" s="412" t="s">
        <v>507</v>
      </c>
      <c r="B281" s="457">
        <v>128140</v>
      </c>
      <c r="C281" s="457">
        <v>128140</v>
      </c>
      <c r="D281" s="457">
        <v>128140</v>
      </c>
      <c r="E281" s="457">
        <v>94900</v>
      </c>
      <c r="F281" s="457">
        <v>42505</v>
      </c>
      <c r="G281" s="457">
        <v>0</v>
      </c>
      <c r="H281" s="457">
        <v>0</v>
      </c>
      <c r="I281" s="457">
        <v>0</v>
      </c>
      <c r="J281" s="457">
        <v>0</v>
      </c>
      <c r="K281" s="457">
        <v>15890</v>
      </c>
      <c r="L281" s="457">
        <v>0</v>
      </c>
      <c r="M281" s="457">
        <v>11917.5</v>
      </c>
      <c r="N281" s="457">
        <v>3972.5</v>
      </c>
      <c r="O281" s="457">
        <v>10725</v>
      </c>
      <c r="P281" s="457">
        <v>0</v>
      </c>
      <c r="Q281" s="457">
        <v>0</v>
      </c>
      <c r="R281" s="457">
        <v>0</v>
      </c>
      <c r="S281" s="457">
        <v>42505</v>
      </c>
      <c r="T281" s="410">
        <v>0.3317075074137662</v>
      </c>
      <c r="U281" s="285">
        <v>85635</v>
      </c>
      <c r="V281" s="285">
        <v>0</v>
      </c>
      <c r="W281" s="285">
        <v>33240</v>
      </c>
      <c r="X281" s="285">
        <v>33240</v>
      </c>
      <c r="Y281" s="285">
        <v>52395</v>
      </c>
      <c r="Z281" s="285">
        <v>0</v>
      </c>
    </row>
    <row r="282" spans="1:26" x14ac:dyDescent="0.2">
      <c r="A282" s="412" t="s">
        <v>508</v>
      </c>
      <c r="B282" s="457">
        <v>0</v>
      </c>
      <c r="C282" s="457">
        <v>0</v>
      </c>
      <c r="D282" s="457">
        <v>0</v>
      </c>
      <c r="E282" s="457">
        <v>0</v>
      </c>
      <c r="F282" s="457">
        <v>0</v>
      </c>
      <c r="G282" s="457">
        <v>0</v>
      </c>
      <c r="H282" s="457">
        <v>0</v>
      </c>
      <c r="I282" s="457">
        <v>0</v>
      </c>
      <c r="J282" s="457">
        <v>0</v>
      </c>
      <c r="K282" s="457">
        <v>0</v>
      </c>
      <c r="L282" s="457">
        <v>0</v>
      </c>
      <c r="M282" s="457">
        <v>0</v>
      </c>
      <c r="N282" s="457">
        <v>0</v>
      </c>
      <c r="O282" s="457">
        <v>0</v>
      </c>
      <c r="P282" s="457">
        <v>0</v>
      </c>
      <c r="Q282" s="457">
        <v>0</v>
      </c>
      <c r="R282" s="457">
        <v>0</v>
      </c>
      <c r="S282" s="457">
        <v>0</v>
      </c>
      <c r="T282" s="410" t="e">
        <v>#DIV/0!</v>
      </c>
      <c r="U282" s="285">
        <v>0</v>
      </c>
      <c r="V282" s="285">
        <v>0</v>
      </c>
      <c r="W282" s="285">
        <v>0</v>
      </c>
      <c r="X282" s="285">
        <v>0</v>
      </c>
      <c r="Y282" s="285">
        <v>0</v>
      </c>
      <c r="Z282" s="285">
        <v>0</v>
      </c>
    </row>
    <row r="283" spans="1:26" x14ac:dyDescent="0.2">
      <c r="A283" s="412" t="s">
        <v>509</v>
      </c>
      <c r="B283" s="457">
        <v>0</v>
      </c>
      <c r="C283" s="457">
        <v>0</v>
      </c>
      <c r="D283" s="457">
        <v>0</v>
      </c>
      <c r="E283" s="457">
        <v>0</v>
      </c>
      <c r="F283" s="457">
        <v>0</v>
      </c>
      <c r="G283" s="457">
        <v>0</v>
      </c>
      <c r="H283" s="457">
        <v>0</v>
      </c>
      <c r="I283" s="457">
        <v>0</v>
      </c>
      <c r="J283" s="457">
        <v>0</v>
      </c>
      <c r="K283" s="457">
        <v>0</v>
      </c>
      <c r="L283" s="457">
        <v>0</v>
      </c>
      <c r="M283" s="457">
        <v>0</v>
      </c>
      <c r="N283" s="457">
        <v>0</v>
      </c>
      <c r="O283" s="457">
        <v>0</v>
      </c>
      <c r="P283" s="457">
        <v>0</v>
      </c>
      <c r="Q283" s="457">
        <v>0</v>
      </c>
      <c r="R283" s="457">
        <v>0</v>
      </c>
      <c r="S283" s="457">
        <v>0</v>
      </c>
      <c r="T283" s="410" t="e">
        <v>#DIV/0!</v>
      </c>
      <c r="U283" s="285">
        <v>0</v>
      </c>
      <c r="V283" s="285">
        <v>0</v>
      </c>
      <c r="W283" s="285">
        <v>0</v>
      </c>
      <c r="X283" s="285">
        <v>0</v>
      </c>
      <c r="Y283" s="285">
        <v>0</v>
      </c>
      <c r="Z283" s="285">
        <v>0</v>
      </c>
    </row>
    <row r="284" spans="1:26" x14ac:dyDescent="0.2">
      <c r="A284" s="412" t="s">
        <v>510</v>
      </c>
      <c r="B284" s="457">
        <v>0</v>
      </c>
      <c r="C284" s="457">
        <v>0</v>
      </c>
      <c r="D284" s="457">
        <v>0</v>
      </c>
      <c r="E284" s="457">
        <v>0</v>
      </c>
      <c r="F284" s="457">
        <v>0</v>
      </c>
      <c r="G284" s="457">
        <v>0</v>
      </c>
      <c r="H284" s="457">
        <v>0</v>
      </c>
      <c r="I284" s="457">
        <v>0</v>
      </c>
      <c r="J284" s="457">
        <v>0</v>
      </c>
      <c r="K284" s="457">
        <v>0</v>
      </c>
      <c r="L284" s="457">
        <v>0</v>
      </c>
      <c r="M284" s="457">
        <v>0</v>
      </c>
      <c r="N284" s="457">
        <v>0</v>
      </c>
      <c r="O284" s="457">
        <v>0</v>
      </c>
      <c r="P284" s="457">
        <v>0</v>
      </c>
      <c r="Q284" s="457">
        <v>0</v>
      </c>
      <c r="R284" s="457">
        <v>0</v>
      </c>
      <c r="S284" s="457">
        <v>0</v>
      </c>
      <c r="T284" s="410" t="e">
        <v>#DIV/0!</v>
      </c>
      <c r="U284" s="285">
        <v>0</v>
      </c>
      <c r="V284" s="285">
        <v>0</v>
      </c>
      <c r="W284" s="285">
        <v>0</v>
      </c>
      <c r="X284" s="285">
        <v>0</v>
      </c>
      <c r="Y284" s="285">
        <v>0</v>
      </c>
      <c r="Z284" s="285">
        <v>0</v>
      </c>
    </row>
    <row r="285" spans="1:26" x14ac:dyDescent="0.2">
      <c r="A285" s="404" t="s">
        <v>511</v>
      </c>
      <c r="B285" s="448">
        <v>99444</v>
      </c>
      <c r="C285" s="448">
        <v>99444</v>
      </c>
      <c r="D285" s="448">
        <v>99444</v>
      </c>
      <c r="E285" s="448">
        <v>50694</v>
      </c>
      <c r="F285" s="448">
        <v>50694</v>
      </c>
      <c r="G285" s="448">
        <v>0</v>
      </c>
      <c r="H285" s="448">
        <v>0</v>
      </c>
      <c r="I285" s="448">
        <v>84</v>
      </c>
      <c r="J285" s="448">
        <v>82</v>
      </c>
      <c r="K285" s="448">
        <v>277</v>
      </c>
      <c r="L285" s="448">
        <v>21962</v>
      </c>
      <c r="M285" s="448">
        <v>154</v>
      </c>
      <c r="N285" s="448">
        <v>152</v>
      </c>
      <c r="O285" s="448">
        <v>27983</v>
      </c>
      <c r="P285" s="448">
        <v>0</v>
      </c>
      <c r="Q285" s="448">
        <v>0</v>
      </c>
      <c r="R285" s="448">
        <v>0</v>
      </c>
      <c r="S285" s="448">
        <v>50694</v>
      </c>
      <c r="T285" s="407">
        <v>0.50977434536020272</v>
      </c>
      <c r="U285" s="406">
        <v>48750</v>
      </c>
      <c r="V285" s="406">
        <v>0</v>
      </c>
      <c r="W285" s="406">
        <v>48750</v>
      </c>
      <c r="X285" s="406">
        <v>48750</v>
      </c>
      <c r="Y285" s="406">
        <v>0</v>
      </c>
      <c r="Z285" s="406">
        <v>0</v>
      </c>
    </row>
    <row r="286" spans="1:26" x14ac:dyDescent="0.2">
      <c r="A286" s="412" t="s">
        <v>512</v>
      </c>
      <c r="B286" s="457">
        <v>9944</v>
      </c>
      <c r="C286" s="457">
        <v>9944</v>
      </c>
      <c r="D286" s="457">
        <v>9944</v>
      </c>
      <c r="E286" s="457">
        <v>1069</v>
      </c>
      <c r="F286" s="457">
        <v>1069</v>
      </c>
      <c r="G286" s="457">
        <v>0</v>
      </c>
      <c r="H286" s="457">
        <v>0</v>
      </c>
      <c r="I286" s="457">
        <v>84</v>
      </c>
      <c r="J286" s="457">
        <v>82</v>
      </c>
      <c r="K286" s="457">
        <v>277</v>
      </c>
      <c r="L286" s="457">
        <v>153</v>
      </c>
      <c r="M286" s="457">
        <v>154</v>
      </c>
      <c r="N286" s="457">
        <v>152</v>
      </c>
      <c r="O286" s="457">
        <v>167</v>
      </c>
      <c r="P286" s="457">
        <v>0</v>
      </c>
      <c r="Q286" s="457">
        <v>0</v>
      </c>
      <c r="R286" s="457">
        <v>0</v>
      </c>
      <c r="S286" s="457">
        <v>1069</v>
      </c>
      <c r="T286" s="410">
        <v>0.10750201126307321</v>
      </c>
      <c r="U286" s="285">
        <v>8875</v>
      </c>
      <c r="V286" s="285">
        <v>0</v>
      </c>
      <c r="W286" s="285">
        <v>8875</v>
      </c>
      <c r="X286" s="285">
        <v>8875</v>
      </c>
      <c r="Y286" s="285">
        <v>0</v>
      </c>
      <c r="Z286" s="285">
        <v>0</v>
      </c>
    </row>
    <row r="287" spans="1:26" x14ac:dyDescent="0.2">
      <c r="A287" s="412" t="s">
        <v>513</v>
      </c>
      <c r="B287" s="457">
        <v>89500</v>
      </c>
      <c r="C287" s="457">
        <v>89500</v>
      </c>
      <c r="D287" s="457">
        <v>89500</v>
      </c>
      <c r="E287" s="457">
        <v>49625</v>
      </c>
      <c r="F287" s="457">
        <v>49625</v>
      </c>
      <c r="G287" s="457">
        <v>0</v>
      </c>
      <c r="H287" s="457">
        <v>0</v>
      </c>
      <c r="I287" s="457">
        <v>0</v>
      </c>
      <c r="J287" s="457">
        <v>0</v>
      </c>
      <c r="K287" s="457">
        <v>0</v>
      </c>
      <c r="L287" s="457">
        <v>21809</v>
      </c>
      <c r="M287" s="457">
        <v>0</v>
      </c>
      <c r="N287" s="457">
        <v>0</v>
      </c>
      <c r="O287" s="457">
        <v>27816</v>
      </c>
      <c r="P287" s="457">
        <v>0</v>
      </c>
      <c r="Q287" s="457">
        <v>0</v>
      </c>
      <c r="R287" s="457">
        <v>0</v>
      </c>
      <c r="S287" s="457">
        <v>49625</v>
      </c>
      <c r="T287" s="410">
        <v>0.5544692737430168</v>
      </c>
      <c r="U287" s="285">
        <v>39875</v>
      </c>
      <c r="V287" s="285">
        <v>0</v>
      </c>
      <c r="W287" s="285">
        <v>39875</v>
      </c>
      <c r="X287" s="285">
        <v>39875</v>
      </c>
      <c r="Y287" s="285">
        <v>0</v>
      </c>
      <c r="Z287" s="285">
        <v>0</v>
      </c>
    </row>
    <row r="288" spans="1:26" x14ac:dyDescent="0.2">
      <c r="A288" s="404" t="s">
        <v>514</v>
      </c>
      <c r="B288" s="247">
        <v>17500</v>
      </c>
      <c r="C288" s="247">
        <v>17500</v>
      </c>
      <c r="D288" s="247">
        <v>17500</v>
      </c>
      <c r="E288" s="247">
        <v>12367.5</v>
      </c>
      <c r="F288" s="247">
        <v>12367.5</v>
      </c>
      <c r="G288" s="247">
        <v>0</v>
      </c>
      <c r="H288" s="247">
        <v>0</v>
      </c>
      <c r="I288" s="247">
        <v>0</v>
      </c>
      <c r="J288" s="247">
        <v>9300</v>
      </c>
      <c r="K288" s="247">
        <v>0</v>
      </c>
      <c r="L288" s="247">
        <v>1075.5</v>
      </c>
      <c r="M288" s="247">
        <v>425</v>
      </c>
      <c r="N288" s="247">
        <v>0</v>
      </c>
      <c r="O288" s="247">
        <v>1567</v>
      </c>
      <c r="P288" s="247">
        <v>0</v>
      </c>
      <c r="Q288" s="247">
        <v>0</v>
      </c>
      <c r="R288" s="247">
        <v>0</v>
      </c>
      <c r="S288" s="247">
        <v>12367.5</v>
      </c>
      <c r="T288" s="407">
        <v>0.70671428571428574</v>
      </c>
      <c r="U288" s="406">
        <v>5132.5</v>
      </c>
      <c r="V288" s="406">
        <v>0</v>
      </c>
      <c r="W288" s="406">
        <v>5132.5</v>
      </c>
      <c r="X288" s="406">
        <v>5132.5</v>
      </c>
      <c r="Y288" s="406">
        <v>0</v>
      </c>
      <c r="Z288" s="406">
        <v>0</v>
      </c>
    </row>
    <row r="289" spans="1:26" x14ac:dyDescent="0.2">
      <c r="A289" s="404" t="s">
        <v>515</v>
      </c>
      <c r="B289" s="448">
        <v>0</v>
      </c>
      <c r="C289" s="448">
        <v>0</v>
      </c>
      <c r="D289" s="448">
        <v>0</v>
      </c>
      <c r="E289" s="448">
        <v>0</v>
      </c>
      <c r="F289" s="448">
        <v>0</v>
      </c>
      <c r="G289" s="448">
        <v>0</v>
      </c>
      <c r="H289" s="448">
        <v>0</v>
      </c>
      <c r="I289" s="448">
        <v>0</v>
      </c>
      <c r="J289" s="448">
        <v>0</v>
      </c>
      <c r="K289" s="448">
        <v>0</v>
      </c>
      <c r="L289" s="448">
        <v>0</v>
      </c>
      <c r="M289" s="448">
        <v>0</v>
      </c>
      <c r="N289" s="448">
        <v>0</v>
      </c>
      <c r="O289" s="448">
        <v>0</v>
      </c>
      <c r="P289" s="448">
        <v>0</v>
      </c>
      <c r="Q289" s="448">
        <v>0</v>
      </c>
      <c r="R289" s="448">
        <v>0</v>
      </c>
      <c r="S289" s="448">
        <v>0</v>
      </c>
      <c r="T289" s="407" t="e">
        <v>#DIV/0!</v>
      </c>
      <c r="U289" s="406">
        <v>0</v>
      </c>
      <c r="V289" s="406">
        <v>0</v>
      </c>
      <c r="W289" s="406">
        <v>0</v>
      </c>
      <c r="X289" s="406">
        <v>0</v>
      </c>
      <c r="Y289" s="406">
        <v>0</v>
      </c>
      <c r="Z289" s="406">
        <v>0</v>
      </c>
    </row>
    <row r="290" spans="1:26" x14ac:dyDescent="0.2">
      <c r="A290" s="412" t="s">
        <v>516</v>
      </c>
      <c r="B290" s="457">
        <v>0</v>
      </c>
      <c r="C290" s="457">
        <v>0</v>
      </c>
      <c r="D290" s="457">
        <v>0</v>
      </c>
      <c r="E290" s="457">
        <v>0</v>
      </c>
      <c r="F290" s="457">
        <v>0</v>
      </c>
      <c r="G290" s="457">
        <v>0</v>
      </c>
      <c r="H290" s="457">
        <v>0</v>
      </c>
      <c r="I290" s="457">
        <v>0</v>
      </c>
      <c r="J290" s="457">
        <v>0</v>
      </c>
      <c r="K290" s="457">
        <v>0</v>
      </c>
      <c r="L290" s="457">
        <v>0</v>
      </c>
      <c r="M290" s="457">
        <v>0</v>
      </c>
      <c r="N290" s="457">
        <v>0</v>
      </c>
      <c r="O290" s="457">
        <v>0</v>
      </c>
      <c r="P290" s="457">
        <v>0</v>
      </c>
      <c r="Q290" s="457">
        <v>0</v>
      </c>
      <c r="R290" s="457">
        <v>0</v>
      </c>
      <c r="S290" s="457">
        <v>0</v>
      </c>
      <c r="T290" s="410" t="e">
        <v>#DIV/0!</v>
      </c>
      <c r="U290" s="285">
        <v>0</v>
      </c>
      <c r="V290" s="285">
        <v>0</v>
      </c>
      <c r="W290" s="285">
        <v>0</v>
      </c>
      <c r="X290" s="285">
        <v>0</v>
      </c>
      <c r="Y290" s="285">
        <v>0</v>
      </c>
      <c r="Z290" s="285">
        <v>0</v>
      </c>
    </row>
    <row r="291" spans="1:26" x14ac:dyDescent="0.2">
      <c r="A291" s="412" t="s">
        <v>517</v>
      </c>
      <c r="B291" s="457">
        <v>0</v>
      </c>
      <c r="C291" s="457">
        <v>0</v>
      </c>
      <c r="D291" s="457">
        <v>0</v>
      </c>
      <c r="E291" s="457">
        <v>0</v>
      </c>
      <c r="F291" s="457">
        <v>0</v>
      </c>
      <c r="G291" s="457">
        <v>0</v>
      </c>
      <c r="H291" s="457">
        <v>0</v>
      </c>
      <c r="I291" s="457">
        <v>0</v>
      </c>
      <c r="J291" s="457">
        <v>0</v>
      </c>
      <c r="K291" s="457">
        <v>0</v>
      </c>
      <c r="L291" s="457">
        <v>0</v>
      </c>
      <c r="M291" s="457">
        <v>0</v>
      </c>
      <c r="N291" s="457">
        <v>0</v>
      </c>
      <c r="O291" s="457">
        <v>0</v>
      </c>
      <c r="P291" s="457">
        <v>0</v>
      </c>
      <c r="Q291" s="457">
        <v>0</v>
      </c>
      <c r="R291" s="457">
        <v>0</v>
      </c>
      <c r="S291" s="457">
        <v>0</v>
      </c>
      <c r="T291" s="410" t="e">
        <v>#DIV/0!</v>
      </c>
      <c r="U291" s="285">
        <v>0</v>
      </c>
      <c r="V291" s="285">
        <v>0</v>
      </c>
      <c r="W291" s="285">
        <v>0</v>
      </c>
      <c r="X291" s="285">
        <v>0</v>
      </c>
      <c r="Y291" s="285">
        <v>0</v>
      </c>
      <c r="Z291" s="285">
        <v>0</v>
      </c>
    </row>
    <row r="292" spans="1:26" x14ac:dyDescent="0.2">
      <c r="A292" s="404" t="s">
        <v>518</v>
      </c>
      <c r="B292" s="448">
        <v>46267</v>
      </c>
      <c r="C292" s="448">
        <v>46267</v>
      </c>
      <c r="D292" s="448">
        <v>46267</v>
      </c>
      <c r="E292" s="448">
        <v>15803.200000000003</v>
      </c>
      <c r="F292" s="448">
        <v>15803.200000000003</v>
      </c>
      <c r="G292" s="448">
        <v>0</v>
      </c>
      <c r="H292" s="448">
        <v>0</v>
      </c>
      <c r="I292" s="448">
        <v>0</v>
      </c>
      <c r="J292" s="448">
        <v>3055.35</v>
      </c>
      <c r="K292" s="448">
        <v>0</v>
      </c>
      <c r="L292" s="448">
        <v>4421.33</v>
      </c>
      <c r="M292" s="448">
        <v>0</v>
      </c>
      <c r="N292" s="448">
        <v>0</v>
      </c>
      <c r="O292" s="448">
        <v>8326.52</v>
      </c>
      <c r="P292" s="448">
        <v>0</v>
      </c>
      <c r="Q292" s="448">
        <v>0</v>
      </c>
      <c r="R292" s="448">
        <v>0</v>
      </c>
      <c r="S292" s="448">
        <v>15803.2</v>
      </c>
      <c r="T292" s="407">
        <v>0.34156526249810881</v>
      </c>
      <c r="U292" s="406">
        <v>30463.8</v>
      </c>
      <c r="V292" s="406">
        <v>0</v>
      </c>
      <c r="W292" s="406">
        <v>30463.799999999996</v>
      </c>
      <c r="X292" s="406">
        <v>30463.799999999996</v>
      </c>
      <c r="Y292" s="406">
        <v>0</v>
      </c>
      <c r="Z292" s="406">
        <v>0</v>
      </c>
    </row>
    <row r="293" spans="1:26" x14ac:dyDescent="0.2">
      <c r="A293" s="412" t="s">
        <v>519</v>
      </c>
      <c r="B293" s="457">
        <v>0</v>
      </c>
      <c r="C293" s="457">
        <v>0</v>
      </c>
      <c r="D293" s="457">
        <v>0</v>
      </c>
      <c r="E293" s="457">
        <v>0</v>
      </c>
      <c r="F293" s="457">
        <v>0</v>
      </c>
      <c r="G293" s="457">
        <v>0</v>
      </c>
      <c r="H293" s="457">
        <v>0</v>
      </c>
      <c r="I293" s="457">
        <v>0</v>
      </c>
      <c r="J293" s="457">
        <v>0</v>
      </c>
      <c r="K293" s="457">
        <v>0</v>
      </c>
      <c r="L293" s="457">
        <v>0</v>
      </c>
      <c r="M293" s="457">
        <v>0</v>
      </c>
      <c r="N293" s="457">
        <v>0</v>
      </c>
      <c r="O293" s="457">
        <v>0</v>
      </c>
      <c r="P293" s="457">
        <v>0</v>
      </c>
      <c r="Q293" s="457">
        <v>0</v>
      </c>
      <c r="R293" s="457">
        <v>0</v>
      </c>
      <c r="S293" s="457">
        <v>0</v>
      </c>
      <c r="T293" s="410" t="e">
        <v>#DIV/0!</v>
      </c>
      <c r="U293" s="285">
        <v>0</v>
      </c>
      <c r="V293" s="285">
        <v>0</v>
      </c>
      <c r="W293" s="285">
        <v>0</v>
      </c>
      <c r="X293" s="285">
        <v>0</v>
      </c>
      <c r="Y293" s="285">
        <v>0</v>
      </c>
      <c r="Z293" s="285">
        <v>0</v>
      </c>
    </row>
    <row r="294" spans="1:26" x14ac:dyDescent="0.2">
      <c r="A294" s="412" t="s">
        <v>520</v>
      </c>
      <c r="B294" s="457">
        <v>46267</v>
      </c>
      <c r="C294" s="457">
        <v>46267</v>
      </c>
      <c r="D294" s="457">
        <v>46267</v>
      </c>
      <c r="E294" s="457">
        <v>15803.200000000003</v>
      </c>
      <c r="F294" s="457">
        <v>15803.200000000003</v>
      </c>
      <c r="G294" s="457">
        <v>0</v>
      </c>
      <c r="H294" s="457">
        <v>0</v>
      </c>
      <c r="I294" s="457">
        <v>0</v>
      </c>
      <c r="J294" s="457">
        <v>3055.35</v>
      </c>
      <c r="K294" s="457">
        <v>0</v>
      </c>
      <c r="L294" s="457">
        <v>4421.33</v>
      </c>
      <c r="M294" s="457">
        <v>0</v>
      </c>
      <c r="N294" s="457">
        <v>0</v>
      </c>
      <c r="O294" s="457">
        <v>8326.52</v>
      </c>
      <c r="P294" s="457">
        <v>0</v>
      </c>
      <c r="Q294" s="457">
        <v>0</v>
      </c>
      <c r="R294" s="457">
        <v>0</v>
      </c>
      <c r="S294" s="457">
        <v>15803.2</v>
      </c>
      <c r="T294" s="410">
        <v>0.34156526249810881</v>
      </c>
      <c r="U294" s="285">
        <v>30463.8</v>
      </c>
      <c r="V294" s="285">
        <v>0</v>
      </c>
      <c r="W294" s="285">
        <v>30463.799999999996</v>
      </c>
      <c r="X294" s="285">
        <v>30463.799999999996</v>
      </c>
      <c r="Y294" s="285">
        <v>0</v>
      </c>
      <c r="Z294" s="285">
        <v>0</v>
      </c>
    </row>
    <row r="295" spans="1:26" x14ac:dyDescent="0.2">
      <c r="A295" s="404" t="s">
        <v>521</v>
      </c>
      <c r="B295" s="448">
        <v>177847</v>
      </c>
      <c r="C295" s="448">
        <v>177847</v>
      </c>
      <c r="D295" s="448">
        <v>177847</v>
      </c>
      <c r="E295" s="448">
        <v>119929.79999999999</v>
      </c>
      <c r="F295" s="448">
        <v>119673.8</v>
      </c>
      <c r="G295" s="448">
        <v>320</v>
      </c>
      <c r="H295" s="448">
        <v>2788</v>
      </c>
      <c r="I295" s="448">
        <v>8556</v>
      </c>
      <c r="J295" s="448">
        <v>20844</v>
      </c>
      <c r="K295" s="448">
        <v>13424</v>
      </c>
      <c r="L295" s="448">
        <v>19542.8</v>
      </c>
      <c r="M295" s="448">
        <v>19652</v>
      </c>
      <c r="N295" s="448">
        <v>5108</v>
      </c>
      <c r="O295" s="448">
        <v>29239</v>
      </c>
      <c r="P295" s="448">
        <v>0</v>
      </c>
      <c r="Q295" s="448">
        <v>0</v>
      </c>
      <c r="R295" s="448">
        <v>0</v>
      </c>
      <c r="S295" s="448">
        <v>119473.8</v>
      </c>
      <c r="T295" s="407">
        <v>0.67177855122661612</v>
      </c>
      <c r="U295" s="406">
        <v>58373.2</v>
      </c>
      <c r="V295" s="406">
        <v>0</v>
      </c>
      <c r="W295" s="406">
        <v>57917.200000000012</v>
      </c>
      <c r="X295" s="406">
        <v>57917.200000000012</v>
      </c>
      <c r="Y295" s="406">
        <v>255.99999999998545</v>
      </c>
      <c r="Z295" s="406">
        <v>200</v>
      </c>
    </row>
    <row r="296" spans="1:26" x14ac:dyDescent="0.2">
      <c r="A296" s="409" t="s">
        <v>522</v>
      </c>
      <c r="B296" s="457">
        <v>120000</v>
      </c>
      <c r="C296" s="457">
        <v>120000</v>
      </c>
      <c r="D296" s="457">
        <v>120000</v>
      </c>
      <c r="E296" s="457">
        <v>94792</v>
      </c>
      <c r="F296" s="457">
        <v>94536</v>
      </c>
      <c r="G296" s="457">
        <v>320</v>
      </c>
      <c r="H296" s="457">
        <v>2788</v>
      </c>
      <c r="I296" s="457">
        <v>8556</v>
      </c>
      <c r="J296" s="457">
        <v>16428</v>
      </c>
      <c r="K296" s="457">
        <v>13424</v>
      </c>
      <c r="L296" s="457">
        <v>14960</v>
      </c>
      <c r="M296" s="457">
        <v>19652</v>
      </c>
      <c r="N296" s="457">
        <v>5108</v>
      </c>
      <c r="O296" s="457">
        <v>13100</v>
      </c>
      <c r="P296" s="457">
        <v>0</v>
      </c>
      <c r="Q296" s="457">
        <v>0</v>
      </c>
      <c r="R296" s="457">
        <v>0</v>
      </c>
      <c r="S296" s="457">
        <v>94336</v>
      </c>
      <c r="T296" s="410">
        <v>0.78613333333333335</v>
      </c>
      <c r="U296" s="285">
        <v>25664</v>
      </c>
      <c r="V296" s="285">
        <v>0</v>
      </c>
      <c r="W296" s="285">
        <v>25208</v>
      </c>
      <c r="X296" s="285">
        <v>25208</v>
      </c>
      <c r="Y296" s="285">
        <v>256</v>
      </c>
      <c r="Z296" s="285">
        <v>200</v>
      </c>
    </row>
    <row r="297" spans="1:26" ht="24" x14ac:dyDescent="0.2">
      <c r="A297" s="409" t="s">
        <v>523</v>
      </c>
      <c r="B297" s="457">
        <v>57847</v>
      </c>
      <c r="C297" s="457">
        <v>57847</v>
      </c>
      <c r="D297" s="457">
        <v>57847</v>
      </c>
      <c r="E297" s="457">
        <v>25137.799999999996</v>
      </c>
      <c r="F297" s="457">
        <v>25137.800000000003</v>
      </c>
      <c r="G297" s="457">
        <v>0</v>
      </c>
      <c r="H297" s="457">
        <v>0</v>
      </c>
      <c r="I297" s="457">
        <v>0</v>
      </c>
      <c r="J297" s="457">
        <v>4416</v>
      </c>
      <c r="K297" s="457">
        <v>0</v>
      </c>
      <c r="L297" s="457">
        <v>4582.7999999999993</v>
      </c>
      <c r="M297" s="457">
        <v>0</v>
      </c>
      <c r="N297" s="457">
        <v>0</v>
      </c>
      <c r="O297" s="457">
        <v>16138.999999999998</v>
      </c>
      <c r="P297" s="457">
        <v>0</v>
      </c>
      <c r="Q297" s="457">
        <v>0</v>
      </c>
      <c r="R297" s="457">
        <v>0</v>
      </c>
      <c r="S297" s="457">
        <v>25137.799999999996</v>
      </c>
      <c r="T297" s="410">
        <v>0.43455667536778048</v>
      </c>
      <c r="U297" s="285">
        <v>32709.200000000004</v>
      </c>
      <c r="V297" s="285">
        <v>0</v>
      </c>
      <c r="W297" s="285">
        <v>32709.200000000004</v>
      </c>
      <c r="X297" s="285">
        <v>32709.200000000004</v>
      </c>
      <c r="Y297" s="285">
        <v>0</v>
      </c>
      <c r="Z297" s="285">
        <v>0</v>
      </c>
    </row>
    <row r="298" spans="1:26" ht="24" x14ac:dyDescent="0.2">
      <c r="A298" s="409" t="s">
        <v>524</v>
      </c>
      <c r="B298" s="457">
        <v>0</v>
      </c>
      <c r="C298" s="457">
        <v>0</v>
      </c>
      <c r="D298" s="457">
        <v>0</v>
      </c>
      <c r="E298" s="457">
        <v>0</v>
      </c>
      <c r="F298" s="457">
        <v>0</v>
      </c>
      <c r="G298" s="457">
        <v>0</v>
      </c>
      <c r="H298" s="457">
        <v>0</v>
      </c>
      <c r="I298" s="457">
        <v>0</v>
      </c>
      <c r="J298" s="457">
        <v>0</v>
      </c>
      <c r="K298" s="457">
        <v>0</v>
      </c>
      <c r="L298" s="457">
        <v>0</v>
      </c>
      <c r="M298" s="457">
        <v>0</v>
      </c>
      <c r="N298" s="457">
        <v>0</v>
      </c>
      <c r="O298" s="457">
        <v>0</v>
      </c>
      <c r="P298" s="457">
        <v>0</v>
      </c>
      <c r="Q298" s="457">
        <v>0</v>
      </c>
      <c r="R298" s="457">
        <v>0</v>
      </c>
      <c r="S298" s="457">
        <v>0</v>
      </c>
      <c r="T298" s="410" t="e">
        <v>#DIV/0!</v>
      </c>
      <c r="U298" s="285">
        <v>0</v>
      </c>
      <c r="V298" s="285">
        <v>0</v>
      </c>
      <c r="W298" s="285">
        <v>0</v>
      </c>
      <c r="X298" s="285">
        <v>0</v>
      </c>
      <c r="Y298" s="285">
        <v>0</v>
      </c>
      <c r="Z298" s="285">
        <v>0</v>
      </c>
    </row>
    <row r="299" spans="1:26" x14ac:dyDescent="0.2">
      <c r="A299" s="404" t="s">
        <v>525</v>
      </c>
      <c r="B299" s="448">
        <v>94020</v>
      </c>
      <c r="C299" s="448">
        <v>130273.3</v>
      </c>
      <c r="D299" s="448">
        <v>130273.3</v>
      </c>
      <c r="E299" s="448">
        <v>23824.85</v>
      </c>
      <c r="F299" s="448">
        <v>22154.85</v>
      </c>
      <c r="G299" s="448">
        <v>0</v>
      </c>
      <c r="H299" s="448">
        <v>0</v>
      </c>
      <c r="I299" s="448">
        <v>0</v>
      </c>
      <c r="J299" s="448">
        <v>700</v>
      </c>
      <c r="K299" s="448">
        <v>0</v>
      </c>
      <c r="L299" s="448">
        <v>21304.85</v>
      </c>
      <c r="M299" s="448">
        <v>0</v>
      </c>
      <c r="N299" s="448">
        <v>150</v>
      </c>
      <c r="O299" s="448">
        <v>0</v>
      </c>
      <c r="P299" s="448">
        <v>0</v>
      </c>
      <c r="Q299" s="448">
        <v>0</v>
      </c>
      <c r="R299" s="448">
        <v>0</v>
      </c>
      <c r="S299" s="448">
        <v>22154.85</v>
      </c>
      <c r="T299" s="407">
        <v>0.17006439539030638</v>
      </c>
      <c r="U299" s="406">
        <v>108118.45000000001</v>
      </c>
      <c r="V299" s="406">
        <v>0</v>
      </c>
      <c r="W299" s="406">
        <v>106448.45000000001</v>
      </c>
      <c r="X299" s="406">
        <v>106448.45000000001</v>
      </c>
      <c r="Y299" s="406">
        <v>1670</v>
      </c>
      <c r="Z299" s="406">
        <v>0</v>
      </c>
    </row>
    <row r="300" spans="1:26" x14ac:dyDescent="0.2">
      <c r="A300" s="412" t="s">
        <v>526</v>
      </c>
      <c r="B300" s="457">
        <v>0</v>
      </c>
      <c r="C300" s="457">
        <v>0</v>
      </c>
      <c r="D300" s="457">
        <v>0</v>
      </c>
      <c r="E300" s="457">
        <v>0</v>
      </c>
      <c r="F300" s="457">
        <v>0</v>
      </c>
      <c r="G300" s="457">
        <v>0</v>
      </c>
      <c r="H300" s="457">
        <v>0</v>
      </c>
      <c r="I300" s="457">
        <v>0</v>
      </c>
      <c r="J300" s="457">
        <v>0</v>
      </c>
      <c r="K300" s="457">
        <v>0</v>
      </c>
      <c r="L300" s="457">
        <v>0</v>
      </c>
      <c r="M300" s="457">
        <v>0</v>
      </c>
      <c r="N300" s="457">
        <v>0</v>
      </c>
      <c r="O300" s="457">
        <v>0</v>
      </c>
      <c r="P300" s="457">
        <v>0</v>
      </c>
      <c r="Q300" s="457">
        <v>0</v>
      </c>
      <c r="R300" s="457">
        <v>0</v>
      </c>
      <c r="S300" s="457">
        <v>0</v>
      </c>
      <c r="T300" s="410" t="e">
        <v>#DIV/0!</v>
      </c>
      <c r="U300" s="285">
        <v>0</v>
      </c>
      <c r="V300" s="285">
        <v>0</v>
      </c>
      <c r="W300" s="285">
        <v>0</v>
      </c>
      <c r="X300" s="285">
        <v>0</v>
      </c>
      <c r="Y300" s="285">
        <v>0</v>
      </c>
      <c r="Z300" s="285">
        <v>0</v>
      </c>
    </row>
    <row r="301" spans="1:26" x14ac:dyDescent="0.2">
      <c r="A301" s="412" t="s">
        <v>527</v>
      </c>
      <c r="B301" s="457">
        <v>20000</v>
      </c>
      <c r="C301" s="457">
        <v>20000</v>
      </c>
      <c r="D301" s="457">
        <v>20000</v>
      </c>
      <c r="E301" s="457">
        <v>900</v>
      </c>
      <c r="F301" s="457">
        <v>900</v>
      </c>
      <c r="G301" s="457">
        <v>0</v>
      </c>
      <c r="H301" s="457">
        <v>0</v>
      </c>
      <c r="I301" s="457">
        <v>0</v>
      </c>
      <c r="J301" s="457">
        <v>0</v>
      </c>
      <c r="K301" s="457">
        <v>0</v>
      </c>
      <c r="L301" s="457">
        <v>900</v>
      </c>
      <c r="M301" s="457">
        <v>0</v>
      </c>
      <c r="N301" s="457">
        <v>0</v>
      </c>
      <c r="O301" s="457">
        <v>0</v>
      </c>
      <c r="P301" s="457">
        <v>0</v>
      </c>
      <c r="Q301" s="457">
        <v>0</v>
      </c>
      <c r="R301" s="457">
        <v>0</v>
      </c>
      <c r="S301" s="457">
        <v>900</v>
      </c>
      <c r="T301" s="410">
        <v>4.4999999999999998E-2</v>
      </c>
      <c r="U301" s="285">
        <v>19100</v>
      </c>
      <c r="V301" s="285">
        <v>0</v>
      </c>
      <c r="W301" s="285">
        <v>19100</v>
      </c>
      <c r="X301" s="285">
        <v>19100</v>
      </c>
      <c r="Y301" s="285">
        <v>0</v>
      </c>
      <c r="Z301" s="285">
        <v>0</v>
      </c>
    </row>
    <row r="302" spans="1:26" x14ac:dyDescent="0.2">
      <c r="A302" s="412" t="s">
        <v>528</v>
      </c>
      <c r="B302" s="457">
        <v>0</v>
      </c>
      <c r="C302" s="457">
        <v>0</v>
      </c>
      <c r="D302" s="457">
        <v>0</v>
      </c>
      <c r="E302" s="457">
        <v>0</v>
      </c>
      <c r="F302" s="457">
        <v>0</v>
      </c>
      <c r="G302" s="457">
        <v>0</v>
      </c>
      <c r="H302" s="457">
        <v>0</v>
      </c>
      <c r="I302" s="457">
        <v>0</v>
      </c>
      <c r="J302" s="457">
        <v>0</v>
      </c>
      <c r="K302" s="457">
        <v>0</v>
      </c>
      <c r="L302" s="457">
        <v>0</v>
      </c>
      <c r="M302" s="457">
        <v>0</v>
      </c>
      <c r="N302" s="457">
        <v>0</v>
      </c>
      <c r="O302" s="457">
        <v>0</v>
      </c>
      <c r="P302" s="457">
        <v>0</v>
      </c>
      <c r="Q302" s="457">
        <v>0</v>
      </c>
      <c r="R302" s="457">
        <v>0</v>
      </c>
      <c r="S302" s="457">
        <v>0</v>
      </c>
      <c r="T302" s="410" t="e">
        <v>#DIV/0!</v>
      </c>
      <c r="U302" s="285">
        <v>0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</row>
    <row r="303" spans="1:26" x14ac:dyDescent="0.2">
      <c r="A303" s="412" t="s">
        <v>529</v>
      </c>
      <c r="B303" s="457">
        <v>50000</v>
      </c>
      <c r="C303" s="457">
        <v>50000</v>
      </c>
      <c r="D303" s="457">
        <v>50000</v>
      </c>
      <c r="E303" s="457">
        <v>0</v>
      </c>
      <c r="F303" s="457">
        <v>0</v>
      </c>
      <c r="G303" s="457">
        <v>0</v>
      </c>
      <c r="H303" s="457">
        <v>0</v>
      </c>
      <c r="I303" s="457">
        <v>0</v>
      </c>
      <c r="J303" s="457">
        <v>0</v>
      </c>
      <c r="K303" s="457">
        <v>0</v>
      </c>
      <c r="L303" s="457">
        <v>0</v>
      </c>
      <c r="M303" s="457">
        <v>0</v>
      </c>
      <c r="N303" s="457">
        <v>0</v>
      </c>
      <c r="O303" s="457">
        <v>0</v>
      </c>
      <c r="P303" s="457">
        <v>0</v>
      </c>
      <c r="Q303" s="457">
        <v>0</v>
      </c>
      <c r="R303" s="457">
        <v>0</v>
      </c>
      <c r="S303" s="457">
        <v>0</v>
      </c>
      <c r="T303" s="410">
        <v>0</v>
      </c>
      <c r="U303" s="285">
        <v>50000</v>
      </c>
      <c r="V303" s="285">
        <v>0</v>
      </c>
      <c r="W303" s="285">
        <v>50000</v>
      </c>
      <c r="X303" s="285">
        <v>50000</v>
      </c>
      <c r="Y303" s="285">
        <v>0</v>
      </c>
      <c r="Z303" s="285">
        <v>0</v>
      </c>
    </row>
    <row r="304" spans="1:26" x14ac:dyDescent="0.2">
      <c r="A304" s="412" t="s">
        <v>530</v>
      </c>
      <c r="B304" s="457">
        <v>0</v>
      </c>
      <c r="C304" s="457">
        <v>0</v>
      </c>
      <c r="D304" s="457">
        <v>0</v>
      </c>
      <c r="E304" s="457">
        <v>0</v>
      </c>
      <c r="F304" s="457">
        <v>0</v>
      </c>
      <c r="G304" s="457">
        <v>0</v>
      </c>
      <c r="H304" s="457">
        <v>0</v>
      </c>
      <c r="I304" s="457">
        <v>0</v>
      </c>
      <c r="J304" s="457">
        <v>0</v>
      </c>
      <c r="K304" s="457">
        <v>0</v>
      </c>
      <c r="L304" s="457">
        <v>0</v>
      </c>
      <c r="M304" s="457">
        <v>0</v>
      </c>
      <c r="N304" s="457">
        <v>0</v>
      </c>
      <c r="O304" s="457">
        <v>0</v>
      </c>
      <c r="P304" s="457">
        <v>0</v>
      </c>
      <c r="Q304" s="457">
        <v>0</v>
      </c>
      <c r="R304" s="457">
        <v>0</v>
      </c>
      <c r="S304" s="457">
        <v>0</v>
      </c>
      <c r="T304" s="410" t="e">
        <v>#DIV/0!</v>
      </c>
      <c r="U304" s="285">
        <v>0</v>
      </c>
      <c r="V304" s="285">
        <v>0</v>
      </c>
      <c r="W304" s="285">
        <v>0</v>
      </c>
      <c r="X304" s="285">
        <v>0</v>
      </c>
      <c r="Y304" s="285">
        <v>0</v>
      </c>
      <c r="Z304" s="285">
        <v>0</v>
      </c>
    </row>
    <row r="305" spans="1:26" x14ac:dyDescent="0.2">
      <c r="A305" s="412" t="s">
        <v>531</v>
      </c>
      <c r="B305" s="457">
        <v>6820</v>
      </c>
      <c r="C305" s="457">
        <v>6820</v>
      </c>
      <c r="D305" s="457">
        <v>6820</v>
      </c>
      <c r="E305" s="457">
        <v>2520</v>
      </c>
      <c r="F305" s="457">
        <v>850</v>
      </c>
      <c r="G305" s="457">
        <v>0</v>
      </c>
      <c r="H305" s="457">
        <v>0</v>
      </c>
      <c r="I305" s="457">
        <v>0</v>
      </c>
      <c r="J305" s="457">
        <v>700</v>
      </c>
      <c r="K305" s="457">
        <v>0</v>
      </c>
      <c r="L305" s="457">
        <v>0</v>
      </c>
      <c r="M305" s="457">
        <v>0</v>
      </c>
      <c r="N305" s="457">
        <v>150</v>
      </c>
      <c r="O305" s="457">
        <v>0</v>
      </c>
      <c r="P305" s="457">
        <v>0</v>
      </c>
      <c r="Q305" s="457">
        <v>0</v>
      </c>
      <c r="R305" s="457">
        <v>0</v>
      </c>
      <c r="S305" s="457">
        <v>850</v>
      </c>
      <c r="T305" s="410">
        <v>0.12463343108504399</v>
      </c>
      <c r="U305" s="285">
        <v>5970</v>
      </c>
      <c r="V305" s="285">
        <v>0</v>
      </c>
      <c r="W305" s="285">
        <v>4300</v>
      </c>
      <c r="X305" s="285">
        <v>4300</v>
      </c>
      <c r="Y305" s="285">
        <v>1670</v>
      </c>
      <c r="Z305" s="285">
        <v>0</v>
      </c>
    </row>
    <row r="306" spans="1:26" x14ac:dyDescent="0.2">
      <c r="A306" s="412" t="s">
        <v>532</v>
      </c>
      <c r="B306" s="457">
        <v>17200</v>
      </c>
      <c r="C306" s="457">
        <v>53453.3</v>
      </c>
      <c r="D306" s="457">
        <v>53453.3</v>
      </c>
      <c r="E306" s="457">
        <v>20404.849999999999</v>
      </c>
      <c r="F306" s="457">
        <v>20404.849999999999</v>
      </c>
      <c r="G306" s="457">
        <v>0</v>
      </c>
      <c r="H306" s="457">
        <v>0</v>
      </c>
      <c r="I306" s="457">
        <v>0</v>
      </c>
      <c r="J306" s="457">
        <v>0</v>
      </c>
      <c r="K306" s="457">
        <v>0</v>
      </c>
      <c r="L306" s="457">
        <v>20404.849999999999</v>
      </c>
      <c r="M306" s="457">
        <v>0</v>
      </c>
      <c r="N306" s="457">
        <v>0</v>
      </c>
      <c r="O306" s="457">
        <v>0</v>
      </c>
      <c r="P306" s="457">
        <v>0</v>
      </c>
      <c r="Q306" s="457">
        <v>0</v>
      </c>
      <c r="R306" s="457">
        <v>0</v>
      </c>
      <c r="S306" s="457">
        <v>20404.849999999999</v>
      </c>
      <c r="T306" s="410">
        <v>0.38173227845614766</v>
      </c>
      <c r="U306" s="285">
        <v>33048.450000000004</v>
      </c>
      <c r="V306" s="285">
        <v>0</v>
      </c>
      <c r="W306" s="285">
        <v>33048.450000000004</v>
      </c>
      <c r="X306" s="285">
        <v>33048.450000000004</v>
      </c>
      <c r="Y306" s="285">
        <v>0</v>
      </c>
      <c r="Z306" s="285">
        <v>0</v>
      </c>
    </row>
    <row r="307" spans="1:26" x14ac:dyDescent="0.2">
      <c r="A307" s="404" t="s">
        <v>533</v>
      </c>
      <c r="B307" s="247">
        <v>0</v>
      </c>
      <c r="C307" s="247">
        <v>0</v>
      </c>
      <c r="D307" s="247">
        <v>0</v>
      </c>
      <c r="E307" s="247">
        <v>0</v>
      </c>
      <c r="F307" s="247">
        <v>0</v>
      </c>
      <c r="G307" s="247">
        <v>0</v>
      </c>
      <c r="H307" s="247">
        <v>0</v>
      </c>
      <c r="I307" s="247">
        <v>0</v>
      </c>
      <c r="J307" s="247">
        <v>0</v>
      </c>
      <c r="K307" s="247">
        <v>0</v>
      </c>
      <c r="L307" s="247">
        <v>0</v>
      </c>
      <c r="M307" s="247">
        <v>0</v>
      </c>
      <c r="N307" s="247">
        <v>0</v>
      </c>
      <c r="O307" s="247">
        <v>0</v>
      </c>
      <c r="P307" s="247">
        <v>0</v>
      </c>
      <c r="Q307" s="247">
        <v>0</v>
      </c>
      <c r="R307" s="247">
        <v>0</v>
      </c>
      <c r="S307" s="247">
        <v>0</v>
      </c>
      <c r="T307" s="407" t="e">
        <v>#DIV/0!</v>
      </c>
      <c r="U307" s="406">
        <v>0</v>
      </c>
      <c r="V307" s="406">
        <v>0</v>
      </c>
      <c r="W307" s="406">
        <v>0</v>
      </c>
      <c r="X307" s="406">
        <v>0</v>
      </c>
      <c r="Y307" s="406">
        <v>0</v>
      </c>
      <c r="Z307" s="406">
        <v>0</v>
      </c>
    </row>
    <row r="308" spans="1:26" x14ac:dyDescent="0.2">
      <c r="A308" s="404" t="s">
        <v>534</v>
      </c>
      <c r="B308" s="247">
        <v>20300</v>
      </c>
      <c r="C308" s="247">
        <v>20300</v>
      </c>
      <c r="D308" s="247">
        <v>20300</v>
      </c>
      <c r="E308" s="247">
        <v>20300</v>
      </c>
      <c r="F308" s="247">
        <v>12247.72</v>
      </c>
      <c r="G308" s="247">
        <v>0</v>
      </c>
      <c r="H308" s="247">
        <v>0</v>
      </c>
      <c r="I308" s="247">
        <v>0</v>
      </c>
      <c r="J308" s="247">
        <v>0</v>
      </c>
      <c r="K308" s="247">
        <v>0</v>
      </c>
      <c r="L308" s="247">
        <v>0</v>
      </c>
      <c r="M308" s="247">
        <v>2247.7199999999998</v>
      </c>
      <c r="N308" s="247">
        <v>10000</v>
      </c>
      <c r="O308" s="247">
        <v>0</v>
      </c>
      <c r="P308" s="247">
        <v>0</v>
      </c>
      <c r="Q308" s="247">
        <v>0</v>
      </c>
      <c r="R308" s="247">
        <v>0</v>
      </c>
      <c r="S308" s="247">
        <v>12247.72</v>
      </c>
      <c r="T308" s="407">
        <v>0.60333596059113292</v>
      </c>
      <c r="U308" s="406">
        <v>8052.2800000000007</v>
      </c>
      <c r="V308" s="406">
        <v>0</v>
      </c>
      <c r="W308" s="406">
        <v>0</v>
      </c>
      <c r="X308" s="406">
        <v>0</v>
      </c>
      <c r="Y308" s="406">
        <v>8052.2800000000007</v>
      </c>
      <c r="Z308" s="406">
        <v>0</v>
      </c>
    </row>
    <row r="309" spans="1:26" x14ac:dyDescent="0.2">
      <c r="A309" s="404" t="s">
        <v>535</v>
      </c>
      <c r="B309" s="448">
        <v>56000</v>
      </c>
      <c r="C309" s="448">
        <v>55400</v>
      </c>
      <c r="D309" s="448">
        <v>5400</v>
      </c>
      <c r="E309" s="448">
        <v>1985.6899999999998</v>
      </c>
      <c r="F309" s="448">
        <v>1985.6899999999998</v>
      </c>
      <c r="G309" s="448">
        <v>78.14</v>
      </c>
      <c r="H309" s="448">
        <v>77.89</v>
      </c>
      <c r="I309" s="448">
        <v>201.86</v>
      </c>
      <c r="J309" s="448">
        <v>383.13</v>
      </c>
      <c r="K309" s="448">
        <v>138.63</v>
      </c>
      <c r="L309" s="448">
        <v>543.28</v>
      </c>
      <c r="M309" s="448">
        <v>163.51</v>
      </c>
      <c r="N309" s="448">
        <v>114.67</v>
      </c>
      <c r="O309" s="448">
        <v>284.58</v>
      </c>
      <c r="P309" s="448">
        <v>0</v>
      </c>
      <c r="Q309" s="448">
        <v>0</v>
      </c>
      <c r="R309" s="448">
        <v>0</v>
      </c>
      <c r="S309" s="448">
        <v>1985.6899999999998</v>
      </c>
      <c r="T309" s="407">
        <v>3.5842779783393501E-2</v>
      </c>
      <c r="U309" s="406">
        <v>53414.31</v>
      </c>
      <c r="V309" s="406">
        <v>50000</v>
      </c>
      <c r="W309" s="406">
        <v>53414.31</v>
      </c>
      <c r="X309" s="406">
        <v>3414.3100000000004</v>
      </c>
      <c r="Y309" s="406">
        <v>0</v>
      </c>
      <c r="Z309" s="406">
        <v>0</v>
      </c>
    </row>
    <row r="310" spans="1:26" x14ac:dyDescent="0.2">
      <c r="A310" s="412" t="s">
        <v>536</v>
      </c>
      <c r="B310" s="457">
        <v>6000</v>
      </c>
      <c r="C310" s="457">
        <v>5400</v>
      </c>
      <c r="D310" s="457">
        <v>5400</v>
      </c>
      <c r="E310" s="457">
        <v>1985.6899999999998</v>
      </c>
      <c r="F310" s="457">
        <v>1985.6899999999998</v>
      </c>
      <c r="G310" s="457">
        <v>78.14</v>
      </c>
      <c r="H310" s="457">
        <v>77.89</v>
      </c>
      <c r="I310" s="457">
        <v>201.86</v>
      </c>
      <c r="J310" s="457">
        <v>383.13</v>
      </c>
      <c r="K310" s="457">
        <v>138.63</v>
      </c>
      <c r="L310" s="457">
        <v>543.28</v>
      </c>
      <c r="M310" s="457">
        <v>163.51</v>
      </c>
      <c r="N310" s="457">
        <v>114.67</v>
      </c>
      <c r="O310" s="457">
        <v>284.58</v>
      </c>
      <c r="P310" s="457">
        <v>0</v>
      </c>
      <c r="Q310" s="457">
        <v>0</v>
      </c>
      <c r="R310" s="457">
        <v>0</v>
      </c>
      <c r="S310" s="457">
        <v>1985.6899999999998</v>
      </c>
      <c r="T310" s="410">
        <v>0.36772037037037036</v>
      </c>
      <c r="U310" s="285">
        <v>3414.3100000000004</v>
      </c>
      <c r="V310" s="285">
        <v>0</v>
      </c>
      <c r="W310" s="285">
        <v>3414.3100000000004</v>
      </c>
      <c r="X310" s="285">
        <v>3414.3100000000004</v>
      </c>
      <c r="Y310" s="285">
        <v>0</v>
      </c>
      <c r="Z310" s="285">
        <v>0</v>
      </c>
    </row>
    <row r="311" spans="1:26" x14ac:dyDescent="0.2">
      <c r="A311" s="412" t="s">
        <v>537</v>
      </c>
      <c r="B311" s="457">
        <v>0</v>
      </c>
      <c r="C311" s="457">
        <v>0</v>
      </c>
      <c r="D311" s="457">
        <v>0</v>
      </c>
      <c r="E311" s="457">
        <v>0</v>
      </c>
      <c r="F311" s="457">
        <v>0</v>
      </c>
      <c r="G311" s="457">
        <v>0</v>
      </c>
      <c r="H311" s="457">
        <v>0</v>
      </c>
      <c r="I311" s="457">
        <v>0</v>
      </c>
      <c r="J311" s="457">
        <v>0</v>
      </c>
      <c r="K311" s="457">
        <v>0</v>
      </c>
      <c r="L311" s="457">
        <v>0</v>
      </c>
      <c r="M311" s="457">
        <v>0</v>
      </c>
      <c r="N311" s="457">
        <v>0</v>
      </c>
      <c r="O311" s="457">
        <v>0</v>
      </c>
      <c r="P311" s="457">
        <v>0</v>
      </c>
      <c r="Q311" s="457">
        <v>0</v>
      </c>
      <c r="R311" s="457">
        <v>0</v>
      </c>
      <c r="S311" s="457">
        <v>0</v>
      </c>
      <c r="T311" s="410" t="e">
        <v>#DIV/0!</v>
      </c>
      <c r="U311" s="285">
        <v>0</v>
      </c>
      <c r="V311" s="285">
        <v>0</v>
      </c>
      <c r="W311" s="285">
        <v>0</v>
      </c>
      <c r="X311" s="285">
        <v>0</v>
      </c>
      <c r="Y311" s="285">
        <v>0</v>
      </c>
      <c r="Z311" s="285">
        <v>0</v>
      </c>
    </row>
    <row r="312" spans="1:26" x14ac:dyDescent="0.2">
      <c r="A312" s="412" t="s">
        <v>538</v>
      </c>
      <c r="B312" s="457">
        <v>0</v>
      </c>
      <c r="C312" s="457">
        <v>0</v>
      </c>
      <c r="D312" s="457">
        <v>0</v>
      </c>
      <c r="E312" s="457">
        <v>0</v>
      </c>
      <c r="F312" s="457">
        <v>0</v>
      </c>
      <c r="G312" s="457">
        <v>0</v>
      </c>
      <c r="H312" s="457">
        <v>0</v>
      </c>
      <c r="I312" s="457">
        <v>0</v>
      </c>
      <c r="J312" s="457">
        <v>0</v>
      </c>
      <c r="K312" s="457">
        <v>0</v>
      </c>
      <c r="L312" s="457">
        <v>0</v>
      </c>
      <c r="M312" s="457">
        <v>0</v>
      </c>
      <c r="N312" s="457">
        <v>0</v>
      </c>
      <c r="O312" s="457">
        <v>0</v>
      </c>
      <c r="P312" s="457">
        <v>0</v>
      </c>
      <c r="Q312" s="457">
        <v>0</v>
      </c>
      <c r="R312" s="457">
        <v>0</v>
      </c>
      <c r="S312" s="457">
        <v>0</v>
      </c>
      <c r="T312" s="410" t="e">
        <v>#DIV/0!</v>
      </c>
      <c r="U312" s="285">
        <v>0</v>
      </c>
      <c r="V312" s="285">
        <v>0</v>
      </c>
      <c r="W312" s="285">
        <v>0</v>
      </c>
      <c r="X312" s="285">
        <v>0</v>
      </c>
      <c r="Y312" s="285">
        <v>0</v>
      </c>
      <c r="Z312" s="285">
        <v>0</v>
      </c>
    </row>
    <row r="313" spans="1:26" x14ac:dyDescent="0.2">
      <c r="A313" s="412" t="s">
        <v>539</v>
      </c>
      <c r="B313" s="457">
        <v>0</v>
      </c>
      <c r="C313" s="457">
        <v>0</v>
      </c>
      <c r="D313" s="457">
        <v>0</v>
      </c>
      <c r="E313" s="457">
        <v>0</v>
      </c>
      <c r="F313" s="457">
        <v>0</v>
      </c>
      <c r="G313" s="457">
        <v>0</v>
      </c>
      <c r="H313" s="457">
        <v>0</v>
      </c>
      <c r="I313" s="457">
        <v>0</v>
      </c>
      <c r="J313" s="457">
        <v>0</v>
      </c>
      <c r="K313" s="457">
        <v>0</v>
      </c>
      <c r="L313" s="457">
        <v>0</v>
      </c>
      <c r="M313" s="457">
        <v>0</v>
      </c>
      <c r="N313" s="457">
        <v>0</v>
      </c>
      <c r="O313" s="457">
        <v>0</v>
      </c>
      <c r="P313" s="457">
        <v>0</v>
      </c>
      <c r="Q313" s="457">
        <v>0</v>
      </c>
      <c r="R313" s="457">
        <v>0</v>
      </c>
      <c r="S313" s="457">
        <v>0</v>
      </c>
      <c r="T313" s="410" t="e">
        <v>#DIV/0!</v>
      </c>
      <c r="U313" s="285">
        <v>0</v>
      </c>
      <c r="V313" s="285">
        <v>0</v>
      </c>
      <c r="W313" s="285">
        <v>0</v>
      </c>
      <c r="X313" s="285">
        <v>0</v>
      </c>
      <c r="Y313" s="285">
        <v>0</v>
      </c>
      <c r="Z313" s="285">
        <v>0</v>
      </c>
    </row>
    <row r="314" spans="1:26" x14ac:dyDescent="0.2">
      <c r="A314" s="412" t="s">
        <v>540</v>
      </c>
      <c r="B314" s="457">
        <v>0</v>
      </c>
      <c r="C314" s="457">
        <v>0</v>
      </c>
      <c r="D314" s="457">
        <v>0</v>
      </c>
      <c r="E314" s="457">
        <v>0</v>
      </c>
      <c r="F314" s="457">
        <v>0</v>
      </c>
      <c r="G314" s="457">
        <v>0</v>
      </c>
      <c r="H314" s="457">
        <v>0</v>
      </c>
      <c r="I314" s="457">
        <v>0</v>
      </c>
      <c r="J314" s="457">
        <v>0</v>
      </c>
      <c r="K314" s="457">
        <v>0</v>
      </c>
      <c r="L314" s="457">
        <v>0</v>
      </c>
      <c r="M314" s="457">
        <v>0</v>
      </c>
      <c r="N314" s="457">
        <v>0</v>
      </c>
      <c r="O314" s="457">
        <v>0</v>
      </c>
      <c r="P314" s="457">
        <v>0</v>
      </c>
      <c r="Q314" s="457">
        <v>0</v>
      </c>
      <c r="R314" s="457">
        <v>0</v>
      </c>
      <c r="S314" s="457">
        <v>0</v>
      </c>
      <c r="T314" s="410" t="e">
        <v>#DIV/0!</v>
      </c>
      <c r="U314" s="285">
        <v>0</v>
      </c>
      <c r="V314" s="285">
        <v>0</v>
      </c>
      <c r="W314" s="285">
        <v>0</v>
      </c>
      <c r="X314" s="285">
        <v>0</v>
      </c>
      <c r="Y314" s="285">
        <v>0</v>
      </c>
      <c r="Z314" s="285">
        <v>0</v>
      </c>
    </row>
    <row r="315" spans="1:26" x14ac:dyDescent="0.2">
      <c r="A315" s="412" t="s">
        <v>541</v>
      </c>
      <c r="B315" s="457">
        <v>50000</v>
      </c>
      <c r="C315" s="457">
        <v>50000</v>
      </c>
      <c r="D315" s="457">
        <v>0</v>
      </c>
      <c r="E315" s="457">
        <v>0</v>
      </c>
      <c r="F315" s="457">
        <v>0</v>
      </c>
      <c r="G315" s="457">
        <v>0</v>
      </c>
      <c r="H315" s="457">
        <v>0</v>
      </c>
      <c r="I315" s="457">
        <v>0</v>
      </c>
      <c r="J315" s="457">
        <v>0</v>
      </c>
      <c r="K315" s="457">
        <v>0</v>
      </c>
      <c r="L315" s="457">
        <v>0</v>
      </c>
      <c r="M315" s="457">
        <v>0</v>
      </c>
      <c r="N315" s="457">
        <v>0</v>
      </c>
      <c r="O315" s="457">
        <v>0</v>
      </c>
      <c r="P315" s="457">
        <v>0</v>
      </c>
      <c r="Q315" s="457">
        <v>0</v>
      </c>
      <c r="R315" s="457">
        <v>0</v>
      </c>
      <c r="S315" s="457">
        <v>0</v>
      </c>
      <c r="T315" s="410">
        <v>0</v>
      </c>
      <c r="U315" s="285">
        <v>50000</v>
      </c>
      <c r="V315" s="285">
        <v>50000</v>
      </c>
      <c r="W315" s="285">
        <v>50000</v>
      </c>
      <c r="X315" s="285">
        <v>0</v>
      </c>
      <c r="Y315" s="285">
        <v>0</v>
      </c>
      <c r="Z315" s="285">
        <v>0</v>
      </c>
    </row>
    <row r="316" spans="1:26" x14ac:dyDescent="0.2">
      <c r="A316" s="404" t="s">
        <v>542</v>
      </c>
      <c r="B316" s="247">
        <v>0</v>
      </c>
      <c r="C316" s="247">
        <v>0</v>
      </c>
      <c r="D316" s="247">
        <v>0</v>
      </c>
      <c r="E316" s="247">
        <v>0</v>
      </c>
      <c r="F316" s="247">
        <v>0</v>
      </c>
      <c r="G316" s="247">
        <v>0</v>
      </c>
      <c r="H316" s="247">
        <v>0</v>
      </c>
      <c r="I316" s="247">
        <v>0</v>
      </c>
      <c r="J316" s="247">
        <v>0</v>
      </c>
      <c r="K316" s="247">
        <v>0</v>
      </c>
      <c r="L316" s="247">
        <v>0</v>
      </c>
      <c r="M316" s="247">
        <v>0</v>
      </c>
      <c r="N316" s="247">
        <v>0</v>
      </c>
      <c r="O316" s="247">
        <v>0</v>
      </c>
      <c r="P316" s="247">
        <v>0</v>
      </c>
      <c r="Q316" s="247">
        <v>0</v>
      </c>
      <c r="R316" s="247">
        <v>0</v>
      </c>
      <c r="S316" s="247">
        <v>0</v>
      </c>
      <c r="T316" s="407" t="e">
        <v>#DIV/0!</v>
      </c>
      <c r="U316" s="406">
        <v>0</v>
      </c>
      <c r="V316" s="406">
        <v>0</v>
      </c>
      <c r="W316" s="406">
        <v>0</v>
      </c>
      <c r="X316" s="406">
        <v>0</v>
      </c>
      <c r="Y316" s="406">
        <v>0</v>
      </c>
      <c r="Z316" s="406">
        <v>0</v>
      </c>
    </row>
    <row r="317" spans="1:26" x14ac:dyDescent="0.2">
      <c r="A317" s="404" t="s">
        <v>543</v>
      </c>
      <c r="B317" s="247">
        <v>0</v>
      </c>
      <c r="C317" s="247">
        <v>0</v>
      </c>
      <c r="D317" s="247">
        <v>0</v>
      </c>
      <c r="E317" s="247">
        <v>0</v>
      </c>
      <c r="F317" s="247">
        <v>0</v>
      </c>
      <c r="G317" s="247">
        <v>0</v>
      </c>
      <c r="H317" s="247">
        <v>0</v>
      </c>
      <c r="I317" s="247">
        <v>0</v>
      </c>
      <c r="J317" s="247">
        <v>0</v>
      </c>
      <c r="K317" s="247">
        <v>0</v>
      </c>
      <c r="L317" s="247">
        <v>0</v>
      </c>
      <c r="M317" s="247">
        <v>0</v>
      </c>
      <c r="N317" s="247">
        <v>0</v>
      </c>
      <c r="O317" s="247">
        <v>0</v>
      </c>
      <c r="P317" s="247">
        <v>0</v>
      </c>
      <c r="Q317" s="247">
        <v>0</v>
      </c>
      <c r="R317" s="247">
        <v>0</v>
      </c>
      <c r="S317" s="247">
        <v>0</v>
      </c>
      <c r="T317" s="407" t="e">
        <v>#DIV/0!</v>
      </c>
      <c r="U317" s="406">
        <v>0</v>
      </c>
      <c r="V317" s="406">
        <v>0</v>
      </c>
      <c r="W317" s="406">
        <v>0</v>
      </c>
      <c r="X317" s="406">
        <v>0</v>
      </c>
      <c r="Y317" s="406">
        <v>0</v>
      </c>
      <c r="Z317" s="406">
        <v>0</v>
      </c>
    </row>
    <row r="318" spans="1:26" x14ac:dyDescent="0.2">
      <c r="A318" s="404" t="s">
        <v>544</v>
      </c>
      <c r="B318" s="448">
        <v>224377</v>
      </c>
      <c r="C318" s="448">
        <v>188549.7</v>
      </c>
      <c r="D318" s="448">
        <v>188549.7</v>
      </c>
      <c r="E318" s="448">
        <v>53537</v>
      </c>
      <c r="F318" s="448">
        <v>40560</v>
      </c>
      <c r="G318" s="448">
        <v>0</v>
      </c>
      <c r="H318" s="448">
        <v>0</v>
      </c>
      <c r="I318" s="448">
        <v>0</v>
      </c>
      <c r="J318" s="448">
        <v>0</v>
      </c>
      <c r="K318" s="448">
        <v>15520</v>
      </c>
      <c r="L318" s="448">
        <v>0</v>
      </c>
      <c r="M318" s="448">
        <v>0</v>
      </c>
      <c r="N318" s="448">
        <v>24540</v>
      </c>
      <c r="O318" s="448">
        <v>500</v>
      </c>
      <c r="P318" s="448">
        <v>0</v>
      </c>
      <c r="Q318" s="448">
        <v>0</v>
      </c>
      <c r="R318" s="448">
        <v>0</v>
      </c>
      <c r="S318" s="448">
        <v>40560</v>
      </c>
      <c r="T318" s="407">
        <v>0.21511569628591293</v>
      </c>
      <c r="U318" s="406">
        <v>147989.70000000001</v>
      </c>
      <c r="V318" s="406">
        <v>0</v>
      </c>
      <c r="W318" s="406">
        <v>135012.70000000001</v>
      </c>
      <c r="X318" s="406">
        <v>135012.70000000001</v>
      </c>
      <c r="Y318" s="406">
        <v>12977</v>
      </c>
      <c r="Z318" s="406">
        <v>0</v>
      </c>
    </row>
    <row r="319" spans="1:26" ht="24" x14ac:dyDescent="0.2">
      <c r="A319" s="412" t="s">
        <v>545</v>
      </c>
      <c r="B319" s="457">
        <v>188000</v>
      </c>
      <c r="C319" s="457">
        <v>152172.70000000001</v>
      </c>
      <c r="D319" s="457">
        <v>152172.70000000001</v>
      </c>
      <c r="E319" s="457">
        <v>26400</v>
      </c>
      <c r="F319" s="457">
        <v>18100</v>
      </c>
      <c r="G319" s="457">
        <v>0</v>
      </c>
      <c r="H319" s="457">
        <v>0</v>
      </c>
      <c r="I319" s="457">
        <v>0</v>
      </c>
      <c r="J319" s="457">
        <v>0</v>
      </c>
      <c r="K319" s="457">
        <v>8800</v>
      </c>
      <c r="L319" s="457">
        <v>0</v>
      </c>
      <c r="M319" s="457">
        <v>0</v>
      </c>
      <c r="N319" s="457">
        <v>8800</v>
      </c>
      <c r="O319" s="457">
        <v>500</v>
      </c>
      <c r="P319" s="457">
        <v>0</v>
      </c>
      <c r="Q319" s="457">
        <v>0</v>
      </c>
      <c r="R319" s="457">
        <v>0</v>
      </c>
      <c r="S319" s="457">
        <v>18100</v>
      </c>
      <c r="T319" s="410">
        <v>0.11894380529490506</v>
      </c>
      <c r="U319" s="285">
        <v>134072.70000000001</v>
      </c>
      <c r="V319" s="285">
        <v>0</v>
      </c>
      <c r="W319" s="285">
        <v>125772.70000000001</v>
      </c>
      <c r="X319" s="285">
        <v>125772.70000000001</v>
      </c>
      <c r="Y319" s="285">
        <v>8300</v>
      </c>
      <c r="Z319" s="285">
        <v>0</v>
      </c>
    </row>
    <row r="320" spans="1:26" x14ac:dyDescent="0.2">
      <c r="A320" s="412" t="s">
        <v>546</v>
      </c>
      <c r="B320" s="457">
        <v>0</v>
      </c>
      <c r="C320" s="457">
        <v>0</v>
      </c>
      <c r="D320" s="457">
        <v>0</v>
      </c>
      <c r="E320" s="457">
        <v>0</v>
      </c>
      <c r="F320" s="457">
        <v>0</v>
      </c>
      <c r="G320" s="457">
        <v>0</v>
      </c>
      <c r="H320" s="457">
        <v>0</v>
      </c>
      <c r="I320" s="457">
        <v>0</v>
      </c>
      <c r="J320" s="457">
        <v>0</v>
      </c>
      <c r="K320" s="457">
        <v>0</v>
      </c>
      <c r="L320" s="457">
        <v>0</v>
      </c>
      <c r="M320" s="457">
        <v>0</v>
      </c>
      <c r="N320" s="457">
        <v>0</v>
      </c>
      <c r="O320" s="457">
        <v>0</v>
      </c>
      <c r="P320" s="457">
        <v>0</v>
      </c>
      <c r="Q320" s="457">
        <v>0</v>
      </c>
      <c r="R320" s="457">
        <v>0</v>
      </c>
      <c r="S320" s="457">
        <v>0</v>
      </c>
      <c r="T320" s="410" t="e">
        <v>#DIV/0!</v>
      </c>
      <c r="U320" s="285">
        <v>0</v>
      </c>
      <c r="V320" s="285">
        <v>0</v>
      </c>
      <c r="W320" s="285">
        <v>0</v>
      </c>
      <c r="X320" s="285">
        <v>0</v>
      </c>
      <c r="Y320" s="285">
        <v>0</v>
      </c>
      <c r="Z320" s="285">
        <v>0</v>
      </c>
    </row>
    <row r="321" spans="1:26" x14ac:dyDescent="0.2">
      <c r="A321" s="412" t="s">
        <v>547</v>
      </c>
      <c r="B321" s="457">
        <v>24377</v>
      </c>
      <c r="C321" s="457">
        <v>24377</v>
      </c>
      <c r="D321" s="457">
        <v>24377</v>
      </c>
      <c r="E321" s="457">
        <v>24377</v>
      </c>
      <c r="F321" s="457">
        <v>19700</v>
      </c>
      <c r="G321" s="457">
        <v>0</v>
      </c>
      <c r="H321" s="457">
        <v>0</v>
      </c>
      <c r="I321" s="457">
        <v>0</v>
      </c>
      <c r="J321" s="457">
        <v>0</v>
      </c>
      <c r="K321" s="457">
        <v>3960</v>
      </c>
      <c r="L321" s="457">
        <v>0</v>
      </c>
      <c r="M321" s="457">
        <v>0</v>
      </c>
      <c r="N321" s="457">
        <v>15740</v>
      </c>
      <c r="O321" s="457">
        <v>0</v>
      </c>
      <c r="P321" s="457">
        <v>0</v>
      </c>
      <c r="Q321" s="457">
        <v>0</v>
      </c>
      <c r="R321" s="457">
        <v>0</v>
      </c>
      <c r="S321" s="457">
        <v>19700</v>
      </c>
      <c r="T321" s="410">
        <v>0.80813881937892273</v>
      </c>
      <c r="U321" s="285">
        <v>4677</v>
      </c>
      <c r="V321" s="285">
        <v>0</v>
      </c>
      <c r="W321" s="285">
        <v>0</v>
      </c>
      <c r="X321" s="285">
        <v>0</v>
      </c>
      <c r="Y321" s="285">
        <v>4677</v>
      </c>
      <c r="Z321" s="285">
        <v>0</v>
      </c>
    </row>
    <row r="322" spans="1:26" x14ac:dyDescent="0.2">
      <c r="A322" s="412" t="s">
        <v>548</v>
      </c>
      <c r="B322" s="457">
        <v>0</v>
      </c>
      <c r="C322" s="457">
        <v>0</v>
      </c>
      <c r="D322" s="457">
        <v>0</v>
      </c>
      <c r="E322" s="457">
        <v>0</v>
      </c>
      <c r="F322" s="457">
        <v>0</v>
      </c>
      <c r="G322" s="457">
        <v>0</v>
      </c>
      <c r="H322" s="457">
        <v>0</v>
      </c>
      <c r="I322" s="457">
        <v>0</v>
      </c>
      <c r="J322" s="457">
        <v>0</v>
      </c>
      <c r="K322" s="457">
        <v>0</v>
      </c>
      <c r="L322" s="457">
        <v>0</v>
      </c>
      <c r="M322" s="457">
        <v>0</v>
      </c>
      <c r="N322" s="457">
        <v>0</v>
      </c>
      <c r="O322" s="457">
        <v>0</v>
      </c>
      <c r="P322" s="457">
        <v>0</v>
      </c>
      <c r="Q322" s="457">
        <v>0</v>
      </c>
      <c r="R322" s="457">
        <v>0</v>
      </c>
      <c r="S322" s="457">
        <v>0</v>
      </c>
      <c r="T322" s="410" t="e">
        <v>#DIV/0!</v>
      </c>
      <c r="U322" s="285">
        <v>0</v>
      </c>
      <c r="V322" s="285">
        <v>0</v>
      </c>
      <c r="W322" s="285">
        <v>0</v>
      </c>
      <c r="X322" s="285">
        <v>0</v>
      </c>
      <c r="Y322" s="285">
        <v>0</v>
      </c>
      <c r="Z322" s="285">
        <v>0</v>
      </c>
    </row>
    <row r="323" spans="1:26" x14ac:dyDescent="0.2">
      <c r="A323" s="412" t="s">
        <v>549</v>
      </c>
      <c r="B323" s="457">
        <v>0</v>
      </c>
      <c r="C323" s="457">
        <v>0</v>
      </c>
      <c r="D323" s="457">
        <v>0</v>
      </c>
      <c r="E323" s="457">
        <v>0</v>
      </c>
      <c r="F323" s="457">
        <v>0</v>
      </c>
      <c r="G323" s="457">
        <v>0</v>
      </c>
      <c r="H323" s="457">
        <v>0</v>
      </c>
      <c r="I323" s="457">
        <v>0</v>
      </c>
      <c r="J323" s="457">
        <v>0</v>
      </c>
      <c r="K323" s="457">
        <v>0</v>
      </c>
      <c r="L323" s="457">
        <v>0</v>
      </c>
      <c r="M323" s="457">
        <v>0</v>
      </c>
      <c r="N323" s="457">
        <v>0</v>
      </c>
      <c r="O323" s="457">
        <v>0</v>
      </c>
      <c r="P323" s="457">
        <v>0</v>
      </c>
      <c r="Q323" s="457">
        <v>0</v>
      </c>
      <c r="R323" s="457">
        <v>0</v>
      </c>
      <c r="S323" s="457">
        <v>0</v>
      </c>
      <c r="T323" s="410" t="e">
        <v>#DIV/0!</v>
      </c>
      <c r="U323" s="285">
        <v>0</v>
      </c>
      <c r="V323" s="285">
        <v>0</v>
      </c>
      <c r="W323" s="285">
        <v>0</v>
      </c>
      <c r="X323" s="285">
        <v>0</v>
      </c>
      <c r="Y323" s="285">
        <v>0</v>
      </c>
      <c r="Z323" s="285">
        <v>0</v>
      </c>
    </row>
    <row r="324" spans="1:26" x14ac:dyDescent="0.2">
      <c r="A324" s="412" t="s">
        <v>550</v>
      </c>
      <c r="B324" s="457">
        <v>0</v>
      </c>
      <c r="C324" s="457">
        <v>0</v>
      </c>
      <c r="D324" s="457">
        <v>0</v>
      </c>
      <c r="E324" s="457">
        <v>0</v>
      </c>
      <c r="F324" s="457">
        <v>0</v>
      </c>
      <c r="G324" s="457">
        <v>0</v>
      </c>
      <c r="H324" s="457">
        <v>0</v>
      </c>
      <c r="I324" s="457">
        <v>0</v>
      </c>
      <c r="J324" s="457">
        <v>0</v>
      </c>
      <c r="K324" s="457">
        <v>0</v>
      </c>
      <c r="L324" s="457">
        <v>0</v>
      </c>
      <c r="M324" s="457">
        <v>0</v>
      </c>
      <c r="N324" s="457">
        <v>0</v>
      </c>
      <c r="O324" s="457">
        <v>0</v>
      </c>
      <c r="P324" s="457">
        <v>0</v>
      </c>
      <c r="Q324" s="457">
        <v>0</v>
      </c>
      <c r="R324" s="457">
        <v>0</v>
      </c>
      <c r="S324" s="457">
        <v>0</v>
      </c>
      <c r="T324" s="410" t="e">
        <v>#DIV/0!</v>
      </c>
      <c r="U324" s="285">
        <v>0</v>
      </c>
      <c r="V324" s="285">
        <v>0</v>
      </c>
      <c r="W324" s="285">
        <v>0</v>
      </c>
      <c r="X324" s="285">
        <v>0</v>
      </c>
      <c r="Y324" s="285">
        <v>0</v>
      </c>
      <c r="Z324" s="285">
        <v>0</v>
      </c>
    </row>
    <row r="325" spans="1:26" x14ac:dyDescent="0.2">
      <c r="A325" s="412" t="s">
        <v>551</v>
      </c>
      <c r="B325" s="457">
        <v>0</v>
      </c>
      <c r="C325" s="457">
        <v>0</v>
      </c>
      <c r="D325" s="457">
        <v>0</v>
      </c>
      <c r="E325" s="457">
        <v>0</v>
      </c>
      <c r="F325" s="457">
        <v>0</v>
      </c>
      <c r="G325" s="457">
        <v>0</v>
      </c>
      <c r="H325" s="457">
        <v>0</v>
      </c>
      <c r="I325" s="457">
        <v>0</v>
      </c>
      <c r="J325" s="457">
        <v>0</v>
      </c>
      <c r="K325" s="457">
        <v>0</v>
      </c>
      <c r="L325" s="457">
        <v>0</v>
      </c>
      <c r="M325" s="457">
        <v>0</v>
      </c>
      <c r="N325" s="457">
        <v>0</v>
      </c>
      <c r="O325" s="457">
        <v>0</v>
      </c>
      <c r="P325" s="457">
        <v>0</v>
      </c>
      <c r="Q325" s="457">
        <v>0</v>
      </c>
      <c r="R325" s="457">
        <v>0</v>
      </c>
      <c r="S325" s="457">
        <v>0</v>
      </c>
      <c r="T325" s="410" t="e">
        <v>#DIV/0!</v>
      </c>
      <c r="U325" s="285">
        <v>0</v>
      </c>
      <c r="V325" s="285">
        <v>0</v>
      </c>
      <c r="W325" s="285">
        <v>0</v>
      </c>
      <c r="X325" s="285">
        <v>0</v>
      </c>
      <c r="Y325" s="285">
        <v>0</v>
      </c>
      <c r="Z325" s="285">
        <v>0</v>
      </c>
    </row>
    <row r="326" spans="1:26" x14ac:dyDescent="0.2">
      <c r="A326" s="412" t="s">
        <v>552</v>
      </c>
      <c r="B326" s="457">
        <v>0</v>
      </c>
      <c r="C326" s="457">
        <v>0</v>
      </c>
      <c r="D326" s="457">
        <v>0</v>
      </c>
      <c r="E326" s="457">
        <v>0</v>
      </c>
      <c r="F326" s="457">
        <v>0</v>
      </c>
      <c r="G326" s="457">
        <v>0</v>
      </c>
      <c r="H326" s="457">
        <v>0</v>
      </c>
      <c r="I326" s="457">
        <v>0</v>
      </c>
      <c r="J326" s="457">
        <v>0</v>
      </c>
      <c r="K326" s="457">
        <v>0</v>
      </c>
      <c r="L326" s="457">
        <v>0</v>
      </c>
      <c r="M326" s="457">
        <v>0</v>
      </c>
      <c r="N326" s="457">
        <v>0</v>
      </c>
      <c r="O326" s="457">
        <v>0</v>
      </c>
      <c r="P326" s="457">
        <v>0</v>
      </c>
      <c r="Q326" s="457">
        <v>0</v>
      </c>
      <c r="R326" s="457">
        <v>0</v>
      </c>
      <c r="S326" s="457">
        <v>0</v>
      </c>
      <c r="T326" s="410" t="e">
        <v>#DIV/0!</v>
      </c>
      <c r="U326" s="285">
        <v>0</v>
      </c>
      <c r="V326" s="285">
        <v>0</v>
      </c>
      <c r="W326" s="285">
        <v>0</v>
      </c>
      <c r="X326" s="285">
        <v>0</v>
      </c>
      <c r="Y326" s="285">
        <v>0</v>
      </c>
      <c r="Z326" s="285">
        <v>0</v>
      </c>
    </row>
    <row r="327" spans="1:26" x14ac:dyDescent="0.2">
      <c r="A327" s="412" t="s">
        <v>553</v>
      </c>
      <c r="B327" s="457">
        <v>0</v>
      </c>
      <c r="C327" s="457">
        <v>0</v>
      </c>
      <c r="D327" s="457">
        <v>0</v>
      </c>
      <c r="E327" s="457">
        <v>0</v>
      </c>
      <c r="F327" s="457">
        <v>0</v>
      </c>
      <c r="G327" s="457">
        <v>0</v>
      </c>
      <c r="H327" s="457">
        <v>0</v>
      </c>
      <c r="I327" s="457">
        <v>0</v>
      </c>
      <c r="J327" s="457">
        <v>0</v>
      </c>
      <c r="K327" s="457">
        <v>0</v>
      </c>
      <c r="L327" s="457">
        <v>0</v>
      </c>
      <c r="M327" s="457">
        <v>0</v>
      </c>
      <c r="N327" s="457">
        <v>0</v>
      </c>
      <c r="O327" s="457">
        <v>0</v>
      </c>
      <c r="P327" s="457">
        <v>0</v>
      </c>
      <c r="Q327" s="457">
        <v>0</v>
      </c>
      <c r="R327" s="457">
        <v>0</v>
      </c>
      <c r="S327" s="457">
        <v>0</v>
      </c>
      <c r="T327" s="410" t="e">
        <v>#DIV/0!</v>
      </c>
      <c r="U327" s="285">
        <v>0</v>
      </c>
      <c r="V327" s="285">
        <v>0</v>
      </c>
      <c r="W327" s="285">
        <v>0</v>
      </c>
      <c r="X327" s="285">
        <v>0</v>
      </c>
      <c r="Y327" s="285">
        <v>0</v>
      </c>
      <c r="Z327" s="285">
        <v>0</v>
      </c>
    </row>
    <row r="328" spans="1:26" x14ac:dyDescent="0.2">
      <c r="A328" s="412" t="s">
        <v>554</v>
      </c>
      <c r="B328" s="457">
        <v>0</v>
      </c>
      <c r="C328" s="457">
        <v>0</v>
      </c>
      <c r="D328" s="457">
        <v>0</v>
      </c>
      <c r="E328" s="457">
        <v>0</v>
      </c>
      <c r="F328" s="457">
        <v>0</v>
      </c>
      <c r="G328" s="457">
        <v>0</v>
      </c>
      <c r="H328" s="457">
        <v>0</v>
      </c>
      <c r="I328" s="457">
        <v>0</v>
      </c>
      <c r="J328" s="457">
        <v>0</v>
      </c>
      <c r="K328" s="457">
        <v>0</v>
      </c>
      <c r="L328" s="457">
        <v>0</v>
      </c>
      <c r="M328" s="457">
        <v>0</v>
      </c>
      <c r="N328" s="457">
        <v>0</v>
      </c>
      <c r="O328" s="457">
        <v>0</v>
      </c>
      <c r="P328" s="457">
        <v>0</v>
      </c>
      <c r="Q328" s="457">
        <v>0</v>
      </c>
      <c r="R328" s="457">
        <v>0</v>
      </c>
      <c r="S328" s="457">
        <v>0</v>
      </c>
      <c r="T328" s="410" t="e">
        <v>#DIV/0!</v>
      </c>
      <c r="U328" s="285">
        <v>0</v>
      </c>
      <c r="V328" s="285">
        <v>0</v>
      </c>
      <c r="W328" s="285">
        <v>0</v>
      </c>
      <c r="X328" s="285">
        <v>0</v>
      </c>
      <c r="Y328" s="285">
        <v>0</v>
      </c>
      <c r="Z328" s="285">
        <v>0</v>
      </c>
    </row>
    <row r="329" spans="1:26" x14ac:dyDescent="0.2">
      <c r="A329" s="412" t="s">
        <v>555</v>
      </c>
      <c r="B329" s="457">
        <v>0</v>
      </c>
      <c r="C329" s="457">
        <v>0</v>
      </c>
      <c r="D329" s="457">
        <v>0</v>
      </c>
      <c r="E329" s="457">
        <v>0</v>
      </c>
      <c r="F329" s="457">
        <v>0</v>
      </c>
      <c r="G329" s="457">
        <v>0</v>
      </c>
      <c r="H329" s="457">
        <v>0</v>
      </c>
      <c r="I329" s="457">
        <v>0</v>
      </c>
      <c r="J329" s="457">
        <v>0</v>
      </c>
      <c r="K329" s="457">
        <v>0</v>
      </c>
      <c r="L329" s="457">
        <v>0</v>
      </c>
      <c r="M329" s="457">
        <v>0</v>
      </c>
      <c r="N329" s="457">
        <v>0</v>
      </c>
      <c r="O329" s="457">
        <v>0</v>
      </c>
      <c r="P329" s="457">
        <v>0</v>
      </c>
      <c r="Q329" s="457">
        <v>0</v>
      </c>
      <c r="R329" s="457">
        <v>0</v>
      </c>
      <c r="S329" s="457">
        <v>0</v>
      </c>
      <c r="T329" s="410" t="e">
        <v>#DIV/0!</v>
      </c>
      <c r="U329" s="285">
        <v>0</v>
      </c>
      <c r="V329" s="285">
        <v>0</v>
      </c>
      <c r="W329" s="285">
        <v>0</v>
      </c>
      <c r="X329" s="285">
        <v>0</v>
      </c>
      <c r="Y329" s="285">
        <v>0</v>
      </c>
      <c r="Z329" s="285">
        <v>0</v>
      </c>
    </row>
    <row r="330" spans="1:26" x14ac:dyDescent="0.2">
      <c r="A330" s="412" t="s">
        <v>556</v>
      </c>
      <c r="B330" s="457">
        <v>12000</v>
      </c>
      <c r="C330" s="457">
        <v>12000</v>
      </c>
      <c r="D330" s="457">
        <v>12000</v>
      </c>
      <c r="E330" s="457">
        <v>2760</v>
      </c>
      <c r="F330" s="457">
        <v>2760</v>
      </c>
      <c r="G330" s="457">
        <v>0</v>
      </c>
      <c r="H330" s="457">
        <v>0</v>
      </c>
      <c r="I330" s="457">
        <v>0</v>
      </c>
      <c r="J330" s="457">
        <v>0</v>
      </c>
      <c r="K330" s="457">
        <v>2760</v>
      </c>
      <c r="L330" s="457">
        <v>0</v>
      </c>
      <c r="M330" s="457">
        <v>0</v>
      </c>
      <c r="N330" s="457">
        <v>0</v>
      </c>
      <c r="O330" s="457">
        <v>0</v>
      </c>
      <c r="P330" s="457">
        <v>0</v>
      </c>
      <c r="Q330" s="457">
        <v>0</v>
      </c>
      <c r="R330" s="457">
        <v>0</v>
      </c>
      <c r="S330" s="457">
        <v>2760</v>
      </c>
      <c r="T330" s="410">
        <v>0.23</v>
      </c>
      <c r="U330" s="285">
        <v>9240</v>
      </c>
      <c r="V330" s="285">
        <v>0</v>
      </c>
      <c r="W330" s="285">
        <v>9240</v>
      </c>
      <c r="X330" s="285">
        <v>9240</v>
      </c>
      <c r="Y330" s="285">
        <v>0</v>
      </c>
      <c r="Z330" s="285">
        <v>0</v>
      </c>
    </row>
    <row r="331" spans="1:26" x14ac:dyDescent="0.2">
      <c r="A331" s="404" t="s">
        <v>557</v>
      </c>
      <c r="B331" s="448">
        <v>0</v>
      </c>
      <c r="C331" s="448">
        <v>0</v>
      </c>
      <c r="D331" s="448">
        <v>0</v>
      </c>
      <c r="E331" s="448">
        <v>0</v>
      </c>
      <c r="F331" s="448">
        <v>0</v>
      </c>
      <c r="G331" s="448">
        <v>0</v>
      </c>
      <c r="H331" s="448">
        <v>0</v>
      </c>
      <c r="I331" s="448">
        <v>0</v>
      </c>
      <c r="J331" s="448">
        <v>0</v>
      </c>
      <c r="K331" s="448">
        <v>0</v>
      </c>
      <c r="L331" s="448">
        <v>0</v>
      </c>
      <c r="M331" s="448">
        <v>0</v>
      </c>
      <c r="N331" s="448">
        <v>0</v>
      </c>
      <c r="O331" s="448">
        <v>0</v>
      </c>
      <c r="P331" s="448">
        <v>0</v>
      </c>
      <c r="Q331" s="448">
        <v>0</v>
      </c>
      <c r="R331" s="448">
        <v>0</v>
      </c>
      <c r="S331" s="448">
        <v>0</v>
      </c>
      <c r="T331" s="407" t="e">
        <v>#DIV/0!</v>
      </c>
      <c r="U331" s="406">
        <v>0</v>
      </c>
      <c r="V331" s="406">
        <v>0</v>
      </c>
      <c r="W331" s="406">
        <v>0</v>
      </c>
      <c r="X331" s="406">
        <v>0</v>
      </c>
      <c r="Y331" s="406">
        <v>0</v>
      </c>
      <c r="Z331" s="406">
        <v>0</v>
      </c>
    </row>
    <row r="332" spans="1:26" x14ac:dyDescent="0.2">
      <c r="A332" s="412" t="s">
        <v>558</v>
      </c>
      <c r="B332" s="457">
        <v>0</v>
      </c>
      <c r="C332" s="457">
        <v>0</v>
      </c>
      <c r="D332" s="457">
        <v>0</v>
      </c>
      <c r="E332" s="457">
        <v>0</v>
      </c>
      <c r="F332" s="457">
        <v>0</v>
      </c>
      <c r="G332" s="457">
        <v>0</v>
      </c>
      <c r="H332" s="457">
        <v>0</v>
      </c>
      <c r="I332" s="457">
        <v>0</v>
      </c>
      <c r="J332" s="457">
        <v>0</v>
      </c>
      <c r="K332" s="457">
        <v>0</v>
      </c>
      <c r="L332" s="457">
        <v>0</v>
      </c>
      <c r="M332" s="457">
        <v>0</v>
      </c>
      <c r="N332" s="457">
        <v>0</v>
      </c>
      <c r="O332" s="457">
        <v>0</v>
      </c>
      <c r="P332" s="457">
        <v>0</v>
      </c>
      <c r="Q332" s="457">
        <v>0</v>
      </c>
      <c r="R332" s="457">
        <v>0</v>
      </c>
      <c r="S332" s="457">
        <v>0</v>
      </c>
      <c r="T332" s="410" t="e">
        <v>#DIV/0!</v>
      </c>
      <c r="U332" s="285">
        <v>0</v>
      </c>
      <c r="V332" s="285">
        <v>0</v>
      </c>
      <c r="W332" s="285">
        <v>0</v>
      </c>
      <c r="X332" s="285">
        <v>0</v>
      </c>
      <c r="Y332" s="285">
        <v>0</v>
      </c>
      <c r="Z332" s="285">
        <v>0</v>
      </c>
    </row>
    <row r="333" spans="1:26" x14ac:dyDescent="0.2">
      <c r="A333" s="412" t="s">
        <v>559</v>
      </c>
      <c r="B333" s="457">
        <v>0</v>
      </c>
      <c r="C333" s="457">
        <v>0</v>
      </c>
      <c r="D333" s="457">
        <v>0</v>
      </c>
      <c r="E333" s="457">
        <v>0</v>
      </c>
      <c r="F333" s="457">
        <v>0</v>
      </c>
      <c r="G333" s="457">
        <v>0</v>
      </c>
      <c r="H333" s="457">
        <v>0</v>
      </c>
      <c r="I333" s="457">
        <v>0</v>
      </c>
      <c r="J333" s="457">
        <v>0</v>
      </c>
      <c r="K333" s="457">
        <v>0</v>
      </c>
      <c r="L333" s="457">
        <v>0</v>
      </c>
      <c r="M333" s="457">
        <v>0</v>
      </c>
      <c r="N333" s="457">
        <v>0</v>
      </c>
      <c r="O333" s="457">
        <v>0</v>
      </c>
      <c r="P333" s="457">
        <v>0</v>
      </c>
      <c r="Q333" s="457">
        <v>0</v>
      </c>
      <c r="R333" s="457">
        <v>0</v>
      </c>
      <c r="S333" s="457">
        <v>0</v>
      </c>
      <c r="T333" s="410" t="e">
        <v>#DIV/0!</v>
      </c>
      <c r="U333" s="285">
        <v>0</v>
      </c>
      <c r="V333" s="285">
        <v>0</v>
      </c>
      <c r="W333" s="285">
        <v>0</v>
      </c>
      <c r="X333" s="285">
        <v>0</v>
      </c>
      <c r="Y333" s="285">
        <v>0</v>
      </c>
      <c r="Z333" s="285">
        <v>0</v>
      </c>
    </row>
    <row r="334" spans="1:26" x14ac:dyDescent="0.2">
      <c r="A334" s="412" t="s">
        <v>560</v>
      </c>
      <c r="B334" s="457">
        <v>0</v>
      </c>
      <c r="C334" s="457">
        <v>0</v>
      </c>
      <c r="D334" s="457">
        <v>0</v>
      </c>
      <c r="E334" s="457">
        <v>0</v>
      </c>
      <c r="F334" s="457">
        <v>0</v>
      </c>
      <c r="G334" s="457">
        <v>0</v>
      </c>
      <c r="H334" s="457">
        <v>0</v>
      </c>
      <c r="I334" s="457">
        <v>0</v>
      </c>
      <c r="J334" s="457">
        <v>0</v>
      </c>
      <c r="K334" s="457">
        <v>0</v>
      </c>
      <c r="L334" s="457">
        <v>0</v>
      </c>
      <c r="M334" s="457">
        <v>0</v>
      </c>
      <c r="N334" s="457">
        <v>0</v>
      </c>
      <c r="O334" s="457">
        <v>0</v>
      </c>
      <c r="P334" s="457">
        <v>0</v>
      </c>
      <c r="Q334" s="457">
        <v>0</v>
      </c>
      <c r="R334" s="457">
        <v>0</v>
      </c>
      <c r="S334" s="457">
        <v>0</v>
      </c>
      <c r="T334" s="410" t="e">
        <v>#DIV/0!</v>
      </c>
      <c r="U334" s="285">
        <v>0</v>
      </c>
      <c r="V334" s="285">
        <v>0</v>
      </c>
      <c r="W334" s="285">
        <v>0</v>
      </c>
      <c r="X334" s="285">
        <v>0</v>
      </c>
      <c r="Y334" s="285">
        <v>0</v>
      </c>
      <c r="Z334" s="285">
        <v>0</v>
      </c>
    </row>
    <row r="335" spans="1:26" x14ac:dyDescent="0.2">
      <c r="A335" s="399" t="s">
        <v>561</v>
      </c>
      <c r="B335" s="474">
        <v>333807</v>
      </c>
      <c r="C335" s="474">
        <v>198454.21</v>
      </c>
      <c r="D335" s="474">
        <v>198454.21</v>
      </c>
      <c r="E335" s="474">
        <v>112094.09</v>
      </c>
      <c r="F335" s="474">
        <v>112094.09</v>
      </c>
      <c r="G335" s="474">
        <v>0</v>
      </c>
      <c r="H335" s="474">
        <v>0</v>
      </c>
      <c r="I335" s="474">
        <v>28783.96</v>
      </c>
      <c r="J335" s="474">
        <v>0</v>
      </c>
      <c r="K335" s="474">
        <v>0</v>
      </c>
      <c r="L335" s="474">
        <v>0</v>
      </c>
      <c r="M335" s="474">
        <v>83310.13</v>
      </c>
      <c r="N335" s="474">
        <v>0</v>
      </c>
      <c r="O335" s="474">
        <v>0</v>
      </c>
      <c r="P335" s="474">
        <v>0</v>
      </c>
      <c r="Q335" s="474">
        <v>0</v>
      </c>
      <c r="R335" s="474">
        <v>0</v>
      </c>
      <c r="S335" s="474">
        <v>112094.09</v>
      </c>
      <c r="T335" s="402">
        <v>0.5648360395075519</v>
      </c>
      <c r="U335" s="401">
        <v>86360.12</v>
      </c>
      <c r="V335" s="401">
        <v>0</v>
      </c>
      <c r="W335" s="401">
        <v>86360.12</v>
      </c>
      <c r="X335" s="401">
        <v>86360.12</v>
      </c>
      <c r="Y335" s="401">
        <v>0</v>
      </c>
      <c r="Z335" s="401">
        <v>0</v>
      </c>
    </row>
    <row r="336" spans="1:26" x14ac:dyDescent="0.2">
      <c r="A336" s="404" t="s">
        <v>562</v>
      </c>
      <c r="B336" s="448">
        <v>333807</v>
      </c>
      <c r="C336" s="448">
        <v>198454.21</v>
      </c>
      <c r="D336" s="448">
        <v>198454.21</v>
      </c>
      <c r="E336" s="448">
        <v>112094.09</v>
      </c>
      <c r="F336" s="448">
        <v>112094.09</v>
      </c>
      <c r="G336" s="448">
        <v>0</v>
      </c>
      <c r="H336" s="448">
        <v>0</v>
      </c>
      <c r="I336" s="448">
        <v>28783.96</v>
      </c>
      <c r="J336" s="448">
        <v>0</v>
      </c>
      <c r="K336" s="448">
        <v>0</v>
      </c>
      <c r="L336" s="448">
        <v>0</v>
      </c>
      <c r="M336" s="448">
        <v>83310.13</v>
      </c>
      <c r="N336" s="448">
        <v>0</v>
      </c>
      <c r="O336" s="448">
        <v>0</v>
      </c>
      <c r="P336" s="448">
        <v>0</v>
      </c>
      <c r="Q336" s="448">
        <v>0</v>
      </c>
      <c r="R336" s="448">
        <v>0</v>
      </c>
      <c r="S336" s="448">
        <v>112094.09</v>
      </c>
      <c r="T336" s="407">
        <v>0.5648360395075519</v>
      </c>
      <c r="U336" s="406">
        <v>86360.12</v>
      </c>
      <c r="V336" s="406">
        <v>0</v>
      </c>
      <c r="W336" s="406">
        <v>86360.12</v>
      </c>
      <c r="X336" s="406">
        <v>86360.12</v>
      </c>
      <c r="Y336" s="406">
        <v>0</v>
      </c>
      <c r="Z336" s="406">
        <v>0</v>
      </c>
    </row>
    <row r="337" spans="1:26" ht="24" x14ac:dyDescent="0.2">
      <c r="A337" s="412" t="s">
        <v>563</v>
      </c>
      <c r="B337" s="455">
        <v>0</v>
      </c>
      <c r="C337" s="455">
        <v>0</v>
      </c>
      <c r="D337" s="455">
        <v>0</v>
      </c>
      <c r="E337" s="455">
        <v>0</v>
      </c>
      <c r="F337" s="455">
        <v>0</v>
      </c>
      <c r="G337" s="455">
        <v>0</v>
      </c>
      <c r="H337" s="455">
        <v>0</v>
      </c>
      <c r="I337" s="455">
        <v>0</v>
      </c>
      <c r="J337" s="455">
        <v>0</v>
      </c>
      <c r="K337" s="455">
        <v>0</v>
      </c>
      <c r="L337" s="455">
        <v>0</v>
      </c>
      <c r="M337" s="455">
        <v>0</v>
      </c>
      <c r="N337" s="455">
        <v>0</v>
      </c>
      <c r="O337" s="455">
        <v>0</v>
      </c>
      <c r="P337" s="455">
        <v>0</v>
      </c>
      <c r="Q337" s="455">
        <v>0</v>
      </c>
      <c r="R337" s="455">
        <v>0</v>
      </c>
      <c r="S337" s="455">
        <v>0</v>
      </c>
      <c r="T337" s="410" t="e">
        <v>#DIV/0!</v>
      </c>
      <c r="U337" s="285">
        <v>0</v>
      </c>
      <c r="V337" s="285">
        <v>0</v>
      </c>
      <c r="W337" s="285">
        <v>0</v>
      </c>
      <c r="X337" s="285">
        <v>0</v>
      </c>
      <c r="Y337" s="285">
        <v>0</v>
      </c>
      <c r="Z337" s="285">
        <v>0</v>
      </c>
    </row>
    <row r="338" spans="1:26" x14ac:dyDescent="0.2">
      <c r="A338" s="414" t="s">
        <v>564</v>
      </c>
      <c r="B338" s="457">
        <v>0</v>
      </c>
      <c r="C338" s="457">
        <v>0</v>
      </c>
      <c r="D338" s="457">
        <v>0</v>
      </c>
      <c r="E338" s="457">
        <v>0</v>
      </c>
      <c r="F338" s="457">
        <v>0</v>
      </c>
      <c r="G338" s="457">
        <v>0</v>
      </c>
      <c r="H338" s="457">
        <v>0</v>
      </c>
      <c r="I338" s="457">
        <v>0</v>
      </c>
      <c r="J338" s="457">
        <v>0</v>
      </c>
      <c r="K338" s="457">
        <v>0</v>
      </c>
      <c r="L338" s="457">
        <v>0</v>
      </c>
      <c r="M338" s="457">
        <v>0</v>
      </c>
      <c r="N338" s="457">
        <v>0</v>
      </c>
      <c r="O338" s="457">
        <v>0</v>
      </c>
      <c r="P338" s="457">
        <v>0</v>
      </c>
      <c r="Q338" s="457">
        <v>0</v>
      </c>
      <c r="R338" s="457">
        <v>0</v>
      </c>
      <c r="S338" s="457">
        <v>0</v>
      </c>
      <c r="T338" s="410" t="e">
        <v>#DIV/0!</v>
      </c>
      <c r="U338" s="285">
        <v>0</v>
      </c>
      <c r="V338" s="285">
        <v>0</v>
      </c>
      <c r="W338" s="285">
        <v>0</v>
      </c>
      <c r="X338" s="285">
        <v>0</v>
      </c>
      <c r="Y338" s="285">
        <v>0</v>
      </c>
      <c r="Z338" s="285">
        <v>0</v>
      </c>
    </row>
    <row r="339" spans="1:26" x14ac:dyDescent="0.2">
      <c r="A339" s="414" t="s">
        <v>565</v>
      </c>
      <c r="B339" s="457">
        <v>0</v>
      </c>
      <c r="C339" s="457">
        <v>0</v>
      </c>
      <c r="D339" s="457">
        <v>0</v>
      </c>
      <c r="E339" s="457">
        <v>0</v>
      </c>
      <c r="F339" s="457">
        <v>0</v>
      </c>
      <c r="G339" s="457">
        <v>0</v>
      </c>
      <c r="H339" s="457">
        <v>0</v>
      </c>
      <c r="I339" s="457">
        <v>0</v>
      </c>
      <c r="J339" s="457">
        <v>0</v>
      </c>
      <c r="K339" s="457">
        <v>0</v>
      </c>
      <c r="L339" s="457">
        <v>0</v>
      </c>
      <c r="M339" s="457">
        <v>0</v>
      </c>
      <c r="N339" s="457">
        <v>0</v>
      </c>
      <c r="O339" s="457">
        <v>0</v>
      </c>
      <c r="P339" s="457">
        <v>0</v>
      </c>
      <c r="Q339" s="457">
        <v>0</v>
      </c>
      <c r="R339" s="457">
        <v>0</v>
      </c>
      <c r="S339" s="457">
        <v>0</v>
      </c>
      <c r="T339" s="410" t="e">
        <v>#DIV/0!</v>
      </c>
      <c r="U339" s="285">
        <v>0</v>
      </c>
      <c r="V339" s="285">
        <v>0</v>
      </c>
      <c r="W339" s="285">
        <v>0</v>
      </c>
      <c r="X339" s="285">
        <v>0</v>
      </c>
      <c r="Y339" s="285">
        <v>0</v>
      </c>
      <c r="Z339" s="285">
        <v>0</v>
      </c>
    </row>
    <row r="340" spans="1:26" x14ac:dyDescent="0.2">
      <c r="A340" s="412" t="s">
        <v>1257</v>
      </c>
      <c r="B340" s="457">
        <v>333807</v>
      </c>
      <c r="C340" s="457">
        <v>198454.21</v>
      </c>
      <c r="D340" s="457">
        <v>198454.21</v>
      </c>
      <c r="E340" s="457">
        <v>112094.09</v>
      </c>
      <c r="F340" s="457">
        <v>112094.09</v>
      </c>
      <c r="G340" s="457">
        <v>0</v>
      </c>
      <c r="H340" s="457">
        <v>0</v>
      </c>
      <c r="I340" s="457">
        <v>28783.96</v>
      </c>
      <c r="J340" s="457">
        <v>0</v>
      </c>
      <c r="K340" s="457">
        <v>0</v>
      </c>
      <c r="L340" s="457">
        <v>0</v>
      </c>
      <c r="M340" s="457">
        <v>83310.13</v>
      </c>
      <c r="N340" s="457">
        <v>0</v>
      </c>
      <c r="O340" s="457">
        <v>0</v>
      </c>
      <c r="P340" s="457">
        <v>0</v>
      </c>
      <c r="Q340" s="457">
        <v>0</v>
      </c>
      <c r="R340" s="457">
        <v>0</v>
      </c>
      <c r="S340" s="457">
        <v>112094.09</v>
      </c>
      <c r="T340" s="410">
        <v>0.5648360395075519</v>
      </c>
      <c r="U340" s="285">
        <v>86360.12</v>
      </c>
      <c r="V340" s="285">
        <v>0</v>
      </c>
      <c r="W340" s="285">
        <v>86360.12</v>
      </c>
      <c r="X340" s="285">
        <v>86360.12</v>
      </c>
      <c r="Y340" s="285">
        <v>0</v>
      </c>
      <c r="Z340" s="285">
        <v>0</v>
      </c>
    </row>
    <row r="341" spans="1:26" x14ac:dyDescent="0.2">
      <c r="A341" s="414" t="s">
        <v>1259</v>
      </c>
      <c r="B341" s="457">
        <v>333807</v>
      </c>
      <c r="C341" s="457">
        <v>198454.21</v>
      </c>
      <c r="D341" s="457">
        <v>198454.21</v>
      </c>
      <c r="E341" s="457">
        <v>112094.09</v>
      </c>
      <c r="F341" s="457">
        <v>112094.09</v>
      </c>
      <c r="G341" s="457">
        <v>0</v>
      </c>
      <c r="H341" s="457">
        <v>0</v>
      </c>
      <c r="I341" s="457">
        <v>28783.96</v>
      </c>
      <c r="J341" s="457">
        <v>0</v>
      </c>
      <c r="K341" s="457">
        <v>0</v>
      </c>
      <c r="L341" s="457">
        <v>0</v>
      </c>
      <c r="M341" s="457">
        <v>83310.13</v>
      </c>
      <c r="N341" s="457">
        <v>0</v>
      </c>
      <c r="O341" s="457">
        <v>0</v>
      </c>
      <c r="P341" s="457">
        <v>0</v>
      </c>
      <c r="Q341" s="457">
        <v>0</v>
      </c>
      <c r="R341" s="457">
        <v>0</v>
      </c>
      <c r="S341" s="457">
        <v>112094.09</v>
      </c>
      <c r="T341" s="410">
        <v>0.5648360395075519</v>
      </c>
      <c r="U341" s="285">
        <v>86360.12</v>
      </c>
      <c r="V341" s="285">
        <v>0</v>
      </c>
      <c r="W341" s="285">
        <v>86360.12</v>
      </c>
      <c r="X341" s="285">
        <v>86360.12</v>
      </c>
      <c r="Y341" s="285">
        <v>0</v>
      </c>
      <c r="Z341" s="285">
        <v>0</v>
      </c>
    </row>
    <row r="342" spans="1:26" x14ac:dyDescent="0.2">
      <c r="A342" s="414" t="s">
        <v>1261</v>
      </c>
      <c r="B342" s="457">
        <v>0</v>
      </c>
      <c r="C342" s="457">
        <v>0</v>
      </c>
      <c r="D342" s="457">
        <v>0</v>
      </c>
      <c r="E342" s="457">
        <v>0</v>
      </c>
      <c r="F342" s="457">
        <v>0</v>
      </c>
      <c r="G342" s="457">
        <v>0</v>
      </c>
      <c r="H342" s="457">
        <v>0</v>
      </c>
      <c r="I342" s="457">
        <v>0</v>
      </c>
      <c r="J342" s="457">
        <v>0</v>
      </c>
      <c r="K342" s="457">
        <v>0</v>
      </c>
      <c r="L342" s="457">
        <v>0</v>
      </c>
      <c r="M342" s="457">
        <v>0</v>
      </c>
      <c r="N342" s="457">
        <v>0</v>
      </c>
      <c r="O342" s="457">
        <v>0</v>
      </c>
      <c r="P342" s="457">
        <v>0</v>
      </c>
      <c r="Q342" s="457">
        <v>0</v>
      </c>
      <c r="R342" s="457">
        <v>0</v>
      </c>
      <c r="S342" s="457">
        <v>0</v>
      </c>
      <c r="T342" s="410" t="e">
        <v>#DIV/0!</v>
      </c>
      <c r="U342" s="285">
        <v>0</v>
      </c>
      <c r="V342" s="285">
        <v>0</v>
      </c>
      <c r="W342" s="285">
        <v>0</v>
      </c>
      <c r="X342" s="285">
        <v>0</v>
      </c>
      <c r="Y342" s="285">
        <v>0</v>
      </c>
      <c r="Z342" s="285">
        <v>0</v>
      </c>
    </row>
    <row r="343" spans="1:26" x14ac:dyDescent="0.2">
      <c r="A343" s="412" t="s">
        <v>566</v>
      </c>
      <c r="B343" s="457">
        <v>0</v>
      </c>
      <c r="C343" s="457">
        <v>0</v>
      </c>
      <c r="D343" s="457">
        <v>0</v>
      </c>
      <c r="E343" s="457">
        <v>0</v>
      </c>
      <c r="F343" s="457">
        <v>0</v>
      </c>
      <c r="G343" s="457">
        <v>0</v>
      </c>
      <c r="H343" s="457">
        <v>0</v>
      </c>
      <c r="I343" s="457">
        <v>0</v>
      </c>
      <c r="J343" s="457">
        <v>0</v>
      </c>
      <c r="K343" s="457">
        <v>0</v>
      </c>
      <c r="L343" s="457">
        <v>0</v>
      </c>
      <c r="M343" s="457">
        <v>0</v>
      </c>
      <c r="N343" s="457">
        <v>0</v>
      </c>
      <c r="O343" s="457">
        <v>0</v>
      </c>
      <c r="P343" s="457">
        <v>0</v>
      </c>
      <c r="Q343" s="457">
        <v>0</v>
      </c>
      <c r="R343" s="457">
        <v>0</v>
      </c>
      <c r="S343" s="457">
        <v>0</v>
      </c>
      <c r="T343" s="410" t="e">
        <v>#DIV/0!</v>
      </c>
      <c r="U343" s="285">
        <v>0</v>
      </c>
      <c r="V343" s="285">
        <v>0</v>
      </c>
      <c r="W343" s="285">
        <v>0</v>
      </c>
      <c r="X343" s="285">
        <v>0</v>
      </c>
      <c r="Y343" s="285">
        <v>0</v>
      </c>
      <c r="Z343" s="285">
        <v>0</v>
      </c>
    </row>
    <row r="344" spans="1:26" x14ac:dyDescent="0.2">
      <c r="A344" s="412" t="s">
        <v>567</v>
      </c>
      <c r="B344" s="457">
        <v>0</v>
      </c>
      <c r="C344" s="457">
        <v>0</v>
      </c>
      <c r="D344" s="457">
        <v>0</v>
      </c>
      <c r="E344" s="457">
        <v>0</v>
      </c>
      <c r="F344" s="457">
        <v>0</v>
      </c>
      <c r="G344" s="457">
        <v>0</v>
      </c>
      <c r="H344" s="457">
        <v>0</v>
      </c>
      <c r="I344" s="457">
        <v>0</v>
      </c>
      <c r="J344" s="457">
        <v>0</v>
      </c>
      <c r="K344" s="457">
        <v>0</v>
      </c>
      <c r="L344" s="457">
        <v>0</v>
      </c>
      <c r="M344" s="457">
        <v>0</v>
      </c>
      <c r="N344" s="457">
        <v>0</v>
      </c>
      <c r="O344" s="457">
        <v>0</v>
      </c>
      <c r="P344" s="457">
        <v>0</v>
      </c>
      <c r="Q344" s="457">
        <v>0</v>
      </c>
      <c r="R344" s="457">
        <v>0</v>
      </c>
      <c r="S344" s="457">
        <v>0</v>
      </c>
      <c r="T344" s="410" t="e">
        <v>#DIV/0!</v>
      </c>
      <c r="U344" s="285">
        <v>0</v>
      </c>
      <c r="V344" s="285">
        <v>0</v>
      </c>
      <c r="W344" s="285">
        <v>0</v>
      </c>
      <c r="X344" s="285">
        <v>0</v>
      </c>
      <c r="Y344" s="285">
        <v>0</v>
      </c>
      <c r="Z344" s="285">
        <v>0</v>
      </c>
    </row>
    <row r="345" spans="1:26" x14ac:dyDescent="0.2">
      <c r="A345" s="404" t="s">
        <v>568</v>
      </c>
      <c r="B345" s="448">
        <v>0</v>
      </c>
      <c r="C345" s="448">
        <v>0</v>
      </c>
      <c r="D345" s="448">
        <v>0</v>
      </c>
      <c r="E345" s="448">
        <v>0</v>
      </c>
      <c r="F345" s="448">
        <v>0</v>
      </c>
      <c r="G345" s="448">
        <v>0</v>
      </c>
      <c r="H345" s="448">
        <v>0</v>
      </c>
      <c r="I345" s="448">
        <v>0</v>
      </c>
      <c r="J345" s="448">
        <v>0</v>
      </c>
      <c r="K345" s="448">
        <v>0</v>
      </c>
      <c r="L345" s="448">
        <v>0</v>
      </c>
      <c r="M345" s="448">
        <v>0</v>
      </c>
      <c r="N345" s="448">
        <v>0</v>
      </c>
      <c r="O345" s="448">
        <v>0</v>
      </c>
      <c r="P345" s="448">
        <v>0</v>
      </c>
      <c r="Q345" s="448">
        <v>0</v>
      </c>
      <c r="R345" s="448">
        <v>0</v>
      </c>
      <c r="S345" s="448">
        <v>0</v>
      </c>
      <c r="T345" s="407" t="e">
        <v>#DIV/0!</v>
      </c>
      <c r="U345" s="406">
        <v>0</v>
      </c>
      <c r="V345" s="406">
        <v>0</v>
      </c>
      <c r="W345" s="406">
        <v>0</v>
      </c>
      <c r="X345" s="406">
        <v>0</v>
      </c>
      <c r="Y345" s="406">
        <v>0</v>
      </c>
      <c r="Z345" s="406">
        <v>0</v>
      </c>
    </row>
    <row r="346" spans="1:26" x14ac:dyDescent="0.2">
      <c r="A346" s="412" t="s">
        <v>569</v>
      </c>
      <c r="B346" s="457">
        <v>0</v>
      </c>
      <c r="C346" s="457">
        <v>0</v>
      </c>
      <c r="D346" s="457">
        <v>0</v>
      </c>
      <c r="E346" s="457">
        <v>0</v>
      </c>
      <c r="F346" s="457">
        <v>0</v>
      </c>
      <c r="G346" s="457">
        <v>0</v>
      </c>
      <c r="H346" s="457">
        <v>0</v>
      </c>
      <c r="I346" s="457">
        <v>0</v>
      </c>
      <c r="J346" s="457">
        <v>0</v>
      </c>
      <c r="K346" s="457">
        <v>0</v>
      </c>
      <c r="L346" s="457">
        <v>0</v>
      </c>
      <c r="M346" s="457">
        <v>0</v>
      </c>
      <c r="N346" s="457">
        <v>0</v>
      </c>
      <c r="O346" s="457">
        <v>0</v>
      </c>
      <c r="P346" s="457">
        <v>0</v>
      </c>
      <c r="Q346" s="457">
        <v>0</v>
      </c>
      <c r="R346" s="457">
        <v>0</v>
      </c>
      <c r="S346" s="457">
        <v>0</v>
      </c>
      <c r="T346" s="410" t="e">
        <v>#DIV/0!</v>
      </c>
      <c r="U346" s="285">
        <v>0</v>
      </c>
      <c r="V346" s="285">
        <v>0</v>
      </c>
      <c r="W346" s="285">
        <v>0</v>
      </c>
      <c r="X346" s="285">
        <v>0</v>
      </c>
      <c r="Y346" s="285">
        <v>0</v>
      </c>
      <c r="Z346" s="285">
        <v>0</v>
      </c>
    </row>
    <row r="347" spans="1:26" ht="24" x14ac:dyDescent="0.2">
      <c r="A347" s="412" t="s">
        <v>570</v>
      </c>
      <c r="B347" s="457">
        <v>0</v>
      </c>
      <c r="C347" s="457">
        <v>0</v>
      </c>
      <c r="D347" s="457">
        <v>0</v>
      </c>
      <c r="E347" s="457">
        <v>0</v>
      </c>
      <c r="F347" s="457">
        <v>0</v>
      </c>
      <c r="G347" s="457">
        <v>0</v>
      </c>
      <c r="H347" s="457">
        <v>0</v>
      </c>
      <c r="I347" s="457">
        <v>0</v>
      </c>
      <c r="J347" s="457">
        <v>0</v>
      </c>
      <c r="K347" s="457">
        <v>0</v>
      </c>
      <c r="L347" s="457">
        <v>0</v>
      </c>
      <c r="M347" s="457">
        <v>0</v>
      </c>
      <c r="N347" s="457">
        <v>0</v>
      </c>
      <c r="O347" s="457">
        <v>0</v>
      </c>
      <c r="P347" s="457">
        <v>0</v>
      </c>
      <c r="Q347" s="457">
        <v>0</v>
      </c>
      <c r="R347" s="457">
        <v>0</v>
      </c>
      <c r="S347" s="457">
        <v>0</v>
      </c>
      <c r="T347" s="410" t="e">
        <v>#DIV/0!</v>
      </c>
      <c r="U347" s="285">
        <v>0</v>
      </c>
      <c r="V347" s="285">
        <v>0</v>
      </c>
      <c r="W347" s="285">
        <v>0</v>
      </c>
      <c r="X347" s="285">
        <v>0</v>
      </c>
      <c r="Y347" s="285">
        <v>0</v>
      </c>
      <c r="Z347" s="285">
        <v>0</v>
      </c>
    </row>
    <row r="348" spans="1:26" ht="24" x14ac:dyDescent="0.2">
      <c r="A348" s="412" t="s">
        <v>571</v>
      </c>
      <c r="B348" s="457">
        <v>0</v>
      </c>
      <c r="C348" s="457">
        <v>0</v>
      </c>
      <c r="D348" s="457">
        <v>0</v>
      </c>
      <c r="E348" s="457">
        <v>0</v>
      </c>
      <c r="F348" s="457">
        <v>0</v>
      </c>
      <c r="G348" s="457">
        <v>0</v>
      </c>
      <c r="H348" s="457">
        <v>0</v>
      </c>
      <c r="I348" s="457">
        <v>0</v>
      </c>
      <c r="J348" s="457">
        <v>0</v>
      </c>
      <c r="K348" s="457">
        <v>0</v>
      </c>
      <c r="L348" s="457">
        <v>0</v>
      </c>
      <c r="M348" s="457">
        <v>0</v>
      </c>
      <c r="N348" s="457">
        <v>0</v>
      </c>
      <c r="O348" s="457">
        <v>0</v>
      </c>
      <c r="P348" s="457">
        <v>0</v>
      </c>
      <c r="Q348" s="457">
        <v>0</v>
      </c>
      <c r="R348" s="457">
        <v>0</v>
      </c>
      <c r="S348" s="457">
        <v>0</v>
      </c>
      <c r="T348" s="410" t="e">
        <v>#DIV/0!</v>
      </c>
      <c r="U348" s="285">
        <v>0</v>
      </c>
      <c r="V348" s="285">
        <v>0</v>
      </c>
      <c r="W348" s="285">
        <v>0</v>
      </c>
      <c r="X348" s="285">
        <v>0</v>
      </c>
      <c r="Y348" s="285">
        <v>0</v>
      </c>
      <c r="Z348" s="285">
        <v>0</v>
      </c>
    </row>
    <row r="349" spans="1:26" x14ac:dyDescent="0.2">
      <c r="A349" s="404" t="s">
        <v>572</v>
      </c>
      <c r="B349" s="448">
        <v>0</v>
      </c>
      <c r="C349" s="448">
        <v>0</v>
      </c>
      <c r="D349" s="448">
        <v>0</v>
      </c>
      <c r="E349" s="448">
        <v>0</v>
      </c>
      <c r="F349" s="448">
        <v>0</v>
      </c>
      <c r="G349" s="448">
        <v>0</v>
      </c>
      <c r="H349" s="448">
        <v>0</v>
      </c>
      <c r="I349" s="448">
        <v>0</v>
      </c>
      <c r="J349" s="448">
        <v>0</v>
      </c>
      <c r="K349" s="448">
        <v>0</v>
      </c>
      <c r="L349" s="448">
        <v>0</v>
      </c>
      <c r="M349" s="448">
        <v>0</v>
      </c>
      <c r="N349" s="448">
        <v>0</v>
      </c>
      <c r="O349" s="448">
        <v>0</v>
      </c>
      <c r="P349" s="448">
        <v>0</v>
      </c>
      <c r="Q349" s="448">
        <v>0</v>
      </c>
      <c r="R349" s="448">
        <v>0</v>
      </c>
      <c r="S349" s="448">
        <v>0</v>
      </c>
      <c r="T349" s="407" t="e">
        <v>#DIV/0!</v>
      </c>
      <c r="U349" s="406">
        <v>0</v>
      </c>
      <c r="V349" s="406">
        <v>0</v>
      </c>
      <c r="W349" s="406">
        <v>0</v>
      </c>
      <c r="X349" s="406">
        <v>0</v>
      </c>
      <c r="Y349" s="406">
        <v>0</v>
      </c>
      <c r="Z349" s="406">
        <v>0</v>
      </c>
    </row>
    <row r="350" spans="1:26" ht="24" x14ac:dyDescent="0.2">
      <c r="A350" s="412" t="s">
        <v>573</v>
      </c>
      <c r="B350" s="457">
        <v>0</v>
      </c>
      <c r="C350" s="457">
        <v>0</v>
      </c>
      <c r="D350" s="457">
        <v>0</v>
      </c>
      <c r="E350" s="457">
        <v>0</v>
      </c>
      <c r="F350" s="457">
        <v>0</v>
      </c>
      <c r="G350" s="457">
        <v>0</v>
      </c>
      <c r="H350" s="457">
        <v>0</v>
      </c>
      <c r="I350" s="457">
        <v>0</v>
      </c>
      <c r="J350" s="457">
        <v>0</v>
      </c>
      <c r="K350" s="457">
        <v>0</v>
      </c>
      <c r="L350" s="457">
        <v>0</v>
      </c>
      <c r="M350" s="457">
        <v>0</v>
      </c>
      <c r="N350" s="457">
        <v>0</v>
      </c>
      <c r="O350" s="457">
        <v>0</v>
      </c>
      <c r="P350" s="457">
        <v>0</v>
      </c>
      <c r="Q350" s="457">
        <v>0</v>
      </c>
      <c r="R350" s="457">
        <v>0</v>
      </c>
      <c r="S350" s="457">
        <v>0</v>
      </c>
      <c r="T350" s="410" t="e">
        <v>#DIV/0!</v>
      </c>
      <c r="U350" s="285">
        <v>0</v>
      </c>
      <c r="V350" s="285">
        <v>0</v>
      </c>
      <c r="W350" s="285">
        <v>0</v>
      </c>
      <c r="X350" s="285">
        <v>0</v>
      </c>
      <c r="Y350" s="285">
        <v>0</v>
      </c>
      <c r="Z350" s="285">
        <v>0</v>
      </c>
    </row>
    <row r="351" spans="1:26" x14ac:dyDescent="0.2">
      <c r="A351" s="412" t="s">
        <v>574</v>
      </c>
      <c r="B351" s="457">
        <v>0</v>
      </c>
      <c r="C351" s="457">
        <v>0</v>
      </c>
      <c r="D351" s="457">
        <v>0</v>
      </c>
      <c r="E351" s="457">
        <v>0</v>
      </c>
      <c r="F351" s="457">
        <v>0</v>
      </c>
      <c r="G351" s="457">
        <v>0</v>
      </c>
      <c r="H351" s="457">
        <v>0</v>
      </c>
      <c r="I351" s="457">
        <v>0</v>
      </c>
      <c r="J351" s="457">
        <v>0</v>
      </c>
      <c r="K351" s="457">
        <v>0</v>
      </c>
      <c r="L351" s="457">
        <v>0</v>
      </c>
      <c r="M351" s="457">
        <v>0</v>
      </c>
      <c r="N351" s="457">
        <v>0</v>
      </c>
      <c r="O351" s="457">
        <v>0</v>
      </c>
      <c r="P351" s="457">
        <v>0</v>
      </c>
      <c r="Q351" s="457">
        <v>0</v>
      </c>
      <c r="R351" s="457">
        <v>0</v>
      </c>
      <c r="S351" s="457">
        <v>0</v>
      </c>
      <c r="T351" s="410" t="e">
        <v>#DIV/0!</v>
      </c>
      <c r="U351" s="285">
        <v>0</v>
      </c>
      <c r="V351" s="285">
        <v>0</v>
      </c>
      <c r="W351" s="285">
        <v>0</v>
      </c>
      <c r="X351" s="285">
        <v>0</v>
      </c>
      <c r="Y351" s="285">
        <v>0</v>
      </c>
      <c r="Z351" s="285">
        <v>0</v>
      </c>
    </row>
    <row r="352" spans="1:26" x14ac:dyDescent="0.2">
      <c r="A352" s="412" t="s">
        <v>575</v>
      </c>
      <c r="B352" s="457">
        <v>0</v>
      </c>
      <c r="C352" s="457">
        <v>0</v>
      </c>
      <c r="D352" s="457">
        <v>0</v>
      </c>
      <c r="E352" s="457">
        <v>0</v>
      </c>
      <c r="F352" s="457">
        <v>0</v>
      </c>
      <c r="G352" s="457">
        <v>0</v>
      </c>
      <c r="H352" s="457">
        <v>0</v>
      </c>
      <c r="I352" s="457">
        <v>0</v>
      </c>
      <c r="J352" s="457">
        <v>0</v>
      </c>
      <c r="K352" s="457">
        <v>0</v>
      </c>
      <c r="L352" s="457">
        <v>0</v>
      </c>
      <c r="M352" s="457">
        <v>0</v>
      </c>
      <c r="N352" s="457">
        <v>0</v>
      </c>
      <c r="O352" s="457">
        <v>0</v>
      </c>
      <c r="P352" s="457">
        <v>0</v>
      </c>
      <c r="Q352" s="457">
        <v>0</v>
      </c>
      <c r="R352" s="457">
        <v>0</v>
      </c>
      <c r="S352" s="457">
        <v>0</v>
      </c>
      <c r="T352" s="410" t="e">
        <v>#DIV/0!</v>
      </c>
      <c r="U352" s="285">
        <v>0</v>
      </c>
      <c r="V352" s="285">
        <v>0</v>
      </c>
      <c r="W352" s="285">
        <v>0</v>
      </c>
      <c r="X352" s="285">
        <v>0</v>
      </c>
      <c r="Y352" s="285">
        <v>0</v>
      </c>
      <c r="Z352" s="285">
        <v>0</v>
      </c>
    </row>
    <row r="353" spans="1:26" x14ac:dyDescent="0.2">
      <c r="A353" s="412" t="s">
        <v>576</v>
      </c>
      <c r="B353" s="457">
        <v>0</v>
      </c>
      <c r="C353" s="457">
        <v>0</v>
      </c>
      <c r="D353" s="457">
        <v>0</v>
      </c>
      <c r="E353" s="457">
        <v>0</v>
      </c>
      <c r="F353" s="457">
        <v>0</v>
      </c>
      <c r="G353" s="457">
        <v>0</v>
      </c>
      <c r="H353" s="457">
        <v>0</v>
      </c>
      <c r="I353" s="457">
        <v>0</v>
      </c>
      <c r="J353" s="457">
        <v>0</v>
      </c>
      <c r="K353" s="457">
        <v>0</v>
      </c>
      <c r="L353" s="457">
        <v>0</v>
      </c>
      <c r="M353" s="457">
        <v>0</v>
      </c>
      <c r="N353" s="457">
        <v>0</v>
      </c>
      <c r="O353" s="457">
        <v>0</v>
      </c>
      <c r="P353" s="457">
        <v>0</v>
      </c>
      <c r="Q353" s="457">
        <v>0</v>
      </c>
      <c r="R353" s="457">
        <v>0</v>
      </c>
      <c r="S353" s="457">
        <v>0</v>
      </c>
      <c r="T353" s="410" t="e">
        <v>#DIV/0!</v>
      </c>
      <c r="U353" s="285">
        <v>0</v>
      </c>
      <c r="V353" s="285">
        <v>0</v>
      </c>
      <c r="W353" s="285">
        <v>0</v>
      </c>
      <c r="X353" s="285">
        <v>0</v>
      </c>
      <c r="Y353" s="285">
        <v>0</v>
      </c>
      <c r="Z353" s="285">
        <v>0</v>
      </c>
    </row>
    <row r="354" spans="1:26" x14ac:dyDescent="0.2">
      <c r="A354" s="412" t="s">
        <v>577</v>
      </c>
      <c r="B354" s="457">
        <v>0</v>
      </c>
      <c r="C354" s="457">
        <v>0</v>
      </c>
      <c r="D354" s="457">
        <v>0</v>
      </c>
      <c r="E354" s="457">
        <v>0</v>
      </c>
      <c r="F354" s="457">
        <v>0</v>
      </c>
      <c r="G354" s="457">
        <v>0</v>
      </c>
      <c r="H354" s="457">
        <v>0</v>
      </c>
      <c r="I354" s="457">
        <v>0</v>
      </c>
      <c r="J354" s="457">
        <v>0</v>
      </c>
      <c r="K354" s="457">
        <v>0</v>
      </c>
      <c r="L354" s="457">
        <v>0</v>
      </c>
      <c r="M354" s="457">
        <v>0</v>
      </c>
      <c r="N354" s="457">
        <v>0</v>
      </c>
      <c r="O354" s="457">
        <v>0</v>
      </c>
      <c r="P354" s="457">
        <v>0</v>
      </c>
      <c r="Q354" s="457">
        <v>0</v>
      </c>
      <c r="R354" s="457">
        <v>0</v>
      </c>
      <c r="S354" s="457">
        <v>0</v>
      </c>
      <c r="T354" s="410" t="e">
        <v>#DIV/0!</v>
      </c>
      <c r="U354" s="285">
        <v>0</v>
      </c>
      <c r="V354" s="285">
        <v>0</v>
      </c>
      <c r="W354" s="285">
        <v>0</v>
      </c>
      <c r="X354" s="285">
        <v>0</v>
      </c>
      <c r="Y354" s="285">
        <v>0</v>
      </c>
      <c r="Z354" s="285">
        <v>0</v>
      </c>
    </row>
    <row r="355" spans="1:26" ht="24" x14ac:dyDescent="0.2">
      <c r="A355" s="412" t="s">
        <v>578</v>
      </c>
      <c r="B355" s="457">
        <v>0</v>
      </c>
      <c r="C355" s="457">
        <v>0</v>
      </c>
      <c r="D355" s="457">
        <v>0</v>
      </c>
      <c r="E355" s="457">
        <v>0</v>
      </c>
      <c r="F355" s="457">
        <v>0</v>
      </c>
      <c r="G355" s="457">
        <v>0</v>
      </c>
      <c r="H355" s="457">
        <v>0</v>
      </c>
      <c r="I355" s="457">
        <v>0</v>
      </c>
      <c r="J355" s="457">
        <v>0</v>
      </c>
      <c r="K355" s="457">
        <v>0</v>
      </c>
      <c r="L355" s="457">
        <v>0</v>
      </c>
      <c r="M355" s="457">
        <v>0</v>
      </c>
      <c r="N355" s="457">
        <v>0</v>
      </c>
      <c r="O355" s="457">
        <v>0</v>
      </c>
      <c r="P355" s="457">
        <v>0</v>
      </c>
      <c r="Q355" s="457">
        <v>0</v>
      </c>
      <c r="R355" s="457">
        <v>0</v>
      </c>
      <c r="S355" s="457">
        <v>0</v>
      </c>
      <c r="T355" s="410" t="e">
        <v>#DIV/0!</v>
      </c>
      <c r="U355" s="285">
        <v>0</v>
      </c>
      <c r="V355" s="285">
        <v>0</v>
      </c>
      <c r="W355" s="285">
        <v>0</v>
      </c>
      <c r="X355" s="285">
        <v>0</v>
      </c>
      <c r="Y355" s="285">
        <v>0</v>
      </c>
      <c r="Z355" s="285">
        <v>0</v>
      </c>
    </row>
    <row r="356" spans="1:26" x14ac:dyDescent="0.2">
      <c r="A356" s="412" t="s">
        <v>579</v>
      </c>
      <c r="B356" s="457">
        <v>0</v>
      </c>
      <c r="C356" s="457">
        <v>0</v>
      </c>
      <c r="D356" s="457">
        <v>0</v>
      </c>
      <c r="E356" s="457">
        <v>0</v>
      </c>
      <c r="F356" s="457">
        <v>0</v>
      </c>
      <c r="G356" s="457">
        <v>0</v>
      </c>
      <c r="H356" s="457">
        <v>0</v>
      </c>
      <c r="I356" s="457">
        <v>0</v>
      </c>
      <c r="J356" s="457">
        <v>0</v>
      </c>
      <c r="K356" s="457">
        <v>0</v>
      </c>
      <c r="L356" s="457">
        <v>0</v>
      </c>
      <c r="M356" s="457">
        <v>0</v>
      </c>
      <c r="N356" s="457">
        <v>0</v>
      </c>
      <c r="O356" s="457">
        <v>0</v>
      </c>
      <c r="P356" s="457">
        <v>0</v>
      </c>
      <c r="Q356" s="457">
        <v>0</v>
      </c>
      <c r="R356" s="457">
        <v>0</v>
      </c>
      <c r="S356" s="457">
        <v>0</v>
      </c>
      <c r="T356" s="410" t="e">
        <v>#DIV/0!</v>
      </c>
      <c r="U356" s="285">
        <v>0</v>
      </c>
      <c r="V356" s="285">
        <v>0</v>
      </c>
      <c r="W356" s="285">
        <v>0</v>
      </c>
      <c r="X356" s="285">
        <v>0</v>
      </c>
      <c r="Y356" s="285">
        <v>0</v>
      </c>
      <c r="Z356" s="285">
        <v>0</v>
      </c>
    </row>
    <row r="357" spans="1:26" x14ac:dyDescent="0.2">
      <c r="A357" s="412" t="s">
        <v>580</v>
      </c>
      <c r="B357" s="457">
        <v>0</v>
      </c>
      <c r="C357" s="457">
        <v>0</v>
      </c>
      <c r="D357" s="457">
        <v>0</v>
      </c>
      <c r="E357" s="457">
        <v>0</v>
      </c>
      <c r="F357" s="457">
        <v>0</v>
      </c>
      <c r="G357" s="457">
        <v>0</v>
      </c>
      <c r="H357" s="457">
        <v>0</v>
      </c>
      <c r="I357" s="457">
        <v>0</v>
      </c>
      <c r="J357" s="457">
        <v>0</v>
      </c>
      <c r="K357" s="457">
        <v>0</v>
      </c>
      <c r="L357" s="457">
        <v>0</v>
      </c>
      <c r="M357" s="457">
        <v>0</v>
      </c>
      <c r="N357" s="457">
        <v>0</v>
      </c>
      <c r="O357" s="457">
        <v>0</v>
      </c>
      <c r="P357" s="457">
        <v>0</v>
      </c>
      <c r="Q357" s="457">
        <v>0</v>
      </c>
      <c r="R357" s="457">
        <v>0</v>
      </c>
      <c r="S357" s="457">
        <v>0</v>
      </c>
      <c r="T357" s="410" t="e">
        <v>#DIV/0!</v>
      </c>
      <c r="U357" s="285">
        <v>0</v>
      </c>
      <c r="V357" s="285">
        <v>0</v>
      </c>
      <c r="W357" s="285">
        <v>0</v>
      </c>
      <c r="X357" s="285">
        <v>0</v>
      </c>
      <c r="Y357" s="285">
        <v>0</v>
      </c>
      <c r="Z357" s="285">
        <v>0</v>
      </c>
    </row>
    <row r="358" spans="1:26" x14ac:dyDescent="0.2">
      <c r="A358" s="412" t="s">
        <v>581</v>
      </c>
      <c r="B358" s="457">
        <v>0</v>
      </c>
      <c r="C358" s="457">
        <v>0</v>
      </c>
      <c r="D358" s="457">
        <v>0</v>
      </c>
      <c r="E358" s="457">
        <v>0</v>
      </c>
      <c r="F358" s="457">
        <v>0</v>
      </c>
      <c r="G358" s="457">
        <v>0</v>
      </c>
      <c r="H358" s="457">
        <v>0</v>
      </c>
      <c r="I358" s="457">
        <v>0</v>
      </c>
      <c r="J358" s="457">
        <v>0</v>
      </c>
      <c r="K358" s="457">
        <v>0</v>
      </c>
      <c r="L358" s="457">
        <v>0</v>
      </c>
      <c r="M358" s="457">
        <v>0</v>
      </c>
      <c r="N358" s="457">
        <v>0</v>
      </c>
      <c r="O358" s="457">
        <v>0</v>
      </c>
      <c r="P358" s="457">
        <v>0</v>
      </c>
      <c r="Q358" s="457">
        <v>0</v>
      </c>
      <c r="R358" s="457">
        <v>0</v>
      </c>
      <c r="S358" s="457">
        <v>0</v>
      </c>
      <c r="T358" s="410" t="e">
        <v>#DIV/0!</v>
      </c>
      <c r="U358" s="285">
        <v>0</v>
      </c>
      <c r="V358" s="285">
        <v>0</v>
      </c>
      <c r="W358" s="285">
        <v>0</v>
      </c>
      <c r="X358" s="285">
        <v>0</v>
      </c>
      <c r="Y358" s="285">
        <v>0</v>
      </c>
      <c r="Z358" s="285">
        <v>0</v>
      </c>
    </row>
    <row r="359" spans="1:26" x14ac:dyDescent="0.2">
      <c r="A359" s="412" t="s">
        <v>582</v>
      </c>
      <c r="B359" s="457">
        <v>0</v>
      </c>
      <c r="C359" s="457">
        <v>0</v>
      </c>
      <c r="D359" s="457">
        <v>0</v>
      </c>
      <c r="E359" s="457">
        <v>0</v>
      </c>
      <c r="F359" s="457">
        <v>0</v>
      </c>
      <c r="G359" s="457">
        <v>0</v>
      </c>
      <c r="H359" s="457">
        <v>0</v>
      </c>
      <c r="I359" s="457">
        <v>0</v>
      </c>
      <c r="J359" s="457">
        <v>0</v>
      </c>
      <c r="K359" s="457">
        <v>0</v>
      </c>
      <c r="L359" s="457">
        <v>0</v>
      </c>
      <c r="M359" s="457">
        <v>0</v>
      </c>
      <c r="N359" s="457">
        <v>0</v>
      </c>
      <c r="O359" s="457">
        <v>0</v>
      </c>
      <c r="P359" s="457">
        <v>0</v>
      </c>
      <c r="Q359" s="457">
        <v>0</v>
      </c>
      <c r="R359" s="457">
        <v>0</v>
      </c>
      <c r="S359" s="457">
        <v>0</v>
      </c>
      <c r="T359" s="410" t="e">
        <v>#DIV/0!</v>
      </c>
      <c r="U359" s="285">
        <v>0</v>
      </c>
      <c r="V359" s="285">
        <v>0</v>
      </c>
      <c r="W359" s="285">
        <v>0</v>
      </c>
      <c r="X359" s="285">
        <v>0</v>
      </c>
      <c r="Y359" s="285">
        <v>0</v>
      </c>
      <c r="Z359" s="285">
        <v>0</v>
      </c>
    </row>
    <row r="360" spans="1:26" x14ac:dyDescent="0.2">
      <c r="A360" s="412" t="s">
        <v>583</v>
      </c>
      <c r="B360" s="457">
        <v>0</v>
      </c>
      <c r="C360" s="457">
        <v>0</v>
      </c>
      <c r="D360" s="457">
        <v>0</v>
      </c>
      <c r="E360" s="457">
        <v>0</v>
      </c>
      <c r="F360" s="457">
        <v>0</v>
      </c>
      <c r="G360" s="457">
        <v>0</v>
      </c>
      <c r="H360" s="457">
        <v>0</v>
      </c>
      <c r="I360" s="457">
        <v>0</v>
      </c>
      <c r="J360" s="457">
        <v>0</v>
      </c>
      <c r="K360" s="457">
        <v>0</v>
      </c>
      <c r="L360" s="457">
        <v>0</v>
      </c>
      <c r="M360" s="457">
        <v>0</v>
      </c>
      <c r="N360" s="457">
        <v>0</v>
      </c>
      <c r="O360" s="457">
        <v>0</v>
      </c>
      <c r="P360" s="457">
        <v>0</v>
      </c>
      <c r="Q360" s="457">
        <v>0</v>
      </c>
      <c r="R360" s="457">
        <v>0</v>
      </c>
      <c r="S360" s="457">
        <v>0</v>
      </c>
      <c r="T360" s="410" t="e">
        <v>#DIV/0!</v>
      </c>
      <c r="U360" s="285">
        <v>0</v>
      </c>
      <c r="V360" s="285">
        <v>0</v>
      </c>
      <c r="W360" s="285">
        <v>0</v>
      </c>
      <c r="X360" s="285">
        <v>0</v>
      </c>
      <c r="Y360" s="285">
        <v>0</v>
      </c>
      <c r="Z360" s="285">
        <v>0</v>
      </c>
    </row>
    <row r="361" spans="1:26" x14ac:dyDescent="0.2">
      <c r="A361" s="412" t="s">
        <v>584</v>
      </c>
      <c r="B361" s="457">
        <v>0</v>
      </c>
      <c r="C361" s="457">
        <v>0</v>
      </c>
      <c r="D361" s="457">
        <v>0</v>
      </c>
      <c r="E361" s="457">
        <v>0</v>
      </c>
      <c r="F361" s="457">
        <v>0</v>
      </c>
      <c r="G361" s="457">
        <v>0</v>
      </c>
      <c r="H361" s="457">
        <v>0</v>
      </c>
      <c r="I361" s="457">
        <v>0</v>
      </c>
      <c r="J361" s="457">
        <v>0</v>
      </c>
      <c r="K361" s="457">
        <v>0</v>
      </c>
      <c r="L361" s="457">
        <v>0</v>
      </c>
      <c r="M361" s="457">
        <v>0</v>
      </c>
      <c r="N361" s="457">
        <v>0</v>
      </c>
      <c r="O361" s="457">
        <v>0</v>
      </c>
      <c r="P361" s="457">
        <v>0</v>
      </c>
      <c r="Q361" s="457">
        <v>0</v>
      </c>
      <c r="R361" s="457">
        <v>0</v>
      </c>
      <c r="S361" s="457">
        <v>0</v>
      </c>
      <c r="T361" s="410" t="e">
        <v>#DIV/0!</v>
      </c>
      <c r="U361" s="285">
        <v>0</v>
      </c>
      <c r="V361" s="285">
        <v>0</v>
      </c>
      <c r="W361" s="285">
        <v>0</v>
      </c>
      <c r="X361" s="285">
        <v>0</v>
      </c>
      <c r="Y361" s="285">
        <v>0</v>
      </c>
      <c r="Z361" s="285">
        <v>0</v>
      </c>
    </row>
    <row r="362" spans="1:26" x14ac:dyDescent="0.2">
      <c r="A362" s="412" t="s">
        <v>585</v>
      </c>
      <c r="B362" s="457">
        <v>0</v>
      </c>
      <c r="C362" s="457">
        <v>0</v>
      </c>
      <c r="D362" s="457">
        <v>0</v>
      </c>
      <c r="E362" s="457">
        <v>0</v>
      </c>
      <c r="F362" s="457">
        <v>0</v>
      </c>
      <c r="G362" s="457">
        <v>0</v>
      </c>
      <c r="H362" s="457">
        <v>0</v>
      </c>
      <c r="I362" s="457">
        <v>0</v>
      </c>
      <c r="J362" s="457">
        <v>0</v>
      </c>
      <c r="K362" s="457">
        <v>0</v>
      </c>
      <c r="L362" s="457">
        <v>0</v>
      </c>
      <c r="M362" s="457">
        <v>0</v>
      </c>
      <c r="N362" s="457">
        <v>0</v>
      </c>
      <c r="O362" s="457">
        <v>0</v>
      </c>
      <c r="P362" s="457">
        <v>0</v>
      </c>
      <c r="Q362" s="457">
        <v>0</v>
      </c>
      <c r="R362" s="457">
        <v>0</v>
      </c>
      <c r="S362" s="457">
        <v>0</v>
      </c>
      <c r="T362" s="410" t="e">
        <v>#DIV/0!</v>
      </c>
      <c r="U362" s="285">
        <v>0</v>
      </c>
      <c r="V362" s="285">
        <v>0</v>
      </c>
      <c r="W362" s="285">
        <v>0</v>
      </c>
      <c r="X362" s="285">
        <v>0</v>
      </c>
      <c r="Y362" s="285">
        <v>0</v>
      </c>
      <c r="Z362" s="285">
        <v>0</v>
      </c>
    </row>
    <row r="363" spans="1:26" x14ac:dyDescent="0.2">
      <c r="A363" s="412" t="s">
        <v>586</v>
      </c>
      <c r="B363" s="457">
        <v>0</v>
      </c>
      <c r="C363" s="457">
        <v>0</v>
      </c>
      <c r="D363" s="457">
        <v>0</v>
      </c>
      <c r="E363" s="457">
        <v>0</v>
      </c>
      <c r="F363" s="457">
        <v>0</v>
      </c>
      <c r="G363" s="457">
        <v>0</v>
      </c>
      <c r="H363" s="457">
        <v>0</v>
      </c>
      <c r="I363" s="457">
        <v>0</v>
      </c>
      <c r="J363" s="457">
        <v>0</v>
      </c>
      <c r="K363" s="457">
        <v>0</v>
      </c>
      <c r="L363" s="457">
        <v>0</v>
      </c>
      <c r="M363" s="457">
        <v>0</v>
      </c>
      <c r="N363" s="457">
        <v>0</v>
      </c>
      <c r="O363" s="457">
        <v>0</v>
      </c>
      <c r="P363" s="457">
        <v>0</v>
      </c>
      <c r="Q363" s="457">
        <v>0</v>
      </c>
      <c r="R363" s="457">
        <v>0</v>
      </c>
      <c r="S363" s="457">
        <v>0</v>
      </c>
      <c r="T363" s="410" t="e">
        <v>#DIV/0!</v>
      </c>
      <c r="U363" s="285">
        <v>0</v>
      </c>
      <c r="V363" s="285">
        <v>0</v>
      </c>
      <c r="W363" s="285">
        <v>0</v>
      </c>
      <c r="X363" s="285">
        <v>0</v>
      </c>
      <c r="Y363" s="285">
        <v>0</v>
      </c>
      <c r="Z363" s="285">
        <v>0</v>
      </c>
    </row>
    <row r="364" spans="1:26" x14ac:dyDescent="0.2">
      <c r="A364" s="412" t="s">
        <v>587</v>
      </c>
      <c r="B364" s="457">
        <v>0</v>
      </c>
      <c r="C364" s="457">
        <v>0</v>
      </c>
      <c r="D364" s="457">
        <v>0</v>
      </c>
      <c r="E364" s="457">
        <v>0</v>
      </c>
      <c r="F364" s="457">
        <v>0</v>
      </c>
      <c r="G364" s="457">
        <v>0</v>
      </c>
      <c r="H364" s="457">
        <v>0</v>
      </c>
      <c r="I364" s="457">
        <v>0</v>
      </c>
      <c r="J364" s="457">
        <v>0</v>
      </c>
      <c r="K364" s="457">
        <v>0</v>
      </c>
      <c r="L364" s="457">
        <v>0</v>
      </c>
      <c r="M364" s="457">
        <v>0</v>
      </c>
      <c r="N364" s="457">
        <v>0</v>
      </c>
      <c r="O364" s="457">
        <v>0</v>
      </c>
      <c r="P364" s="457">
        <v>0</v>
      </c>
      <c r="Q364" s="457">
        <v>0</v>
      </c>
      <c r="R364" s="457">
        <v>0</v>
      </c>
      <c r="S364" s="457">
        <v>0</v>
      </c>
      <c r="T364" s="410" t="e">
        <v>#DIV/0!</v>
      </c>
      <c r="U364" s="285">
        <v>0</v>
      </c>
      <c r="V364" s="285">
        <v>0</v>
      </c>
      <c r="W364" s="285">
        <v>0</v>
      </c>
      <c r="X364" s="285">
        <v>0</v>
      </c>
      <c r="Y364" s="285">
        <v>0</v>
      </c>
      <c r="Z364" s="285">
        <v>0</v>
      </c>
    </row>
    <row r="365" spans="1:26" x14ac:dyDescent="0.2">
      <c r="A365" s="412" t="s">
        <v>588</v>
      </c>
      <c r="B365" s="457">
        <v>0</v>
      </c>
      <c r="C365" s="457">
        <v>0</v>
      </c>
      <c r="D365" s="457">
        <v>0</v>
      </c>
      <c r="E365" s="457">
        <v>0</v>
      </c>
      <c r="F365" s="457">
        <v>0</v>
      </c>
      <c r="G365" s="457">
        <v>0</v>
      </c>
      <c r="H365" s="457">
        <v>0</v>
      </c>
      <c r="I365" s="457">
        <v>0</v>
      </c>
      <c r="J365" s="457">
        <v>0</v>
      </c>
      <c r="K365" s="457">
        <v>0</v>
      </c>
      <c r="L365" s="457">
        <v>0</v>
      </c>
      <c r="M365" s="457">
        <v>0</v>
      </c>
      <c r="N365" s="457">
        <v>0</v>
      </c>
      <c r="O365" s="457">
        <v>0</v>
      </c>
      <c r="P365" s="457">
        <v>0</v>
      </c>
      <c r="Q365" s="457">
        <v>0</v>
      </c>
      <c r="R365" s="457">
        <v>0</v>
      </c>
      <c r="S365" s="457">
        <v>0</v>
      </c>
      <c r="T365" s="410" t="e">
        <v>#DIV/0!</v>
      </c>
      <c r="U365" s="285">
        <v>0</v>
      </c>
      <c r="V365" s="285">
        <v>0</v>
      </c>
      <c r="W365" s="285">
        <v>0</v>
      </c>
      <c r="X365" s="285">
        <v>0</v>
      </c>
      <c r="Y365" s="285">
        <v>0</v>
      </c>
      <c r="Z365" s="285">
        <v>0</v>
      </c>
    </row>
    <row r="366" spans="1:26" x14ac:dyDescent="0.2">
      <c r="A366" s="412" t="s">
        <v>589</v>
      </c>
      <c r="B366" s="457">
        <v>0</v>
      </c>
      <c r="C366" s="457">
        <v>0</v>
      </c>
      <c r="D366" s="457">
        <v>0</v>
      </c>
      <c r="E366" s="457">
        <v>0</v>
      </c>
      <c r="F366" s="457">
        <v>0</v>
      </c>
      <c r="G366" s="457">
        <v>0</v>
      </c>
      <c r="H366" s="457">
        <v>0</v>
      </c>
      <c r="I366" s="457">
        <v>0</v>
      </c>
      <c r="J366" s="457">
        <v>0</v>
      </c>
      <c r="K366" s="457">
        <v>0</v>
      </c>
      <c r="L366" s="457">
        <v>0</v>
      </c>
      <c r="M366" s="457">
        <v>0</v>
      </c>
      <c r="N366" s="457">
        <v>0</v>
      </c>
      <c r="O366" s="457">
        <v>0</v>
      </c>
      <c r="P366" s="457">
        <v>0</v>
      </c>
      <c r="Q366" s="457">
        <v>0</v>
      </c>
      <c r="R366" s="457">
        <v>0</v>
      </c>
      <c r="S366" s="457">
        <v>0</v>
      </c>
      <c r="T366" s="410" t="e">
        <v>#DIV/0!</v>
      </c>
      <c r="U366" s="285">
        <v>0</v>
      </c>
      <c r="V366" s="285">
        <v>0</v>
      </c>
      <c r="W366" s="285">
        <v>0</v>
      </c>
      <c r="X366" s="285">
        <v>0</v>
      </c>
      <c r="Y366" s="285">
        <v>0</v>
      </c>
      <c r="Z366" s="285">
        <v>0</v>
      </c>
    </row>
    <row r="367" spans="1:26" x14ac:dyDescent="0.2">
      <c r="A367" s="412" t="s">
        <v>590</v>
      </c>
      <c r="B367" s="457">
        <v>0</v>
      </c>
      <c r="C367" s="457">
        <v>0</v>
      </c>
      <c r="D367" s="457">
        <v>0</v>
      </c>
      <c r="E367" s="457">
        <v>0</v>
      </c>
      <c r="F367" s="457">
        <v>0</v>
      </c>
      <c r="G367" s="457">
        <v>0</v>
      </c>
      <c r="H367" s="457">
        <v>0</v>
      </c>
      <c r="I367" s="457">
        <v>0</v>
      </c>
      <c r="J367" s="457">
        <v>0</v>
      </c>
      <c r="K367" s="457">
        <v>0</v>
      </c>
      <c r="L367" s="457">
        <v>0</v>
      </c>
      <c r="M367" s="457">
        <v>0</v>
      </c>
      <c r="N367" s="457">
        <v>0</v>
      </c>
      <c r="O367" s="457">
        <v>0</v>
      </c>
      <c r="P367" s="457">
        <v>0</v>
      </c>
      <c r="Q367" s="457">
        <v>0</v>
      </c>
      <c r="R367" s="457">
        <v>0</v>
      </c>
      <c r="S367" s="457">
        <v>0</v>
      </c>
      <c r="T367" s="410" t="e">
        <v>#DIV/0!</v>
      </c>
      <c r="U367" s="285">
        <v>0</v>
      </c>
      <c r="V367" s="285">
        <v>0</v>
      </c>
      <c r="W367" s="285">
        <v>0</v>
      </c>
      <c r="X367" s="285">
        <v>0</v>
      </c>
      <c r="Y367" s="285">
        <v>0</v>
      </c>
      <c r="Z367" s="285">
        <v>0</v>
      </c>
    </row>
    <row r="368" spans="1:26" x14ac:dyDescent="0.2">
      <c r="A368" s="412" t="s">
        <v>591</v>
      </c>
      <c r="B368" s="457">
        <v>0</v>
      </c>
      <c r="C368" s="457">
        <v>0</v>
      </c>
      <c r="D368" s="457">
        <v>0</v>
      </c>
      <c r="E368" s="457">
        <v>0</v>
      </c>
      <c r="F368" s="457">
        <v>0</v>
      </c>
      <c r="G368" s="457">
        <v>0</v>
      </c>
      <c r="H368" s="457">
        <v>0</v>
      </c>
      <c r="I368" s="457">
        <v>0</v>
      </c>
      <c r="J368" s="457">
        <v>0</v>
      </c>
      <c r="K368" s="457">
        <v>0</v>
      </c>
      <c r="L368" s="457">
        <v>0</v>
      </c>
      <c r="M368" s="457">
        <v>0</v>
      </c>
      <c r="N368" s="457">
        <v>0</v>
      </c>
      <c r="O368" s="457">
        <v>0</v>
      </c>
      <c r="P368" s="457">
        <v>0</v>
      </c>
      <c r="Q368" s="457">
        <v>0</v>
      </c>
      <c r="R368" s="457">
        <v>0</v>
      </c>
      <c r="S368" s="457">
        <v>0</v>
      </c>
      <c r="T368" s="410" t="e">
        <v>#DIV/0!</v>
      </c>
      <c r="U368" s="285">
        <v>0</v>
      </c>
      <c r="V368" s="285">
        <v>0</v>
      </c>
      <c r="W368" s="285">
        <v>0</v>
      </c>
      <c r="X368" s="285">
        <v>0</v>
      </c>
      <c r="Y368" s="285">
        <v>0</v>
      </c>
      <c r="Z368" s="285">
        <v>0</v>
      </c>
    </row>
    <row r="369" spans="1:26" x14ac:dyDescent="0.2">
      <c r="A369" s="412" t="s">
        <v>592</v>
      </c>
      <c r="B369" s="457">
        <v>0</v>
      </c>
      <c r="C369" s="457">
        <v>0</v>
      </c>
      <c r="D369" s="457">
        <v>0</v>
      </c>
      <c r="E369" s="457">
        <v>0</v>
      </c>
      <c r="F369" s="457">
        <v>0</v>
      </c>
      <c r="G369" s="457">
        <v>0</v>
      </c>
      <c r="H369" s="457">
        <v>0</v>
      </c>
      <c r="I369" s="457">
        <v>0</v>
      </c>
      <c r="J369" s="457">
        <v>0</v>
      </c>
      <c r="K369" s="457">
        <v>0</v>
      </c>
      <c r="L369" s="457">
        <v>0</v>
      </c>
      <c r="M369" s="457">
        <v>0</v>
      </c>
      <c r="N369" s="457">
        <v>0</v>
      </c>
      <c r="O369" s="457">
        <v>0</v>
      </c>
      <c r="P369" s="457">
        <v>0</v>
      </c>
      <c r="Q369" s="457">
        <v>0</v>
      </c>
      <c r="R369" s="457">
        <v>0</v>
      </c>
      <c r="S369" s="457">
        <v>0</v>
      </c>
      <c r="T369" s="410" t="e">
        <v>#DIV/0!</v>
      </c>
      <c r="U369" s="285">
        <v>0</v>
      </c>
      <c r="V369" s="285">
        <v>0</v>
      </c>
      <c r="W369" s="285">
        <v>0</v>
      </c>
      <c r="X369" s="285">
        <v>0</v>
      </c>
      <c r="Y369" s="285">
        <v>0</v>
      </c>
      <c r="Z369" s="285">
        <v>0</v>
      </c>
    </row>
    <row r="370" spans="1:26" x14ac:dyDescent="0.2">
      <c r="A370" s="412" t="s">
        <v>593</v>
      </c>
      <c r="B370" s="457">
        <v>0</v>
      </c>
      <c r="C370" s="457">
        <v>0</v>
      </c>
      <c r="D370" s="457">
        <v>0</v>
      </c>
      <c r="E370" s="457">
        <v>0</v>
      </c>
      <c r="F370" s="457">
        <v>0</v>
      </c>
      <c r="G370" s="457">
        <v>0</v>
      </c>
      <c r="H370" s="457">
        <v>0</v>
      </c>
      <c r="I370" s="457">
        <v>0</v>
      </c>
      <c r="J370" s="457">
        <v>0</v>
      </c>
      <c r="K370" s="457">
        <v>0</v>
      </c>
      <c r="L370" s="457">
        <v>0</v>
      </c>
      <c r="M370" s="457">
        <v>0</v>
      </c>
      <c r="N370" s="457">
        <v>0</v>
      </c>
      <c r="O370" s="457">
        <v>0</v>
      </c>
      <c r="P370" s="457">
        <v>0</v>
      </c>
      <c r="Q370" s="457">
        <v>0</v>
      </c>
      <c r="R370" s="457">
        <v>0</v>
      </c>
      <c r="S370" s="457">
        <v>0</v>
      </c>
      <c r="T370" s="410" t="e">
        <v>#DIV/0!</v>
      </c>
      <c r="U370" s="285">
        <v>0</v>
      </c>
      <c r="V370" s="285">
        <v>0</v>
      </c>
      <c r="W370" s="285">
        <v>0</v>
      </c>
      <c r="X370" s="285">
        <v>0</v>
      </c>
      <c r="Y370" s="285">
        <v>0</v>
      </c>
      <c r="Z370" s="285">
        <v>0</v>
      </c>
    </row>
    <row r="371" spans="1:26" x14ac:dyDescent="0.2">
      <c r="A371" s="412" t="s">
        <v>594</v>
      </c>
      <c r="B371" s="457">
        <v>0</v>
      </c>
      <c r="C371" s="457">
        <v>0</v>
      </c>
      <c r="D371" s="457">
        <v>0</v>
      </c>
      <c r="E371" s="457">
        <v>0</v>
      </c>
      <c r="F371" s="457">
        <v>0</v>
      </c>
      <c r="G371" s="457">
        <v>0</v>
      </c>
      <c r="H371" s="457">
        <v>0</v>
      </c>
      <c r="I371" s="457">
        <v>0</v>
      </c>
      <c r="J371" s="457">
        <v>0</v>
      </c>
      <c r="K371" s="457">
        <v>0</v>
      </c>
      <c r="L371" s="457">
        <v>0</v>
      </c>
      <c r="M371" s="457">
        <v>0</v>
      </c>
      <c r="N371" s="457">
        <v>0</v>
      </c>
      <c r="O371" s="457">
        <v>0</v>
      </c>
      <c r="P371" s="457">
        <v>0</v>
      </c>
      <c r="Q371" s="457">
        <v>0</v>
      </c>
      <c r="R371" s="457">
        <v>0</v>
      </c>
      <c r="S371" s="457">
        <v>0</v>
      </c>
      <c r="T371" s="410" t="e">
        <v>#DIV/0!</v>
      </c>
      <c r="U371" s="285">
        <v>0</v>
      </c>
      <c r="V371" s="285">
        <v>0</v>
      </c>
      <c r="W371" s="285">
        <v>0</v>
      </c>
      <c r="X371" s="285">
        <v>0</v>
      </c>
      <c r="Y371" s="285">
        <v>0</v>
      </c>
      <c r="Z371" s="285">
        <v>0</v>
      </c>
    </row>
    <row r="372" spans="1:26" ht="24" x14ac:dyDescent="0.2">
      <c r="A372" s="412" t="s">
        <v>595</v>
      </c>
      <c r="B372" s="457">
        <v>0</v>
      </c>
      <c r="C372" s="457">
        <v>0</v>
      </c>
      <c r="D372" s="457">
        <v>0</v>
      </c>
      <c r="E372" s="457">
        <v>0</v>
      </c>
      <c r="F372" s="457">
        <v>0</v>
      </c>
      <c r="G372" s="457">
        <v>0</v>
      </c>
      <c r="H372" s="457">
        <v>0</v>
      </c>
      <c r="I372" s="457">
        <v>0</v>
      </c>
      <c r="J372" s="457">
        <v>0</v>
      </c>
      <c r="K372" s="457">
        <v>0</v>
      </c>
      <c r="L372" s="457">
        <v>0</v>
      </c>
      <c r="M372" s="457">
        <v>0</v>
      </c>
      <c r="N372" s="457">
        <v>0</v>
      </c>
      <c r="O372" s="457">
        <v>0</v>
      </c>
      <c r="P372" s="457">
        <v>0</v>
      </c>
      <c r="Q372" s="457">
        <v>0</v>
      </c>
      <c r="R372" s="457">
        <v>0</v>
      </c>
      <c r="S372" s="457">
        <v>0</v>
      </c>
      <c r="T372" s="410" t="e">
        <v>#DIV/0!</v>
      </c>
      <c r="U372" s="285">
        <v>0</v>
      </c>
      <c r="V372" s="285">
        <v>0</v>
      </c>
      <c r="W372" s="285">
        <v>0</v>
      </c>
      <c r="X372" s="285">
        <v>0</v>
      </c>
      <c r="Y372" s="285">
        <v>0</v>
      </c>
      <c r="Z372" s="285">
        <v>0</v>
      </c>
    </row>
    <row r="373" spans="1:26" x14ac:dyDescent="0.2">
      <c r="A373" s="412" t="s">
        <v>596</v>
      </c>
      <c r="B373" s="457">
        <v>0</v>
      </c>
      <c r="C373" s="457">
        <v>0</v>
      </c>
      <c r="D373" s="457">
        <v>0</v>
      </c>
      <c r="E373" s="457">
        <v>0</v>
      </c>
      <c r="F373" s="457">
        <v>0</v>
      </c>
      <c r="G373" s="457">
        <v>0</v>
      </c>
      <c r="H373" s="457">
        <v>0</v>
      </c>
      <c r="I373" s="457">
        <v>0</v>
      </c>
      <c r="J373" s="457">
        <v>0</v>
      </c>
      <c r="K373" s="457">
        <v>0</v>
      </c>
      <c r="L373" s="457">
        <v>0</v>
      </c>
      <c r="M373" s="457">
        <v>0</v>
      </c>
      <c r="N373" s="457">
        <v>0</v>
      </c>
      <c r="O373" s="457">
        <v>0</v>
      </c>
      <c r="P373" s="457">
        <v>0</v>
      </c>
      <c r="Q373" s="457">
        <v>0</v>
      </c>
      <c r="R373" s="457">
        <v>0</v>
      </c>
      <c r="S373" s="457">
        <v>0</v>
      </c>
      <c r="T373" s="410" t="e">
        <v>#DIV/0!</v>
      </c>
      <c r="U373" s="285">
        <v>0</v>
      </c>
      <c r="V373" s="285">
        <v>0</v>
      </c>
      <c r="W373" s="285">
        <v>0</v>
      </c>
      <c r="X373" s="285">
        <v>0</v>
      </c>
      <c r="Y373" s="285">
        <v>0</v>
      </c>
      <c r="Z373" s="285">
        <v>0</v>
      </c>
    </row>
    <row r="374" spans="1:26" ht="24" x14ac:dyDescent="0.2">
      <c r="A374" s="412" t="s">
        <v>597</v>
      </c>
      <c r="B374" s="457">
        <v>0</v>
      </c>
      <c r="C374" s="457">
        <v>0</v>
      </c>
      <c r="D374" s="457">
        <v>0</v>
      </c>
      <c r="E374" s="457">
        <v>0</v>
      </c>
      <c r="F374" s="457">
        <v>0</v>
      </c>
      <c r="G374" s="457">
        <v>0</v>
      </c>
      <c r="H374" s="457">
        <v>0</v>
      </c>
      <c r="I374" s="457">
        <v>0</v>
      </c>
      <c r="J374" s="457">
        <v>0</v>
      </c>
      <c r="K374" s="457">
        <v>0</v>
      </c>
      <c r="L374" s="457">
        <v>0</v>
      </c>
      <c r="M374" s="457">
        <v>0</v>
      </c>
      <c r="N374" s="457">
        <v>0</v>
      </c>
      <c r="O374" s="457">
        <v>0</v>
      </c>
      <c r="P374" s="457">
        <v>0</v>
      </c>
      <c r="Q374" s="457">
        <v>0</v>
      </c>
      <c r="R374" s="457">
        <v>0</v>
      </c>
      <c r="S374" s="457">
        <v>0</v>
      </c>
      <c r="T374" s="410" t="e">
        <v>#DIV/0!</v>
      </c>
      <c r="U374" s="285">
        <v>0</v>
      </c>
      <c r="V374" s="285">
        <v>0</v>
      </c>
      <c r="W374" s="285">
        <v>0</v>
      </c>
      <c r="X374" s="285">
        <v>0</v>
      </c>
      <c r="Y374" s="285">
        <v>0</v>
      </c>
      <c r="Z374" s="285">
        <v>0</v>
      </c>
    </row>
    <row r="375" spans="1:26" x14ac:dyDescent="0.2">
      <c r="A375" s="412" t="s">
        <v>598</v>
      </c>
      <c r="B375" s="457">
        <v>0</v>
      </c>
      <c r="C375" s="457">
        <v>0</v>
      </c>
      <c r="D375" s="457">
        <v>0</v>
      </c>
      <c r="E375" s="457">
        <v>0</v>
      </c>
      <c r="F375" s="457">
        <v>0</v>
      </c>
      <c r="G375" s="457">
        <v>0</v>
      </c>
      <c r="H375" s="457">
        <v>0</v>
      </c>
      <c r="I375" s="457">
        <v>0</v>
      </c>
      <c r="J375" s="457">
        <v>0</v>
      </c>
      <c r="K375" s="457">
        <v>0</v>
      </c>
      <c r="L375" s="457">
        <v>0</v>
      </c>
      <c r="M375" s="457">
        <v>0</v>
      </c>
      <c r="N375" s="457">
        <v>0</v>
      </c>
      <c r="O375" s="457">
        <v>0</v>
      </c>
      <c r="P375" s="457">
        <v>0</v>
      </c>
      <c r="Q375" s="457">
        <v>0</v>
      </c>
      <c r="R375" s="457">
        <v>0</v>
      </c>
      <c r="S375" s="457">
        <v>0</v>
      </c>
      <c r="T375" s="410" t="e">
        <v>#DIV/0!</v>
      </c>
      <c r="U375" s="285">
        <v>0</v>
      </c>
      <c r="V375" s="285">
        <v>0</v>
      </c>
      <c r="W375" s="285">
        <v>0</v>
      </c>
      <c r="X375" s="285">
        <v>0</v>
      </c>
      <c r="Y375" s="285">
        <v>0</v>
      </c>
      <c r="Z375" s="285">
        <v>0</v>
      </c>
    </row>
    <row r="376" spans="1:26" ht="24" x14ac:dyDescent="0.2">
      <c r="A376" s="412" t="s">
        <v>599</v>
      </c>
      <c r="B376" s="457">
        <v>0</v>
      </c>
      <c r="C376" s="457">
        <v>0</v>
      </c>
      <c r="D376" s="457">
        <v>0</v>
      </c>
      <c r="E376" s="457">
        <v>0</v>
      </c>
      <c r="F376" s="457">
        <v>0</v>
      </c>
      <c r="G376" s="457">
        <v>0</v>
      </c>
      <c r="H376" s="457">
        <v>0</v>
      </c>
      <c r="I376" s="457">
        <v>0</v>
      </c>
      <c r="J376" s="457">
        <v>0</v>
      </c>
      <c r="K376" s="457">
        <v>0</v>
      </c>
      <c r="L376" s="457">
        <v>0</v>
      </c>
      <c r="M376" s="457">
        <v>0</v>
      </c>
      <c r="N376" s="457">
        <v>0</v>
      </c>
      <c r="O376" s="457">
        <v>0</v>
      </c>
      <c r="P376" s="457">
        <v>0</v>
      </c>
      <c r="Q376" s="457">
        <v>0</v>
      </c>
      <c r="R376" s="457">
        <v>0</v>
      </c>
      <c r="S376" s="457">
        <v>0</v>
      </c>
      <c r="T376" s="410" t="e">
        <v>#DIV/0!</v>
      </c>
      <c r="U376" s="285">
        <v>0</v>
      </c>
      <c r="V376" s="285">
        <v>0</v>
      </c>
      <c r="W376" s="285">
        <v>0</v>
      </c>
      <c r="X376" s="285">
        <v>0</v>
      </c>
      <c r="Y376" s="285">
        <v>0</v>
      </c>
      <c r="Z376" s="285">
        <v>0</v>
      </c>
    </row>
    <row r="377" spans="1:26" x14ac:dyDescent="0.2">
      <c r="A377" s="412" t="s">
        <v>600</v>
      </c>
      <c r="B377" s="457">
        <v>0</v>
      </c>
      <c r="C377" s="457">
        <v>0</v>
      </c>
      <c r="D377" s="457">
        <v>0</v>
      </c>
      <c r="E377" s="457">
        <v>0</v>
      </c>
      <c r="F377" s="457">
        <v>0</v>
      </c>
      <c r="G377" s="457">
        <v>0</v>
      </c>
      <c r="H377" s="457">
        <v>0</v>
      </c>
      <c r="I377" s="457">
        <v>0</v>
      </c>
      <c r="J377" s="457">
        <v>0</v>
      </c>
      <c r="K377" s="457">
        <v>0</v>
      </c>
      <c r="L377" s="457">
        <v>0</v>
      </c>
      <c r="M377" s="457">
        <v>0</v>
      </c>
      <c r="N377" s="457">
        <v>0</v>
      </c>
      <c r="O377" s="457">
        <v>0</v>
      </c>
      <c r="P377" s="457">
        <v>0</v>
      </c>
      <c r="Q377" s="457">
        <v>0</v>
      </c>
      <c r="R377" s="457">
        <v>0</v>
      </c>
      <c r="S377" s="457">
        <v>0</v>
      </c>
      <c r="T377" s="410" t="e">
        <v>#DIV/0!</v>
      </c>
      <c r="U377" s="285">
        <v>0</v>
      </c>
      <c r="V377" s="285">
        <v>0</v>
      </c>
      <c r="W377" s="285">
        <v>0</v>
      </c>
      <c r="X377" s="285">
        <v>0</v>
      </c>
      <c r="Y377" s="285">
        <v>0</v>
      </c>
      <c r="Z377" s="285">
        <v>0</v>
      </c>
    </row>
    <row r="378" spans="1:26" x14ac:dyDescent="0.2">
      <c r="A378" s="412" t="s">
        <v>601</v>
      </c>
      <c r="B378" s="457">
        <v>0</v>
      </c>
      <c r="C378" s="457">
        <v>0</v>
      </c>
      <c r="D378" s="457">
        <v>0</v>
      </c>
      <c r="E378" s="457">
        <v>0</v>
      </c>
      <c r="F378" s="457">
        <v>0</v>
      </c>
      <c r="G378" s="457">
        <v>0</v>
      </c>
      <c r="H378" s="457">
        <v>0</v>
      </c>
      <c r="I378" s="457">
        <v>0</v>
      </c>
      <c r="J378" s="457">
        <v>0</v>
      </c>
      <c r="K378" s="457">
        <v>0</v>
      </c>
      <c r="L378" s="457">
        <v>0</v>
      </c>
      <c r="M378" s="457">
        <v>0</v>
      </c>
      <c r="N378" s="457">
        <v>0</v>
      </c>
      <c r="O378" s="457">
        <v>0</v>
      </c>
      <c r="P378" s="457">
        <v>0</v>
      </c>
      <c r="Q378" s="457">
        <v>0</v>
      </c>
      <c r="R378" s="457">
        <v>0</v>
      </c>
      <c r="S378" s="457">
        <v>0</v>
      </c>
      <c r="T378" s="410" t="e">
        <v>#DIV/0!</v>
      </c>
      <c r="U378" s="285">
        <v>0</v>
      </c>
      <c r="V378" s="285">
        <v>0</v>
      </c>
      <c r="W378" s="285">
        <v>0</v>
      </c>
      <c r="X378" s="285">
        <v>0</v>
      </c>
      <c r="Y378" s="285">
        <v>0</v>
      </c>
      <c r="Z378" s="285">
        <v>0</v>
      </c>
    </row>
    <row r="379" spans="1:26" x14ac:dyDescent="0.2">
      <c r="A379" s="412" t="s">
        <v>602</v>
      </c>
      <c r="B379" s="457">
        <v>0</v>
      </c>
      <c r="C379" s="457">
        <v>0</v>
      </c>
      <c r="D379" s="457">
        <v>0</v>
      </c>
      <c r="E379" s="457">
        <v>0</v>
      </c>
      <c r="F379" s="457">
        <v>0</v>
      </c>
      <c r="G379" s="457">
        <v>0</v>
      </c>
      <c r="H379" s="457">
        <v>0</v>
      </c>
      <c r="I379" s="457">
        <v>0</v>
      </c>
      <c r="J379" s="457">
        <v>0</v>
      </c>
      <c r="K379" s="457">
        <v>0</v>
      </c>
      <c r="L379" s="457">
        <v>0</v>
      </c>
      <c r="M379" s="457">
        <v>0</v>
      </c>
      <c r="N379" s="457">
        <v>0</v>
      </c>
      <c r="O379" s="457">
        <v>0</v>
      </c>
      <c r="P379" s="457">
        <v>0</v>
      </c>
      <c r="Q379" s="457">
        <v>0</v>
      </c>
      <c r="R379" s="457">
        <v>0</v>
      </c>
      <c r="S379" s="457">
        <v>0</v>
      </c>
      <c r="T379" s="410" t="e">
        <v>#DIV/0!</v>
      </c>
      <c r="U379" s="285">
        <v>0</v>
      </c>
      <c r="V379" s="285">
        <v>0</v>
      </c>
      <c r="W379" s="285">
        <v>0</v>
      </c>
      <c r="X379" s="285">
        <v>0</v>
      </c>
      <c r="Y379" s="285">
        <v>0</v>
      </c>
      <c r="Z379" s="285">
        <v>0</v>
      </c>
    </row>
    <row r="380" spans="1:26" x14ac:dyDescent="0.2">
      <c r="A380" s="412" t="s">
        <v>603</v>
      </c>
      <c r="B380" s="457">
        <v>0</v>
      </c>
      <c r="C380" s="457">
        <v>0</v>
      </c>
      <c r="D380" s="457">
        <v>0</v>
      </c>
      <c r="E380" s="457">
        <v>0</v>
      </c>
      <c r="F380" s="457">
        <v>0</v>
      </c>
      <c r="G380" s="457">
        <v>0</v>
      </c>
      <c r="H380" s="457">
        <v>0</v>
      </c>
      <c r="I380" s="457">
        <v>0</v>
      </c>
      <c r="J380" s="457">
        <v>0</v>
      </c>
      <c r="K380" s="457">
        <v>0</v>
      </c>
      <c r="L380" s="457">
        <v>0</v>
      </c>
      <c r="M380" s="457">
        <v>0</v>
      </c>
      <c r="N380" s="457">
        <v>0</v>
      </c>
      <c r="O380" s="457">
        <v>0</v>
      </c>
      <c r="P380" s="457">
        <v>0</v>
      </c>
      <c r="Q380" s="457">
        <v>0</v>
      </c>
      <c r="R380" s="457">
        <v>0</v>
      </c>
      <c r="S380" s="457">
        <v>0</v>
      </c>
      <c r="T380" s="410" t="e">
        <v>#DIV/0!</v>
      </c>
      <c r="U380" s="285">
        <v>0</v>
      </c>
      <c r="V380" s="285">
        <v>0</v>
      </c>
      <c r="W380" s="285">
        <v>0</v>
      </c>
      <c r="X380" s="285">
        <v>0</v>
      </c>
      <c r="Y380" s="285">
        <v>0</v>
      </c>
      <c r="Z380" s="285">
        <v>0</v>
      </c>
    </row>
    <row r="381" spans="1:26" x14ac:dyDescent="0.2">
      <c r="A381" s="404" t="s">
        <v>604</v>
      </c>
      <c r="B381" s="448">
        <v>0</v>
      </c>
      <c r="C381" s="448">
        <v>0</v>
      </c>
      <c r="D381" s="448">
        <v>0</v>
      </c>
      <c r="E381" s="448">
        <v>0</v>
      </c>
      <c r="F381" s="448">
        <v>0</v>
      </c>
      <c r="G381" s="448">
        <v>0</v>
      </c>
      <c r="H381" s="448">
        <v>0</v>
      </c>
      <c r="I381" s="448">
        <v>0</v>
      </c>
      <c r="J381" s="448">
        <v>0</v>
      </c>
      <c r="K381" s="448">
        <v>0</v>
      </c>
      <c r="L381" s="448">
        <v>0</v>
      </c>
      <c r="M381" s="448">
        <v>0</v>
      </c>
      <c r="N381" s="448">
        <v>0</v>
      </c>
      <c r="O381" s="448">
        <v>0</v>
      </c>
      <c r="P381" s="448">
        <v>0</v>
      </c>
      <c r="Q381" s="448">
        <v>0</v>
      </c>
      <c r="R381" s="448">
        <v>0</v>
      </c>
      <c r="S381" s="448">
        <v>0</v>
      </c>
      <c r="T381" s="407" t="e">
        <v>#DIV/0!</v>
      </c>
      <c r="U381" s="406">
        <v>0</v>
      </c>
      <c r="V381" s="406">
        <v>0</v>
      </c>
      <c r="W381" s="406">
        <v>0</v>
      </c>
      <c r="X381" s="406">
        <v>0</v>
      </c>
      <c r="Y381" s="406">
        <v>0</v>
      </c>
      <c r="Z381" s="406">
        <v>0</v>
      </c>
    </row>
    <row r="382" spans="1:26" x14ac:dyDescent="0.2">
      <c r="A382" s="412" t="s">
        <v>605</v>
      </c>
      <c r="B382" s="457">
        <v>0</v>
      </c>
      <c r="C382" s="457">
        <v>0</v>
      </c>
      <c r="D382" s="457">
        <v>0</v>
      </c>
      <c r="E382" s="457">
        <v>0</v>
      </c>
      <c r="F382" s="457">
        <v>0</v>
      </c>
      <c r="G382" s="457">
        <v>0</v>
      </c>
      <c r="H382" s="457">
        <v>0</v>
      </c>
      <c r="I382" s="457">
        <v>0</v>
      </c>
      <c r="J382" s="457">
        <v>0</v>
      </c>
      <c r="K382" s="457">
        <v>0</v>
      </c>
      <c r="L382" s="457">
        <v>0</v>
      </c>
      <c r="M382" s="457">
        <v>0</v>
      </c>
      <c r="N382" s="457">
        <v>0</v>
      </c>
      <c r="O382" s="457">
        <v>0</v>
      </c>
      <c r="P382" s="457">
        <v>0</v>
      </c>
      <c r="Q382" s="457">
        <v>0</v>
      </c>
      <c r="R382" s="457">
        <v>0</v>
      </c>
      <c r="S382" s="457">
        <v>0</v>
      </c>
      <c r="T382" s="410" t="e">
        <v>#DIV/0!</v>
      </c>
      <c r="U382" s="285">
        <v>0</v>
      </c>
      <c r="V382" s="285">
        <v>0</v>
      </c>
      <c r="W382" s="285">
        <v>0</v>
      </c>
      <c r="X382" s="285">
        <v>0</v>
      </c>
      <c r="Y382" s="285">
        <v>0</v>
      </c>
      <c r="Z382" s="285">
        <v>0</v>
      </c>
    </row>
    <row r="383" spans="1:26" x14ac:dyDescent="0.2">
      <c r="A383" s="412" t="s">
        <v>606</v>
      </c>
      <c r="B383" s="457">
        <v>0</v>
      </c>
      <c r="C383" s="457">
        <v>0</v>
      </c>
      <c r="D383" s="457">
        <v>0</v>
      </c>
      <c r="E383" s="457">
        <v>0</v>
      </c>
      <c r="F383" s="457">
        <v>0</v>
      </c>
      <c r="G383" s="457">
        <v>0</v>
      </c>
      <c r="H383" s="457">
        <v>0</v>
      </c>
      <c r="I383" s="457">
        <v>0</v>
      </c>
      <c r="J383" s="457">
        <v>0</v>
      </c>
      <c r="K383" s="457">
        <v>0</v>
      </c>
      <c r="L383" s="457">
        <v>0</v>
      </c>
      <c r="M383" s="457">
        <v>0</v>
      </c>
      <c r="N383" s="457">
        <v>0</v>
      </c>
      <c r="O383" s="457">
        <v>0</v>
      </c>
      <c r="P383" s="457">
        <v>0</v>
      </c>
      <c r="Q383" s="457">
        <v>0</v>
      </c>
      <c r="R383" s="457">
        <v>0</v>
      </c>
      <c r="S383" s="457">
        <v>0</v>
      </c>
      <c r="T383" s="410" t="e">
        <v>#DIV/0!</v>
      </c>
      <c r="U383" s="285">
        <v>0</v>
      </c>
      <c r="V383" s="285">
        <v>0</v>
      </c>
      <c r="W383" s="285">
        <v>0</v>
      </c>
      <c r="X383" s="285">
        <v>0</v>
      </c>
      <c r="Y383" s="285">
        <v>0</v>
      </c>
      <c r="Z383" s="285">
        <v>0</v>
      </c>
    </row>
    <row r="384" spans="1:26" ht="24" x14ac:dyDescent="0.2">
      <c r="A384" s="412" t="s">
        <v>607</v>
      </c>
      <c r="B384" s="457">
        <v>0</v>
      </c>
      <c r="C384" s="457">
        <v>0</v>
      </c>
      <c r="D384" s="457">
        <v>0</v>
      </c>
      <c r="E384" s="457">
        <v>0</v>
      </c>
      <c r="F384" s="457">
        <v>0</v>
      </c>
      <c r="G384" s="457">
        <v>0</v>
      </c>
      <c r="H384" s="457">
        <v>0</v>
      </c>
      <c r="I384" s="457">
        <v>0</v>
      </c>
      <c r="J384" s="457">
        <v>0</v>
      </c>
      <c r="K384" s="457">
        <v>0</v>
      </c>
      <c r="L384" s="457">
        <v>0</v>
      </c>
      <c r="M384" s="457">
        <v>0</v>
      </c>
      <c r="N384" s="457">
        <v>0</v>
      </c>
      <c r="O384" s="457">
        <v>0</v>
      </c>
      <c r="P384" s="457">
        <v>0</v>
      </c>
      <c r="Q384" s="457">
        <v>0</v>
      </c>
      <c r="R384" s="457">
        <v>0</v>
      </c>
      <c r="S384" s="457">
        <v>0</v>
      </c>
      <c r="T384" s="410" t="e">
        <v>#DIV/0!</v>
      </c>
      <c r="U384" s="285">
        <v>0</v>
      </c>
      <c r="V384" s="285">
        <v>0</v>
      </c>
      <c r="W384" s="285">
        <v>0</v>
      </c>
      <c r="X384" s="285">
        <v>0</v>
      </c>
      <c r="Y384" s="285">
        <v>0</v>
      </c>
      <c r="Z384" s="285">
        <v>0</v>
      </c>
    </row>
    <row r="385" spans="1:26" x14ac:dyDescent="0.2">
      <c r="A385" s="404" t="s">
        <v>608</v>
      </c>
      <c r="B385" s="448">
        <v>0</v>
      </c>
      <c r="C385" s="448">
        <v>0</v>
      </c>
      <c r="D385" s="448">
        <v>0</v>
      </c>
      <c r="E385" s="448">
        <v>0</v>
      </c>
      <c r="F385" s="448">
        <v>0</v>
      </c>
      <c r="G385" s="448">
        <v>0</v>
      </c>
      <c r="H385" s="448">
        <v>0</v>
      </c>
      <c r="I385" s="448">
        <v>0</v>
      </c>
      <c r="J385" s="448">
        <v>0</v>
      </c>
      <c r="K385" s="448">
        <v>0</v>
      </c>
      <c r="L385" s="448">
        <v>0</v>
      </c>
      <c r="M385" s="448">
        <v>0</v>
      </c>
      <c r="N385" s="448">
        <v>0</v>
      </c>
      <c r="O385" s="448">
        <v>0</v>
      </c>
      <c r="P385" s="448">
        <v>0</v>
      </c>
      <c r="Q385" s="448">
        <v>0</v>
      </c>
      <c r="R385" s="448">
        <v>0</v>
      </c>
      <c r="S385" s="448">
        <v>0</v>
      </c>
      <c r="T385" s="407" t="e">
        <v>#DIV/0!</v>
      </c>
      <c r="U385" s="406">
        <v>0</v>
      </c>
      <c r="V385" s="406">
        <v>0</v>
      </c>
      <c r="W385" s="406">
        <v>0</v>
      </c>
      <c r="X385" s="406">
        <v>0</v>
      </c>
      <c r="Y385" s="406">
        <v>0</v>
      </c>
      <c r="Z385" s="406">
        <v>0</v>
      </c>
    </row>
    <row r="386" spans="1:26" x14ac:dyDescent="0.2">
      <c r="A386" s="412" t="s">
        <v>609</v>
      </c>
      <c r="B386" s="457">
        <v>0</v>
      </c>
      <c r="C386" s="457">
        <v>0</v>
      </c>
      <c r="D386" s="457">
        <v>0</v>
      </c>
      <c r="E386" s="457">
        <v>0</v>
      </c>
      <c r="F386" s="457">
        <v>0</v>
      </c>
      <c r="G386" s="457">
        <v>0</v>
      </c>
      <c r="H386" s="457">
        <v>0</v>
      </c>
      <c r="I386" s="457">
        <v>0</v>
      </c>
      <c r="J386" s="457">
        <v>0</v>
      </c>
      <c r="K386" s="457">
        <v>0</v>
      </c>
      <c r="L386" s="457">
        <v>0</v>
      </c>
      <c r="M386" s="457">
        <v>0</v>
      </c>
      <c r="N386" s="457">
        <v>0</v>
      </c>
      <c r="O386" s="457">
        <v>0</v>
      </c>
      <c r="P386" s="457">
        <v>0</v>
      </c>
      <c r="Q386" s="457">
        <v>0</v>
      </c>
      <c r="R386" s="457">
        <v>0</v>
      </c>
      <c r="S386" s="457">
        <v>0</v>
      </c>
      <c r="T386" s="410" t="e">
        <v>#DIV/0!</v>
      </c>
      <c r="U386" s="285">
        <v>0</v>
      </c>
      <c r="V386" s="285">
        <v>0</v>
      </c>
      <c r="W386" s="285">
        <v>0</v>
      </c>
      <c r="X386" s="285">
        <v>0</v>
      </c>
      <c r="Y386" s="285">
        <v>0</v>
      </c>
      <c r="Z386" s="285">
        <v>0</v>
      </c>
    </row>
    <row r="387" spans="1:26" ht="24" x14ac:dyDescent="0.2">
      <c r="A387" s="412" t="s">
        <v>610</v>
      </c>
      <c r="B387" s="457">
        <v>0</v>
      </c>
      <c r="C387" s="457">
        <v>0</v>
      </c>
      <c r="D387" s="457">
        <v>0</v>
      </c>
      <c r="E387" s="457">
        <v>0</v>
      </c>
      <c r="F387" s="457">
        <v>0</v>
      </c>
      <c r="G387" s="457">
        <v>0</v>
      </c>
      <c r="H387" s="457">
        <v>0</v>
      </c>
      <c r="I387" s="457">
        <v>0</v>
      </c>
      <c r="J387" s="457">
        <v>0</v>
      </c>
      <c r="K387" s="457">
        <v>0</v>
      </c>
      <c r="L387" s="457">
        <v>0</v>
      </c>
      <c r="M387" s="457">
        <v>0</v>
      </c>
      <c r="N387" s="457">
        <v>0</v>
      </c>
      <c r="O387" s="457">
        <v>0</v>
      </c>
      <c r="P387" s="457">
        <v>0</v>
      </c>
      <c r="Q387" s="457">
        <v>0</v>
      </c>
      <c r="R387" s="457">
        <v>0</v>
      </c>
      <c r="S387" s="457">
        <v>0</v>
      </c>
      <c r="T387" s="410" t="e">
        <v>#DIV/0!</v>
      </c>
      <c r="U387" s="285">
        <v>0</v>
      </c>
      <c r="V387" s="285">
        <v>0</v>
      </c>
      <c r="W387" s="285">
        <v>0</v>
      </c>
      <c r="X387" s="285">
        <v>0</v>
      </c>
      <c r="Y387" s="285">
        <v>0</v>
      </c>
      <c r="Z387" s="285">
        <v>0</v>
      </c>
    </row>
    <row r="388" spans="1:26" x14ac:dyDescent="0.2">
      <c r="A388" s="412" t="s">
        <v>611</v>
      </c>
      <c r="B388" s="457">
        <v>0</v>
      </c>
      <c r="C388" s="457">
        <v>0</v>
      </c>
      <c r="D388" s="457">
        <v>0</v>
      </c>
      <c r="E388" s="457">
        <v>0</v>
      </c>
      <c r="F388" s="457">
        <v>0</v>
      </c>
      <c r="G388" s="457">
        <v>0</v>
      </c>
      <c r="H388" s="457">
        <v>0</v>
      </c>
      <c r="I388" s="457">
        <v>0</v>
      </c>
      <c r="J388" s="457">
        <v>0</v>
      </c>
      <c r="K388" s="457">
        <v>0</v>
      </c>
      <c r="L388" s="457">
        <v>0</v>
      </c>
      <c r="M388" s="457">
        <v>0</v>
      </c>
      <c r="N388" s="457">
        <v>0</v>
      </c>
      <c r="O388" s="457">
        <v>0</v>
      </c>
      <c r="P388" s="457">
        <v>0</v>
      </c>
      <c r="Q388" s="457">
        <v>0</v>
      </c>
      <c r="R388" s="457">
        <v>0</v>
      </c>
      <c r="S388" s="457">
        <v>0</v>
      </c>
      <c r="T388" s="410" t="e">
        <v>#DIV/0!</v>
      </c>
      <c r="U388" s="285">
        <v>0</v>
      </c>
      <c r="V388" s="285">
        <v>0</v>
      </c>
      <c r="W388" s="285">
        <v>0</v>
      </c>
      <c r="X388" s="285">
        <v>0</v>
      </c>
      <c r="Y388" s="285">
        <v>0</v>
      </c>
      <c r="Z388" s="285">
        <v>0</v>
      </c>
    </row>
    <row r="389" spans="1:26" x14ac:dyDescent="0.2">
      <c r="A389" s="404" t="s">
        <v>612</v>
      </c>
      <c r="B389" s="448">
        <v>0</v>
      </c>
      <c r="C389" s="448">
        <v>0</v>
      </c>
      <c r="D389" s="448">
        <v>0</v>
      </c>
      <c r="E389" s="448">
        <v>0</v>
      </c>
      <c r="F389" s="448">
        <v>0</v>
      </c>
      <c r="G389" s="448">
        <v>0</v>
      </c>
      <c r="H389" s="448">
        <v>0</v>
      </c>
      <c r="I389" s="448">
        <v>0</v>
      </c>
      <c r="J389" s="448">
        <v>0</v>
      </c>
      <c r="K389" s="448">
        <v>0</v>
      </c>
      <c r="L389" s="448">
        <v>0</v>
      </c>
      <c r="M389" s="448">
        <v>0</v>
      </c>
      <c r="N389" s="448">
        <v>0</v>
      </c>
      <c r="O389" s="448">
        <v>0</v>
      </c>
      <c r="P389" s="448">
        <v>0</v>
      </c>
      <c r="Q389" s="448">
        <v>0</v>
      </c>
      <c r="R389" s="448">
        <v>0</v>
      </c>
      <c r="S389" s="448">
        <v>0</v>
      </c>
      <c r="T389" s="407" t="e">
        <v>#DIV/0!</v>
      </c>
      <c r="U389" s="406">
        <v>0</v>
      </c>
      <c r="V389" s="406">
        <v>0</v>
      </c>
      <c r="W389" s="406">
        <v>0</v>
      </c>
      <c r="X389" s="406">
        <v>0</v>
      </c>
      <c r="Y389" s="406">
        <v>0</v>
      </c>
      <c r="Z389" s="406">
        <v>0</v>
      </c>
    </row>
    <row r="390" spans="1:26" x14ac:dyDescent="0.2">
      <c r="A390" s="412" t="s">
        <v>613</v>
      </c>
      <c r="B390" s="457">
        <v>0</v>
      </c>
      <c r="C390" s="457">
        <v>0</v>
      </c>
      <c r="D390" s="457">
        <v>0</v>
      </c>
      <c r="E390" s="457">
        <v>0</v>
      </c>
      <c r="F390" s="457">
        <v>0</v>
      </c>
      <c r="G390" s="457">
        <v>0</v>
      </c>
      <c r="H390" s="457">
        <v>0</v>
      </c>
      <c r="I390" s="457">
        <v>0</v>
      </c>
      <c r="J390" s="457">
        <v>0</v>
      </c>
      <c r="K390" s="457">
        <v>0</v>
      </c>
      <c r="L390" s="457">
        <v>0</v>
      </c>
      <c r="M390" s="457">
        <v>0</v>
      </c>
      <c r="N390" s="457">
        <v>0</v>
      </c>
      <c r="O390" s="457">
        <v>0</v>
      </c>
      <c r="P390" s="457">
        <v>0</v>
      </c>
      <c r="Q390" s="457">
        <v>0</v>
      </c>
      <c r="R390" s="457">
        <v>0</v>
      </c>
      <c r="S390" s="457">
        <v>0</v>
      </c>
      <c r="T390" s="410" t="e">
        <v>#DIV/0!</v>
      </c>
      <c r="U390" s="285">
        <v>0</v>
      </c>
      <c r="V390" s="285">
        <v>0</v>
      </c>
      <c r="W390" s="285">
        <v>0</v>
      </c>
      <c r="X390" s="285">
        <v>0</v>
      </c>
      <c r="Y390" s="285">
        <v>0</v>
      </c>
      <c r="Z390" s="285">
        <v>0</v>
      </c>
    </row>
    <row r="391" spans="1:26" x14ac:dyDescent="0.2">
      <c r="A391" s="412" t="s">
        <v>614</v>
      </c>
      <c r="B391" s="457">
        <v>0</v>
      </c>
      <c r="C391" s="457">
        <v>0</v>
      </c>
      <c r="D391" s="457">
        <v>0</v>
      </c>
      <c r="E391" s="457">
        <v>0</v>
      </c>
      <c r="F391" s="457">
        <v>0</v>
      </c>
      <c r="G391" s="457">
        <v>0</v>
      </c>
      <c r="H391" s="457">
        <v>0</v>
      </c>
      <c r="I391" s="457">
        <v>0</v>
      </c>
      <c r="J391" s="457">
        <v>0</v>
      </c>
      <c r="K391" s="457">
        <v>0</v>
      </c>
      <c r="L391" s="457">
        <v>0</v>
      </c>
      <c r="M391" s="457">
        <v>0</v>
      </c>
      <c r="N391" s="457">
        <v>0</v>
      </c>
      <c r="O391" s="457">
        <v>0</v>
      </c>
      <c r="P391" s="457">
        <v>0</v>
      </c>
      <c r="Q391" s="457">
        <v>0</v>
      </c>
      <c r="R391" s="457">
        <v>0</v>
      </c>
      <c r="S391" s="457">
        <v>0</v>
      </c>
      <c r="T391" s="410" t="e">
        <v>#DIV/0!</v>
      </c>
      <c r="U391" s="285">
        <v>0</v>
      </c>
      <c r="V391" s="285">
        <v>0</v>
      </c>
      <c r="W391" s="285">
        <v>0</v>
      </c>
      <c r="X391" s="285">
        <v>0</v>
      </c>
      <c r="Y391" s="285">
        <v>0</v>
      </c>
      <c r="Z391" s="285">
        <v>0</v>
      </c>
    </row>
    <row r="392" spans="1:26" x14ac:dyDescent="0.2">
      <c r="A392" s="412" t="s">
        <v>615</v>
      </c>
      <c r="B392" s="457">
        <v>0</v>
      </c>
      <c r="C392" s="457">
        <v>0</v>
      </c>
      <c r="D392" s="457">
        <v>0</v>
      </c>
      <c r="E392" s="457">
        <v>0</v>
      </c>
      <c r="F392" s="457">
        <v>0</v>
      </c>
      <c r="G392" s="457">
        <v>0</v>
      </c>
      <c r="H392" s="457">
        <v>0</v>
      </c>
      <c r="I392" s="457">
        <v>0</v>
      </c>
      <c r="J392" s="457">
        <v>0</v>
      </c>
      <c r="K392" s="457">
        <v>0</v>
      </c>
      <c r="L392" s="457">
        <v>0</v>
      </c>
      <c r="M392" s="457">
        <v>0</v>
      </c>
      <c r="N392" s="457">
        <v>0</v>
      </c>
      <c r="O392" s="457">
        <v>0</v>
      </c>
      <c r="P392" s="457">
        <v>0</v>
      </c>
      <c r="Q392" s="457">
        <v>0</v>
      </c>
      <c r="R392" s="457">
        <v>0</v>
      </c>
      <c r="S392" s="457">
        <v>0</v>
      </c>
      <c r="T392" s="410" t="e">
        <v>#DIV/0!</v>
      </c>
      <c r="U392" s="285">
        <v>0</v>
      </c>
      <c r="V392" s="285">
        <v>0</v>
      </c>
      <c r="W392" s="285">
        <v>0</v>
      </c>
      <c r="X392" s="285">
        <v>0</v>
      </c>
      <c r="Y392" s="285">
        <v>0</v>
      </c>
      <c r="Z392" s="285">
        <v>0</v>
      </c>
    </row>
    <row r="393" spans="1:26" x14ac:dyDescent="0.2">
      <c r="A393" s="412" t="s">
        <v>616</v>
      </c>
      <c r="B393" s="457">
        <v>0</v>
      </c>
      <c r="C393" s="457">
        <v>0</v>
      </c>
      <c r="D393" s="457">
        <v>0</v>
      </c>
      <c r="E393" s="457">
        <v>0</v>
      </c>
      <c r="F393" s="457">
        <v>0</v>
      </c>
      <c r="G393" s="457">
        <v>0</v>
      </c>
      <c r="H393" s="457">
        <v>0</v>
      </c>
      <c r="I393" s="457">
        <v>0</v>
      </c>
      <c r="J393" s="457">
        <v>0</v>
      </c>
      <c r="K393" s="457">
        <v>0</v>
      </c>
      <c r="L393" s="457">
        <v>0</v>
      </c>
      <c r="M393" s="457">
        <v>0</v>
      </c>
      <c r="N393" s="457">
        <v>0</v>
      </c>
      <c r="O393" s="457">
        <v>0</v>
      </c>
      <c r="P393" s="457">
        <v>0</v>
      </c>
      <c r="Q393" s="457">
        <v>0</v>
      </c>
      <c r="R393" s="457">
        <v>0</v>
      </c>
      <c r="S393" s="457">
        <v>0</v>
      </c>
      <c r="T393" s="410" t="e">
        <v>#DIV/0!</v>
      </c>
      <c r="U393" s="285">
        <v>0</v>
      </c>
      <c r="V393" s="285">
        <v>0</v>
      </c>
      <c r="W393" s="285">
        <v>0</v>
      </c>
      <c r="X393" s="285">
        <v>0</v>
      </c>
      <c r="Y393" s="285">
        <v>0</v>
      </c>
      <c r="Z393" s="285">
        <v>0</v>
      </c>
    </row>
    <row r="394" spans="1:26" x14ac:dyDescent="0.2">
      <c r="A394" s="412" t="s">
        <v>617</v>
      </c>
      <c r="B394" s="457">
        <v>0</v>
      </c>
      <c r="C394" s="457">
        <v>0</v>
      </c>
      <c r="D394" s="457">
        <v>0</v>
      </c>
      <c r="E394" s="457">
        <v>0</v>
      </c>
      <c r="F394" s="457">
        <v>0</v>
      </c>
      <c r="G394" s="457">
        <v>0</v>
      </c>
      <c r="H394" s="457">
        <v>0</v>
      </c>
      <c r="I394" s="457">
        <v>0</v>
      </c>
      <c r="J394" s="457">
        <v>0</v>
      </c>
      <c r="K394" s="457">
        <v>0</v>
      </c>
      <c r="L394" s="457">
        <v>0</v>
      </c>
      <c r="M394" s="457">
        <v>0</v>
      </c>
      <c r="N394" s="457">
        <v>0</v>
      </c>
      <c r="O394" s="457">
        <v>0</v>
      </c>
      <c r="P394" s="457">
        <v>0</v>
      </c>
      <c r="Q394" s="457">
        <v>0</v>
      </c>
      <c r="R394" s="457">
        <v>0</v>
      </c>
      <c r="S394" s="457">
        <v>0</v>
      </c>
      <c r="T394" s="410" t="e">
        <v>#DIV/0!</v>
      </c>
      <c r="U394" s="285">
        <v>0</v>
      </c>
      <c r="V394" s="285">
        <v>0</v>
      </c>
      <c r="W394" s="285">
        <v>0</v>
      </c>
      <c r="X394" s="285">
        <v>0</v>
      </c>
      <c r="Y394" s="285">
        <v>0</v>
      </c>
      <c r="Z394" s="285">
        <v>0</v>
      </c>
    </row>
    <row r="395" spans="1:26" x14ac:dyDescent="0.2">
      <c r="A395" s="412" t="s">
        <v>618</v>
      </c>
      <c r="B395" s="457">
        <v>0</v>
      </c>
      <c r="C395" s="457">
        <v>0</v>
      </c>
      <c r="D395" s="457">
        <v>0</v>
      </c>
      <c r="E395" s="457">
        <v>0</v>
      </c>
      <c r="F395" s="457">
        <v>0</v>
      </c>
      <c r="G395" s="457">
        <v>0</v>
      </c>
      <c r="H395" s="457">
        <v>0</v>
      </c>
      <c r="I395" s="457">
        <v>0</v>
      </c>
      <c r="J395" s="457">
        <v>0</v>
      </c>
      <c r="K395" s="457">
        <v>0</v>
      </c>
      <c r="L395" s="457">
        <v>0</v>
      </c>
      <c r="M395" s="457">
        <v>0</v>
      </c>
      <c r="N395" s="457">
        <v>0</v>
      </c>
      <c r="O395" s="457">
        <v>0</v>
      </c>
      <c r="P395" s="457">
        <v>0</v>
      </c>
      <c r="Q395" s="457">
        <v>0</v>
      </c>
      <c r="R395" s="457">
        <v>0</v>
      </c>
      <c r="S395" s="457">
        <v>0</v>
      </c>
      <c r="T395" s="410" t="e">
        <v>#DIV/0!</v>
      </c>
      <c r="U395" s="285">
        <v>0</v>
      </c>
      <c r="V395" s="285">
        <v>0</v>
      </c>
      <c r="W395" s="285">
        <v>0</v>
      </c>
      <c r="X395" s="285">
        <v>0</v>
      </c>
      <c r="Y395" s="285">
        <v>0</v>
      </c>
      <c r="Z395" s="285">
        <v>0</v>
      </c>
    </row>
    <row r="396" spans="1:26" x14ac:dyDescent="0.2">
      <c r="A396" s="412" t="s">
        <v>619</v>
      </c>
      <c r="B396" s="457">
        <v>0</v>
      </c>
      <c r="C396" s="457">
        <v>0</v>
      </c>
      <c r="D396" s="457">
        <v>0</v>
      </c>
      <c r="E396" s="457">
        <v>0</v>
      </c>
      <c r="F396" s="457">
        <v>0</v>
      </c>
      <c r="G396" s="457">
        <v>0</v>
      </c>
      <c r="H396" s="457">
        <v>0</v>
      </c>
      <c r="I396" s="457">
        <v>0</v>
      </c>
      <c r="J396" s="457">
        <v>0</v>
      </c>
      <c r="K396" s="457">
        <v>0</v>
      </c>
      <c r="L396" s="457">
        <v>0</v>
      </c>
      <c r="M396" s="457">
        <v>0</v>
      </c>
      <c r="N396" s="457">
        <v>0</v>
      </c>
      <c r="O396" s="457">
        <v>0</v>
      </c>
      <c r="P396" s="457">
        <v>0</v>
      </c>
      <c r="Q396" s="457">
        <v>0</v>
      </c>
      <c r="R396" s="457">
        <v>0</v>
      </c>
      <c r="S396" s="457">
        <v>0</v>
      </c>
      <c r="T396" s="410" t="e">
        <v>#DIV/0!</v>
      </c>
      <c r="U396" s="285">
        <v>0</v>
      </c>
      <c r="V396" s="285">
        <v>0</v>
      </c>
      <c r="W396" s="285">
        <v>0</v>
      </c>
      <c r="X396" s="285">
        <v>0</v>
      </c>
      <c r="Y396" s="285">
        <v>0</v>
      </c>
      <c r="Z396" s="285">
        <v>0</v>
      </c>
    </row>
    <row r="397" spans="1:26" x14ac:dyDescent="0.2">
      <c r="A397" s="404" t="s">
        <v>620</v>
      </c>
      <c r="B397" s="247">
        <v>0</v>
      </c>
      <c r="C397" s="247">
        <v>0</v>
      </c>
      <c r="D397" s="247">
        <v>0</v>
      </c>
      <c r="E397" s="247">
        <v>0</v>
      </c>
      <c r="F397" s="247">
        <v>0</v>
      </c>
      <c r="G397" s="247">
        <v>0</v>
      </c>
      <c r="H397" s="247">
        <v>0</v>
      </c>
      <c r="I397" s="247">
        <v>0</v>
      </c>
      <c r="J397" s="247">
        <v>0</v>
      </c>
      <c r="K397" s="247">
        <v>0</v>
      </c>
      <c r="L397" s="247">
        <v>0</v>
      </c>
      <c r="M397" s="247">
        <v>0</v>
      </c>
      <c r="N397" s="247">
        <v>0</v>
      </c>
      <c r="O397" s="247">
        <v>0</v>
      </c>
      <c r="P397" s="247">
        <v>0</v>
      </c>
      <c r="Q397" s="247">
        <v>0</v>
      </c>
      <c r="R397" s="247">
        <v>0</v>
      </c>
      <c r="S397" s="247">
        <v>0</v>
      </c>
      <c r="T397" s="407" t="e">
        <v>#DIV/0!</v>
      </c>
      <c r="U397" s="406">
        <v>0</v>
      </c>
      <c r="V397" s="406">
        <v>0</v>
      </c>
      <c r="W397" s="406">
        <v>0</v>
      </c>
      <c r="X397" s="406">
        <v>0</v>
      </c>
      <c r="Y397" s="406">
        <v>0</v>
      </c>
      <c r="Z397" s="406">
        <v>0</v>
      </c>
    </row>
    <row r="398" spans="1:26" x14ac:dyDescent="0.2">
      <c r="A398" s="404" t="s">
        <v>621</v>
      </c>
      <c r="B398" s="247">
        <v>0</v>
      </c>
      <c r="C398" s="247">
        <v>0</v>
      </c>
      <c r="D398" s="247">
        <v>0</v>
      </c>
      <c r="E398" s="247">
        <v>0</v>
      </c>
      <c r="F398" s="247">
        <v>0</v>
      </c>
      <c r="G398" s="247">
        <v>0</v>
      </c>
      <c r="H398" s="247">
        <v>0</v>
      </c>
      <c r="I398" s="247">
        <v>0</v>
      </c>
      <c r="J398" s="247">
        <v>0</v>
      </c>
      <c r="K398" s="247">
        <v>0</v>
      </c>
      <c r="L398" s="247">
        <v>0</v>
      </c>
      <c r="M398" s="247">
        <v>0</v>
      </c>
      <c r="N398" s="247">
        <v>0</v>
      </c>
      <c r="O398" s="247">
        <v>0</v>
      </c>
      <c r="P398" s="247">
        <v>0</v>
      </c>
      <c r="Q398" s="247">
        <v>0</v>
      </c>
      <c r="R398" s="247">
        <v>0</v>
      </c>
      <c r="S398" s="247">
        <v>0</v>
      </c>
      <c r="T398" s="407" t="e">
        <v>#DIV/0!</v>
      </c>
      <c r="U398" s="406">
        <v>0</v>
      </c>
      <c r="V398" s="406">
        <v>0</v>
      </c>
      <c r="W398" s="406">
        <v>0</v>
      </c>
      <c r="X398" s="406">
        <v>0</v>
      </c>
      <c r="Y398" s="406">
        <v>0</v>
      </c>
      <c r="Z398" s="406">
        <v>0</v>
      </c>
    </row>
    <row r="399" spans="1:26" x14ac:dyDescent="0.2">
      <c r="A399" s="404" t="s">
        <v>622</v>
      </c>
      <c r="B399" s="247">
        <v>0</v>
      </c>
      <c r="C399" s="247">
        <v>0</v>
      </c>
      <c r="D399" s="247">
        <v>0</v>
      </c>
      <c r="E399" s="247">
        <v>0</v>
      </c>
      <c r="F399" s="247">
        <v>0</v>
      </c>
      <c r="G399" s="247">
        <v>0</v>
      </c>
      <c r="H399" s="247">
        <v>0</v>
      </c>
      <c r="I399" s="247">
        <v>0</v>
      </c>
      <c r="J399" s="247">
        <v>0</v>
      </c>
      <c r="K399" s="247">
        <v>0</v>
      </c>
      <c r="L399" s="247">
        <v>0</v>
      </c>
      <c r="M399" s="247">
        <v>0</v>
      </c>
      <c r="N399" s="247">
        <v>0</v>
      </c>
      <c r="O399" s="247">
        <v>0</v>
      </c>
      <c r="P399" s="247">
        <v>0</v>
      </c>
      <c r="Q399" s="247">
        <v>0</v>
      </c>
      <c r="R399" s="247">
        <v>0</v>
      </c>
      <c r="S399" s="247">
        <v>0</v>
      </c>
      <c r="T399" s="407" t="e">
        <v>#DIV/0!</v>
      </c>
      <c r="U399" s="406">
        <v>0</v>
      </c>
      <c r="V399" s="406">
        <v>0</v>
      </c>
      <c r="W399" s="406">
        <v>0</v>
      </c>
      <c r="X399" s="406">
        <v>0</v>
      </c>
      <c r="Y399" s="406">
        <v>0</v>
      </c>
      <c r="Z399" s="406">
        <v>0</v>
      </c>
    </row>
    <row r="400" spans="1:26" x14ac:dyDescent="0.2">
      <c r="A400" s="404" t="s">
        <v>623</v>
      </c>
      <c r="B400" s="247">
        <v>0</v>
      </c>
      <c r="C400" s="247">
        <v>0</v>
      </c>
      <c r="D400" s="247">
        <v>0</v>
      </c>
      <c r="E400" s="247">
        <v>0</v>
      </c>
      <c r="F400" s="247">
        <v>0</v>
      </c>
      <c r="G400" s="247">
        <v>0</v>
      </c>
      <c r="H400" s="247">
        <v>0</v>
      </c>
      <c r="I400" s="247">
        <v>0</v>
      </c>
      <c r="J400" s="247">
        <v>0</v>
      </c>
      <c r="K400" s="247">
        <v>0</v>
      </c>
      <c r="L400" s="247">
        <v>0</v>
      </c>
      <c r="M400" s="247">
        <v>0</v>
      </c>
      <c r="N400" s="247">
        <v>0</v>
      </c>
      <c r="O400" s="247">
        <v>0</v>
      </c>
      <c r="P400" s="247">
        <v>0</v>
      </c>
      <c r="Q400" s="247">
        <v>0</v>
      </c>
      <c r="R400" s="247">
        <v>0</v>
      </c>
      <c r="S400" s="247">
        <v>0</v>
      </c>
      <c r="T400" s="407" t="e">
        <v>#DIV/0!</v>
      </c>
      <c r="U400" s="406">
        <v>0</v>
      </c>
      <c r="V400" s="406">
        <v>0</v>
      </c>
      <c r="W400" s="406">
        <v>0</v>
      </c>
      <c r="X400" s="406">
        <v>0</v>
      </c>
      <c r="Y400" s="406">
        <v>0</v>
      </c>
      <c r="Z400" s="406">
        <v>0</v>
      </c>
    </row>
    <row r="401" spans="1:26" x14ac:dyDescent="0.2">
      <c r="A401" s="404" t="s">
        <v>624</v>
      </c>
      <c r="B401" s="448">
        <v>0</v>
      </c>
      <c r="C401" s="448">
        <v>0</v>
      </c>
      <c r="D401" s="448">
        <v>0</v>
      </c>
      <c r="E401" s="448">
        <v>0</v>
      </c>
      <c r="F401" s="448">
        <v>0</v>
      </c>
      <c r="G401" s="448">
        <v>0</v>
      </c>
      <c r="H401" s="448">
        <v>0</v>
      </c>
      <c r="I401" s="448">
        <v>0</v>
      </c>
      <c r="J401" s="448">
        <v>0</v>
      </c>
      <c r="K401" s="448">
        <v>0</v>
      </c>
      <c r="L401" s="448">
        <v>0</v>
      </c>
      <c r="M401" s="448">
        <v>0</v>
      </c>
      <c r="N401" s="448">
        <v>0</v>
      </c>
      <c r="O401" s="448">
        <v>0</v>
      </c>
      <c r="P401" s="448">
        <v>0</v>
      </c>
      <c r="Q401" s="448">
        <v>0</v>
      </c>
      <c r="R401" s="448">
        <v>0</v>
      </c>
      <c r="S401" s="448">
        <v>0</v>
      </c>
      <c r="T401" s="407" t="e">
        <v>#DIV/0!</v>
      </c>
      <c r="U401" s="406">
        <v>0</v>
      </c>
      <c r="V401" s="406">
        <v>0</v>
      </c>
      <c r="W401" s="406">
        <v>0</v>
      </c>
      <c r="X401" s="406">
        <v>0</v>
      </c>
      <c r="Y401" s="406">
        <v>0</v>
      </c>
      <c r="Z401" s="406">
        <v>0</v>
      </c>
    </row>
    <row r="402" spans="1:26" x14ac:dyDescent="0.2">
      <c r="A402" s="412" t="s">
        <v>625</v>
      </c>
      <c r="B402" s="455">
        <v>0</v>
      </c>
      <c r="C402" s="455">
        <v>0</v>
      </c>
      <c r="D402" s="455">
        <v>0</v>
      </c>
      <c r="E402" s="455">
        <v>0</v>
      </c>
      <c r="F402" s="455">
        <v>0</v>
      </c>
      <c r="G402" s="455">
        <v>0</v>
      </c>
      <c r="H402" s="455">
        <v>0</v>
      </c>
      <c r="I402" s="455">
        <v>0</v>
      </c>
      <c r="J402" s="455">
        <v>0</v>
      </c>
      <c r="K402" s="455">
        <v>0</v>
      </c>
      <c r="L402" s="455">
        <v>0</v>
      </c>
      <c r="M402" s="455">
        <v>0</v>
      </c>
      <c r="N402" s="455">
        <v>0</v>
      </c>
      <c r="O402" s="455">
        <v>0</v>
      </c>
      <c r="P402" s="455">
        <v>0</v>
      </c>
      <c r="Q402" s="455">
        <v>0</v>
      </c>
      <c r="R402" s="455">
        <v>0</v>
      </c>
      <c r="S402" s="455">
        <v>0</v>
      </c>
      <c r="T402" s="410" t="e">
        <v>#DIV/0!</v>
      </c>
      <c r="U402" s="285">
        <v>0</v>
      </c>
      <c r="V402" s="285">
        <v>0</v>
      </c>
      <c r="W402" s="285">
        <v>0</v>
      </c>
      <c r="X402" s="285">
        <v>0</v>
      </c>
      <c r="Y402" s="285">
        <v>0</v>
      </c>
      <c r="Z402" s="285">
        <v>0</v>
      </c>
    </row>
    <row r="403" spans="1:26" x14ac:dyDescent="0.2">
      <c r="A403" s="414" t="s">
        <v>626</v>
      </c>
      <c r="B403" s="455">
        <v>0</v>
      </c>
      <c r="C403" s="455">
        <v>0</v>
      </c>
      <c r="D403" s="455">
        <v>0</v>
      </c>
      <c r="E403" s="455">
        <v>0</v>
      </c>
      <c r="F403" s="455">
        <v>0</v>
      </c>
      <c r="G403" s="455">
        <v>0</v>
      </c>
      <c r="H403" s="455">
        <v>0</v>
      </c>
      <c r="I403" s="455">
        <v>0</v>
      </c>
      <c r="J403" s="455">
        <v>0</v>
      </c>
      <c r="K403" s="455">
        <v>0</v>
      </c>
      <c r="L403" s="455">
        <v>0</v>
      </c>
      <c r="M403" s="455">
        <v>0</v>
      </c>
      <c r="N403" s="455">
        <v>0</v>
      </c>
      <c r="O403" s="455">
        <v>0</v>
      </c>
      <c r="P403" s="455">
        <v>0</v>
      </c>
      <c r="Q403" s="455">
        <v>0</v>
      </c>
      <c r="R403" s="455">
        <v>0</v>
      </c>
      <c r="S403" s="455">
        <v>0</v>
      </c>
      <c r="T403" s="410" t="e">
        <v>#DIV/0!</v>
      </c>
      <c r="U403" s="285">
        <v>0</v>
      </c>
      <c r="V403" s="285">
        <v>0</v>
      </c>
      <c r="W403" s="285">
        <v>0</v>
      </c>
      <c r="X403" s="285">
        <v>0</v>
      </c>
      <c r="Y403" s="285">
        <v>0</v>
      </c>
      <c r="Z403" s="285">
        <v>0</v>
      </c>
    </row>
    <row r="404" spans="1:26" x14ac:dyDescent="0.2">
      <c r="A404" s="416" t="s">
        <v>627</v>
      </c>
      <c r="B404" s="457">
        <v>0</v>
      </c>
      <c r="C404" s="457">
        <v>0</v>
      </c>
      <c r="D404" s="457">
        <v>0</v>
      </c>
      <c r="E404" s="457">
        <v>0</v>
      </c>
      <c r="F404" s="457">
        <v>0</v>
      </c>
      <c r="G404" s="457">
        <v>0</v>
      </c>
      <c r="H404" s="457">
        <v>0</v>
      </c>
      <c r="I404" s="457">
        <v>0</v>
      </c>
      <c r="J404" s="457">
        <v>0</v>
      </c>
      <c r="K404" s="457">
        <v>0</v>
      </c>
      <c r="L404" s="457">
        <v>0</v>
      </c>
      <c r="M404" s="457">
        <v>0</v>
      </c>
      <c r="N404" s="457">
        <v>0</v>
      </c>
      <c r="O404" s="457">
        <v>0</v>
      </c>
      <c r="P404" s="457">
        <v>0</v>
      </c>
      <c r="Q404" s="457">
        <v>0</v>
      </c>
      <c r="R404" s="457">
        <v>0</v>
      </c>
      <c r="S404" s="457">
        <v>0</v>
      </c>
      <c r="T404" s="410" t="e">
        <v>#DIV/0!</v>
      </c>
      <c r="U404" s="285">
        <v>0</v>
      </c>
      <c r="V404" s="285">
        <v>0</v>
      </c>
      <c r="W404" s="285">
        <v>0</v>
      </c>
      <c r="X404" s="285">
        <v>0</v>
      </c>
      <c r="Y404" s="285">
        <v>0</v>
      </c>
      <c r="Z404" s="285">
        <v>0</v>
      </c>
    </row>
    <row r="405" spans="1:26" x14ac:dyDescent="0.2">
      <c r="A405" s="416" t="s">
        <v>628</v>
      </c>
      <c r="B405" s="457">
        <v>0</v>
      </c>
      <c r="C405" s="457">
        <v>0</v>
      </c>
      <c r="D405" s="457">
        <v>0</v>
      </c>
      <c r="E405" s="457">
        <v>0</v>
      </c>
      <c r="F405" s="457">
        <v>0</v>
      </c>
      <c r="G405" s="457">
        <v>0</v>
      </c>
      <c r="H405" s="457">
        <v>0</v>
      </c>
      <c r="I405" s="457">
        <v>0</v>
      </c>
      <c r="J405" s="457">
        <v>0</v>
      </c>
      <c r="K405" s="457">
        <v>0</v>
      </c>
      <c r="L405" s="457">
        <v>0</v>
      </c>
      <c r="M405" s="457">
        <v>0</v>
      </c>
      <c r="N405" s="457">
        <v>0</v>
      </c>
      <c r="O405" s="457">
        <v>0</v>
      </c>
      <c r="P405" s="457">
        <v>0</v>
      </c>
      <c r="Q405" s="457">
        <v>0</v>
      </c>
      <c r="R405" s="457">
        <v>0</v>
      </c>
      <c r="S405" s="457">
        <v>0</v>
      </c>
      <c r="T405" s="410" t="e">
        <v>#DIV/0!</v>
      </c>
      <c r="U405" s="285">
        <v>0</v>
      </c>
      <c r="V405" s="285">
        <v>0</v>
      </c>
      <c r="W405" s="285">
        <v>0</v>
      </c>
      <c r="X405" s="285">
        <v>0</v>
      </c>
      <c r="Y405" s="285">
        <v>0</v>
      </c>
      <c r="Z405" s="285">
        <v>0</v>
      </c>
    </row>
    <row r="406" spans="1:26" x14ac:dyDescent="0.2">
      <c r="A406" s="414" t="s">
        <v>1317</v>
      </c>
      <c r="B406" s="457">
        <v>0</v>
      </c>
      <c r="C406" s="457">
        <v>0</v>
      </c>
      <c r="D406" s="457">
        <v>0</v>
      </c>
      <c r="E406" s="457">
        <v>0</v>
      </c>
      <c r="F406" s="457">
        <v>0</v>
      </c>
      <c r="G406" s="457">
        <v>0</v>
      </c>
      <c r="H406" s="457">
        <v>0</v>
      </c>
      <c r="I406" s="457">
        <v>0</v>
      </c>
      <c r="J406" s="457">
        <v>0</v>
      </c>
      <c r="K406" s="457">
        <v>0</v>
      </c>
      <c r="L406" s="457">
        <v>0</v>
      </c>
      <c r="M406" s="457">
        <v>0</v>
      </c>
      <c r="N406" s="457">
        <v>0</v>
      </c>
      <c r="O406" s="457">
        <v>0</v>
      </c>
      <c r="P406" s="457">
        <v>0</v>
      </c>
      <c r="Q406" s="457">
        <v>0</v>
      </c>
      <c r="R406" s="457">
        <v>0</v>
      </c>
      <c r="S406" s="457">
        <v>0</v>
      </c>
      <c r="T406" s="410" t="e">
        <v>#DIV/0!</v>
      </c>
      <c r="U406" s="285">
        <v>0</v>
      </c>
      <c r="V406" s="285">
        <v>0</v>
      </c>
      <c r="W406" s="285">
        <v>0</v>
      </c>
      <c r="X406" s="285">
        <v>0</v>
      </c>
      <c r="Y406" s="285">
        <v>0</v>
      </c>
      <c r="Z406" s="285">
        <v>0</v>
      </c>
    </row>
    <row r="407" spans="1:26" x14ac:dyDescent="0.2">
      <c r="A407" s="416" t="s">
        <v>1319</v>
      </c>
      <c r="B407" s="457">
        <v>0</v>
      </c>
      <c r="C407" s="457">
        <v>0</v>
      </c>
      <c r="D407" s="457">
        <v>0</v>
      </c>
      <c r="E407" s="457">
        <v>0</v>
      </c>
      <c r="F407" s="457">
        <v>0</v>
      </c>
      <c r="G407" s="457">
        <v>0</v>
      </c>
      <c r="H407" s="457">
        <v>0</v>
      </c>
      <c r="I407" s="457">
        <v>0</v>
      </c>
      <c r="J407" s="457">
        <v>0</v>
      </c>
      <c r="K407" s="457">
        <v>0</v>
      </c>
      <c r="L407" s="457">
        <v>0</v>
      </c>
      <c r="M407" s="457">
        <v>0</v>
      </c>
      <c r="N407" s="457">
        <v>0</v>
      </c>
      <c r="O407" s="457">
        <v>0</v>
      </c>
      <c r="P407" s="457">
        <v>0</v>
      </c>
      <c r="Q407" s="457">
        <v>0</v>
      </c>
      <c r="R407" s="457">
        <v>0</v>
      </c>
      <c r="S407" s="457">
        <v>0</v>
      </c>
      <c r="T407" s="410" t="e">
        <v>#DIV/0!</v>
      </c>
      <c r="U407" s="285">
        <v>0</v>
      </c>
      <c r="V407" s="285">
        <v>0</v>
      </c>
      <c r="W407" s="285">
        <v>0</v>
      </c>
      <c r="X407" s="285">
        <v>0</v>
      </c>
      <c r="Y407" s="285">
        <v>0</v>
      </c>
      <c r="Z407" s="285">
        <v>0</v>
      </c>
    </row>
    <row r="408" spans="1:26" x14ac:dyDescent="0.2">
      <c r="A408" s="416" t="s">
        <v>1321</v>
      </c>
      <c r="B408" s="457">
        <v>0</v>
      </c>
      <c r="C408" s="457">
        <v>0</v>
      </c>
      <c r="D408" s="457">
        <v>0</v>
      </c>
      <c r="E408" s="457">
        <v>0</v>
      </c>
      <c r="F408" s="457">
        <v>0</v>
      </c>
      <c r="G408" s="457">
        <v>0</v>
      </c>
      <c r="H408" s="457">
        <v>0</v>
      </c>
      <c r="I408" s="457">
        <v>0</v>
      </c>
      <c r="J408" s="457">
        <v>0</v>
      </c>
      <c r="K408" s="457">
        <v>0</v>
      </c>
      <c r="L408" s="457">
        <v>0</v>
      </c>
      <c r="M408" s="457">
        <v>0</v>
      </c>
      <c r="N408" s="457">
        <v>0</v>
      </c>
      <c r="O408" s="457">
        <v>0</v>
      </c>
      <c r="P408" s="457">
        <v>0</v>
      </c>
      <c r="Q408" s="457">
        <v>0</v>
      </c>
      <c r="R408" s="457">
        <v>0</v>
      </c>
      <c r="S408" s="457">
        <v>0</v>
      </c>
      <c r="T408" s="410" t="e">
        <v>#DIV/0!</v>
      </c>
      <c r="U408" s="285">
        <v>0</v>
      </c>
      <c r="V408" s="285">
        <v>0</v>
      </c>
      <c r="W408" s="285">
        <v>0</v>
      </c>
      <c r="X408" s="285">
        <v>0</v>
      </c>
      <c r="Y408" s="285">
        <v>0</v>
      </c>
      <c r="Z408" s="285">
        <v>0</v>
      </c>
    </row>
    <row r="409" spans="1:26" x14ac:dyDescent="0.2">
      <c r="A409" s="414" t="s">
        <v>629</v>
      </c>
      <c r="B409" s="457">
        <v>0</v>
      </c>
      <c r="C409" s="457">
        <v>0</v>
      </c>
      <c r="D409" s="457">
        <v>0</v>
      </c>
      <c r="E409" s="457">
        <v>0</v>
      </c>
      <c r="F409" s="457">
        <v>0</v>
      </c>
      <c r="G409" s="457">
        <v>0</v>
      </c>
      <c r="H409" s="457">
        <v>0</v>
      </c>
      <c r="I409" s="457">
        <v>0</v>
      </c>
      <c r="J409" s="457">
        <v>0</v>
      </c>
      <c r="K409" s="457">
        <v>0</v>
      </c>
      <c r="L409" s="457">
        <v>0</v>
      </c>
      <c r="M409" s="457">
        <v>0</v>
      </c>
      <c r="N409" s="457">
        <v>0</v>
      </c>
      <c r="O409" s="457">
        <v>0</v>
      </c>
      <c r="P409" s="457">
        <v>0</v>
      </c>
      <c r="Q409" s="457">
        <v>0</v>
      </c>
      <c r="R409" s="457">
        <v>0</v>
      </c>
      <c r="S409" s="457">
        <v>0</v>
      </c>
      <c r="T409" s="410" t="e">
        <v>#DIV/0!</v>
      </c>
      <c r="U409" s="285">
        <v>0</v>
      </c>
      <c r="V409" s="285">
        <v>0</v>
      </c>
      <c r="W409" s="285">
        <v>0</v>
      </c>
      <c r="X409" s="285">
        <v>0</v>
      </c>
      <c r="Y409" s="285">
        <v>0</v>
      </c>
      <c r="Z409" s="285">
        <v>0</v>
      </c>
    </row>
    <row r="410" spans="1:26" x14ac:dyDescent="0.2">
      <c r="A410" s="414" t="s">
        <v>630</v>
      </c>
      <c r="B410" s="457">
        <v>0</v>
      </c>
      <c r="C410" s="457">
        <v>0</v>
      </c>
      <c r="D410" s="457">
        <v>0</v>
      </c>
      <c r="E410" s="457">
        <v>0</v>
      </c>
      <c r="F410" s="457">
        <v>0</v>
      </c>
      <c r="G410" s="457">
        <v>0</v>
      </c>
      <c r="H410" s="457">
        <v>0</v>
      </c>
      <c r="I410" s="457">
        <v>0</v>
      </c>
      <c r="J410" s="457">
        <v>0</v>
      </c>
      <c r="K410" s="457">
        <v>0</v>
      </c>
      <c r="L410" s="457">
        <v>0</v>
      </c>
      <c r="M410" s="457">
        <v>0</v>
      </c>
      <c r="N410" s="457">
        <v>0</v>
      </c>
      <c r="O410" s="457">
        <v>0</v>
      </c>
      <c r="P410" s="457">
        <v>0</v>
      </c>
      <c r="Q410" s="457">
        <v>0</v>
      </c>
      <c r="R410" s="457">
        <v>0</v>
      </c>
      <c r="S410" s="457">
        <v>0</v>
      </c>
      <c r="T410" s="410" t="e">
        <v>#DIV/0!</v>
      </c>
      <c r="U410" s="285">
        <v>0</v>
      </c>
      <c r="V410" s="285">
        <v>0</v>
      </c>
      <c r="W410" s="285">
        <v>0</v>
      </c>
      <c r="X410" s="285">
        <v>0</v>
      </c>
      <c r="Y410" s="285">
        <v>0</v>
      </c>
      <c r="Z410" s="285">
        <v>0</v>
      </c>
    </row>
    <row r="411" spans="1:26" x14ac:dyDescent="0.2">
      <c r="A411" s="412" t="s">
        <v>631</v>
      </c>
      <c r="B411" s="457">
        <v>0</v>
      </c>
      <c r="C411" s="457">
        <v>0</v>
      </c>
      <c r="D411" s="457">
        <v>0</v>
      </c>
      <c r="E411" s="457">
        <v>0</v>
      </c>
      <c r="F411" s="457">
        <v>0</v>
      </c>
      <c r="G411" s="457">
        <v>0</v>
      </c>
      <c r="H411" s="457">
        <v>0</v>
      </c>
      <c r="I411" s="457">
        <v>0</v>
      </c>
      <c r="J411" s="457">
        <v>0</v>
      </c>
      <c r="K411" s="457">
        <v>0</v>
      </c>
      <c r="L411" s="457">
        <v>0</v>
      </c>
      <c r="M411" s="457">
        <v>0</v>
      </c>
      <c r="N411" s="457">
        <v>0</v>
      </c>
      <c r="O411" s="457">
        <v>0</v>
      </c>
      <c r="P411" s="457">
        <v>0</v>
      </c>
      <c r="Q411" s="457">
        <v>0</v>
      </c>
      <c r="R411" s="457">
        <v>0</v>
      </c>
      <c r="S411" s="457">
        <v>0</v>
      </c>
      <c r="T411" s="410" t="e">
        <v>#DIV/0!</v>
      </c>
      <c r="U411" s="285">
        <v>0</v>
      </c>
      <c r="V411" s="285">
        <v>0</v>
      </c>
      <c r="W411" s="285">
        <v>0</v>
      </c>
      <c r="X411" s="285">
        <v>0</v>
      </c>
      <c r="Y411" s="285">
        <v>0</v>
      </c>
      <c r="Z411" s="285">
        <v>0</v>
      </c>
    </row>
    <row r="412" spans="1:26" x14ac:dyDescent="0.2">
      <c r="A412" s="412" t="s">
        <v>632</v>
      </c>
      <c r="B412" s="457">
        <v>0</v>
      </c>
      <c r="C412" s="457">
        <v>0</v>
      </c>
      <c r="D412" s="457">
        <v>0</v>
      </c>
      <c r="E412" s="457">
        <v>0</v>
      </c>
      <c r="F412" s="457">
        <v>0</v>
      </c>
      <c r="G412" s="457">
        <v>0</v>
      </c>
      <c r="H412" s="457">
        <v>0</v>
      </c>
      <c r="I412" s="457">
        <v>0</v>
      </c>
      <c r="J412" s="457">
        <v>0</v>
      </c>
      <c r="K412" s="457">
        <v>0</v>
      </c>
      <c r="L412" s="457">
        <v>0</v>
      </c>
      <c r="M412" s="457">
        <v>0</v>
      </c>
      <c r="N412" s="457">
        <v>0</v>
      </c>
      <c r="O412" s="457">
        <v>0</v>
      </c>
      <c r="P412" s="457">
        <v>0</v>
      </c>
      <c r="Q412" s="457">
        <v>0</v>
      </c>
      <c r="R412" s="457">
        <v>0</v>
      </c>
      <c r="S412" s="457">
        <v>0</v>
      </c>
      <c r="T412" s="410" t="e">
        <v>#DIV/0!</v>
      </c>
      <c r="U412" s="285">
        <v>0</v>
      </c>
      <c r="V412" s="285">
        <v>0</v>
      </c>
      <c r="W412" s="285">
        <v>0</v>
      </c>
      <c r="X412" s="285">
        <v>0</v>
      </c>
      <c r="Y412" s="285">
        <v>0</v>
      </c>
      <c r="Z412" s="285">
        <v>0</v>
      </c>
    </row>
    <row r="413" spans="1:26" x14ac:dyDescent="0.2">
      <c r="A413" s="412" t="s">
        <v>633</v>
      </c>
      <c r="B413" s="457">
        <v>0</v>
      </c>
      <c r="C413" s="457">
        <v>0</v>
      </c>
      <c r="D413" s="457">
        <v>0</v>
      </c>
      <c r="E413" s="457">
        <v>0</v>
      </c>
      <c r="F413" s="457">
        <v>0</v>
      </c>
      <c r="G413" s="457">
        <v>0</v>
      </c>
      <c r="H413" s="457">
        <v>0</v>
      </c>
      <c r="I413" s="457">
        <v>0</v>
      </c>
      <c r="J413" s="457">
        <v>0</v>
      </c>
      <c r="K413" s="457">
        <v>0</v>
      </c>
      <c r="L413" s="457">
        <v>0</v>
      </c>
      <c r="M413" s="457">
        <v>0</v>
      </c>
      <c r="N413" s="457">
        <v>0</v>
      </c>
      <c r="O413" s="457">
        <v>0</v>
      </c>
      <c r="P413" s="457">
        <v>0</v>
      </c>
      <c r="Q413" s="457">
        <v>0</v>
      </c>
      <c r="R413" s="457">
        <v>0</v>
      </c>
      <c r="S413" s="457">
        <v>0</v>
      </c>
      <c r="T413" s="410" t="e">
        <v>#DIV/0!</v>
      </c>
      <c r="U413" s="285">
        <v>0</v>
      </c>
      <c r="V413" s="285">
        <v>0</v>
      </c>
      <c r="W413" s="285">
        <v>0</v>
      </c>
      <c r="X413" s="285">
        <v>0</v>
      </c>
      <c r="Y413" s="285">
        <v>0</v>
      </c>
      <c r="Z413" s="285">
        <v>0</v>
      </c>
    </row>
    <row r="414" spans="1:26" x14ac:dyDescent="0.2">
      <c r="A414" s="412" t="s">
        <v>634</v>
      </c>
      <c r="B414" s="457">
        <v>0</v>
      </c>
      <c r="C414" s="457">
        <v>0</v>
      </c>
      <c r="D414" s="457">
        <v>0</v>
      </c>
      <c r="E414" s="457">
        <v>0</v>
      </c>
      <c r="F414" s="457">
        <v>0</v>
      </c>
      <c r="G414" s="457">
        <v>0</v>
      </c>
      <c r="H414" s="457">
        <v>0</v>
      </c>
      <c r="I414" s="457">
        <v>0</v>
      </c>
      <c r="J414" s="457">
        <v>0</v>
      </c>
      <c r="K414" s="457">
        <v>0</v>
      </c>
      <c r="L414" s="457">
        <v>0</v>
      </c>
      <c r="M414" s="457">
        <v>0</v>
      </c>
      <c r="N414" s="457">
        <v>0</v>
      </c>
      <c r="O414" s="457">
        <v>0</v>
      </c>
      <c r="P414" s="457">
        <v>0</v>
      </c>
      <c r="Q414" s="457">
        <v>0</v>
      </c>
      <c r="R414" s="457">
        <v>0</v>
      </c>
      <c r="S414" s="457">
        <v>0</v>
      </c>
      <c r="T414" s="410" t="e">
        <v>#DIV/0!</v>
      </c>
      <c r="U414" s="285">
        <v>0</v>
      </c>
      <c r="V414" s="285">
        <v>0</v>
      </c>
      <c r="W414" s="285">
        <v>0</v>
      </c>
      <c r="X414" s="285">
        <v>0</v>
      </c>
      <c r="Y414" s="285">
        <v>0</v>
      </c>
      <c r="Z414" s="285">
        <v>0</v>
      </c>
    </row>
    <row r="415" spans="1:26" x14ac:dyDescent="0.2">
      <c r="A415" s="412" t="s">
        <v>635</v>
      </c>
      <c r="B415" s="457">
        <v>0</v>
      </c>
      <c r="C415" s="457">
        <v>0</v>
      </c>
      <c r="D415" s="457">
        <v>0</v>
      </c>
      <c r="E415" s="457">
        <v>0</v>
      </c>
      <c r="F415" s="457">
        <v>0</v>
      </c>
      <c r="G415" s="457">
        <v>0</v>
      </c>
      <c r="H415" s="457">
        <v>0</v>
      </c>
      <c r="I415" s="457">
        <v>0</v>
      </c>
      <c r="J415" s="457">
        <v>0</v>
      </c>
      <c r="K415" s="457">
        <v>0</v>
      </c>
      <c r="L415" s="457">
        <v>0</v>
      </c>
      <c r="M415" s="457">
        <v>0</v>
      </c>
      <c r="N415" s="457">
        <v>0</v>
      </c>
      <c r="O415" s="457">
        <v>0</v>
      </c>
      <c r="P415" s="457">
        <v>0</v>
      </c>
      <c r="Q415" s="457">
        <v>0</v>
      </c>
      <c r="R415" s="457">
        <v>0</v>
      </c>
      <c r="S415" s="457">
        <v>0</v>
      </c>
      <c r="T415" s="410" t="e">
        <v>#DIV/0!</v>
      </c>
      <c r="U415" s="285">
        <v>0</v>
      </c>
      <c r="V415" s="285">
        <v>0</v>
      </c>
      <c r="W415" s="285">
        <v>0</v>
      </c>
      <c r="X415" s="285">
        <v>0</v>
      </c>
      <c r="Y415" s="285">
        <v>0</v>
      </c>
      <c r="Z415" s="285">
        <v>0</v>
      </c>
    </row>
    <row r="416" spans="1:26" x14ac:dyDescent="0.2">
      <c r="A416" s="404" t="s">
        <v>636</v>
      </c>
      <c r="B416" s="448">
        <v>0</v>
      </c>
      <c r="C416" s="448">
        <v>0</v>
      </c>
      <c r="D416" s="448">
        <v>0</v>
      </c>
      <c r="E416" s="448">
        <v>0</v>
      </c>
      <c r="F416" s="448">
        <v>0</v>
      </c>
      <c r="G416" s="448">
        <v>0</v>
      </c>
      <c r="H416" s="448">
        <v>0</v>
      </c>
      <c r="I416" s="448">
        <v>0</v>
      </c>
      <c r="J416" s="448">
        <v>0</v>
      </c>
      <c r="K416" s="448">
        <v>0</v>
      </c>
      <c r="L416" s="448">
        <v>0</v>
      </c>
      <c r="M416" s="448">
        <v>0</v>
      </c>
      <c r="N416" s="448">
        <v>0</v>
      </c>
      <c r="O416" s="448">
        <v>0</v>
      </c>
      <c r="P416" s="448">
        <v>0</v>
      </c>
      <c r="Q416" s="448">
        <v>0</v>
      </c>
      <c r="R416" s="448">
        <v>0</v>
      </c>
      <c r="S416" s="448">
        <v>0</v>
      </c>
      <c r="T416" s="407" t="e">
        <v>#DIV/0!</v>
      </c>
      <c r="U416" s="406">
        <v>0</v>
      </c>
      <c r="V416" s="406">
        <v>0</v>
      </c>
      <c r="W416" s="406">
        <v>0</v>
      </c>
      <c r="X416" s="406">
        <v>0</v>
      </c>
      <c r="Y416" s="406">
        <v>0</v>
      </c>
      <c r="Z416" s="406">
        <v>0</v>
      </c>
    </row>
    <row r="417" spans="1:26" x14ac:dyDescent="0.2">
      <c r="A417" s="412" t="s">
        <v>637</v>
      </c>
      <c r="B417" s="457">
        <v>0</v>
      </c>
      <c r="C417" s="457">
        <v>0</v>
      </c>
      <c r="D417" s="457">
        <v>0</v>
      </c>
      <c r="E417" s="457">
        <v>0</v>
      </c>
      <c r="F417" s="457">
        <v>0</v>
      </c>
      <c r="G417" s="457">
        <v>0</v>
      </c>
      <c r="H417" s="457">
        <v>0</v>
      </c>
      <c r="I417" s="457">
        <v>0</v>
      </c>
      <c r="J417" s="457">
        <v>0</v>
      </c>
      <c r="K417" s="457">
        <v>0</v>
      </c>
      <c r="L417" s="457">
        <v>0</v>
      </c>
      <c r="M417" s="457">
        <v>0</v>
      </c>
      <c r="N417" s="457">
        <v>0</v>
      </c>
      <c r="O417" s="457">
        <v>0</v>
      </c>
      <c r="P417" s="457">
        <v>0</v>
      </c>
      <c r="Q417" s="457">
        <v>0</v>
      </c>
      <c r="R417" s="457">
        <v>0</v>
      </c>
      <c r="S417" s="457">
        <v>0</v>
      </c>
      <c r="T417" s="410" t="e">
        <v>#DIV/0!</v>
      </c>
      <c r="U417" s="285">
        <v>0</v>
      </c>
      <c r="V417" s="285">
        <v>0</v>
      </c>
      <c r="W417" s="285">
        <v>0</v>
      </c>
      <c r="X417" s="285">
        <v>0</v>
      </c>
      <c r="Y417" s="285">
        <v>0</v>
      </c>
      <c r="Z417" s="285">
        <v>0</v>
      </c>
    </row>
    <row r="418" spans="1:26" x14ac:dyDescent="0.2">
      <c r="A418" s="412" t="s">
        <v>638</v>
      </c>
      <c r="B418" s="457">
        <v>0</v>
      </c>
      <c r="C418" s="457">
        <v>0</v>
      </c>
      <c r="D418" s="457">
        <v>0</v>
      </c>
      <c r="E418" s="457">
        <v>0</v>
      </c>
      <c r="F418" s="457">
        <v>0</v>
      </c>
      <c r="G418" s="457">
        <v>0</v>
      </c>
      <c r="H418" s="457">
        <v>0</v>
      </c>
      <c r="I418" s="457">
        <v>0</v>
      </c>
      <c r="J418" s="457">
        <v>0</v>
      </c>
      <c r="K418" s="457">
        <v>0</v>
      </c>
      <c r="L418" s="457">
        <v>0</v>
      </c>
      <c r="M418" s="457">
        <v>0</v>
      </c>
      <c r="N418" s="457">
        <v>0</v>
      </c>
      <c r="O418" s="457">
        <v>0</v>
      </c>
      <c r="P418" s="457">
        <v>0</v>
      </c>
      <c r="Q418" s="457">
        <v>0</v>
      </c>
      <c r="R418" s="457">
        <v>0</v>
      </c>
      <c r="S418" s="457">
        <v>0</v>
      </c>
      <c r="T418" s="410" t="e">
        <v>#DIV/0!</v>
      </c>
      <c r="U418" s="285">
        <v>0</v>
      </c>
      <c r="V418" s="285">
        <v>0</v>
      </c>
      <c r="W418" s="285">
        <v>0</v>
      </c>
      <c r="X418" s="285">
        <v>0</v>
      </c>
      <c r="Y418" s="285">
        <v>0</v>
      </c>
      <c r="Z418" s="285">
        <v>0</v>
      </c>
    </row>
    <row r="419" spans="1:26" x14ac:dyDescent="0.2">
      <c r="A419" s="412" t="s">
        <v>639</v>
      </c>
      <c r="B419" s="457">
        <v>0</v>
      </c>
      <c r="C419" s="457">
        <v>0</v>
      </c>
      <c r="D419" s="457">
        <v>0</v>
      </c>
      <c r="E419" s="457">
        <v>0</v>
      </c>
      <c r="F419" s="457">
        <v>0</v>
      </c>
      <c r="G419" s="457">
        <v>0</v>
      </c>
      <c r="H419" s="457">
        <v>0</v>
      </c>
      <c r="I419" s="457">
        <v>0</v>
      </c>
      <c r="J419" s="457">
        <v>0</v>
      </c>
      <c r="K419" s="457">
        <v>0</v>
      </c>
      <c r="L419" s="457">
        <v>0</v>
      </c>
      <c r="M419" s="457">
        <v>0</v>
      </c>
      <c r="N419" s="457">
        <v>0</v>
      </c>
      <c r="O419" s="457">
        <v>0</v>
      </c>
      <c r="P419" s="457">
        <v>0</v>
      </c>
      <c r="Q419" s="457">
        <v>0</v>
      </c>
      <c r="R419" s="457">
        <v>0</v>
      </c>
      <c r="S419" s="457">
        <v>0</v>
      </c>
      <c r="T419" s="410" t="e">
        <v>#DIV/0!</v>
      </c>
      <c r="U419" s="285">
        <v>0</v>
      </c>
      <c r="V419" s="285">
        <v>0</v>
      </c>
      <c r="W419" s="285">
        <v>0</v>
      </c>
      <c r="X419" s="285">
        <v>0</v>
      </c>
      <c r="Y419" s="285">
        <v>0</v>
      </c>
      <c r="Z419" s="285">
        <v>0</v>
      </c>
    </row>
    <row r="420" spans="1:26" x14ac:dyDescent="0.2">
      <c r="A420" s="404" t="s">
        <v>640</v>
      </c>
      <c r="B420" s="448">
        <v>0</v>
      </c>
      <c r="C420" s="448">
        <v>0</v>
      </c>
      <c r="D420" s="448">
        <v>0</v>
      </c>
      <c r="E420" s="448">
        <v>0</v>
      </c>
      <c r="F420" s="448">
        <v>0</v>
      </c>
      <c r="G420" s="448">
        <v>0</v>
      </c>
      <c r="H420" s="448">
        <v>0</v>
      </c>
      <c r="I420" s="448">
        <v>0</v>
      </c>
      <c r="J420" s="448">
        <v>0</v>
      </c>
      <c r="K420" s="448">
        <v>0</v>
      </c>
      <c r="L420" s="448">
        <v>0</v>
      </c>
      <c r="M420" s="448">
        <v>0</v>
      </c>
      <c r="N420" s="448">
        <v>0</v>
      </c>
      <c r="O420" s="448">
        <v>0</v>
      </c>
      <c r="P420" s="448">
        <v>0</v>
      </c>
      <c r="Q420" s="448">
        <v>0</v>
      </c>
      <c r="R420" s="448">
        <v>0</v>
      </c>
      <c r="S420" s="448">
        <v>0</v>
      </c>
      <c r="T420" s="407" t="e">
        <v>#DIV/0!</v>
      </c>
      <c r="U420" s="406">
        <v>0</v>
      </c>
      <c r="V420" s="406">
        <v>0</v>
      </c>
      <c r="W420" s="406">
        <v>0</v>
      </c>
      <c r="X420" s="406">
        <v>0</v>
      </c>
      <c r="Y420" s="406">
        <v>0</v>
      </c>
      <c r="Z420" s="406">
        <v>0</v>
      </c>
    </row>
    <row r="421" spans="1:26" x14ac:dyDescent="0.2">
      <c r="A421" s="412" t="s">
        <v>641</v>
      </c>
      <c r="B421" s="457">
        <v>0</v>
      </c>
      <c r="C421" s="457">
        <v>0</v>
      </c>
      <c r="D421" s="457">
        <v>0</v>
      </c>
      <c r="E421" s="457">
        <v>0</v>
      </c>
      <c r="F421" s="457">
        <v>0</v>
      </c>
      <c r="G421" s="457">
        <v>0</v>
      </c>
      <c r="H421" s="457">
        <v>0</v>
      </c>
      <c r="I421" s="457">
        <v>0</v>
      </c>
      <c r="J421" s="457">
        <v>0</v>
      </c>
      <c r="K421" s="457">
        <v>0</v>
      </c>
      <c r="L421" s="457">
        <v>0</v>
      </c>
      <c r="M421" s="457">
        <v>0</v>
      </c>
      <c r="N421" s="457">
        <v>0</v>
      </c>
      <c r="O421" s="457">
        <v>0</v>
      </c>
      <c r="P421" s="457">
        <v>0</v>
      </c>
      <c r="Q421" s="457">
        <v>0</v>
      </c>
      <c r="R421" s="457">
        <v>0</v>
      </c>
      <c r="S421" s="457">
        <v>0</v>
      </c>
      <c r="T421" s="410" t="e">
        <v>#DIV/0!</v>
      </c>
      <c r="U421" s="285">
        <v>0</v>
      </c>
      <c r="V421" s="285">
        <v>0</v>
      </c>
      <c r="W421" s="285">
        <v>0</v>
      </c>
      <c r="X421" s="285">
        <v>0</v>
      </c>
      <c r="Y421" s="285">
        <v>0</v>
      </c>
      <c r="Z421" s="285">
        <v>0</v>
      </c>
    </row>
    <row r="422" spans="1:26" x14ac:dyDescent="0.2">
      <c r="A422" s="412" t="s">
        <v>642</v>
      </c>
      <c r="B422" s="457">
        <v>0</v>
      </c>
      <c r="C422" s="457">
        <v>0</v>
      </c>
      <c r="D422" s="457">
        <v>0</v>
      </c>
      <c r="E422" s="457">
        <v>0</v>
      </c>
      <c r="F422" s="457">
        <v>0</v>
      </c>
      <c r="G422" s="457">
        <v>0</v>
      </c>
      <c r="H422" s="457">
        <v>0</v>
      </c>
      <c r="I422" s="457">
        <v>0</v>
      </c>
      <c r="J422" s="457">
        <v>0</v>
      </c>
      <c r="K422" s="457">
        <v>0</v>
      </c>
      <c r="L422" s="457">
        <v>0</v>
      </c>
      <c r="M422" s="457">
        <v>0</v>
      </c>
      <c r="N422" s="457">
        <v>0</v>
      </c>
      <c r="O422" s="457">
        <v>0</v>
      </c>
      <c r="P422" s="457">
        <v>0</v>
      </c>
      <c r="Q422" s="457">
        <v>0</v>
      </c>
      <c r="R422" s="457">
        <v>0</v>
      </c>
      <c r="S422" s="457">
        <v>0</v>
      </c>
      <c r="T422" s="410" t="e">
        <v>#DIV/0!</v>
      </c>
      <c r="U422" s="285">
        <v>0</v>
      </c>
      <c r="V422" s="285">
        <v>0</v>
      </c>
      <c r="W422" s="285">
        <v>0</v>
      </c>
      <c r="X422" s="285">
        <v>0</v>
      </c>
      <c r="Y422" s="285">
        <v>0</v>
      </c>
      <c r="Z422" s="285">
        <v>0</v>
      </c>
    </row>
    <row r="423" spans="1:26" x14ac:dyDescent="0.2">
      <c r="A423" s="412" t="s">
        <v>643</v>
      </c>
      <c r="B423" s="457">
        <v>0</v>
      </c>
      <c r="C423" s="457">
        <v>0</v>
      </c>
      <c r="D423" s="457">
        <v>0</v>
      </c>
      <c r="E423" s="457">
        <v>0</v>
      </c>
      <c r="F423" s="457">
        <v>0</v>
      </c>
      <c r="G423" s="457">
        <v>0</v>
      </c>
      <c r="H423" s="457">
        <v>0</v>
      </c>
      <c r="I423" s="457">
        <v>0</v>
      </c>
      <c r="J423" s="457">
        <v>0</v>
      </c>
      <c r="K423" s="457">
        <v>0</v>
      </c>
      <c r="L423" s="457">
        <v>0</v>
      </c>
      <c r="M423" s="457">
        <v>0</v>
      </c>
      <c r="N423" s="457">
        <v>0</v>
      </c>
      <c r="O423" s="457">
        <v>0</v>
      </c>
      <c r="P423" s="457">
        <v>0</v>
      </c>
      <c r="Q423" s="457">
        <v>0</v>
      </c>
      <c r="R423" s="457">
        <v>0</v>
      </c>
      <c r="S423" s="457">
        <v>0</v>
      </c>
      <c r="T423" s="410" t="e">
        <v>#DIV/0!</v>
      </c>
      <c r="U423" s="285">
        <v>0</v>
      </c>
      <c r="V423" s="285">
        <v>0</v>
      </c>
      <c r="W423" s="285">
        <v>0</v>
      </c>
      <c r="X423" s="285">
        <v>0</v>
      </c>
      <c r="Y423" s="285">
        <v>0</v>
      </c>
      <c r="Z423" s="285">
        <v>0</v>
      </c>
    </row>
    <row r="424" spans="1:26" x14ac:dyDescent="0.2">
      <c r="A424" s="412" t="s">
        <v>644</v>
      </c>
      <c r="B424" s="457">
        <v>0</v>
      </c>
      <c r="C424" s="457">
        <v>0</v>
      </c>
      <c r="D424" s="457">
        <v>0</v>
      </c>
      <c r="E424" s="457">
        <v>0</v>
      </c>
      <c r="F424" s="457">
        <v>0</v>
      </c>
      <c r="G424" s="457">
        <v>0</v>
      </c>
      <c r="H424" s="457">
        <v>0</v>
      </c>
      <c r="I424" s="457">
        <v>0</v>
      </c>
      <c r="J424" s="457">
        <v>0</v>
      </c>
      <c r="K424" s="457">
        <v>0</v>
      </c>
      <c r="L424" s="457">
        <v>0</v>
      </c>
      <c r="M424" s="457">
        <v>0</v>
      </c>
      <c r="N424" s="457">
        <v>0</v>
      </c>
      <c r="O424" s="457">
        <v>0</v>
      </c>
      <c r="P424" s="457">
        <v>0</v>
      </c>
      <c r="Q424" s="457">
        <v>0</v>
      </c>
      <c r="R424" s="457">
        <v>0</v>
      </c>
      <c r="S424" s="457">
        <v>0</v>
      </c>
      <c r="T424" s="410" t="e">
        <v>#DIV/0!</v>
      </c>
      <c r="U424" s="285">
        <v>0</v>
      </c>
      <c r="V424" s="285">
        <v>0</v>
      </c>
      <c r="W424" s="285">
        <v>0</v>
      </c>
      <c r="X424" s="285">
        <v>0</v>
      </c>
      <c r="Y424" s="285">
        <v>0</v>
      </c>
      <c r="Z424" s="285">
        <v>0</v>
      </c>
    </row>
    <row r="425" spans="1:26" x14ac:dyDescent="0.2">
      <c r="A425" s="412" t="s">
        <v>645</v>
      </c>
      <c r="B425" s="457">
        <v>0</v>
      </c>
      <c r="C425" s="457">
        <v>0</v>
      </c>
      <c r="D425" s="457">
        <v>0</v>
      </c>
      <c r="E425" s="457">
        <v>0</v>
      </c>
      <c r="F425" s="457">
        <v>0</v>
      </c>
      <c r="G425" s="457">
        <v>0</v>
      </c>
      <c r="H425" s="457">
        <v>0</v>
      </c>
      <c r="I425" s="457">
        <v>0</v>
      </c>
      <c r="J425" s="457">
        <v>0</v>
      </c>
      <c r="K425" s="457">
        <v>0</v>
      </c>
      <c r="L425" s="457">
        <v>0</v>
      </c>
      <c r="M425" s="457">
        <v>0</v>
      </c>
      <c r="N425" s="457">
        <v>0</v>
      </c>
      <c r="O425" s="457">
        <v>0</v>
      </c>
      <c r="P425" s="457">
        <v>0</v>
      </c>
      <c r="Q425" s="457">
        <v>0</v>
      </c>
      <c r="R425" s="457">
        <v>0</v>
      </c>
      <c r="S425" s="457">
        <v>0</v>
      </c>
      <c r="T425" s="410" t="e">
        <v>#DIV/0!</v>
      </c>
      <c r="U425" s="285">
        <v>0</v>
      </c>
      <c r="V425" s="285">
        <v>0</v>
      </c>
      <c r="W425" s="285">
        <v>0</v>
      </c>
      <c r="X425" s="285">
        <v>0</v>
      </c>
      <c r="Y425" s="285">
        <v>0</v>
      </c>
      <c r="Z425" s="285">
        <v>0</v>
      </c>
    </row>
    <row r="426" spans="1:26" x14ac:dyDescent="0.2">
      <c r="A426" s="412" t="s">
        <v>646</v>
      </c>
      <c r="B426" s="457">
        <v>0</v>
      </c>
      <c r="C426" s="457">
        <v>0</v>
      </c>
      <c r="D426" s="457">
        <v>0</v>
      </c>
      <c r="E426" s="457">
        <v>0</v>
      </c>
      <c r="F426" s="457">
        <v>0</v>
      </c>
      <c r="G426" s="457">
        <v>0</v>
      </c>
      <c r="H426" s="457">
        <v>0</v>
      </c>
      <c r="I426" s="457">
        <v>0</v>
      </c>
      <c r="J426" s="457">
        <v>0</v>
      </c>
      <c r="K426" s="457">
        <v>0</v>
      </c>
      <c r="L426" s="457">
        <v>0</v>
      </c>
      <c r="M426" s="457">
        <v>0</v>
      </c>
      <c r="N426" s="457">
        <v>0</v>
      </c>
      <c r="O426" s="457">
        <v>0</v>
      </c>
      <c r="P426" s="457">
        <v>0</v>
      </c>
      <c r="Q426" s="457">
        <v>0</v>
      </c>
      <c r="R426" s="457">
        <v>0</v>
      </c>
      <c r="S426" s="457">
        <v>0</v>
      </c>
      <c r="T426" s="410" t="e">
        <v>#DIV/0!</v>
      </c>
      <c r="U426" s="285">
        <v>0</v>
      </c>
      <c r="V426" s="285">
        <v>0</v>
      </c>
      <c r="W426" s="285">
        <v>0</v>
      </c>
      <c r="X426" s="285">
        <v>0</v>
      </c>
      <c r="Y426" s="285">
        <v>0</v>
      </c>
      <c r="Z426" s="285">
        <v>0</v>
      </c>
    </row>
    <row r="427" spans="1:26" x14ac:dyDescent="0.2">
      <c r="A427" s="399" t="s">
        <v>647</v>
      </c>
      <c r="B427" s="474">
        <v>0</v>
      </c>
      <c r="C427" s="474">
        <v>0</v>
      </c>
      <c r="D427" s="474">
        <v>0</v>
      </c>
      <c r="E427" s="474">
        <v>0</v>
      </c>
      <c r="F427" s="474">
        <v>0</v>
      </c>
      <c r="G427" s="474">
        <v>0</v>
      </c>
      <c r="H427" s="474">
        <v>0</v>
      </c>
      <c r="I427" s="474">
        <v>0</v>
      </c>
      <c r="J427" s="474">
        <v>0</v>
      </c>
      <c r="K427" s="474">
        <v>0</v>
      </c>
      <c r="L427" s="474">
        <v>0</v>
      </c>
      <c r="M427" s="474">
        <v>0</v>
      </c>
      <c r="N427" s="474">
        <v>0</v>
      </c>
      <c r="O427" s="474">
        <v>0</v>
      </c>
      <c r="P427" s="474">
        <v>0</v>
      </c>
      <c r="Q427" s="474">
        <v>0</v>
      </c>
      <c r="R427" s="474">
        <v>0</v>
      </c>
      <c r="S427" s="474">
        <v>0</v>
      </c>
      <c r="T427" s="402" t="e">
        <v>#DIV/0!</v>
      </c>
      <c r="U427" s="401">
        <v>0</v>
      </c>
      <c r="V427" s="401">
        <v>0</v>
      </c>
      <c r="W427" s="401">
        <v>0</v>
      </c>
      <c r="X427" s="401">
        <v>0</v>
      </c>
      <c r="Y427" s="401">
        <v>0</v>
      </c>
      <c r="Z427" s="401">
        <v>0</v>
      </c>
    </row>
    <row r="428" spans="1:26" x14ac:dyDescent="0.2">
      <c r="A428" s="404" t="s">
        <v>648</v>
      </c>
      <c r="B428" s="448">
        <v>0</v>
      </c>
      <c r="C428" s="448">
        <v>0</v>
      </c>
      <c r="D428" s="448">
        <v>0</v>
      </c>
      <c r="E428" s="448">
        <v>0</v>
      </c>
      <c r="F428" s="448">
        <v>0</v>
      </c>
      <c r="G428" s="448">
        <v>0</v>
      </c>
      <c r="H428" s="448">
        <v>0</v>
      </c>
      <c r="I428" s="448">
        <v>0</v>
      </c>
      <c r="J428" s="448">
        <v>0</v>
      </c>
      <c r="K428" s="448">
        <v>0</v>
      </c>
      <c r="L428" s="448">
        <v>0</v>
      </c>
      <c r="M428" s="448">
        <v>0</v>
      </c>
      <c r="N428" s="448">
        <v>0</v>
      </c>
      <c r="O428" s="448">
        <v>0</v>
      </c>
      <c r="P428" s="448">
        <v>0</v>
      </c>
      <c r="Q428" s="448">
        <v>0</v>
      </c>
      <c r="R428" s="448">
        <v>0</v>
      </c>
      <c r="S428" s="448">
        <v>0</v>
      </c>
      <c r="T428" s="407" t="e">
        <v>#DIV/0!</v>
      </c>
      <c r="U428" s="406">
        <v>0</v>
      </c>
      <c r="V428" s="406">
        <v>0</v>
      </c>
      <c r="W428" s="406">
        <v>0</v>
      </c>
      <c r="X428" s="406">
        <v>0</v>
      </c>
      <c r="Y428" s="406">
        <v>0</v>
      </c>
      <c r="Z428" s="406">
        <v>0</v>
      </c>
    </row>
    <row r="429" spans="1:26" x14ac:dyDescent="0.2">
      <c r="A429" s="412" t="s">
        <v>649</v>
      </c>
      <c r="B429" s="457">
        <v>0</v>
      </c>
      <c r="C429" s="457">
        <v>0</v>
      </c>
      <c r="D429" s="457">
        <v>0</v>
      </c>
      <c r="E429" s="457">
        <v>0</v>
      </c>
      <c r="F429" s="457">
        <v>0</v>
      </c>
      <c r="G429" s="457">
        <v>0</v>
      </c>
      <c r="H429" s="457">
        <v>0</v>
      </c>
      <c r="I429" s="457">
        <v>0</v>
      </c>
      <c r="J429" s="457">
        <v>0</v>
      </c>
      <c r="K429" s="457">
        <v>0</v>
      </c>
      <c r="L429" s="457">
        <v>0</v>
      </c>
      <c r="M429" s="457">
        <v>0</v>
      </c>
      <c r="N429" s="457">
        <v>0</v>
      </c>
      <c r="O429" s="457">
        <v>0</v>
      </c>
      <c r="P429" s="457">
        <v>0</v>
      </c>
      <c r="Q429" s="457">
        <v>0</v>
      </c>
      <c r="R429" s="457">
        <v>0</v>
      </c>
      <c r="S429" s="457">
        <v>0</v>
      </c>
      <c r="T429" s="410" t="e">
        <v>#DIV/0!</v>
      </c>
      <c r="U429" s="285">
        <v>0</v>
      </c>
      <c r="V429" s="285">
        <v>0</v>
      </c>
      <c r="W429" s="285">
        <v>0</v>
      </c>
      <c r="X429" s="285">
        <v>0</v>
      </c>
      <c r="Y429" s="285">
        <v>0</v>
      </c>
      <c r="Z429" s="285">
        <v>0</v>
      </c>
    </row>
    <row r="430" spans="1:26" x14ac:dyDescent="0.2">
      <c r="A430" s="412" t="s">
        <v>650</v>
      </c>
      <c r="B430" s="457">
        <v>0</v>
      </c>
      <c r="C430" s="457">
        <v>0</v>
      </c>
      <c r="D430" s="457">
        <v>0</v>
      </c>
      <c r="E430" s="457">
        <v>0</v>
      </c>
      <c r="F430" s="457">
        <v>0</v>
      </c>
      <c r="G430" s="457">
        <v>0</v>
      </c>
      <c r="H430" s="457">
        <v>0</v>
      </c>
      <c r="I430" s="457">
        <v>0</v>
      </c>
      <c r="J430" s="457">
        <v>0</v>
      </c>
      <c r="K430" s="457">
        <v>0</v>
      </c>
      <c r="L430" s="457">
        <v>0</v>
      </c>
      <c r="M430" s="457">
        <v>0</v>
      </c>
      <c r="N430" s="457">
        <v>0</v>
      </c>
      <c r="O430" s="457">
        <v>0</v>
      </c>
      <c r="P430" s="457">
        <v>0</v>
      </c>
      <c r="Q430" s="457">
        <v>0</v>
      </c>
      <c r="R430" s="457">
        <v>0</v>
      </c>
      <c r="S430" s="457">
        <v>0</v>
      </c>
      <c r="T430" s="410" t="e">
        <v>#DIV/0!</v>
      </c>
      <c r="U430" s="285">
        <v>0</v>
      </c>
      <c r="V430" s="285">
        <v>0</v>
      </c>
      <c r="W430" s="285">
        <v>0</v>
      </c>
      <c r="X430" s="285">
        <v>0</v>
      </c>
      <c r="Y430" s="285">
        <v>0</v>
      </c>
      <c r="Z430" s="285">
        <v>0</v>
      </c>
    </row>
    <row r="431" spans="1:26" x14ac:dyDescent="0.2">
      <c r="A431" s="412" t="s">
        <v>651</v>
      </c>
      <c r="B431" s="457">
        <v>0</v>
      </c>
      <c r="C431" s="457">
        <v>0</v>
      </c>
      <c r="D431" s="457">
        <v>0</v>
      </c>
      <c r="E431" s="457">
        <v>0</v>
      </c>
      <c r="F431" s="457">
        <v>0</v>
      </c>
      <c r="G431" s="457">
        <v>0</v>
      </c>
      <c r="H431" s="457">
        <v>0</v>
      </c>
      <c r="I431" s="457">
        <v>0</v>
      </c>
      <c r="J431" s="457">
        <v>0</v>
      </c>
      <c r="K431" s="457">
        <v>0</v>
      </c>
      <c r="L431" s="457">
        <v>0</v>
      </c>
      <c r="M431" s="457">
        <v>0</v>
      </c>
      <c r="N431" s="457">
        <v>0</v>
      </c>
      <c r="O431" s="457">
        <v>0</v>
      </c>
      <c r="P431" s="457">
        <v>0</v>
      </c>
      <c r="Q431" s="457">
        <v>0</v>
      </c>
      <c r="R431" s="457">
        <v>0</v>
      </c>
      <c r="S431" s="457">
        <v>0</v>
      </c>
      <c r="T431" s="410" t="e">
        <v>#DIV/0!</v>
      </c>
      <c r="U431" s="285">
        <v>0</v>
      </c>
      <c r="V431" s="285">
        <v>0</v>
      </c>
      <c r="W431" s="285">
        <v>0</v>
      </c>
      <c r="X431" s="285">
        <v>0</v>
      </c>
      <c r="Y431" s="285">
        <v>0</v>
      </c>
      <c r="Z431" s="285">
        <v>0</v>
      </c>
    </row>
    <row r="432" spans="1:26" x14ac:dyDescent="0.2">
      <c r="A432" s="412" t="s">
        <v>652</v>
      </c>
      <c r="B432" s="457">
        <v>0</v>
      </c>
      <c r="C432" s="457">
        <v>0</v>
      </c>
      <c r="D432" s="457">
        <v>0</v>
      </c>
      <c r="E432" s="457">
        <v>0</v>
      </c>
      <c r="F432" s="457">
        <v>0</v>
      </c>
      <c r="G432" s="457">
        <v>0</v>
      </c>
      <c r="H432" s="457">
        <v>0</v>
      </c>
      <c r="I432" s="457">
        <v>0</v>
      </c>
      <c r="J432" s="457">
        <v>0</v>
      </c>
      <c r="K432" s="457">
        <v>0</v>
      </c>
      <c r="L432" s="457">
        <v>0</v>
      </c>
      <c r="M432" s="457">
        <v>0</v>
      </c>
      <c r="N432" s="457">
        <v>0</v>
      </c>
      <c r="O432" s="457">
        <v>0</v>
      </c>
      <c r="P432" s="457">
        <v>0</v>
      </c>
      <c r="Q432" s="457">
        <v>0</v>
      </c>
      <c r="R432" s="457">
        <v>0</v>
      </c>
      <c r="S432" s="457">
        <v>0</v>
      </c>
      <c r="T432" s="410" t="e">
        <v>#DIV/0!</v>
      </c>
      <c r="U432" s="285">
        <v>0</v>
      </c>
      <c r="V432" s="285">
        <v>0</v>
      </c>
      <c r="W432" s="285">
        <v>0</v>
      </c>
      <c r="X432" s="285">
        <v>0</v>
      </c>
      <c r="Y432" s="285">
        <v>0</v>
      </c>
      <c r="Z432" s="285">
        <v>0</v>
      </c>
    </row>
    <row r="433" spans="1:26" x14ac:dyDescent="0.2">
      <c r="A433" s="412" t="s">
        <v>653</v>
      </c>
      <c r="B433" s="457">
        <v>0</v>
      </c>
      <c r="C433" s="457">
        <v>0</v>
      </c>
      <c r="D433" s="457">
        <v>0</v>
      </c>
      <c r="E433" s="457">
        <v>0</v>
      </c>
      <c r="F433" s="457">
        <v>0</v>
      </c>
      <c r="G433" s="457">
        <v>0</v>
      </c>
      <c r="H433" s="457">
        <v>0</v>
      </c>
      <c r="I433" s="457">
        <v>0</v>
      </c>
      <c r="J433" s="457">
        <v>0</v>
      </c>
      <c r="K433" s="457">
        <v>0</v>
      </c>
      <c r="L433" s="457">
        <v>0</v>
      </c>
      <c r="M433" s="457">
        <v>0</v>
      </c>
      <c r="N433" s="457">
        <v>0</v>
      </c>
      <c r="O433" s="457">
        <v>0</v>
      </c>
      <c r="P433" s="457">
        <v>0</v>
      </c>
      <c r="Q433" s="457">
        <v>0</v>
      </c>
      <c r="R433" s="457">
        <v>0</v>
      </c>
      <c r="S433" s="457">
        <v>0</v>
      </c>
      <c r="T433" s="410" t="e">
        <v>#DIV/0!</v>
      </c>
      <c r="U433" s="285">
        <v>0</v>
      </c>
      <c r="V433" s="285">
        <v>0</v>
      </c>
      <c r="W433" s="285">
        <v>0</v>
      </c>
      <c r="X433" s="285">
        <v>0</v>
      </c>
      <c r="Y433" s="285">
        <v>0</v>
      </c>
      <c r="Z433" s="285">
        <v>0</v>
      </c>
    </row>
    <row r="434" spans="1:26" x14ac:dyDescent="0.2">
      <c r="A434" s="412" t="s">
        <v>654</v>
      </c>
      <c r="B434" s="457">
        <v>0</v>
      </c>
      <c r="C434" s="457">
        <v>0</v>
      </c>
      <c r="D434" s="457">
        <v>0</v>
      </c>
      <c r="E434" s="457">
        <v>0</v>
      </c>
      <c r="F434" s="457">
        <v>0</v>
      </c>
      <c r="G434" s="457">
        <v>0</v>
      </c>
      <c r="H434" s="457">
        <v>0</v>
      </c>
      <c r="I434" s="457">
        <v>0</v>
      </c>
      <c r="J434" s="457">
        <v>0</v>
      </c>
      <c r="K434" s="457">
        <v>0</v>
      </c>
      <c r="L434" s="457">
        <v>0</v>
      </c>
      <c r="M434" s="457">
        <v>0</v>
      </c>
      <c r="N434" s="457">
        <v>0</v>
      </c>
      <c r="O434" s="457">
        <v>0</v>
      </c>
      <c r="P434" s="457">
        <v>0</v>
      </c>
      <c r="Q434" s="457">
        <v>0</v>
      </c>
      <c r="R434" s="457">
        <v>0</v>
      </c>
      <c r="S434" s="457">
        <v>0</v>
      </c>
      <c r="T434" s="410" t="e">
        <v>#DIV/0!</v>
      </c>
      <c r="U434" s="285">
        <v>0</v>
      </c>
      <c r="V434" s="285">
        <v>0</v>
      </c>
      <c r="W434" s="285">
        <v>0</v>
      </c>
      <c r="X434" s="285">
        <v>0</v>
      </c>
      <c r="Y434" s="285">
        <v>0</v>
      </c>
      <c r="Z434" s="285">
        <v>0</v>
      </c>
    </row>
    <row r="435" spans="1:26" x14ac:dyDescent="0.2">
      <c r="A435" s="412" t="s">
        <v>655</v>
      </c>
      <c r="B435" s="457">
        <v>0</v>
      </c>
      <c r="C435" s="457">
        <v>0</v>
      </c>
      <c r="D435" s="457">
        <v>0</v>
      </c>
      <c r="E435" s="457">
        <v>0</v>
      </c>
      <c r="F435" s="457">
        <v>0</v>
      </c>
      <c r="G435" s="457">
        <v>0</v>
      </c>
      <c r="H435" s="457">
        <v>0</v>
      </c>
      <c r="I435" s="457">
        <v>0</v>
      </c>
      <c r="J435" s="457">
        <v>0</v>
      </c>
      <c r="K435" s="457">
        <v>0</v>
      </c>
      <c r="L435" s="457">
        <v>0</v>
      </c>
      <c r="M435" s="457">
        <v>0</v>
      </c>
      <c r="N435" s="457">
        <v>0</v>
      </c>
      <c r="O435" s="457">
        <v>0</v>
      </c>
      <c r="P435" s="457">
        <v>0</v>
      </c>
      <c r="Q435" s="457">
        <v>0</v>
      </c>
      <c r="R435" s="457">
        <v>0</v>
      </c>
      <c r="S435" s="457">
        <v>0</v>
      </c>
      <c r="T435" s="410" t="e">
        <v>#DIV/0!</v>
      </c>
      <c r="U435" s="285">
        <v>0</v>
      </c>
      <c r="V435" s="285">
        <v>0</v>
      </c>
      <c r="W435" s="285">
        <v>0</v>
      </c>
      <c r="X435" s="285">
        <v>0</v>
      </c>
      <c r="Y435" s="285">
        <v>0</v>
      </c>
      <c r="Z435" s="285">
        <v>0</v>
      </c>
    </row>
    <row r="436" spans="1:26" x14ac:dyDescent="0.2">
      <c r="A436" s="412" t="s">
        <v>656</v>
      </c>
      <c r="B436" s="457">
        <v>0</v>
      </c>
      <c r="C436" s="457">
        <v>0</v>
      </c>
      <c r="D436" s="457">
        <v>0</v>
      </c>
      <c r="E436" s="457">
        <v>0</v>
      </c>
      <c r="F436" s="457">
        <v>0</v>
      </c>
      <c r="G436" s="457">
        <v>0</v>
      </c>
      <c r="H436" s="457">
        <v>0</v>
      </c>
      <c r="I436" s="457">
        <v>0</v>
      </c>
      <c r="J436" s="457">
        <v>0</v>
      </c>
      <c r="K436" s="457">
        <v>0</v>
      </c>
      <c r="L436" s="457">
        <v>0</v>
      </c>
      <c r="M436" s="457">
        <v>0</v>
      </c>
      <c r="N436" s="457">
        <v>0</v>
      </c>
      <c r="O436" s="457">
        <v>0</v>
      </c>
      <c r="P436" s="457">
        <v>0</v>
      </c>
      <c r="Q436" s="457">
        <v>0</v>
      </c>
      <c r="R436" s="457">
        <v>0</v>
      </c>
      <c r="S436" s="457">
        <v>0</v>
      </c>
      <c r="T436" s="410" t="e">
        <v>#DIV/0!</v>
      </c>
      <c r="U436" s="285">
        <v>0</v>
      </c>
      <c r="V436" s="285">
        <v>0</v>
      </c>
      <c r="W436" s="285">
        <v>0</v>
      </c>
      <c r="X436" s="285">
        <v>0</v>
      </c>
      <c r="Y436" s="285">
        <v>0</v>
      </c>
      <c r="Z436" s="285">
        <v>0</v>
      </c>
    </row>
    <row r="437" spans="1:26" x14ac:dyDescent="0.2">
      <c r="A437" s="412" t="s">
        <v>657</v>
      </c>
      <c r="B437" s="457">
        <v>0</v>
      </c>
      <c r="C437" s="457">
        <v>0</v>
      </c>
      <c r="D437" s="457">
        <v>0</v>
      </c>
      <c r="E437" s="457">
        <v>0</v>
      </c>
      <c r="F437" s="457">
        <v>0</v>
      </c>
      <c r="G437" s="457">
        <v>0</v>
      </c>
      <c r="H437" s="457">
        <v>0</v>
      </c>
      <c r="I437" s="457">
        <v>0</v>
      </c>
      <c r="J437" s="457">
        <v>0</v>
      </c>
      <c r="K437" s="457">
        <v>0</v>
      </c>
      <c r="L437" s="457">
        <v>0</v>
      </c>
      <c r="M437" s="457">
        <v>0</v>
      </c>
      <c r="N437" s="457">
        <v>0</v>
      </c>
      <c r="O437" s="457">
        <v>0</v>
      </c>
      <c r="P437" s="457">
        <v>0</v>
      </c>
      <c r="Q437" s="457">
        <v>0</v>
      </c>
      <c r="R437" s="457">
        <v>0</v>
      </c>
      <c r="S437" s="457">
        <v>0</v>
      </c>
      <c r="T437" s="410" t="e">
        <v>#DIV/0!</v>
      </c>
      <c r="U437" s="285">
        <v>0</v>
      </c>
      <c r="V437" s="285">
        <v>0</v>
      </c>
      <c r="W437" s="285">
        <v>0</v>
      </c>
      <c r="X437" s="285">
        <v>0</v>
      </c>
      <c r="Y437" s="285">
        <v>0</v>
      </c>
      <c r="Z437" s="285">
        <v>0</v>
      </c>
    </row>
    <row r="438" spans="1:26" x14ac:dyDescent="0.2">
      <c r="A438" s="412" t="s">
        <v>658</v>
      </c>
      <c r="B438" s="457">
        <v>0</v>
      </c>
      <c r="C438" s="457">
        <v>0</v>
      </c>
      <c r="D438" s="457">
        <v>0</v>
      </c>
      <c r="E438" s="457">
        <v>0</v>
      </c>
      <c r="F438" s="457">
        <v>0</v>
      </c>
      <c r="G438" s="457">
        <v>0</v>
      </c>
      <c r="H438" s="457">
        <v>0</v>
      </c>
      <c r="I438" s="457">
        <v>0</v>
      </c>
      <c r="J438" s="457">
        <v>0</v>
      </c>
      <c r="K438" s="457">
        <v>0</v>
      </c>
      <c r="L438" s="457">
        <v>0</v>
      </c>
      <c r="M438" s="457">
        <v>0</v>
      </c>
      <c r="N438" s="457">
        <v>0</v>
      </c>
      <c r="O438" s="457">
        <v>0</v>
      </c>
      <c r="P438" s="457">
        <v>0</v>
      </c>
      <c r="Q438" s="457">
        <v>0</v>
      </c>
      <c r="R438" s="457">
        <v>0</v>
      </c>
      <c r="S438" s="457">
        <v>0</v>
      </c>
      <c r="T438" s="410" t="e">
        <v>#DIV/0!</v>
      </c>
      <c r="U438" s="285">
        <v>0</v>
      </c>
      <c r="V438" s="285">
        <v>0</v>
      </c>
      <c r="W438" s="285">
        <v>0</v>
      </c>
      <c r="X438" s="285">
        <v>0</v>
      </c>
      <c r="Y438" s="285">
        <v>0</v>
      </c>
      <c r="Z438" s="285">
        <v>0</v>
      </c>
    </row>
    <row r="439" spans="1:26" x14ac:dyDescent="0.2">
      <c r="A439" s="412" t="s">
        <v>659</v>
      </c>
      <c r="B439" s="457">
        <v>0</v>
      </c>
      <c r="C439" s="457">
        <v>0</v>
      </c>
      <c r="D439" s="457">
        <v>0</v>
      </c>
      <c r="E439" s="457">
        <v>0</v>
      </c>
      <c r="F439" s="457">
        <v>0</v>
      </c>
      <c r="G439" s="457">
        <v>0</v>
      </c>
      <c r="H439" s="457">
        <v>0</v>
      </c>
      <c r="I439" s="457">
        <v>0</v>
      </c>
      <c r="J439" s="457">
        <v>0</v>
      </c>
      <c r="K439" s="457">
        <v>0</v>
      </c>
      <c r="L439" s="457">
        <v>0</v>
      </c>
      <c r="M439" s="457">
        <v>0</v>
      </c>
      <c r="N439" s="457">
        <v>0</v>
      </c>
      <c r="O439" s="457">
        <v>0</v>
      </c>
      <c r="P439" s="457">
        <v>0</v>
      </c>
      <c r="Q439" s="457">
        <v>0</v>
      </c>
      <c r="R439" s="457">
        <v>0</v>
      </c>
      <c r="S439" s="457">
        <v>0</v>
      </c>
      <c r="T439" s="410" t="e">
        <v>#DIV/0!</v>
      </c>
      <c r="U439" s="285">
        <v>0</v>
      </c>
      <c r="V439" s="285">
        <v>0</v>
      </c>
      <c r="W439" s="285">
        <v>0</v>
      </c>
      <c r="X439" s="285">
        <v>0</v>
      </c>
      <c r="Y439" s="285">
        <v>0</v>
      </c>
      <c r="Z439" s="285">
        <v>0</v>
      </c>
    </row>
    <row r="440" spans="1:26" x14ac:dyDescent="0.2">
      <c r="A440" s="412" t="s">
        <v>660</v>
      </c>
      <c r="B440" s="457">
        <v>0</v>
      </c>
      <c r="C440" s="457">
        <v>0</v>
      </c>
      <c r="D440" s="457">
        <v>0</v>
      </c>
      <c r="E440" s="457">
        <v>0</v>
      </c>
      <c r="F440" s="457">
        <v>0</v>
      </c>
      <c r="G440" s="457">
        <v>0</v>
      </c>
      <c r="H440" s="457">
        <v>0</v>
      </c>
      <c r="I440" s="457">
        <v>0</v>
      </c>
      <c r="J440" s="457">
        <v>0</v>
      </c>
      <c r="K440" s="457">
        <v>0</v>
      </c>
      <c r="L440" s="457">
        <v>0</v>
      </c>
      <c r="M440" s="457">
        <v>0</v>
      </c>
      <c r="N440" s="457">
        <v>0</v>
      </c>
      <c r="O440" s="457">
        <v>0</v>
      </c>
      <c r="P440" s="457">
        <v>0</v>
      </c>
      <c r="Q440" s="457">
        <v>0</v>
      </c>
      <c r="R440" s="457">
        <v>0</v>
      </c>
      <c r="S440" s="457">
        <v>0</v>
      </c>
      <c r="T440" s="410" t="e">
        <v>#DIV/0!</v>
      </c>
      <c r="U440" s="285">
        <v>0</v>
      </c>
      <c r="V440" s="285">
        <v>0</v>
      </c>
      <c r="W440" s="285">
        <v>0</v>
      </c>
      <c r="X440" s="285">
        <v>0</v>
      </c>
      <c r="Y440" s="285">
        <v>0</v>
      </c>
      <c r="Z440" s="285">
        <v>0</v>
      </c>
    </row>
    <row r="441" spans="1:26" x14ac:dyDescent="0.2">
      <c r="A441" s="412" t="s">
        <v>661</v>
      </c>
      <c r="B441" s="457">
        <v>0</v>
      </c>
      <c r="C441" s="457">
        <v>0</v>
      </c>
      <c r="D441" s="457">
        <v>0</v>
      </c>
      <c r="E441" s="457">
        <v>0</v>
      </c>
      <c r="F441" s="457">
        <v>0</v>
      </c>
      <c r="G441" s="457">
        <v>0</v>
      </c>
      <c r="H441" s="457">
        <v>0</v>
      </c>
      <c r="I441" s="457">
        <v>0</v>
      </c>
      <c r="J441" s="457">
        <v>0</v>
      </c>
      <c r="K441" s="457">
        <v>0</v>
      </c>
      <c r="L441" s="457">
        <v>0</v>
      </c>
      <c r="M441" s="457">
        <v>0</v>
      </c>
      <c r="N441" s="457">
        <v>0</v>
      </c>
      <c r="O441" s="457">
        <v>0</v>
      </c>
      <c r="P441" s="457">
        <v>0</v>
      </c>
      <c r="Q441" s="457">
        <v>0</v>
      </c>
      <c r="R441" s="457">
        <v>0</v>
      </c>
      <c r="S441" s="457">
        <v>0</v>
      </c>
      <c r="T441" s="410" t="e">
        <v>#DIV/0!</v>
      </c>
      <c r="U441" s="285">
        <v>0</v>
      </c>
      <c r="V441" s="285">
        <v>0</v>
      </c>
      <c r="W441" s="285">
        <v>0</v>
      </c>
      <c r="X441" s="285">
        <v>0</v>
      </c>
      <c r="Y441" s="285">
        <v>0</v>
      </c>
      <c r="Z441" s="285">
        <v>0</v>
      </c>
    </row>
    <row r="442" spans="1:26" x14ac:dyDescent="0.2">
      <c r="A442" s="412" t="s">
        <v>662</v>
      </c>
      <c r="B442" s="457">
        <v>0</v>
      </c>
      <c r="C442" s="457">
        <v>0</v>
      </c>
      <c r="D442" s="457">
        <v>0</v>
      </c>
      <c r="E442" s="457">
        <v>0</v>
      </c>
      <c r="F442" s="457">
        <v>0</v>
      </c>
      <c r="G442" s="457">
        <v>0</v>
      </c>
      <c r="H442" s="457">
        <v>0</v>
      </c>
      <c r="I442" s="457">
        <v>0</v>
      </c>
      <c r="J442" s="457">
        <v>0</v>
      </c>
      <c r="K442" s="457">
        <v>0</v>
      </c>
      <c r="L442" s="457">
        <v>0</v>
      </c>
      <c r="M442" s="457">
        <v>0</v>
      </c>
      <c r="N442" s="457">
        <v>0</v>
      </c>
      <c r="O442" s="457">
        <v>0</v>
      </c>
      <c r="P442" s="457">
        <v>0</v>
      </c>
      <c r="Q442" s="457">
        <v>0</v>
      </c>
      <c r="R442" s="457">
        <v>0</v>
      </c>
      <c r="S442" s="457">
        <v>0</v>
      </c>
      <c r="T442" s="410" t="e">
        <v>#DIV/0!</v>
      </c>
      <c r="U442" s="285">
        <v>0</v>
      </c>
      <c r="V442" s="285">
        <v>0</v>
      </c>
      <c r="W442" s="285">
        <v>0</v>
      </c>
      <c r="X442" s="285">
        <v>0</v>
      </c>
      <c r="Y442" s="285">
        <v>0</v>
      </c>
      <c r="Z442" s="285">
        <v>0</v>
      </c>
    </row>
    <row r="443" spans="1:26" x14ac:dyDescent="0.2">
      <c r="A443" s="404" t="s">
        <v>663</v>
      </c>
      <c r="B443" s="247">
        <v>0</v>
      </c>
      <c r="C443" s="247">
        <v>0</v>
      </c>
      <c r="D443" s="247">
        <v>0</v>
      </c>
      <c r="E443" s="247">
        <v>0</v>
      </c>
      <c r="F443" s="247">
        <v>0</v>
      </c>
      <c r="G443" s="247">
        <v>0</v>
      </c>
      <c r="H443" s="247">
        <v>0</v>
      </c>
      <c r="I443" s="247">
        <v>0</v>
      </c>
      <c r="J443" s="247">
        <v>0</v>
      </c>
      <c r="K443" s="247">
        <v>0</v>
      </c>
      <c r="L443" s="247">
        <v>0</v>
      </c>
      <c r="M443" s="247">
        <v>0</v>
      </c>
      <c r="N443" s="247">
        <v>0</v>
      </c>
      <c r="O443" s="247">
        <v>0</v>
      </c>
      <c r="P443" s="247">
        <v>0</v>
      </c>
      <c r="Q443" s="247">
        <v>0</v>
      </c>
      <c r="R443" s="247">
        <v>0</v>
      </c>
      <c r="S443" s="247">
        <v>0</v>
      </c>
      <c r="T443" s="407" t="e">
        <v>#DIV/0!</v>
      </c>
      <c r="U443" s="406">
        <v>0</v>
      </c>
      <c r="V443" s="406">
        <v>0</v>
      </c>
      <c r="W443" s="406">
        <v>0</v>
      </c>
      <c r="X443" s="406">
        <v>0</v>
      </c>
      <c r="Y443" s="406">
        <v>0</v>
      </c>
      <c r="Z443" s="406">
        <v>0</v>
      </c>
    </row>
    <row r="444" spans="1:26" x14ac:dyDescent="0.2">
      <c r="A444" s="399" t="s">
        <v>664</v>
      </c>
      <c r="B444" s="474">
        <v>0</v>
      </c>
      <c r="C444" s="474">
        <v>0</v>
      </c>
      <c r="D444" s="474">
        <v>0</v>
      </c>
      <c r="E444" s="474">
        <v>0</v>
      </c>
      <c r="F444" s="474">
        <v>0</v>
      </c>
      <c r="G444" s="474">
        <v>0</v>
      </c>
      <c r="H444" s="474">
        <v>0</v>
      </c>
      <c r="I444" s="474">
        <v>0</v>
      </c>
      <c r="J444" s="474">
        <v>0</v>
      </c>
      <c r="K444" s="474">
        <v>0</v>
      </c>
      <c r="L444" s="474">
        <v>0</v>
      </c>
      <c r="M444" s="474">
        <v>0</v>
      </c>
      <c r="N444" s="474">
        <v>0</v>
      </c>
      <c r="O444" s="474">
        <v>0</v>
      </c>
      <c r="P444" s="474">
        <v>0</v>
      </c>
      <c r="Q444" s="474">
        <v>0</v>
      </c>
      <c r="R444" s="474">
        <v>0</v>
      </c>
      <c r="S444" s="474">
        <v>0</v>
      </c>
      <c r="T444" s="402" t="e">
        <v>#DIV/0!</v>
      </c>
      <c r="U444" s="401">
        <v>0</v>
      </c>
      <c r="V444" s="401">
        <v>0</v>
      </c>
      <c r="W444" s="401">
        <v>0</v>
      </c>
      <c r="X444" s="401">
        <v>0</v>
      </c>
      <c r="Y444" s="401">
        <v>0</v>
      </c>
      <c r="Z444" s="401">
        <v>0</v>
      </c>
    </row>
    <row r="445" spans="1:26" x14ac:dyDescent="0.2">
      <c r="A445" s="404" t="s">
        <v>665</v>
      </c>
      <c r="B445" s="448">
        <v>0</v>
      </c>
      <c r="C445" s="448">
        <v>0</v>
      </c>
      <c r="D445" s="448">
        <v>0</v>
      </c>
      <c r="E445" s="448">
        <v>0</v>
      </c>
      <c r="F445" s="448">
        <v>0</v>
      </c>
      <c r="G445" s="448">
        <v>0</v>
      </c>
      <c r="H445" s="448">
        <v>0</v>
      </c>
      <c r="I445" s="448">
        <v>0</v>
      </c>
      <c r="J445" s="448">
        <v>0</v>
      </c>
      <c r="K445" s="448">
        <v>0</v>
      </c>
      <c r="L445" s="448">
        <v>0</v>
      </c>
      <c r="M445" s="448">
        <v>0</v>
      </c>
      <c r="N445" s="448">
        <v>0</v>
      </c>
      <c r="O445" s="448">
        <v>0</v>
      </c>
      <c r="P445" s="448">
        <v>0</v>
      </c>
      <c r="Q445" s="448">
        <v>0</v>
      </c>
      <c r="R445" s="448">
        <v>0</v>
      </c>
      <c r="S445" s="448">
        <v>0</v>
      </c>
      <c r="T445" s="407" t="e">
        <v>#DIV/0!</v>
      </c>
      <c r="U445" s="406">
        <v>0</v>
      </c>
      <c r="V445" s="406">
        <v>0</v>
      </c>
      <c r="W445" s="406">
        <v>0</v>
      </c>
      <c r="X445" s="406">
        <v>0</v>
      </c>
      <c r="Y445" s="406">
        <v>0</v>
      </c>
      <c r="Z445" s="406">
        <v>0</v>
      </c>
    </row>
    <row r="446" spans="1:26" x14ac:dyDescent="0.2">
      <c r="A446" s="412" t="s">
        <v>666</v>
      </c>
      <c r="B446" s="457">
        <v>0</v>
      </c>
      <c r="C446" s="457">
        <v>0</v>
      </c>
      <c r="D446" s="457">
        <v>0</v>
      </c>
      <c r="E446" s="457">
        <v>0</v>
      </c>
      <c r="F446" s="457">
        <v>0</v>
      </c>
      <c r="G446" s="457">
        <v>0</v>
      </c>
      <c r="H446" s="457">
        <v>0</v>
      </c>
      <c r="I446" s="457">
        <v>0</v>
      </c>
      <c r="J446" s="457">
        <v>0</v>
      </c>
      <c r="K446" s="457">
        <v>0</v>
      </c>
      <c r="L446" s="457">
        <v>0</v>
      </c>
      <c r="M446" s="457">
        <v>0</v>
      </c>
      <c r="N446" s="457">
        <v>0</v>
      </c>
      <c r="O446" s="457">
        <v>0</v>
      </c>
      <c r="P446" s="457">
        <v>0</v>
      </c>
      <c r="Q446" s="457">
        <v>0</v>
      </c>
      <c r="R446" s="457">
        <v>0</v>
      </c>
      <c r="S446" s="457">
        <v>0</v>
      </c>
      <c r="T446" s="410" t="e">
        <v>#DIV/0!</v>
      </c>
      <c r="U446" s="285">
        <v>0</v>
      </c>
      <c r="V446" s="285">
        <v>0</v>
      </c>
      <c r="W446" s="285">
        <v>0</v>
      </c>
      <c r="X446" s="285">
        <v>0</v>
      </c>
      <c r="Y446" s="285">
        <v>0</v>
      </c>
      <c r="Z446" s="285">
        <v>0</v>
      </c>
    </row>
    <row r="447" spans="1:26" x14ac:dyDescent="0.2">
      <c r="A447" s="412" t="s">
        <v>667</v>
      </c>
      <c r="B447" s="457">
        <v>0</v>
      </c>
      <c r="C447" s="457">
        <v>0</v>
      </c>
      <c r="D447" s="457">
        <v>0</v>
      </c>
      <c r="E447" s="457">
        <v>0</v>
      </c>
      <c r="F447" s="457">
        <v>0</v>
      </c>
      <c r="G447" s="457">
        <v>0</v>
      </c>
      <c r="H447" s="457">
        <v>0</v>
      </c>
      <c r="I447" s="457">
        <v>0</v>
      </c>
      <c r="J447" s="457">
        <v>0</v>
      </c>
      <c r="K447" s="457">
        <v>0</v>
      </c>
      <c r="L447" s="457">
        <v>0</v>
      </c>
      <c r="M447" s="457">
        <v>0</v>
      </c>
      <c r="N447" s="457">
        <v>0</v>
      </c>
      <c r="O447" s="457">
        <v>0</v>
      </c>
      <c r="P447" s="457">
        <v>0</v>
      </c>
      <c r="Q447" s="457">
        <v>0</v>
      </c>
      <c r="R447" s="457">
        <v>0</v>
      </c>
      <c r="S447" s="457">
        <v>0</v>
      </c>
      <c r="T447" s="410" t="e">
        <v>#DIV/0!</v>
      </c>
      <c r="U447" s="285">
        <v>0</v>
      </c>
      <c r="V447" s="285">
        <v>0</v>
      </c>
      <c r="W447" s="285">
        <v>0</v>
      </c>
      <c r="X447" s="285">
        <v>0</v>
      </c>
      <c r="Y447" s="285">
        <v>0</v>
      </c>
      <c r="Z447" s="285">
        <v>0</v>
      </c>
    </row>
    <row r="448" spans="1:26" x14ac:dyDescent="0.2">
      <c r="A448" s="412" t="s">
        <v>668</v>
      </c>
      <c r="B448" s="457">
        <v>0</v>
      </c>
      <c r="C448" s="457">
        <v>0</v>
      </c>
      <c r="D448" s="457">
        <v>0</v>
      </c>
      <c r="E448" s="457">
        <v>0</v>
      </c>
      <c r="F448" s="457">
        <v>0</v>
      </c>
      <c r="G448" s="457">
        <v>0</v>
      </c>
      <c r="H448" s="457">
        <v>0</v>
      </c>
      <c r="I448" s="457">
        <v>0</v>
      </c>
      <c r="J448" s="457">
        <v>0</v>
      </c>
      <c r="K448" s="457">
        <v>0</v>
      </c>
      <c r="L448" s="457">
        <v>0</v>
      </c>
      <c r="M448" s="457">
        <v>0</v>
      </c>
      <c r="N448" s="457">
        <v>0</v>
      </c>
      <c r="O448" s="457">
        <v>0</v>
      </c>
      <c r="P448" s="457">
        <v>0</v>
      </c>
      <c r="Q448" s="457">
        <v>0</v>
      </c>
      <c r="R448" s="457">
        <v>0</v>
      </c>
      <c r="S448" s="457">
        <v>0</v>
      </c>
      <c r="T448" s="410" t="e">
        <v>#DIV/0!</v>
      </c>
      <c r="U448" s="285">
        <v>0</v>
      </c>
      <c r="V448" s="285">
        <v>0</v>
      </c>
      <c r="W448" s="285">
        <v>0</v>
      </c>
      <c r="X448" s="285">
        <v>0</v>
      </c>
      <c r="Y448" s="285">
        <v>0</v>
      </c>
      <c r="Z448" s="285">
        <v>0</v>
      </c>
    </row>
    <row r="449" spans="1:26" x14ac:dyDescent="0.2">
      <c r="A449" s="412" t="s">
        <v>669</v>
      </c>
      <c r="B449" s="457">
        <v>0</v>
      </c>
      <c r="C449" s="457">
        <v>0</v>
      </c>
      <c r="D449" s="457">
        <v>0</v>
      </c>
      <c r="E449" s="457">
        <v>0</v>
      </c>
      <c r="F449" s="457">
        <v>0</v>
      </c>
      <c r="G449" s="457">
        <v>0</v>
      </c>
      <c r="H449" s="457">
        <v>0</v>
      </c>
      <c r="I449" s="457">
        <v>0</v>
      </c>
      <c r="J449" s="457">
        <v>0</v>
      </c>
      <c r="K449" s="457">
        <v>0</v>
      </c>
      <c r="L449" s="457">
        <v>0</v>
      </c>
      <c r="M449" s="457">
        <v>0</v>
      </c>
      <c r="N449" s="457">
        <v>0</v>
      </c>
      <c r="O449" s="457">
        <v>0</v>
      </c>
      <c r="P449" s="457">
        <v>0</v>
      </c>
      <c r="Q449" s="457">
        <v>0</v>
      </c>
      <c r="R449" s="457">
        <v>0</v>
      </c>
      <c r="S449" s="457">
        <v>0</v>
      </c>
      <c r="T449" s="410" t="e">
        <v>#DIV/0!</v>
      </c>
      <c r="U449" s="285">
        <v>0</v>
      </c>
      <c r="V449" s="285">
        <v>0</v>
      </c>
      <c r="W449" s="285">
        <v>0</v>
      </c>
      <c r="X449" s="285">
        <v>0</v>
      </c>
      <c r="Y449" s="285">
        <v>0</v>
      </c>
      <c r="Z449" s="285">
        <v>0</v>
      </c>
    </row>
    <row r="450" spans="1:26" x14ac:dyDescent="0.2">
      <c r="A450" s="412" t="s">
        <v>670</v>
      </c>
      <c r="B450" s="457">
        <v>0</v>
      </c>
      <c r="C450" s="457">
        <v>0</v>
      </c>
      <c r="D450" s="457">
        <v>0</v>
      </c>
      <c r="E450" s="457">
        <v>0</v>
      </c>
      <c r="F450" s="457">
        <v>0</v>
      </c>
      <c r="G450" s="457">
        <v>0</v>
      </c>
      <c r="H450" s="457">
        <v>0</v>
      </c>
      <c r="I450" s="457">
        <v>0</v>
      </c>
      <c r="J450" s="457">
        <v>0</v>
      </c>
      <c r="K450" s="457">
        <v>0</v>
      </c>
      <c r="L450" s="457">
        <v>0</v>
      </c>
      <c r="M450" s="457">
        <v>0</v>
      </c>
      <c r="N450" s="457">
        <v>0</v>
      </c>
      <c r="O450" s="457">
        <v>0</v>
      </c>
      <c r="P450" s="457">
        <v>0</v>
      </c>
      <c r="Q450" s="457">
        <v>0</v>
      </c>
      <c r="R450" s="457">
        <v>0</v>
      </c>
      <c r="S450" s="457">
        <v>0</v>
      </c>
      <c r="T450" s="410" t="e">
        <v>#DIV/0!</v>
      </c>
      <c r="U450" s="285">
        <v>0</v>
      </c>
      <c r="V450" s="285">
        <v>0</v>
      </c>
      <c r="W450" s="285">
        <v>0</v>
      </c>
      <c r="X450" s="285">
        <v>0</v>
      </c>
      <c r="Y450" s="285">
        <v>0</v>
      </c>
      <c r="Z450" s="285">
        <v>0</v>
      </c>
    </row>
    <row r="451" spans="1:26" x14ac:dyDescent="0.2">
      <c r="A451" s="412" t="s">
        <v>671</v>
      </c>
      <c r="B451" s="457">
        <v>0</v>
      </c>
      <c r="C451" s="457">
        <v>0</v>
      </c>
      <c r="D451" s="457">
        <v>0</v>
      </c>
      <c r="E451" s="457">
        <v>0</v>
      </c>
      <c r="F451" s="457">
        <v>0</v>
      </c>
      <c r="G451" s="457">
        <v>0</v>
      </c>
      <c r="H451" s="457">
        <v>0</v>
      </c>
      <c r="I451" s="457">
        <v>0</v>
      </c>
      <c r="J451" s="457">
        <v>0</v>
      </c>
      <c r="K451" s="457">
        <v>0</v>
      </c>
      <c r="L451" s="457">
        <v>0</v>
      </c>
      <c r="M451" s="457">
        <v>0</v>
      </c>
      <c r="N451" s="457">
        <v>0</v>
      </c>
      <c r="O451" s="457">
        <v>0</v>
      </c>
      <c r="P451" s="457">
        <v>0</v>
      </c>
      <c r="Q451" s="457">
        <v>0</v>
      </c>
      <c r="R451" s="457">
        <v>0</v>
      </c>
      <c r="S451" s="457">
        <v>0</v>
      </c>
      <c r="T451" s="410" t="e">
        <v>#DIV/0!</v>
      </c>
      <c r="U451" s="285">
        <v>0</v>
      </c>
      <c r="V451" s="285">
        <v>0</v>
      </c>
      <c r="W451" s="285">
        <v>0</v>
      </c>
      <c r="X451" s="285">
        <v>0</v>
      </c>
      <c r="Y451" s="285">
        <v>0</v>
      </c>
      <c r="Z451" s="285">
        <v>0</v>
      </c>
    </row>
    <row r="452" spans="1:26" x14ac:dyDescent="0.2">
      <c r="A452" s="412" t="s">
        <v>672</v>
      </c>
      <c r="B452" s="457">
        <v>0</v>
      </c>
      <c r="C452" s="457">
        <v>0</v>
      </c>
      <c r="D452" s="457">
        <v>0</v>
      </c>
      <c r="E452" s="457">
        <v>0</v>
      </c>
      <c r="F452" s="457">
        <v>0</v>
      </c>
      <c r="G452" s="457">
        <v>0</v>
      </c>
      <c r="H452" s="457">
        <v>0</v>
      </c>
      <c r="I452" s="457">
        <v>0</v>
      </c>
      <c r="J452" s="457">
        <v>0</v>
      </c>
      <c r="K452" s="457">
        <v>0</v>
      </c>
      <c r="L452" s="457">
        <v>0</v>
      </c>
      <c r="M452" s="457">
        <v>0</v>
      </c>
      <c r="N452" s="457">
        <v>0</v>
      </c>
      <c r="O452" s="457">
        <v>0</v>
      </c>
      <c r="P452" s="457">
        <v>0</v>
      </c>
      <c r="Q452" s="457">
        <v>0</v>
      </c>
      <c r="R452" s="457">
        <v>0</v>
      </c>
      <c r="S452" s="457">
        <v>0</v>
      </c>
      <c r="T452" s="410" t="e">
        <v>#DIV/0!</v>
      </c>
      <c r="U452" s="285">
        <v>0</v>
      </c>
      <c r="V452" s="285">
        <v>0</v>
      </c>
      <c r="W452" s="285">
        <v>0</v>
      </c>
      <c r="X452" s="285">
        <v>0</v>
      </c>
      <c r="Y452" s="285">
        <v>0</v>
      </c>
      <c r="Z452" s="285">
        <v>0</v>
      </c>
    </row>
    <row r="453" spans="1:26" x14ac:dyDescent="0.2">
      <c r="A453" s="412" t="s">
        <v>673</v>
      </c>
      <c r="B453" s="457">
        <v>0</v>
      </c>
      <c r="C453" s="457">
        <v>0</v>
      </c>
      <c r="D453" s="457">
        <v>0</v>
      </c>
      <c r="E453" s="457">
        <v>0</v>
      </c>
      <c r="F453" s="457">
        <v>0</v>
      </c>
      <c r="G453" s="457">
        <v>0</v>
      </c>
      <c r="H453" s="457">
        <v>0</v>
      </c>
      <c r="I453" s="457">
        <v>0</v>
      </c>
      <c r="J453" s="457">
        <v>0</v>
      </c>
      <c r="K453" s="457">
        <v>0</v>
      </c>
      <c r="L453" s="457">
        <v>0</v>
      </c>
      <c r="M453" s="457">
        <v>0</v>
      </c>
      <c r="N453" s="457">
        <v>0</v>
      </c>
      <c r="O453" s="457">
        <v>0</v>
      </c>
      <c r="P453" s="457">
        <v>0</v>
      </c>
      <c r="Q453" s="457">
        <v>0</v>
      </c>
      <c r="R453" s="457">
        <v>0</v>
      </c>
      <c r="S453" s="457">
        <v>0</v>
      </c>
      <c r="T453" s="410" t="e">
        <v>#DIV/0!</v>
      </c>
      <c r="U453" s="285">
        <v>0</v>
      </c>
      <c r="V453" s="285">
        <v>0</v>
      </c>
      <c r="W453" s="285">
        <v>0</v>
      </c>
      <c r="X453" s="285">
        <v>0</v>
      </c>
      <c r="Y453" s="285">
        <v>0</v>
      </c>
      <c r="Z453" s="285">
        <v>0</v>
      </c>
    </row>
    <row r="454" spans="1:26" x14ac:dyDescent="0.2">
      <c r="A454" s="412" t="s">
        <v>674</v>
      </c>
      <c r="B454" s="457">
        <v>0</v>
      </c>
      <c r="C454" s="457">
        <v>0</v>
      </c>
      <c r="D454" s="457">
        <v>0</v>
      </c>
      <c r="E454" s="457">
        <v>0</v>
      </c>
      <c r="F454" s="457">
        <v>0</v>
      </c>
      <c r="G454" s="457">
        <v>0</v>
      </c>
      <c r="H454" s="457">
        <v>0</v>
      </c>
      <c r="I454" s="457">
        <v>0</v>
      </c>
      <c r="J454" s="457">
        <v>0</v>
      </c>
      <c r="K454" s="457">
        <v>0</v>
      </c>
      <c r="L454" s="457">
        <v>0</v>
      </c>
      <c r="M454" s="457">
        <v>0</v>
      </c>
      <c r="N454" s="457">
        <v>0</v>
      </c>
      <c r="O454" s="457">
        <v>0</v>
      </c>
      <c r="P454" s="457">
        <v>0</v>
      </c>
      <c r="Q454" s="457">
        <v>0</v>
      </c>
      <c r="R454" s="457">
        <v>0</v>
      </c>
      <c r="S454" s="457">
        <v>0</v>
      </c>
      <c r="T454" s="410" t="e">
        <v>#DIV/0!</v>
      </c>
      <c r="U454" s="285">
        <v>0</v>
      </c>
      <c r="V454" s="285">
        <v>0</v>
      </c>
      <c r="W454" s="285">
        <v>0</v>
      </c>
      <c r="X454" s="285">
        <v>0</v>
      </c>
      <c r="Y454" s="285">
        <v>0</v>
      </c>
      <c r="Z454" s="285">
        <v>0</v>
      </c>
    </row>
    <row r="455" spans="1:26" x14ac:dyDescent="0.2">
      <c r="A455" s="412" t="s">
        <v>675</v>
      </c>
      <c r="B455" s="457">
        <v>0</v>
      </c>
      <c r="C455" s="457">
        <v>0</v>
      </c>
      <c r="D455" s="457">
        <v>0</v>
      </c>
      <c r="E455" s="457">
        <v>0</v>
      </c>
      <c r="F455" s="457">
        <v>0</v>
      </c>
      <c r="G455" s="457">
        <v>0</v>
      </c>
      <c r="H455" s="457">
        <v>0</v>
      </c>
      <c r="I455" s="457">
        <v>0</v>
      </c>
      <c r="J455" s="457">
        <v>0</v>
      </c>
      <c r="K455" s="457">
        <v>0</v>
      </c>
      <c r="L455" s="457">
        <v>0</v>
      </c>
      <c r="M455" s="457">
        <v>0</v>
      </c>
      <c r="N455" s="457">
        <v>0</v>
      </c>
      <c r="O455" s="457">
        <v>0</v>
      </c>
      <c r="P455" s="457">
        <v>0</v>
      </c>
      <c r="Q455" s="457">
        <v>0</v>
      </c>
      <c r="R455" s="457">
        <v>0</v>
      </c>
      <c r="S455" s="457">
        <v>0</v>
      </c>
      <c r="T455" s="410" t="e">
        <v>#DIV/0!</v>
      </c>
      <c r="U455" s="285">
        <v>0</v>
      </c>
      <c r="V455" s="285">
        <v>0</v>
      </c>
      <c r="W455" s="285">
        <v>0</v>
      </c>
      <c r="X455" s="285">
        <v>0</v>
      </c>
      <c r="Y455" s="285">
        <v>0</v>
      </c>
      <c r="Z455" s="285">
        <v>0</v>
      </c>
    </row>
    <row r="456" spans="1:26" x14ac:dyDescent="0.2">
      <c r="A456" s="412" t="s">
        <v>676</v>
      </c>
      <c r="B456" s="457">
        <v>0</v>
      </c>
      <c r="C456" s="457">
        <v>0</v>
      </c>
      <c r="D456" s="457">
        <v>0</v>
      </c>
      <c r="E456" s="457">
        <v>0</v>
      </c>
      <c r="F456" s="457">
        <v>0</v>
      </c>
      <c r="G456" s="457">
        <v>0</v>
      </c>
      <c r="H456" s="457">
        <v>0</v>
      </c>
      <c r="I456" s="457">
        <v>0</v>
      </c>
      <c r="J456" s="457">
        <v>0</v>
      </c>
      <c r="K456" s="457">
        <v>0</v>
      </c>
      <c r="L456" s="457">
        <v>0</v>
      </c>
      <c r="M456" s="457">
        <v>0</v>
      </c>
      <c r="N456" s="457">
        <v>0</v>
      </c>
      <c r="O456" s="457">
        <v>0</v>
      </c>
      <c r="P456" s="457">
        <v>0</v>
      </c>
      <c r="Q456" s="457">
        <v>0</v>
      </c>
      <c r="R456" s="457">
        <v>0</v>
      </c>
      <c r="S456" s="457">
        <v>0</v>
      </c>
      <c r="T456" s="410" t="e">
        <v>#DIV/0!</v>
      </c>
      <c r="U456" s="285">
        <v>0</v>
      </c>
      <c r="V456" s="285">
        <v>0</v>
      </c>
      <c r="W456" s="285">
        <v>0</v>
      </c>
      <c r="X456" s="285">
        <v>0</v>
      </c>
      <c r="Y456" s="285">
        <v>0</v>
      </c>
      <c r="Z456" s="285">
        <v>0</v>
      </c>
    </row>
    <row r="457" spans="1:26" x14ac:dyDescent="0.2">
      <c r="A457" s="412" t="s">
        <v>677</v>
      </c>
      <c r="B457" s="457">
        <v>0</v>
      </c>
      <c r="C457" s="457">
        <v>0</v>
      </c>
      <c r="D457" s="457">
        <v>0</v>
      </c>
      <c r="E457" s="457">
        <v>0</v>
      </c>
      <c r="F457" s="457">
        <v>0</v>
      </c>
      <c r="G457" s="457">
        <v>0</v>
      </c>
      <c r="H457" s="457">
        <v>0</v>
      </c>
      <c r="I457" s="457">
        <v>0</v>
      </c>
      <c r="J457" s="457">
        <v>0</v>
      </c>
      <c r="K457" s="457">
        <v>0</v>
      </c>
      <c r="L457" s="457">
        <v>0</v>
      </c>
      <c r="M457" s="457">
        <v>0</v>
      </c>
      <c r="N457" s="457">
        <v>0</v>
      </c>
      <c r="O457" s="457">
        <v>0</v>
      </c>
      <c r="P457" s="457">
        <v>0</v>
      </c>
      <c r="Q457" s="457">
        <v>0</v>
      </c>
      <c r="R457" s="457">
        <v>0</v>
      </c>
      <c r="S457" s="457">
        <v>0</v>
      </c>
      <c r="T457" s="410" t="e">
        <v>#DIV/0!</v>
      </c>
      <c r="U457" s="285">
        <v>0</v>
      </c>
      <c r="V457" s="285">
        <v>0</v>
      </c>
      <c r="W457" s="285">
        <v>0</v>
      </c>
      <c r="X457" s="285">
        <v>0</v>
      </c>
      <c r="Y457" s="285">
        <v>0</v>
      </c>
      <c r="Z457" s="285">
        <v>0</v>
      </c>
    </row>
    <row r="458" spans="1:26" x14ac:dyDescent="0.2">
      <c r="A458" s="412" t="s">
        <v>678</v>
      </c>
      <c r="B458" s="457">
        <v>0</v>
      </c>
      <c r="C458" s="457">
        <v>0</v>
      </c>
      <c r="D458" s="457">
        <v>0</v>
      </c>
      <c r="E458" s="457">
        <v>0</v>
      </c>
      <c r="F458" s="457">
        <v>0</v>
      </c>
      <c r="G458" s="457">
        <v>0</v>
      </c>
      <c r="H458" s="457">
        <v>0</v>
      </c>
      <c r="I458" s="457">
        <v>0</v>
      </c>
      <c r="J458" s="457">
        <v>0</v>
      </c>
      <c r="K458" s="457">
        <v>0</v>
      </c>
      <c r="L458" s="457">
        <v>0</v>
      </c>
      <c r="M458" s="457">
        <v>0</v>
      </c>
      <c r="N458" s="457">
        <v>0</v>
      </c>
      <c r="O458" s="457">
        <v>0</v>
      </c>
      <c r="P458" s="457">
        <v>0</v>
      </c>
      <c r="Q458" s="457">
        <v>0</v>
      </c>
      <c r="R458" s="457">
        <v>0</v>
      </c>
      <c r="S458" s="457">
        <v>0</v>
      </c>
      <c r="T458" s="410" t="e">
        <v>#DIV/0!</v>
      </c>
      <c r="U458" s="285">
        <v>0</v>
      </c>
      <c r="V458" s="285">
        <v>0</v>
      </c>
      <c r="W458" s="285">
        <v>0</v>
      </c>
      <c r="X458" s="285">
        <v>0</v>
      </c>
      <c r="Y458" s="285">
        <v>0</v>
      </c>
      <c r="Z458" s="285">
        <v>0</v>
      </c>
    </row>
    <row r="459" spans="1:26" x14ac:dyDescent="0.2">
      <c r="A459" s="412" t="s">
        <v>679</v>
      </c>
      <c r="B459" s="457">
        <v>0</v>
      </c>
      <c r="C459" s="457">
        <v>0</v>
      </c>
      <c r="D459" s="457">
        <v>0</v>
      </c>
      <c r="E459" s="457">
        <v>0</v>
      </c>
      <c r="F459" s="457">
        <v>0</v>
      </c>
      <c r="G459" s="457">
        <v>0</v>
      </c>
      <c r="H459" s="457">
        <v>0</v>
      </c>
      <c r="I459" s="457">
        <v>0</v>
      </c>
      <c r="J459" s="457">
        <v>0</v>
      </c>
      <c r="K459" s="457">
        <v>0</v>
      </c>
      <c r="L459" s="457">
        <v>0</v>
      </c>
      <c r="M459" s="457">
        <v>0</v>
      </c>
      <c r="N459" s="457">
        <v>0</v>
      </c>
      <c r="O459" s="457">
        <v>0</v>
      </c>
      <c r="P459" s="457">
        <v>0</v>
      </c>
      <c r="Q459" s="457">
        <v>0</v>
      </c>
      <c r="R459" s="457">
        <v>0</v>
      </c>
      <c r="S459" s="457">
        <v>0</v>
      </c>
      <c r="T459" s="410" t="e">
        <v>#DIV/0!</v>
      </c>
      <c r="U459" s="285">
        <v>0</v>
      </c>
      <c r="V459" s="285">
        <v>0</v>
      </c>
      <c r="W459" s="285">
        <v>0</v>
      </c>
      <c r="X459" s="285">
        <v>0</v>
      </c>
      <c r="Y459" s="285">
        <v>0</v>
      </c>
      <c r="Z459" s="285">
        <v>0</v>
      </c>
    </row>
    <row r="460" spans="1:26" x14ac:dyDescent="0.2">
      <c r="A460" s="412" t="s">
        <v>680</v>
      </c>
      <c r="B460" s="457">
        <v>0</v>
      </c>
      <c r="C460" s="457">
        <v>0</v>
      </c>
      <c r="D460" s="457">
        <v>0</v>
      </c>
      <c r="E460" s="457">
        <v>0</v>
      </c>
      <c r="F460" s="457">
        <v>0</v>
      </c>
      <c r="G460" s="457">
        <v>0</v>
      </c>
      <c r="H460" s="457">
        <v>0</v>
      </c>
      <c r="I460" s="457">
        <v>0</v>
      </c>
      <c r="J460" s="457">
        <v>0</v>
      </c>
      <c r="K460" s="457">
        <v>0</v>
      </c>
      <c r="L460" s="457">
        <v>0</v>
      </c>
      <c r="M460" s="457">
        <v>0</v>
      </c>
      <c r="N460" s="457">
        <v>0</v>
      </c>
      <c r="O460" s="457">
        <v>0</v>
      </c>
      <c r="P460" s="457">
        <v>0</v>
      </c>
      <c r="Q460" s="457">
        <v>0</v>
      </c>
      <c r="R460" s="457">
        <v>0</v>
      </c>
      <c r="S460" s="457">
        <v>0</v>
      </c>
      <c r="T460" s="410" t="e">
        <v>#DIV/0!</v>
      </c>
      <c r="U460" s="285">
        <v>0</v>
      </c>
      <c r="V460" s="285">
        <v>0</v>
      </c>
      <c r="W460" s="285">
        <v>0</v>
      </c>
      <c r="X460" s="285">
        <v>0</v>
      </c>
      <c r="Y460" s="285">
        <v>0</v>
      </c>
      <c r="Z460" s="285">
        <v>0</v>
      </c>
    </row>
    <row r="461" spans="1:26" x14ac:dyDescent="0.2">
      <c r="A461" s="412" t="s">
        <v>681</v>
      </c>
      <c r="B461" s="457">
        <v>0</v>
      </c>
      <c r="C461" s="457">
        <v>0</v>
      </c>
      <c r="D461" s="457">
        <v>0</v>
      </c>
      <c r="E461" s="457">
        <v>0</v>
      </c>
      <c r="F461" s="457">
        <v>0</v>
      </c>
      <c r="G461" s="457">
        <v>0</v>
      </c>
      <c r="H461" s="457">
        <v>0</v>
      </c>
      <c r="I461" s="457">
        <v>0</v>
      </c>
      <c r="J461" s="457">
        <v>0</v>
      </c>
      <c r="K461" s="457">
        <v>0</v>
      </c>
      <c r="L461" s="457">
        <v>0</v>
      </c>
      <c r="M461" s="457">
        <v>0</v>
      </c>
      <c r="N461" s="457">
        <v>0</v>
      </c>
      <c r="O461" s="457">
        <v>0</v>
      </c>
      <c r="P461" s="457">
        <v>0</v>
      </c>
      <c r="Q461" s="457">
        <v>0</v>
      </c>
      <c r="R461" s="457">
        <v>0</v>
      </c>
      <c r="S461" s="457">
        <v>0</v>
      </c>
      <c r="T461" s="410" t="e">
        <v>#DIV/0!</v>
      </c>
      <c r="U461" s="285">
        <v>0</v>
      </c>
      <c r="V461" s="285">
        <v>0</v>
      </c>
      <c r="W461" s="285">
        <v>0</v>
      </c>
      <c r="X461" s="285">
        <v>0</v>
      </c>
      <c r="Y461" s="285">
        <v>0</v>
      </c>
      <c r="Z461" s="285">
        <v>0</v>
      </c>
    </row>
    <row r="462" spans="1:26" x14ac:dyDescent="0.2">
      <c r="A462" s="412" t="s">
        <v>682</v>
      </c>
      <c r="B462" s="457">
        <v>0</v>
      </c>
      <c r="C462" s="457">
        <v>0</v>
      </c>
      <c r="D462" s="457">
        <v>0</v>
      </c>
      <c r="E462" s="457">
        <v>0</v>
      </c>
      <c r="F462" s="457">
        <v>0</v>
      </c>
      <c r="G462" s="457">
        <v>0</v>
      </c>
      <c r="H462" s="457">
        <v>0</v>
      </c>
      <c r="I462" s="457">
        <v>0</v>
      </c>
      <c r="J462" s="457">
        <v>0</v>
      </c>
      <c r="K462" s="457">
        <v>0</v>
      </c>
      <c r="L462" s="457">
        <v>0</v>
      </c>
      <c r="M462" s="457">
        <v>0</v>
      </c>
      <c r="N462" s="457">
        <v>0</v>
      </c>
      <c r="O462" s="457">
        <v>0</v>
      </c>
      <c r="P462" s="457">
        <v>0</v>
      </c>
      <c r="Q462" s="457">
        <v>0</v>
      </c>
      <c r="R462" s="457">
        <v>0</v>
      </c>
      <c r="S462" s="457">
        <v>0</v>
      </c>
      <c r="T462" s="410" t="e">
        <v>#DIV/0!</v>
      </c>
      <c r="U462" s="285">
        <v>0</v>
      </c>
      <c r="V462" s="285">
        <v>0</v>
      </c>
      <c r="W462" s="285">
        <v>0</v>
      </c>
      <c r="X462" s="285">
        <v>0</v>
      </c>
      <c r="Y462" s="285">
        <v>0</v>
      </c>
      <c r="Z462" s="285">
        <v>0</v>
      </c>
    </row>
    <row r="463" spans="1:26" x14ac:dyDescent="0.2">
      <c r="A463" s="412" t="s">
        <v>683</v>
      </c>
      <c r="B463" s="457">
        <v>0</v>
      </c>
      <c r="C463" s="457">
        <v>0</v>
      </c>
      <c r="D463" s="457">
        <v>0</v>
      </c>
      <c r="E463" s="457">
        <v>0</v>
      </c>
      <c r="F463" s="457">
        <v>0</v>
      </c>
      <c r="G463" s="457">
        <v>0</v>
      </c>
      <c r="H463" s="457">
        <v>0</v>
      </c>
      <c r="I463" s="457">
        <v>0</v>
      </c>
      <c r="J463" s="457">
        <v>0</v>
      </c>
      <c r="K463" s="457">
        <v>0</v>
      </c>
      <c r="L463" s="457">
        <v>0</v>
      </c>
      <c r="M463" s="457">
        <v>0</v>
      </c>
      <c r="N463" s="457">
        <v>0</v>
      </c>
      <c r="O463" s="457">
        <v>0</v>
      </c>
      <c r="P463" s="457">
        <v>0</v>
      </c>
      <c r="Q463" s="457">
        <v>0</v>
      </c>
      <c r="R463" s="457">
        <v>0</v>
      </c>
      <c r="S463" s="457">
        <v>0</v>
      </c>
      <c r="T463" s="410" t="e">
        <v>#DIV/0!</v>
      </c>
      <c r="U463" s="285">
        <v>0</v>
      </c>
      <c r="V463" s="285">
        <v>0</v>
      </c>
      <c r="W463" s="285">
        <v>0</v>
      </c>
      <c r="X463" s="285">
        <v>0</v>
      </c>
      <c r="Y463" s="285">
        <v>0</v>
      </c>
      <c r="Z463" s="285">
        <v>0</v>
      </c>
    </row>
    <row r="464" spans="1:26" x14ac:dyDescent="0.2">
      <c r="A464" s="417" t="s">
        <v>684</v>
      </c>
      <c r="B464" s="461">
        <v>0</v>
      </c>
      <c r="C464" s="461">
        <v>0</v>
      </c>
      <c r="D464" s="461">
        <v>0</v>
      </c>
      <c r="E464" s="461">
        <v>0</v>
      </c>
      <c r="F464" s="461">
        <v>0</v>
      </c>
      <c r="G464" s="461">
        <v>0</v>
      </c>
      <c r="H464" s="461">
        <v>0</v>
      </c>
      <c r="I464" s="461">
        <v>0</v>
      </c>
      <c r="J464" s="461">
        <v>0</v>
      </c>
      <c r="K464" s="461">
        <v>0</v>
      </c>
      <c r="L464" s="461">
        <v>0</v>
      </c>
      <c r="M464" s="461">
        <v>0</v>
      </c>
      <c r="N464" s="461">
        <v>0</v>
      </c>
      <c r="O464" s="461">
        <v>0</v>
      </c>
      <c r="P464" s="461">
        <v>0</v>
      </c>
      <c r="Q464" s="461">
        <v>0</v>
      </c>
      <c r="R464" s="461">
        <v>0</v>
      </c>
      <c r="S464" s="461">
        <v>0</v>
      </c>
      <c r="T464" s="420" t="e">
        <v>#DIV/0!</v>
      </c>
      <c r="U464" s="419">
        <v>0</v>
      </c>
      <c r="V464" s="419">
        <v>0</v>
      </c>
      <c r="W464" s="419">
        <v>0</v>
      </c>
      <c r="X464" s="419">
        <v>0</v>
      </c>
      <c r="Y464" s="419">
        <v>0</v>
      </c>
      <c r="Z464" s="419">
        <v>0</v>
      </c>
    </row>
    <row r="465" spans="1:27" x14ac:dyDescent="0.2">
      <c r="A465" s="404" t="s">
        <v>685</v>
      </c>
      <c r="B465" s="247">
        <v>0</v>
      </c>
      <c r="C465" s="247">
        <v>0</v>
      </c>
      <c r="D465" s="247">
        <v>0</v>
      </c>
      <c r="E465" s="247">
        <v>0</v>
      </c>
      <c r="F465" s="247">
        <v>0</v>
      </c>
      <c r="G465" s="247">
        <v>0</v>
      </c>
      <c r="H465" s="247">
        <v>0</v>
      </c>
      <c r="I465" s="247">
        <v>0</v>
      </c>
      <c r="J465" s="247">
        <v>0</v>
      </c>
      <c r="K465" s="247">
        <v>0</v>
      </c>
      <c r="L465" s="247">
        <v>0</v>
      </c>
      <c r="M465" s="247">
        <v>0</v>
      </c>
      <c r="N465" s="247">
        <v>0</v>
      </c>
      <c r="O465" s="247">
        <v>0</v>
      </c>
      <c r="P465" s="247">
        <v>0</v>
      </c>
      <c r="Q465" s="247">
        <v>0</v>
      </c>
      <c r="R465" s="247">
        <v>0</v>
      </c>
      <c r="S465" s="247">
        <v>0</v>
      </c>
      <c r="T465" s="407" t="e">
        <v>#DIV/0!</v>
      </c>
      <c r="U465" s="406">
        <v>0</v>
      </c>
      <c r="V465" s="406">
        <v>0</v>
      </c>
      <c r="W465" s="406">
        <v>0</v>
      </c>
      <c r="X465" s="406">
        <v>0</v>
      </c>
      <c r="Y465" s="406">
        <v>0</v>
      </c>
      <c r="Z465" s="406">
        <v>0</v>
      </c>
      <c r="AA465" s="453"/>
    </row>
    <row r="466" spans="1:27" x14ac:dyDescent="0.2">
      <c r="A466" s="404" t="s">
        <v>686</v>
      </c>
      <c r="B466" s="448">
        <v>0</v>
      </c>
      <c r="C466" s="448">
        <v>0</v>
      </c>
      <c r="D466" s="448">
        <v>0</v>
      </c>
      <c r="E466" s="448">
        <v>0</v>
      </c>
      <c r="F466" s="448">
        <v>0</v>
      </c>
      <c r="G466" s="448">
        <v>0</v>
      </c>
      <c r="H466" s="448">
        <v>0</v>
      </c>
      <c r="I466" s="448">
        <v>0</v>
      </c>
      <c r="J466" s="448">
        <v>0</v>
      </c>
      <c r="K466" s="448">
        <v>0</v>
      </c>
      <c r="L466" s="448">
        <v>0</v>
      </c>
      <c r="M466" s="448">
        <v>0</v>
      </c>
      <c r="N466" s="448">
        <v>0</v>
      </c>
      <c r="O466" s="448">
        <v>0</v>
      </c>
      <c r="P466" s="448">
        <v>0</v>
      </c>
      <c r="Q466" s="448">
        <v>0</v>
      </c>
      <c r="R466" s="448">
        <v>0</v>
      </c>
      <c r="S466" s="448">
        <v>0</v>
      </c>
      <c r="T466" s="407" t="e">
        <v>#DIV/0!</v>
      </c>
      <c r="U466" s="406">
        <v>0</v>
      </c>
      <c r="V466" s="406">
        <v>0</v>
      </c>
      <c r="W466" s="406">
        <v>0</v>
      </c>
      <c r="X466" s="406">
        <v>0</v>
      </c>
      <c r="Y466" s="406">
        <v>0</v>
      </c>
      <c r="Z466" s="406">
        <v>0</v>
      </c>
      <c r="AA466" s="453"/>
    </row>
    <row r="467" spans="1:27" ht="24" x14ac:dyDescent="0.2">
      <c r="A467" s="412" t="s">
        <v>687</v>
      </c>
      <c r="B467" s="457">
        <v>0</v>
      </c>
      <c r="C467" s="457">
        <v>0</v>
      </c>
      <c r="D467" s="457">
        <v>0</v>
      </c>
      <c r="E467" s="457">
        <v>0</v>
      </c>
      <c r="F467" s="457">
        <v>0</v>
      </c>
      <c r="G467" s="457">
        <v>0</v>
      </c>
      <c r="H467" s="457">
        <v>0</v>
      </c>
      <c r="I467" s="457">
        <v>0</v>
      </c>
      <c r="J467" s="457">
        <v>0</v>
      </c>
      <c r="K467" s="457">
        <v>0</v>
      </c>
      <c r="L467" s="457">
        <v>0</v>
      </c>
      <c r="M467" s="457">
        <v>0</v>
      </c>
      <c r="N467" s="457">
        <v>0</v>
      </c>
      <c r="O467" s="457">
        <v>0</v>
      </c>
      <c r="P467" s="457">
        <v>0</v>
      </c>
      <c r="Q467" s="457">
        <v>0</v>
      </c>
      <c r="R467" s="457">
        <v>0</v>
      </c>
      <c r="S467" s="457">
        <v>0</v>
      </c>
      <c r="T467" s="410" t="e">
        <v>#DIV/0!</v>
      </c>
      <c r="U467" s="285">
        <v>0</v>
      </c>
      <c r="V467" s="285">
        <v>0</v>
      </c>
      <c r="W467" s="285">
        <v>0</v>
      </c>
      <c r="X467" s="285">
        <v>0</v>
      </c>
      <c r="Y467" s="285">
        <v>0</v>
      </c>
      <c r="Z467" s="285">
        <v>0</v>
      </c>
    </row>
    <row r="468" spans="1:27" ht="24" x14ac:dyDescent="0.2">
      <c r="A468" s="412" t="s">
        <v>688</v>
      </c>
      <c r="B468" s="457">
        <v>0</v>
      </c>
      <c r="C468" s="457">
        <v>0</v>
      </c>
      <c r="D468" s="457">
        <v>0</v>
      </c>
      <c r="E468" s="457">
        <v>0</v>
      </c>
      <c r="F468" s="457">
        <v>0</v>
      </c>
      <c r="G468" s="457">
        <v>0</v>
      </c>
      <c r="H468" s="457">
        <v>0</v>
      </c>
      <c r="I468" s="457">
        <v>0</v>
      </c>
      <c r="J468" s="457">
        <v>0</v>
      </c>
      <c r="K468" s="457">
        <v>0</v>
      </c>
      <c r="L468" s="457">
        <v>0</v>
      </c>
      <c r="M468" s="457">
        <v>0</v>
      </c>
      <c r="N468" s="457">
        <v>0</v>
      </c>
      <c r="O468" s="457">
        <v>0</v>
      </c>
      <c r="P468" s="457">
        <v>0</v>
      </c>
      <c r="Q468" s="457">
        <v>0</v>
      </c>
      <c r="R468" s="457">
        <v>0</v>
      </c>
      <c r="S468" s="457">
        <v>0</v>
      </c>
      <c r="T468" s="410" t="e">
        <v>#DIV/0!</v>
      </c>
      <c r="U468" s="285">
        <v>0</v>
      </c>
      <c r="V468" s="285">
        <v>0</v>
      </c>
      <c r="W468" s="285">
        <v>0</v>
      </c>
      <c r="X468" s="285">
        <v>0</v>
      </c>
      <c r="Y468" s="285">
        <v>0</v>
      </c>
      <c r="Z468" s="285">
        <v>0</v>
      </c>
    </row>
    <row r="469" spans="1:27" ht="24" x14ac:dyDescent="0.2">
      <c r="A469" s="412" t="s">
        <v>689</v>
      </c>
      <c r="B469" s="457">
        <v>0</v>
      </c>
      <c r="C469" s="457">
        <v>0</v>
      </c>
      <c r="D469" s="457">
        <v>0</v>
      </c>
      <c r="E469" s="457">
        <v>0</v>
      </c>
      <c r="F469" s="457">
        <v>0</v>
      </c>
      <c r="G469" s="457">
        <v>0</v>
      </c>
      <c r="H469" s="457">
        <v>0</v>
      </c>
      <c r="I469" s="457">
        <v>0</v>
      </c>
      <c r="J469" s="457">
        <v>0</v>
      </c>
      <c r="K469" s="457">
        <v>0</v>
      </c>
      <c r="L469" s="457">
        <v>0</v>
      </c>
      <c r="M469" s="457">
        <v>0</v>
      </c>
      <c r="N469" s="457">
        <v>0</v>
      </c>
      <c r="O469" s="457">
        <v>0</v>
      </c>
      <c r="P469" s="457">
        <v>0</v>
      </c>
      <c r="Q469" s="457">
        <v>0</v>
      </c>
      <c r="R469" s="457">
        <v>0</v>
      </c>
      <c r="S469" s="457">
        <v>0</v>
      </c>
      <c r="T469" s="410" t="e">
        <v>#DIV/0!</v>
      </c>
      <c r="U469" s="285">
        <v>0</v>
      </c>
      <c r="V469" s="285">
        <v>0</v>
      </c>
      <c r="W469" s="285">
        <v>0</v>
      </c>
      <c r="X469" s="285">
        <v>0</v>
      </c>
      <c r="Y469" s="285">
        <v>0</v>
      </c>
      <c r="Z469" s="285">
        <v>0</v>
      </c>
    </row>
    <row r="470" spans="1:27" x14ac:dyDescent="0.2">
      <c r="A470" s="404" t="s">
        <v>690</v>
      </c>
      <c r="B470" s="448">
        <v>0</v>
      </c>
      <c r="C470" s="448">
        <v>0</v>
      </c>
      <c r="D470" s="448">
        <v>0</v>
      </c>
      <c r="E470" s="448">
        <v>0</v>
      </c>
      <c r="F470" s="448">
        <v>0</v>
      </c>
      <c r="G470" s="448">
        <v>0</v>
      </c>
      <c r="H470" s="448">
        <v>0</v>
      </c>
      <c r="I470" s="448">
        <v>0</v>
      </c>
      <c r="J470" s="448">
        <v>0</v>
      </c>
      <c r="K470" s="448">
        <v>0</v>
      </c>
      <c r="L470" s="448">
        <v>0</v>
      </c>
      <c r="M470" s="448">
        <v>0</v>
      </c>
      <c r="N470" s="448">
        <v>0</v>
      </c>
      <c r="O470" s="448">
        <v>0</v>
      </c>
      <c r="P470" s="448">
        <v>0</v>
      </c>
      <c r="Q470" s="448">
        <v>0</v>
      </c>
      <c r="R470" s="448">
        <v>0</v>
      </c>
      <c r="S470" s="448">
        <v>0</v>
      </c>
      <c r="T470" s="407" t="e">
        <v>#DIV/0!</v>
      </c>
      <c r="U470" s="406">
        <v>0</v>
      </c>
      <c r="V470" s="406">
        <v>0</v>
      </c>
      <c r="W470" s="406">
        <v>0</v>
      </c>
      <c r="X470" s="406">
        <v>0</v>
      </c>
      <c r="Y470" s="406">
        <v>0</v>
      </c>
      <c r="Z470" s="406">
        <v>0</v>
      </c>
    </row>
    <row r="471" spans="1:27" x14ac:dyDescent="0.2">
      <c r="A471" s="412" t="s">
        <v>691</v>
      </c>
      <c r="B471" s="457">
        <v>0</v>
      </c>
      <c r="C471" s="457">
        <v>0</v>
      </c>
      <c r="D471" s="457">
        <v>0</v>
      </c>
      <c r="E471" s="457">
        <v>0</v>
      </c>
      <c r="F471" s="457">
        <v>0</v>
      </c>
      <c r="G471" s="457">
        <v>0</v>
      </c>
      <c r="H471" s="457">
        <v>0</v>
      </c>
      <c r="I471" s="457">
        <v>0</v>
      </c>
      <c r="J471" s="457">
        <v>0</v>
      </c>
      <c r="K471" s="457">
        <v>0</v>
      </c>
      <c r="L471" s="457">
        <v>0</v>
      </c>
      <c r="M471" s="457">
        <v>0</v>
      </c>
      <c r="N471" s="457">
        <v>0</v>
      </c>
      <c r="O471" s="457">
        <v>0</v>
      </c>
      <c r="P471" s="457">
        <v>0</v>
      </c>
      <c r="Q471" s="457">
        <v>0</v>
      </c>
      <c r="R471" s="457">
        <v>0</v>
      </c>
      <c r="S471" s="457">
        <v>0</v>
      </c>
      <c r="T471" s="410" t="e">
        <v>#DIV/0!</v>
      </c>
      <c r="U471" s="285">
        <v>0</v>
      </c>
      <c r="V471" s="285">
        <v>0</v>
      </c>
      <c r="W471" s="285">
        <v>0</v>
      </c>
      <c r="X471" s="285">
        <v>0</v>
      </c>
      <c r="Y471" s="285">
        <v>0</v>
      </c>
      <c r="Z471" s="285">
        <v>0</v>
      </c>
    </row>
    <row r="472" spans="1:27" x14ac:dyDescent="0.2">
      <c r="A472" s="412" t="s">
        <v>692</v>
      </c>
      <c r="B472" s="457">
        <v>0</v>
      </c>
      <c r="C472" s="457">
        <v>0</v>
      </c>
      <c r="D472" s="457">
        <v>0</v>
      </c>
      <c r="E472" s="457">
        <v>0</v>
      </c>
      <c r="F472" s="457">
        <v>0</v>
      </c>
      <c r="G472" s="457">
        <v>0</v>
      </c>
      <c r="H472" s="457">
        <v>0</v>
      </c>
      <c r="I472" s="457">
        <v>0</v>
      </c>
      <c r="J472" s="457">
        <v>0</v>
      </c>
      <c r="K472" s="457">
        <v>0</v>
      </c>
      <c r="L472" s="457">
        <v>0</v>
      </c>
      <c r="M472" s="457">
        <v>0</v>
      </c>
      <c r="N472" s="457">
        <v>0</v>
      </c>
      <c r="O472" s="457">
        <v>0</v>
      </c>
      <c r="P472" s="457">
        <v>0</v>
      </c>
      <c r="Q472" s="457">
        <v>0</v>
      </c>
      <c r="R472" s="457">
        <v>0</v>
      </c>
      <c r="S472" s="457">
        <v>0</v>
      </c>
      <c r="T472" s="410" t="e">
        <v>#DIV/0!</v>
      </c>
      <c r="U472" s="285">
        <v>0</v>
      </c>
      <c r="V472" s="285">
        <v>0</v>
      </c>
      <c r="W472" s="285">
        <v>0</v>
      </c>
      <c r="X472" s="285">
        <v>0</v>
      </c>
      <c r="Y472" s="285">
        <v>0</v>
      </c>
      <c r="Z472" s="285">
        <v>0</v>
      </c>
    </row>
    <row r="473" spans="1:27" x14ac:dyDescent="0.2">
      <c r="A473" s="412" t="s">
        <v>693</v>
      </c>
      <c r="B473" s="457">
        <v>0</v>
      </c>
      <c r="C473" s="457">
        <v>0</v>
      </c>
      <c r="D473" s="457">
        <v>0</v>
      </c>
      <c r="E473" s="457">
        <v>0</v>
      </c>
      <c r="F473" s="457">
        <v>0</v>
      </c>
      <c r="G473" s="457">
        <v>0</v>
      </c>
      <c r="H473" s="457">
        <v>0</v>
      </c>
      <c r="I473" s="457">
        <v>0</v>
      </c>
      <c r="J473" s="457">
        <v>0</v>
      </c>
      <c r="K473" s="457">
        <v>0</v>
      </c>
      <c r="L473" s="457">
        <v>0</v>
      </c>
      <c r="M473" s="457">
        <v>0</v>
      </c>
      <c r="N473" s="457">
        <v>0</v>
      </c>
      <c r="O473" s="457">
        <v>0</v>
      </c>
      <c r="P473" s="457">
        <v>0</v>
      </c>
      <c r="Q473" s="457">
        <v>0</v>
      </c>
      <c r="R473" s="457">
        <v>0</v>
      </c>
      <c r="S473" s="457">
        <v>0</v>
      </c>
      <c r="T473" s="410" t="e">
        <v>#DIV/0!</v>
      </c>
      <c r="U473" s="285">
        <v>0</v>
      </c>
      <c r="V473" s="285">
        <v>0</v>
      </c>
      <c r="W473" s="285">
        <v>0</v>
      </c>
      <c r="X473" s="285">
        <v>0</v>
      </c>
      <c r="Y473" s="285">
        <v>0</v>
      </c>
      <c r="Z473" s="285">
        <v>0</v>
      </c>
    </row>
    <row r="474" spans="1:27" x14ac:dyDescent="0.2">
      <c r="A474" s="404" t="s">
        <v>694</v>
      </c>
      <c r="B474" s="247">
        <v>0</v>
      </c>
      <c r="C474" s="247">
        <v>0</v>
      </c>
      <c r="D474" s="247">
        <v>0</v>
      </c>
      <c r="E474" s="247">
        <v>0</v>
      </c>
      <c r="F474" s="247">
        <v>0</v>
      </c>
      <c r="G474" s="247">
        <v>0</v>
      </c>
      <c r="H474" s="247">
        <v>0</v>
      </c>
      <c r="I474" s="247">
        <v>0</v>
      </c>
      <c r="J474" s="247">
        <v>0</v>
      </c>
      <c r="K474" s="247">
        <v>0</v>
      </c>
      <c r="L474" s="247">
        <v>0</v>
      </c>
      <c r="M474" s="247">
        <v>0</v>
      </c>
      <c r="N474" s="247">
        <v>0</v>
      </c>
      <c r="O474" s="247">
        <v>0</v>
      </c>
      <c r="P474" s="247">
        <v>0</v>
      </c>
      <c r="Q474" s="247">
        <v>0</v>
      </c>
      <c r="R474" s="247">
        <v>0</v>
      </c>
      <c r="S474" s="247">
        <v>0</v>
      </c>
      <c r="T474" s="407" t="e">
        <v>#DIV/0!</v>
      </c>
      <c r="U474" s="406">
        <v>0</v>
      </c>
      <c r="V474" s="406">
        <v>0</v>
      </c>
      <c r="W474" s="406">
        <v>0</v>
      </c>
      <c r="X474" s="406">
        <v>0</v>
      </c>
      <c r="Y474" s="406">
        <v>0</v>
      </c>
      <c r="Z474" s="406">
        <v>0</v>
      </c>
    </row>
    <row r="475" spans="1:27" x14ac:dyDescent="0.2">
      <c r="A475" s="425" t="s">
        <v>35</v>
      </c>
      <c r="B475" s="476">
        <v>3500000</v>
      </c>
      <c r="C475" s="476">
        <v>3364647.21</v>
      </c>
      <c r="D475" s="476">
        <v>3314647.21</v>
      </c>
      <c r="E475" s="476">
        <v>2531217.5499999998</v>
      </c>
      <c r="F475" s="476">
        <v>1953751.4800000002</v>
      </c>
      <c r="G475" s="476">
        <v>156653.91</v>
      </c>
      <c r="H475" s="476">
        <v>159926.82999999999</v>
      </c>
      <c r="I475" s="476">
        <v>194519.15</v>
      </c>
      <c r="J475" s="476">
        <v>259666.18000000002</v>
      </c>
      <c r="K475" s="476">
        <v>222397.18999999997</v>
      </c>
      <c r="L475" s="476">
        <v>231502.24000000002</v>
      </c>
      <c r="M475" s="476">
        <v>275664.87</v>
      </c>
      <c r="N475" s="476">
        <v>204017.92000000001</v>
      </c>
      <c r="O475" s="476">
        <v>249203.16</v>
      </c>
      <c r="P475" s="476">
        <v>0</v>
      </c>
      <c r="Q475" s="476">
        <v>0</v>
      </c>
      <c r="R475" s="476">
        <v>0</v>
      </c>
      <c r="S475" s="476">
        <v>1953551.4500000002</v>
      </c>
      <c r="T475" s="428">
        <v>0.58061107987603855</v>
      </c>
      <c r="U475" s="427">
        <v>1411095.7599999998</v>
      </c>
      <c r="V475" s="427">
        <v>50000</v>
      </c>
      <c r="W475" s="427">
        <v>833429.66000000015</v>
      </c>
      <c r="X475" s="427">
        <v>783429.66000000015</v>
      </c>
      <c r="Y475" s="427">
        <v>577466.0699999996</v>
      </c>
      <c r="Z475" s="427">
        <v>200.03000000002794</v>
      </c>
    </row>
    <row r="476" spans="1:27" x14ac:dyDescent="0.2">
      <c r="A476" s="429" t="s">
        <v>72</v>
      </c>
      <c r="B476" s="477">
        <v>3166193</v>
      </c>
      <c r="C476" s="477">
        <v>3166193</v>
      </c>
      <c r="D476" s="477">
        <v>3116193</v>
      </c>
      <c r="E476" s="477">
        <v>2419123.46</v>
      </c>
      <c r="F476" s="477">
        <v>1841657.3900000001</v>
      </c>
      <c r="G476" s="477">
        <v>156653.91</v>
      </c>
      <c r="H476" s="477">
        <v>159926.82999999999</v>
      </c>
      <c r="I476" s="477">
        <v>165735.19</v>
      </c>
      <c r="J476" s="477">
        <v>259666.18000000002</v>
      </c>
      <c r="K476" s="477">
        <v>222397.18999999997</v>
      </c>
      <c r="L476" s="477">
        <v>231502.24000000002</v>
      </c>
      <c r="M476" s="477">
        <v>192354.74</v>
      </c>
      <c r="N476" s="477">
        <v>204017.92000000001</v>
      </c>
      <c r="O476" s="477">
        <v>249203.16</v>
      </c>
      <c r="P476" s="477">
        <v>0</v>
      </c>
      <c r="Q476" s="477">
        <v>0</v>
      </c>
      <c r="R476" s="477">
        <v>0</v>
      </c>
      <c r="S476" s="477">
        <v>1841457.36</v>
      </c>
      <c r="T476" s="432">
        <v>0.58159984561901312</v>
      </c>
      <c r="U476" s="431">
        <v>1324735.6399999999</v>
      </c>
      <c r="V476" s="431">
        <v>50000</v>
      </c>
      <c r="W476" s="431">
        <v>747069.54</v>
      </c>
      <c r="X476" s="431">
        <v>697069.54</v>
      </c>
      <c r="Y476" s="431">
        <v>577466.06999999983</v>
      </c>
      <c r="Z476" s="431">
        <v>200.03000000002794</v>
      </c>
    </row>
    <row r="477" spans="1:27" x14ac:dyDescent="0.2">
      <c r="A477" s="429" t="s">
        <v>73</v>
      </c>
      <c r="B477" s="477">
        <v>3500000</v>
      </c>
      <c r="C477" s="477">
        <v>3364647.21</v>
      </c>
      <c r="D477" s="477">
        <v>3314647.21</v>
      </c>
      <c r="E477" s="477">
        <v>2531217.5499999998</v>
      </c>
      <c r="F477" s="477">
        <v>1953751.4800000002</v>
      </c>
      <c r="G477" s="477">
        <v>156653.91</v>
      </c>
      <c r="H477" s="477">
        <v>159926.82999999999</v>
      </c>
      <c r="I477" s="477">
        <v>194519.15</v>
      </c>
      <c r="J477" s="477">
        <v>259666.18000000002</v>
      </c>
      <c r="K477" s="477">
        <v>222397.18999999997</v>
      </c>
      <c r="L477" s="477">
        <v>231502.24000000002</v>
      </c>
      <c r="M477" s="477">
        <v>275664.87</v>
      </c>
      <c r="N477" s="477">
        <v>204017.92000000001</v>
      </c>
      <c r="O477" s="477">
        <v>249203.16</v>
      </c>
      <c r="P477" s="477">
        <v>0</v>
      </c>
      <c r="Q477" s="477">
        <v>0</v>
      </c>
      <c r="R477" s="477">
        <v>0</v>
      </c>
      <c r="S477" s="477">
        <v>1953551.4500000002</v>
      </c>
      <c r="T477" s="432">
        <v>0.58061107987603855</v>
      </c>
      <c r="U477" s="431">
        <v>1411095.7599999998</v>
      </c>
      <c r="V477" s="431">
        <v>50000</v>
      </c>
      <c r="W477" s="431">
        <v>833429.66000000015</v>
      </c>
      <c r="X477" s="431">
        <v>783429.66000000015</v>
      </c>
      <c r="Y477" s="431">
        <v>577466.0699999996</v>
      </c>
      <c r="Z477" s="431">
        <v>200.03000000002794</v>
      </c>
    </row>
    <row r="478" spans="1:27" x14ac:dyDescent="0.2">
      <c r="A478" s="429" t="s">
        <v>74</v>
      </c>
      <c r="B478" s="477">
        <v>3166193</v>
      </c>
      <c r="C478" s="477">
        <v>3166193</v>
      </c>
      <c r="D478" s="477">
        <v>3116193</v>
      </c>
      <c r="E478" s="477">
        <v>2419123.46</v>
      </c>
      <c r="F478" s="477">
        <v>1841657.3900000001</v>
      </c>
      <c r="G478" s="477">
        <v>156653.91</v>
      </c>
      <c r="H478" s="477">
        <v>159926.82999999999</v>
      </c>
      <c r="I478" s="477">
        <v>165735.19</v>
      </c>
      <c r="J478" s="477">
        <v>259666.18000000002</v>
      </c>
      <c r="K478" s="477">
        <v>222397.18999999997</v>
      </c>
      <c r="L478" s="477">
        <v>231502.24000000002</v>
      </c>
      <c r="M478" s="477">
        <v>192354.74</v>
      </c>
      <c r="N478" s="477">
        <v>204017.92000000001</v>
      </c>
      <c r="O478" s="477">
        <v>249203.16</v>
      </c>
      <c r="P478" s="477">
        <v>0</v>
      </c>
      <c r="Q478" s="477">
        <v>0</v>
      </c>
      <c r="R478" s="477">
        <v>0</v>
      </c>
      <c r="S478" s="477">
        <v>1841457.36</v>
      </c>
      <c r="T478" s="432">
        <v>0.58159984561901312</v>
      </c>
      <c r="U478" s="431">
        <v>1324735.6399999999</v>
      </c>
      <c r="V478" s="431">
        <v>50000</v>
      </c>
      <c r="W478" s="431">
        <v>747069.54</v>
      </c>
      <c r="X478" s="431">
        <v>697069.54</v>
      </c>
      <c r="Y478" s="431">
        <v>577466.06999999983</v>
      </c>
      <c r="Z478" s="431">
        <v>200.03000000002794</v>
      </c>
    </row>
    <row r="479" spans="1:27" x14ac:dyDescent="0.2">
      <c r="A479" s="478" t="s">
        <v>75</v>
      </c>
      <c r="B479" s="479">
        <v>0</v>
      </c>
      <c r="C479" s="479">
        <v>0</v>
      </c>
      <c r="D479" s="479"/>
      <c r="E479" s="479"/>
      <c r="F479" s="479"/>
      <c r="G479" s="479">
        <v>814073.37</v>
      </c>
      <c r="H479" s="479">
        <v>-159926.82999999999</v>
      </c>
      <c r="I479" s="479">
        <v>424400.78</v>
      </c>
      <c r="J479" s="479">
        <v>-259666.18000000002</v>
      </c>
      <c r="K479" s="479">
        <v>-222397.18999999997</v>
      </c>
      <c r="L479" s="479">
        <v>-231502.24000000002</v>
      </c>
      <c r="M479" s="479">
        <v>-275664.87</v>
      </c>
      <c r="N479" s="479">
        <v>-204017.92000000001</v>
      </c>
      <c r="O479" s="479">
        <v>-249203.16</v>
      </c>
      <c r="P479" s="479">
        <v>0</v>
      </c>
      <c r="Q479" s="479">
        <v>0</v>
      </c>
      <c r="R479" s="479">
        <v>0</v>
      </c>
      <c r="S479" s="479">
        <v>-363904.24000000022</v>
      </c>
      <c r="T479" s="480" t="e">
        <v>#DIV/0!</v>
      </c>
      <c r="U479" s="481">
        <v>363904.24000000022</v>
      </c>
      <c r="V479" s="481">
        <v>0</v>
      </c>
      <c r="W479" s="481">
        <v>0</v>
      </c>
      <c r="X479" s="481">
        <v>0</v>
      </c>
      <c r="Y479" s="481">
        <v>0</v>
      </c>
      <c r="Z479" s="481">
        <v>363904.24000000022</v>
      </c>
    </row>
    <row r="480" spans="1:27" x14ac:dyDescent="0.2">
      <c r="A480" s="482" t="s">
        <v>76</v>
      </c>
      <c r="B480" s="479">
        <v>333807</v>
      </c>
      <c r="C480" s="479">
        <v>198454.20999999996</v>
      </c>
      <c r="D480" s="479"/>
      <c r="E480" s="479"/>
      <c r="F480" s="479"/>
      <c r="G480" s="479">
        <v>814073.37</v>
      </c>
      <c r="H480" s="479">
        <v>-159926.82999999999</v>
      </c>
      <c r="I480" s="479">
        <v>453184.74000000005</v>
      </c>
      <c r="J480" s="479">
        <v>-259666.18000000002</v>
      </c>
      <c r="K480" s="479">
        <v>-222397.18999999997</v>
      </c>
      <c r="L480" s="479">
        <v>-231502.24000000002</v>
      </c>
      <c r="M480" s="479">
        <v>-192354.74</v>
      </c>
      <c r="N480" s="479">
        <v>-204017.92000000001</v>
      </c>
      <c r="O480" s="479">
        <v>-249203.16</v>
      </c>
      <c r="P480" s="479">
        <v>0</v>
      </c>
      <c r="Q480" s="479">
        <v>0</v>
      </c>
      <c r="R480" s="479">
        <v>0</v>
      </c>
      <c r="S480" s="479">
        <v>-251810.15000000014</v>
      </c>
      <c r="T480" s="480">
        <v>-1.2688576876247684</v>
      </c>
      <c r="U480" s="481">
        <v>450264.3600000001</v>
      </c>
      <c r="V480" s="481">
        <v>198454.20999999996</v>
      </c>
      <c r="W480" s="481">
        <v>198454.20999999996</v>
      </c>
      <c r="X480" s="481">
        <v>0</v>
      </c>
      <c r="Y480" s="481">
        <v>0</v>
      </c>
      <c r="Z480" s="481">
        <v>251810.15000000014</v>
      </c>
    </row>
    <row r="481" spans="1:26" x14ac:dyDescent="0.2">
      <c r="A481" s="482" t="s">
        <v>77</v>
      </c>
      <c r="B481" s="479">
        <v>0</v>
      </c>
      <c r="C481" s="479">
        <v>-970727.28000000026</v>
      </c>
      <c r="D481" s="479"/>
      <c r="E481" s="479"/>
      <c r="F481" s="479"/>
      <c r="G481" s="479">
        <v>-156653.91</v>
      </c>
      <c r="H481" s="479">
        <v>-159926.82999999999</v>
      </c>
      <c r="I481" s="479">
        <v>424400.78</v>
      </c>
      <c r="J481" s="479">
        <v>-259666.18000000002</v>
      </c>
      <c r="K481" s="479">
        <v>-222397.18999999997</v>
      </c>
      <c r="L481" s="479">
        <v>-231502.24000000002</v>
      </c>
      <c r="M481" s="479">
        <v>-275664.87</v>
      </c>
      <c r="N481" s="479">
        <v>-204017.92000000001</v>
      </c>
      <c r="O481" s="479">
        <v>-249203.16</v>
      </c>
      <c r="P481" s="479">
        <v>0</v>
      </c>
      <c r="Q481" s="479">
        <v>0</v>
      </c>
      <c r="R481" s="479">
        <v>0</v>
      </c>
      <c r="S481" s="479">
        <v>-1334631.5200000003</v>
      </c>
      <c r="T481" s="480">
        <v>1.3748779368804798</v>
      </c>
      <c r="U481" s="481">
        <v>363904.24</v>
      </c>
      <c r="V481" s="481">
        <v>-970727.28000000026</v>
      </c>
      <c r="W481" s="481">
        <v>-970727.28000000026</v>
      </c>
      <c r="X481" s="481">
        <v>0</v>
      </c>
      <c r="Y481" s="481">
        <v>0</v>
      </c>
      <c r="Z481" s="481">
        <v>1334631.5200000003</v>
      </c>
    </row>
    <row r="482" spans="1:26" x14ac:dyDescent="0.2">
      <c r="A482" s="482" t="s">
        <v>78</v>
      </c>
      <c r="B482" s="479">
        <v>333807</v>
      </c>
      <c r="C482" s="479">
        <v>-772273.0700000003</v>
      </c>
      <c r="D482" s="479"/>
      <c r="E482" s="479"/>
      <c r="F482" s="479"/>
      <c r="G482" s="479">
        <v>-156653.91</v>
      </c>
      <c r="H482" s="479">
        <v>-159926.82999999999</v>
      </c>
      <c r="I482" s="479">
        <v>453184.74000000005</v>
      </c>
      <c r="J482" s="479">
        <v>-259666.18000000002</v>
      </c>
      <c r="K482" s="479">
        <v>-222397.18999999997</v>
      </c>
      <c r="L482" s="479">
        <v>-231502.24000000002</v>
      </c>
      <c r="M482" s="479">
        <v>-192354.74</v>
      </c>
      <c r="N482" s="479">
        <v>-204017.92000000001</v>
      </c>
      <c r="O482" s="479">
        <v>-249203.16</v>
      </c>
      <c r="P482" s="479">
        <v>0</v>
      </c>
      <c r="Q482" s="479">
        <v>0</v>
      </c>
      <c r="R482" s="479">
        <v>0</v>
      </c>
      <c r="S482" s="479">
        <v>-1222537.4300000002</v>
      </c>
      <c r="T482" s="480">
        <v>1.5830377589108471</v>
      </c>
      <c r="U482" s="481">
        <v>450264.35999999987</v>
      </c>
      <c r="V482" s="481">
        <v>-772273.0700000003</v>
      </c>
      <c r="W482" s="481">
        <v>-772273.0700000003</v>
      </c>
      <c r="X482" s="481">
        <v>0</v>
      </c>
      <c r="Y482" s="481">
        <v>0</v>
      </c>
      <c r="Z482" s="481">
        <v>1222537.4300000002</v>
      </c>
    </row>
    <row r="483" spans="1:26" x14ac:dyDescent="0.2">
      <c r="B483" s="475"/>
    </row>
    <row r="484" spans="1:26" x14ac:dyDescent="0.2">
      <c r="B484" s="475"/>
      <c r="C484" s="475"/>
    </row>
  </sheetData>
  <sheetProtection formatCells="0" formatColumns="0" formatRows="0" autoFilter="0"/>
  <mergeCells count="43">
    <mergeCell ref="X175:X176"/>
    <mergeCell ref="Y175:Y176"/>
    <mergeCell ref="Z175:Z176"/>
    <mergeCell ref="P175:P176"/>
    <mergeCell ref="Q175:Q176"/>
    <mergeCell ref="R175:R176"/>
    <mergeCell ref="U175:U176"/>
    <mergeCell ref="V175:V176"/>
    <mergeCell ref="W175:W176"/>
    <mergeCell ref="O175:O176"/>
    <mergeCell ref="A175:A177"/>
    <mergeCell ref="B175:B176"/>
    <mergeCell ref="C175:C176"/>
    <mergeCell ref="G175:G176"/>
    <mergeCell ref="H175:H176"/>
    <mergeCell ref="I175:I176"/>
    <mergeCell ref="J175:J176"/>
    <mergeCell ref="K175:K176"/>
    <mergeCell ref="L175:L176"/>
    <mergeCell ref="M175:M176"/>
    <mergeCell ref="N175:N176"/>
    <mergeCell ref="A174:Z174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U7:U8"/>
    <mergeCell ref="V7:V8"/>
    <mergeCell ref="A2:Z2"/>
    <mergeCell ref="A3:Z3"/>
    <mergeCell ref="A4:Z4"/>
    <mergeCell ref="A6:Z6"/>
    <mergeCell ref="A7:A9"/>
    <mergeCell ref="B7:B8"/>
    <mergeCell ref="C7:C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190F2-F223-4E91-BC10-D8BE9EACDE9E}">
  <dimension ref="A1:AA484"/>
  <sheetViews>
    <sheetView zoomScale="90" zoomScaleNormal="90" workbookViewId="0">
      <pane ySplit="9" topLeftCell="A460" activePane="bottomLeft" state="frozen"/>
      <selection activeCell="L1" sqref="L1"/>
      <selection pane="bottomLeft" activeCell="C1" sqref="C1:T1048576"/>
    </sheetView>
  </sheetViews>
  <sheetFormatPr defaultColWidth="8.7109375" defaultRowHeight="12" x14ac:dyDescent="0.2"/>
  <cols>
    <col min="1" max="1" width="51.85546875" style="654" customWidth="1"/>
    <col min="2" max="2" width="16.140625" style="654" customWidth="1"/>
    <col min="3" max="20" width="16" style="654" customWidth="1"/>
    <col min="21" max="21" width="12.42578125" style="654" customWidth="1"/>
    <col min="22" max="22" width="18.42578125" style="654" customWidth="1"/>
    <col min="23" max="23" width="15.85546875" style="654" customWidth="1"/>
    <col min="24" max="24" width="14.85546875" style="654" customWidth="1"/>
    <col min="25" max="25" width="13" style="654" customWidth="1"/>
    <col min="26" max="26" width="13.85546875" style="654" customWidth="1"/>
    <col min="27" max="16384" width="8.7109375" style="654"/>
  </cols>
  <sheetData>
    <row r="1" spans="1:26" s="638" customFormat="1" ht="15" x14ac:dyDescent="0.2">
      <c r="A1" s="14"/>
      <c r="B1" s="14"/>
      <c r="C1" s="15"/>
    </row>
    <row r="2" spans="1:26" s="638" customFormat="1" ht="15" x14ac:dyDescent="0.2">
      <c r="A2" s="546" t="s">
        <v>0</v>
      </c>
      <c r="B2" s="546"/>
      <c r="C2" s="546"/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</row>
    <row r="3" spans="1:26" s="638" customFormat="1" ht="15" x14ac:dyDescent="0.2">
      <c r="A3" s="546" t="s">
        <v>1095</v>
      </c>
      <c r="B3" s="546"/>
      <c r="C3" s="546"/>
      <c r="D3" s="546"/>
      <c r="E3" s="546"/>
      <c r="F3" s="546"/>
      <c r="G3" s="546"/>
      <c r="H3" s="546"/>
      <c r="I3" s="546"/>
      <c r="J3" s="546"/>
      <c r="K3" s="546"/>
      <c r="L3" s="546"/>
      <c r="M3" s="546"/>
      <c r="N3" s="546"/>
      <c r="O3" s="546"/>
      <c r="P3" s="546"/>
      <c r="Q3" s="546"/>
      <c r="R3" s="546"/>
      <c r="S3" s="546"/>
      <c r="T3" s="546"/>
      <c r="U3" s="546"/>
      <c r="V3" s="546"/>
      <c r="W3" s="546"/>
      <c r="X3" s="546"/>
      <c r="Y3" s="546"/>
      <c r="Z3" s="546"/>
    </row>
    <row r="4" spans="1:26" s="638" customFormat="1" ht="15" x14ac:dyDescent="0.2">
      <c r="A4" s="547">
        <v>2026</v>
      </c>
      <c r="B4" s="547"/>
      <c r="C4" s="547"/>
      <c r="D4" s="547"/>
      <c r="E4" s="547"/>
      <c r="F4" s="547"/>
      <c r="G4" s="547"/>
      <c r="H4" s="547"/>
      <c r="I4" s="547"/>
      <c r="J4" s="547"/>
      <c r="K4" s="547"/>
      <c r="L4" s="547"/>
      <c r="M4" s="547"/>
      <c r="N4" s="547"/>
      <c r="O4" s="547"/>
      <c r="P4" s="547"/>
      <c r="Q4" s="547"/>
      <c r="R4" s="547"/>
      <c r="S4" s="547"/>
      <c r="T4" s="547"/>
      <c r="U4" s="547"/>
      <c r="V4" s="547"/>
      <c r="W4" s="547"/>
      <c r="X4" s="547"/>
      <c r="Y4" s="547"/>
      <c r="Z4" s="547"/>
    </row>
    <row r="5" spans="1:26" s="588" customFormat="1" x14ac:dyDescent="0.2">
      <c r="A5" s="4"/>
      <c r="B5" s="6"/>
      <c r="C5" s="6"/>
      <c r="D5" s="639"/>
      <c r="E5" s="639"/>
      <c r="F5" s="639"/>
      <c r="U5" s="639"/>
      <c r="V5" s="7"/>
      <c r="W5" s="7"/>
      <c r="X5" s="7"/>
      <c r="Y5" s="7"/>
      <c r="Z5" s="7" t="s">
        <v>1</v>
      </c>
    </row>
    <row r="6" spans="1:26" s="588" customFormat="1" x14ac:dyDescent="0.2">
      <c r="A6" s="548" t="s">
        <v>25</v>
      </c>
      <c r="B6" s="548"/>
      <c r="C6" s="548"/>
      <c r="D6" s="548"/>
      <c r="E6" s="548"/>
      <c r="F6" s="548"/>
      <c r="G6" s="548"/>
      <c r="H6" s="548"/>
      <c r="I6" s="548"/>
      <c r="J6" s="548"/>
      <c r="K6" s="548"/>
      <c r="L6" s="548"/>
      <c r="M6" s="548"/>
      <c r="N6" s="548"/>
      <c r="O6" s="548"/>
      <c r="P6" s="548"/>
      <c r="Q6" s="548"/>
      <c r="R6" s="548"/>
      <c r="S6" s="548"/>
      <c r="T6" s="548"/>
      <c r="U6" s="548"/>
      <c r="V6" s="548"/>
      <c r="W6" s="548"/>
      <c r="X6" s="548"/>
      <c r="Y6" s="548"/>
      <c r="Z6" s="548"/>
    </row>
    <row r="7" spans="1:26" s="588" customFormat="1" x14ac:dyDescent="0.2">
      <c r="A7" s="549" t="s">
        <v>1095</v>
      </c>
      <c r="B7" s="549" t="s">
        <v>2</v>
      </c>
      <c r="C7" s="549" t="s">
        <v>3</v>
      </c>
      <c r="D7" s="641" t="s">
        <v>4</v>
      </c>
      <c r="E7" s="642"/>
      <c r="F7" s="642"/>
      <c r="G7" s="643" t="s">
        <v>5</v>
      </c>
      <c r="H7" s="643" t="s">
        <v>6</v>
      </c>
      <c r="I7" s="643" t="s">
        <v>7</v>
      </c>
      <c r="J7" s="643" t="s">
        <v>8</v>
      </c>
      <c r="K7" s="643" t="s">
        <v>9</v>
      </c>
      <c r="L7" s="643" t="s">
        <v>10</v>
      </c>
      <c r="M7" s="643" t="s">
        <v>11</v>
      </c>
      <c r="N7" s="643" t="s">
        <v>12</v>
      </c>
      <c r="O7" s="643" t="s">
        <v>13</v>
      </c>
      <c r="P7" s="643" t="s">
        <v>14</v>
      </c>
      <c r="Q7" s="643" t="s">
        <v>15</v>
      </c>
      <c r="R7" s="643" t="s">
        <v>16</v>
      </c>
      <c r="S7" s="641" t="s">
        <v>17</v>
      </c>
      <c r="T7" s="641" t="s">
        <v>18</v>
      </c>
      <c r="U7" s="643" t="s">
        <v>19</v>
      </c>
      <c r="V7" s="643" t="s">
        <v>48</v>
      </c>
      <c r="W7" s="642"/>
      <c r="X7" s="642"/>
      <c r="Y7" s="642"/>
      <c r="Z7" s="642"/>
    </row>
    <row r="8" spans="1:26" s="588" customFormat="1" ht="24" x14ac:dyDescent="0.2">
      <c r="A8" s="549"/>
      <c r="B8" s="549"/>
      <c r="C8" s="549"/>
      <c r="D8" s="644" t="s">
        <v>1426</v>
      </c>
      <c r="E8" s="645"/>
      <c r="F8" s="645"/>
      <c r="G8" s="643"/>
      <c r="H8" s="643"/>
      <c r="I8" s="643"/>
      <c r="J8" s="643"/>
      <c r="K8" s="643"/>
      <c r="L8" s="643"/>
      <c r="M8" s="643"/>
      <c r="N8" s="643"/>
      <c r="O8" s="643"/>
      <c r="P8" s="643"/>
      <c r="Q8" s="643"/>
      <c r="R8" s="643"/>
      <c r="S8" s="644" t="s">
        <v>1426</v>
      </c>
      <c r="T8" s="644" t="s">
        <v>1426</v>
      </c>
      <c r="U8" s="643"/>
      <c r="V8" s="643"/>
      <c r="W8" s="645"/>
      <c r="X8" s="645"/>
      <c r="Y8" s="645"/>
      <c r="Z8" s="645"/>
    </row>
    <row r="9" spans="1:26" s="588" customFormat="1" x14ac:dyDescent="0.2">
      <c r="A9" s="549"/>
      <c r="B9" s="646" t="s">
        <v>20</v>
      </c>
      <c r="C9" s="646" t="s">
        <v>21</v>
      </c>
      <c r="D9" s="646" t="s">
        <v>22</v>
      </c>
      <c r="E9" s="647"/>
      <c r="F9" s="647"/>
      <c r="G9" s="646" t="s">
        <v>23</v>
      </c>
      <c r="H9" s="646" t="s">
        <v>23</v>
      </c>
      <c r="I9" s="646" t="s">
        <v>23</v>
      </c>
      <c r="J9" s="646" t="s">
        <v>23</v>
      </c>
      <c r="K9" s="646" t="s">
        <v>23</v>
      </c>
      <c r="L9" s="646" t="s">
        <v>23</v>
      </c>
      <c r="M9" s="646" t="s">
        <v>23</v>
      </c>
      <c r="N9" s="646" t="s">
        <v>23</v>
      </c>
      <c r="O9" s="646" t="s">
        <v>23</v>
      </c>
      <c r="P9" s="646" t="s">
        <v>23</v>
      </c>
      <c r="Q9" s="646" t="s">
        <v>23</v>
      </c>
      <c r="R9" s="646" t="s">
        <v>23</v>
      </c>
      <c r="S9" s="646" t="s">
        <v>49</v>
      </c>
      <c r="T9" s="646" t="s">
        <v>50</v>
      </c>
      <c r="U9" s="646" t="s">
        <v>51</v>
      </c>
      <c r="V9" s="646" t="s">
        <v>52</v>
      </c>
      <c r="W9" s="647"/>
      <c r="X9" s="647"/>
      <c r="Y9" s="647"/>
      <c r="Z9" s="647"/>
    </row>
    <row r="10" spans="1:26" x14ac:dyDescent="0.2">
      <c r="A10" s="648" t="s">
        <v>250</v>
      </c>
      <c r="B10" s="649">
        <v>0</v>
      </c>
      <c r="C10" s="649">
        <v>0</v>
      </c>
      <c r="D10" s="649">
        <v>0</v>
      </c>
      <c r="E10" s="650"/>
      <c r="F10" s="650"/>
      <c r="G10" s="649">
        <v>0</v>
      </c>
      <c r="H10" s="649">
        <v>0</v>
      </c>
      <c r="I10" s="649">
        <v>0</v>
      </c>
      <c r="J10" s="649">
        <v>0</v>
      </c>
      <c r="K10" s="649">
        <v>0</v>
      </c>
      <c r="L10" s="649">
        <v>0</v>
      </c>
      <c r="M10" s="649">
        <v>0</v>
      </c>
      <c r="N10" s="649">
        <v>0</v>
      </c>
      <c r="O10" s="649">
        <v>0</v>
      </c>
      <c r="P10" s="649">
        <v>0</v>
      </c>
      <c r="Q10" s="649">
        <v>0</v>
      </c>
      <c r="R10" s="649">
        <v>0</v>
      </c>
      <c r="S10" s="649">
        <v>0</v>
      </c>
      <c r="T10" s="651" t="e">
        <v>#DIV/0!</v>
      </c>
      <c r="U10" s="652">
        <v>0</v>
      </c>
      <c r="V10" s="652">
        <v>0</v>
      </c>
      <c r="W10" s="653"/>
      <c r="X10" s="653"/>
      <c r="Y10" s="653"/>
      <c r="Z10" s="653"/>
    </row>
    <row r="11" spans="1:26" x14ac:dyDescent="0.2">
      <c r="A11" s="597" t="s">
        <v>251</v>
      </c>
      <c r="B11" s="655">
        <v>0</v>
      </c>
      <c r="C11" s="655">
        <v>0</v>
      </c>
      <c r="D11" s="655">
        <v>0</v>
      </c>
      <c r="E11" s="650"/>
      <c r="F11" s="650"/>
      <c r="G11" s="655">
        <v>0</v>
      </c>
      <c r="H11" s="655">
        <v>0</v>
      </c>
      <c r="I11" s="655">
        <v>0</v>
      </c>
      <c r="J11" s="655">
        <v>0</v>
      </c>
      <c r="K11" s="655">
        <v>0</v>
      </c>
      <c r="L11" s="655">
        <v>0</v>
      </c>
      <c r="M11" s="655">
        <v>0</v>
      </c>
      <c r="N11" s="655">
        <v>0</v>
      </c>
      <c r="O11" s="655">
        <v>0</v>
      </c>
      <c r="P11" s="655">
        <v>0</v>
      </c>
      <c r="Q11" s="655">
        <v>0</v>
      </c>
      <c r="R11" s="655">
        <v>0</v>
      </c>
      <c r="S11" s="655">
        <v>0</v>
      </c>
      <c r="T11" s="600" t="e">
        <v>#DIV/0!</v>
      </c>
      <c r="U11" s="656">
        <v>0</v>
      </c>
      <c r="V11" s="656">
        <v>0</v>
      </c>
      <c r="W11" s="653"/>
      <c r="X11" s="653"/>
      <c r="Y11" s="653"/>
      <c r="Z11" s="653"/>
    </row>
    <row r="12" spans="1:26" x14ac:dyDescent="0.2">
      <c r="A12" s="602" t="s">
        <v>252</v>
      </c>
      <c r="B12" s="657">
        <v>0</v>
      </c>
      <c r="C12" s="657">
        <v>0</v>
      </c>
      <c r="D12" s="657">
        <v>0</v>
      </c>
      <c r="E12" s="653"/>
      <c r="F12" s="653"/>
      <c r="G12" s="657">
        <v>0</v>
      </c>
      <c r="H12" s="657">
        <v>0</v>
      </c>
      <c r="I12" s="657">
        <v>0</v>
      </c>
      <c r="J12" s="657">
        <v>0</v>
      </c>
      <c r="K12" s="657">
        <v>0</v>
      </c>
      <c r="L12" s="657">
        <v>0</v>
      </c>
      <c r="M12" s="657">
        <v>0</v>
      </c>
      <c r="N12" s="657">
        <v>0</v>
      </c>
      <c r="O12" s="657">
        <v>0</v>
      </c>
      <c r="P12" s="657">
        <v>0</v>
      </c>
      <c r="Q12" s="657">
        <v>0</v>
      </c>
      <c r="R12" s="657">
        <v>0</v>
      </c>
      <c r="S12" s="657">
        <v>0</v>
      </c>
      <c r="T12" s="604" t="e">
        <v>#DIV/0!</v>
      </c>
      <c r="U12" s="658">
        <v>0</v>
      </c>
      <c r="V12" s="658">
        <v>0</v>
      </c>
      <c r="W12" s="653"/>
      <c r="X12" s="653"/>
      <c r="Y12" s="653"/>
      <c r="Z12" s="653"/>
    </row>
    <row r="13" spans="1:26" x14ac:dyDescent="0.2">
      <c r="A13" s="602" t="s">
        <v>253</v>
      </c>
      <c r="B13" s="657">
        <v>0</v>
      </c>
      <c r="C13" s="657">
        <v>0</v>
      </c>
      <c r="D13" s="657">
        <v>0</v>
      </c>
      <c r="E13" s="653"/>
      <c r="F13" s="653"/>
      <c r="G13" s="657">
        <v>0</v>
      </c>
      <c r="H13" s="657">
        <v>0</v>
      </c>
      <c r="I13" s="657">
        <v>0</v>
      </c>
      <c r="J13" s="657">
        <v>0</v>
      </c>
      <c r="K13" s="657">
        <v>0</v>
      </c>
      <c r="L13" s="657">
        <v>0</v>
      </c>
      <c r="M13" s="657">
        <v>0</v>
      </c>
      <c r="N13" s="657">
        <v>0</v>
      </c>
      <c r="O13" s="657">
        <v>0</v>
      </c>
      <c r="P13" s="657">
        <v>0</v>
      </c>
      <c r="Q13" s="657">
        <v>0</v>
      </c>
      <c r="R13" s="657">
        <v>0</v>
      </c>
      <c r="S13" s="657">
        <v>0</v>
      </c>
      <c r="T13" s="604" t="e">
        <v>#DIV/0!</v>
      </c>
      <c r="U13" s="658">
        <v>0</v>
      </c>
      <c r="V13" s="658">
        <v>0</v>
      </c>
      <c r="W13" s="653"/>
      <c r="X13" s="653"/>
      <c r="Y13" s="653"/>
      <c r="Z13" s="653"/>
    </row>
    <row r="14" spans="1:26" x14ac:dyDescent="0.2">
      <c r="A14" s="602" t="s">
        <v>254</v>
      </c>
      <c r="B14" s="657">
        <v>0</v>
      </c>
      <c r="C14" s="657">
        <v>0</v>
      </c>
      <c r="D14" s="657">
        <v>0</v>
      </c>
      <c r="E14" s="653"/>
      <c r="F14" s="653"/>
      <c r="G14" s="657">
        <v>0</v>
      </c>
      <c r="H14" s="657">
        <v>0</v>
      </c>
      <c r="I14" s="657">
        <v>0</v>
      </c>
      <c r="J14" s="657">
        <v>0</v>
      </c>
      <c r="K14" s="657">
        <v>0</v>
      </c>
      <c r="L14" s="657">
        <v>0</v>
      </c>
      <c r="M14" s="657">
        <v>0</v>
      </c>
      <c r="N14" s="657">
        <v>0</v>
      </c>
      <c r="O14" s="657">
        <v>0</v>
      </c>
      <c r="P14" s="657">
        <v>0</v>
      </c>
      <c r="Q14" s="657">
        <v>0</v>
      </c>
      <c r="R14" s="657">
        <v>0</v>
      </c>
      <c r="S14" s="657">
        <v>0</v>
      </c>
      <c r="T14" s="604" t="e">
        <v>#DIV/0!</v>
      </c>
      <c r="U14" s="658">
        <v>0</v>
      </c>
      <c r="V14" s="658">
        <v>0</v>
      </c>
      <c r="W14" s="653"/>
      <c r="X14" s="653"/>
      <c r="Y14" s="653"/>
      <c r="Z14" s="653"/>
    </row>
    <row r="15" spans="1:26" x14ac:dyDescent="0.2">
      <c r="A15" s="602" t="s">
        <v>255</v>
      </c>
      <c r="B15" s="657">
        <v>0</v>
      </c>
      <c r="C15" s="657">
        <v>0</v>
      </c>
      <c r="D15" s="657">
        <v>0</v>
      </c>
      <c r="E15" s="653"/>
      <c r="F15" s="653"/>
      <c r="G15" s="657">
        <v>0</v>
      </c>
      <c r="H15" s="657">
        <v>0</v>
      </c>
      <c r="I15" s="657">
        <v>0</v>
      </c>
      <c r="J15" s="657">
        <v>0</v>
      </c>
      <c r="K15" s="657">
        <v>0</v>
      </c>
      <c r="L15" s="657">
        <v>0</v>
      </c>
      <c r="M15" s="657">
        <v>0</v>
      </c>
      <c r="N15" s="657">
        <v>0</v>
      </c>
      <c r="O15" s="657">
        <v>0</v>
      </c>
      <c r="P15" s="657">
        <v>0</v>
      </c>
      <c r="Q15" s="657">
        <v>0</v>
      </c>
      <c r="R15" s="657">
        <v>0</v>
      </c>
      <c r="S15" s="657">
        <v>0</v>
      </c>
      <c r="T15" s="604" t="e">
        <v>#DIV/0!</v>
      </c>
      <c r="U15" s="658">
        <v>0</v>
      </c>
      <c r="V15" s="658">
        <v>0</v>
      </c>
      <c r="W15" s="653"/>
      <c r="X15" s="653"/>
      <c r="Y15" s="653"/>
      <c r="Z15" s="653"/>
    </row>
    <row r="16" spans="1:26" x14ac:dyDescent="0.2">
      <c r="A16" s="602" t="s">
        <v>256</v>
      </c>
      <c r="B16" s="657">
        <v>0</v>
      </c>
      <c r="C16" s="657">
        <v>0</v>
      </c>
      <c r="D16" s="657">
        <v>0</v>
      </c>
      <c r="E16" s="653"/>
      <c r="F16" s="653"/>
      <c r="G16" s="657">
        <v>0</v>
      </c>
      <c r="H16" s="657">
        <v>0</v>
      </c>
      <c r="I16" s="657">
        <v>0</v>
      </c>
      <c r="J16" s="657">
        <v>0</v>
      </c>
      <c r="K16" s="657">
        <v>0</v>
      </c>
      <c r="L16" s="657">
        <v>0</v>
      </c>
      <c r="M16" s="657">
        <v>0</v>
      </c>
      <c r="N16" s="657">
        <v>0</v>
      </c>
      <c r="O16" s="657">
        <v>0</v>
      </c>
      <c r="P16" s="657">
        <v>0</v>
      </c>
      <c r="Q16" s="657">
        <v>0</v>
      </c>
      <c r="R16" s="657">
        <v>0</v>
      </c>
      <c r="S16" s="657">
        <v>0</v>
      </c>
      <c r="T16" s="604" t="e">
        <v>#DIV/0!</v>
      </c>
      <c r="U16" s="658">
        <v>0</v>
      </c>
      <c r="V16" s="658">
        <v>0</v>
      </c>
      <c r="W16" s="653"/>
      <c r="X16" s="653"/>
      <c r="Y16" s="653"/>
      <c r="Z16" s="653"/>
    </row>
    <row r="17" spans="1:26" x14ac:dyDescent="0.2">
      <c r="A17" s="602" t="s">
        <v>257</v>
      </c>
      <c r="B17" s="657">
        <v>0</v>
      </c>
      <c r="C17" s="657">
        <v>0</v>
      </c>
      <c r="D17" s="657">
        <v>0</v>
      </c>
      <c r="E17" s="653"/>
      <c r="F17" s="653"/>
      <c r="G17" s="657">
        <v>0</v>
      </c>
      <c r="H17" s="657">
        <v>0</v>
      </c>
      <c r="I17" s="657">
        <v>0</v>
      </c>
      <c r="J17" s="657">
        <v>0</v>
      </c>
      <c r="K17" s="657">
        <v>0</v>
      </c>
      <c r="L17" s="657">
        <v>0</v>
      </c>
      <c r="M17" s="657">
        <v>0</v>
      </c>
      <c r="N17" s="657">
        <v>0</v>
      </c>
      <c r="O17" s="657">
        <v>0</v>
      </c>
      <c r="P17" s="657">
        <v>0</v>
      </c>
      <c r="Q17" s="657">
        <v>0</v>
      </c>
      <c r="R17" s="657">
        <v>0</v>
      </c>
      <c r="S17" s="657">
        <v>0</v>
      </c>
      <c r="T17" s="604" t="e">
        <v>#DIV/0!</v>
      </c>
      <c r="U17" s="658">
        <v>0</v>
      </c>
      <c r="V17" s="658">
        <v>0</v>
      </c>
      <c r="W17" s="653"/>
      <c r="X17" s="653"/>
      <c r="Y17" s="653"/>
      <c r="Z17" s="653"/>
    </row>
    <row r="18" spans="1:26" x14ac:dyDescent="0.2">
      <c r="A18" s="602" t="s">
        <v>258</v>
      </c>
      <c r="B18" s="657">
        <v>0</v>
      </c>
      <c r="C18" s="657">
        <v>0</v>
      </c>
      <c r="D18" s="657">
        <v>0</v>
      </c>
      <c r="E18" s="653"/>
      <c r="F18" s="653"/>
      <c r="G18" s="657">
        <v>0</v>
      </c>
      <c r="H18" s="657">
        <v>0</v>
      </c>
      <c r="I18" s="657">
        <v>0</v>
      </c>
      <c r="J18" s="657">
        <v>0</v>
      </c>
      <c r="K18" s="657">
        <v>0</v>
      </c>
      <c r="L18" s="657">
        <v>0</v>
      </c>
      <c r="M18" s="657">
        <v>0</v>
      </c>
      <c r="N18" s="657">
        <v>0</v>
      </c>
      <c r="O18" s="657">
        <v>0</v>
      </c>
      <c r="P18" s="657">
        <v>0</v>
      </c>
      <c r="Q18" s="657">
        <v>0</v>
      </c>
      <c r="R18" s="657">
        <v>0</v>
      </c>
      <c r="S18" s="657">
        <v>0</v>
      </c>
      <c r="T18" s="604" t="e">
        <v>#DIV/0!</v>
      </c>
      <c r="U18" s="658">
        <v>0</v>
      </c>
      <c r="V18" s="658">
        <v>0</v>
      </c>
      <c r="W18" s="653"/>
      <c r="X18" s="653"/>
      <c r="Y18" s="653"/>
      <c r="Z18" s="653"/>
    </row>
    <row r="19" spans="1:26" x14ac:dyDescent="0.2">
      <c r="A19" s="602" t="s">
        <v>259</v>
      </c>
      <c r="B19" s="657">
        <v>0</v>
      </c>
      <c r="C19" s="657">
        <v>0</v>
      </c>
      <c r="D19" s="657">
        <v>0</v>
      </c>
      <c r="E19" s="653"/>
      <c r="F19" s="653"/>
      <c r="G19" s="657">
        <v>0</v>
      </c>
      <c r="H19" s="657">
        <v>0</v>
      </c>
      <c r="I19" s="657">
        <v>0</v>
      </c>
      <c r="J19" s="657">
        <v>0</v>
      </c>
      <c r="K19" s="657">
        <v>0</v>
      </c>
      <c r="L19" s="657">
        <v>0</v>
      </c>
      <c r="M19" s="657">
        <v>0</v>
      </c>
      <c r="N19" s="657">
        <v>0</v>
      </c>
      <c r="O19" s="657">
        <v>0</v>
      </c>
      <c r="P19" s="657">
        <v>0</v>
      </c>
      <c r="Q19" s="657">
        <v>0</v>
      </c>
      <c r="R19" s="657">
        <v>0</v>
      </c>
      <c r="S19" s="657">
        <v>0</v>
      </c>
      <c r="T19" s="604" t="e">
        <v>#DIV/0!</v>
      </c>
      <c r="U19" s="658">
        <v>0</v>
      </c>
      <c r="V19" s="658">
        <v>0</v>
      </c>
      <c r="W19" s="653"/>
      <c r="X19" s="653"/>
      <c r="Y19" s="653"/>
      <c r="Z19" s="653"/>
    </row>
    <row r="20" spans="1:26" x14ac:dyDescent="0.2">
      <c r="A20" s="602" t="s">
        <v>260</v>
      </c>
      <c r="B20" s="657">
        <v>0</v>
      </c>
      <c r="C20" s="657">
        <v>0</v>
      </c>
      <c r="D20" s="657">
        <v>0</v>
      </c>
      <c r="E20" s="653"/>
      <c r="F20" s="653"/>
      <c r="G20" s="657">
        <v>0</v>
      </c>
      <c r="H20" s="657">
        <v>0</v>
      </c>
      <c r="I20" s="657">
        <v>0</v>
      </c>
      <c r="J20" s="657">
        <v>0</v>
      </c>
      <c r="K20" s="657">
        <v>0</v>
      </c>
      <c r="L20" s="657">
        <v>0</v>
      </c>
      <c r="M20" s="657">
        <v>0</v>
      </c>
      <c r="N20" s="657">
        <v>0</v>
      </c>
      <c r="O20" s="657">
        <v>0</v>
      </c>
      <c r="P20" s="657">
        <v>0</v>
      </c>
      <c r="Q20" s="657">
        <v>0</v>
      </c>
      <c r="R20" s="657">
        <v>0</v>
      </c>
      <c r="S20" s="657">
        <v>0</v>
      </c>
      <c r="T20" s="604" t="e">
        <v>#DIV/0!</v>
      </c>
      <c r="U20" s="658">
        <v>0</v>
      </c>
      <c r="V20" s="658">
        <v>0</v>
      </c>
      <c r="W20" s="653"/>
      <c r="X20" s="653"/>
      <c r="Y20" s="653"/>
      <c r="Z20" s="653"/>
    </row>
    <row r="21" spans="1:26" x14ac:dyDescent="0.2">
      <c r="A21" s="602" t="s">
        <v>261</v>
      </c>
      <c r="B21" s="657">
        <v>0</v>
      </c>
      <c r="C21" s="657">
        <v>0</v>
      </c>
      <c r="D21" s="657">
        <v>0</v>
      </c>
      <c r="E21" s="653"/>
      <c r="F21" s="653"/>
      <c r="G21" s="657">
        <v>0</v>
      </c>
      <c r="H21" s="657">
        <v>0</v>
      </c>
      <c r="I21" s="657">
        <v>0</v>
      </c>
      <c r="J21" s="657">
        <v>0</v>
      </c>
      <c r="K21" s="657">
        <v>0</v>
      </c>
      <c r="L21" s="657">
        <v>0</v>
      </c>
      <c r="M21" s="657">
        <v>0</v>
      </c>
      <c r="N21" s="657">
        <v>0</v>
      </c>
      <c r="O21" s="657">
        <v>0</v>
      </c>
      <c r="P21" s="657">
        <v>0</v>
      </c>
      <c r="Q21" s="657">
        <v>0</v>
      </c>
      <c r="R21" s="657">
        <v>0</v>
      </c>
      <c r="S21" s="657">
        <v>0</v>
      </c>
      <c r="T21" s="604" t="e">
        <v>#DIV/0!</v>
      </c>
      <c r="U21" s="658">
        <v>0</v>
      </c>
      <c r="V21" s="658">
        <v>0</v>
      </c>
      <c r="W21" s="653"/>
      <c r="X21" s="653"/>
      <c r="Y21" s="653"/>
      <c r="Z21" s="653"/>
    </row>
    <row r="22" spans="1:26" x14ac:dyDescent="0.2">
      <c r="A22" s="602" t="s">
        <v>262</v>
      </c>
      <c r="B22" s="657">
        <v>0</v>
      </c>
      <c r="C22" s="657">
        <v>0</v>
      </c>
      <c r="D22" s="657">
        <v>0</v>
      </c>
      <c r="E22" s="653"/>
      <c r="F22" s="653"/>
      <c r="G22" s="657">
        <v>0</v>
      </c>
      <c r="H22" s="657">
        <v>0</v>
      </c>
      <c r="I22" s="657">
        <v>0</v>
      </c>
      <c r="J22" s="657">
        <v>0</v>
      </c>
      <c r="K22" s="657">
        <v>0</v>
      </c>
      <c r="L22" s="657">
        <v>0</v>
      </c>
      <c r="M22" s="657">
        <v>0</v>
      </c>
      <c r="N22" s="657">
        <v>0</v>
      </c>
      <c r="O22" s="657">
        <v>0</v>
      </c>
      <c r="P22" s="657">
        <v>0</v>
      </c>
      <c r="Q22" s="657">
        <v>0</v>
      </c>
      <c r="R22" s="657">
        <v>0</v>
      </c>
      <c r="S22" s="657">
        <v>0</v>
      </c>
      <c r="T22" s="604" t="e">
        <v>#DIV/0!</v>
      </c>
      <c r="U22" s="658">
        <v>0</v>
      </c>
      <c r="V22" s="658">
        <v>0</v>
      </c>
      <c r="W22" s="653"/>
      <c r="X22" s="653"/>
      <c r="Y22" s="653"/>
      <c r="Z22" s="653"/>
    </row>
    <row r="23" spans="1:26" s="661" customFormat="1" x14ac:dyDescent="0.2">
      <c r="A23" s="597" t="s">
        <v>263</v>
      </c>
      <c r="B23" s="659">
        <v>0</v>
      </c>
      <c r="C23" s="659">
        <v>0</v>
      </c>
      <c r="D23" s="659">
        <v>0</v>
      </c>
      <c r="E23" s="660"/>
      <c r="F23" s="660"/>
      <c r="G23" s="659">
        <v>0</v>
      </c>
      <c r="H23" s="659">
        <v>0</v>
      </c>
      <c r="I23" s="659">
        <v>0</v>
      </c>
      <c r="J23" s="659">
        <v>0</v>
      </c>
      <c r="K23" s="659">
        <v>0</v>
      </c>
      <c r="L23" s="659">
        <v>0</v>
      </c>
      <c r="M23" s="659">
        <v>0</v>
      </c>
      <c r="N23" s="659">
        <v>0</v>
      </c>
      <c r="O23" s="659">
        <v>0</v>
      </c>
      <c r="P23" s="659">
        <v>0</v>
      </c>
      <c r="Q23" s="659">
        <v>0</v>
      </c>
      <c r="R23" s="659">
        <v>0</v>
      </c>
      <c r="S23" s="659">
        <v>0</v>
      </c>
      <c r="T23" s="600" t="e">
        <v>#DIV/0!</v>
      </c>
      <c r="U23" s="656">
        <v>0</v>
      </c>
      <c r="V23" s="656">
        <v>0</v>
      </c>
      <c r="W23" s="660"/>
      <c r="X23" s="660"/>
      <c r="Y23" s="660"/>
      <c r="Z23" s="660"/>
    </row>
    <row r="24" spans="1:26" x14ac:dyDescent="0.2">
      <c r="A24" s="597" t="s">
        <v>264</v>
      </c>
      <c r="B24" s="655">
        <v>0</v>
      </c>
      <c r="C24" s="655">
        <v>0</v>
      </c>
      <c r="D24" s="655">
        <v>0</v>
      </c>
      <c r="E24" s="650"/>
      <c r="F24" s="650"/>
      <c r="G24" s="655">
        <v>0</v>
      </c>
      <c r="H24" s="655">
        <v>0</v>
      </c>
      <c r="I24" s="655">
        <v>0</v>
      </c>
      <c r="J24" s="655">
        <v>0</v>
      </c>
      <c r="K24" s="655">
        <v>0</v>
      </c>
      <c r="L24" s="655">
        <v>0</v>
      </c>
      <c r="M24" s="655">
        <v>0</v>
      </c>
      <c r="N24" s="655">
        <v>0</v>
      </c>
      <c r="O24" s="655">
        <v>0</v>
      </c>
      <c r="P24" s="655">
        <v>0</v>
      </c>
      <c r="Q24" s="655">
        <v>0</v>
      </c>
      <c r="R24" s="655">
        <v>0</v>
      </c>
      <c r="S24" s="655">
        <v>0</v>
      </c>
      <c r="T24" s="600" t="e">
        <v>#DIV/0!</v>
      </c>
      <c r="U24" s="656">
        <v>0</v>
      </c>
      <c r="V24" s="656">
        <v>0</v>
      </c>
      <c r="W24" s="653"/>
      <c r="X24" s="653"/>
      <c r="Y24" s="653"/>
      <c r="Z24" s="653"/>
    </row>
    <row r="25" spans="1:26" ht="24" x14ac:dyDescent="0.2">
      <c r="A25" s="602" t="s">
        <v>265</v>
      </c>
      <c r="B25" s="657">
        <v>0</v>
      </c>
      <c r="C25" s="657">
        <v>0</v>
      </c>
      <c r="D25" s="657">
        <v>0</v>
      </c>
      <c r="E25" s="653"/>
      <c r="F25" s="653"/>
      <c r="G25" s="657">
        <v>0</v>
      </c>
      <c r="H25" s="657">
        <v>0</v>
      </c>
      <c r="I25" s="657">
        <v>0</v>
      </c>
      <c r="J25" s="657">
        <v>0</v>
      </c>
      <c r="K25" s="657">
        <v>0</v>
      </c>
      <c r="L25" s="657">
        <v>0</v>
      </c>
      <c r="M25" s="657">
        <v>0</v>
      </c>
      <c r="N25" s="657">
        <v>0</v>
      </c>
      <c r="O25" s="657">
        <v>0</v>
      </c>
      <c r="P25" s="657">
        <v>0</v>
      </c>
      <c r="Q25" s="657">
        <v>0</v>
      </c>
      <c r="R25" s="657">
        <v>0</v>
      </c>
      <c r="S25" s="657">
        <v>0</v>
      </c>
      <c r="T25" s="604" t="e">
        <v>#DIV/0!</v>
      </c>
      <c r="U25" s="658">
        <v>0</v>
      </c>
      <c r="V25" s="658">
        <v>0</v>
      </c>
      <c r="W25" s="653"/>
      <c r="X25" s="653"/>
      <c r="Y25" s="653"/>
      <c r="Z25" s="653"/>
    </row>
    <row r="26" spans="1:26" ht="24" x14ac:dyDescent="0.2">
      <c r="A26" s="602" t="s">
        <v>266</v>
      </c>
      <c r="B26" s="657">
        <v>0</v>
      </c>
      <c r="C26" s="657">
        <v>0</v>
      </c>
      <c r="D26" s="657">
        <v>0</v>
      </c>
      <c r="E26" s="653"/>
      <c r="F26" s="653"/>
      <c r="G26" s="657">
        <v>0</v>
      </c>
      <c r="H26" s="657">
        <v>0</v>
      </c>
      <c r="I26" s="657">
        <v>0</v>
      </c>
      <c r="J26" s="657">
        <v>0</v>
      </c>
      <c r="K26" s="657">
        <v>0</v>
      </c>
      <c r="L26" s="657">
        <v>0</v>
      </c>
      <c r="M26" s="657">
        <v>0</v>
      </c>
      <c r="N26" s="657">
        <v>0</v>
      </c>
      <c r="O26" s="657">
        <v>0</v>
      </c>
      <c r="P26" s="657">
        <v>0</v>
      </c>
      <c r="Q26" s="657">
        <v>0</v>
      </c>
      <c r="R26" s="657">
        <v>0</v>
      </c>
      <c r="S26" s="657">
        <v>0</v>
      </c>
      <c r="T26" s="604" t="e">
        <v>#DIV/0!</v>
      </c>
      <c r="U26" s="658">
        <v>0</v>
      </c>
      <c r="V26" s="658">
        <v>0</v>
      </c>
      <c r="W26" s="653"/>
      <c r="X26" s="653"/>
      <c r="Y26" s="653"/>
      <c r="Z26" s="653"/>
    </row>
    <row r="27" spans="1:26" x14ac:dyDescent="0.2">
      <c r="A27" s="602" t="s">
        <v>267</v>
      </c>
      <c r="B27" s="657">
        <v>0</v>
      </c>
      <c r="C27" s="657">
        <v>0</v>
      </c>
      <c r="D27" s="657">
        <v>0</v>
      </c>
      <c r="E27" s="653"/>
      <c r="F27" s="653"/>
      <c r="G27" s="657">
        <v>0</v>
      </c>
      <c r="H27" s="657">
        <v>0</v>
      </c>
      <c r="I27" s="657">
        <v>0</v>
      </c>
      <c r="J27" s="657">
        <v>0</v>
      </c>
      <c r="K27" s="657">
        <v>0</v>
      </c>
      <c r="L27" s="657">
        <v>0</v>
      </c>
      <c r="M27" s="657">
        <v>0</v>
      </c>
      <c r="N27" s="657">
        <v>0</v>
      </c>
      <c r="O27" s="657">
        <v>0</v>
      </c>
      <c r="P27" s="657">
        <v>0</v>
      </c>
      <c r="Q27" s="657">
        <v>0</v>
      </c>
      <c r="R27" s="657">
        <v>0</v>
      </c>
      <c r="S27" s="657">
        <v>0</v>
      </c>
      <c r="T27" s="604" t="e">
        <v>#DIV/0!</v>
      </c>
      <c r="U27" s="658">
        <v>0</v>
      </c>
      <c r="V27" s="658">
        <v>0</v>
      </c>
      <c r="W27" s="653"/>
      <c r="X27" s="653"/>
      <c r="Y27" s="653"/>
      <c r="Z27" s="653"/>
    </row>
    <row r="28" spans="1:26" x14ac:dyDescent="0.2">
      <c r="A28" s="602" t="s">
        <v>268</v>
      </c>
      <c r="B28" s="657">
        <v>0</v>
      </c>
      <c r="C28" s="657">
        <v>0</v>
      </c>
      <c r="D28" s="657">
        <v>0</v>
      </c>
      <c r="E28" s="653"/>
      <c r="F28" s="653"/>
      <c r="G28" s="657">
        <v>0</v>
      </c>
      <c r="H28" s="657">
        <v>0</v>
      </c>
      <c r="I28" s="657">
        <v>0</v>
      </c>
      <c r="J28" s="657">
        <v>0</v>
      </c>
      <c r="K28" s="657">
        <v>0</v>
      </c>
      <c r="L28" s="657">
        <v>0</v>
      </c>
      <c r="M28" s="657">
        <v>0</v>
      </c>
      <c r="N28" s="657">
        <v>0</v>
      </c>
      <c r="O28" s="657">
        <v>0</v>
      </c>
      <c r="P28" s="657">
        <v>0</v>
      </c>
      <c r="Q28" s="657">
        <v>0</v>
      </c>
      <c r="R28" s="657">
        <v>0</v>
      </c>
      <c r="S28" s="657">
        <v>0</v>
      </c>
      <c r="T28" s="604" t="e">
        <v>#DIV/0!</v>
      </c>
      <c r="U28" s="658">
        <v>0</v>
      </c>
      <c r="V28" s="658">
        <v>0</v>
      </c>
      <c r="W28" s="653"/>
      <c r="X28" s="653"/>
      <c r="Y28" s="653"/>
      <c r="Z28" s="653"/>
    </row>
    <row r="29" spans="1:26" x14ac:dyDescent="0.2">
      <c r="A29" s="648" t="s">
        <v>269</v>
      </c>
      <c r="B29" s="649">
        <v>0</v>
      </c>
      <c r="C29" s="649">
        <v>0</v>
      </c>
      <c r="D29" s="649">
        <v>0</v>
      </c>
      <c r="E29" s="650"/>
      <c r="F29" s="650"/>
      <c r="G29" s="649">
        <v>0</v>
      </c>
      <c r="H29" s="649">
        <v>0</v>
      </c>
      <c r="I29" s="649">
        <v>0</v>
      </c>
      <c r="J29" s="649">
        <v>0</v>
      </c>
      <c r="K29" s="649">
        <v>0</v>
      </c>
      <c r="L29" s="649">
        <v>0</v>
      </c>
      <c r="M29" s="649">
        <v>0</v>
      </c>
      <c r="N29" s="649">
        <v>0</v>
      </c>
      <c r="O29" s="649">
        <v>0</v>
      </c>
      <c r="P29" s="649">
        <v>0</v>
      </c>
      <c r="Q29" s="649">
        <v>0</v>
      </c>
      <c r="R29" s="649">
        <v>0</v>
      </c>
      <c r="S29" s="649">
        <v>0</v>
      </c>
      <c r="T29" s="651" t="e">
        <v>#DIV/0!</v>
      </c>
      <c r="U29" s="652">
        <v>0</v>
      </c>
      <c r="V29" s="652">
        <v>0</v>
      </c>
      <c r="W29" s="653"/>
      <c r="X29" s="653"/>
      <c r="Y29" s="653"/>
      <c r="Z29" s="653"/>
    </row>
    <row r="30" spans="1:26" x14ac:dyDescent="0.2">
      <c r="A30" s="597" t="s">
        <v>270</v>
      </c>
      <c r="B30" s="655">
        <v>0</v>
      </c>
      <c r="C30" s="655">
        <v>0</v>
      </c>
      <c r="D30" s="655">
        <v>0</v>
      </c>
      <c r="E30" s="650"/>
      <c r="F30" s="650"/>
      <c r="G30" s="655">
        <v>0</v>
      </c>
      <c r="H30" s="655">
        <v>0</v>
      </c>
      <c r="I30" s="655">
        <v>0</v>
      </c>
      <c r="J30" s="655">
        <v>0</v>
      </c>
      <c r="K30" s="655">
        <v>0</v>
      </c>
      <c r="L30" s="655">
        <v>0</v>
      </c>
      <c r="M30" s="655">
        <v>0</v>
      </c>
      <c r="N30" s="655">
        <v>0</v>
      </c>
      <c r="O30" s="655">
        <v>0</v>
      </c>
      <c r="P30" s="655">
        <v>0</v>
      </c>
      <c r="Q30" s="655">
        <v>0</v>
      </c>
      <c r="R30" s="655">
        <v>0</v>
      </c>
      <c r="S30" s="655">
        <v>0</v>
      </c>
      <c r="T30" s="600" t="e">
        <v>#DIV/0!</v>
      </c>
      <c r="U30" s="656">
        <v>0</v>
      </c>
      <c r="V30" s="656">
        <v>0</v>
      </c>
      <c r="W30" s="653"/>
      <c r="X30" s="653"/>
      <c r="Y30" s="653"/>
      <c r="Z30" s="653"/>
    </row>
    <row r="31" spans="1:26" x14ac:dyDescent="0.2">
      <c r="A31" s="602" t="s">
        <v>271</v>
      </c>
      <c r="B31" s="657">
        <v>0</v>
      </c>
      <c r="C31" s="657">
        <v>0</v>
      </c>
      <c r="D31" s="657">
        <v>0</v>
      </c>
      <c r="E31" s="653"/>
      <c r="F31" s="653"/>
      <c r="G31" s="657">
        <v>0</v>
      </c>
      <c r="H31" s="657">
        <v>0</v>
      </c>
      <c r="I31" s="657">
        <v>0</v>
      </c>
      <c r="J31" s="657">
        <v>0</v>
      </c>
      <c r="K31" s="657">
        <v>0</v>
      </c>
      <c r="L31" s="657">
        <v>0</v>
      </c>
      <c r="M31" s="657">
        <v>0</v>
      </c>
      <c r="N31" s="657">
        <v>0</v>
      </c>
      <c r="O31" s="657">
        <v>0</v>
      </c>
      <c r="P31" s="657">
        <v>0</v>
      </c>
      <c r="Q31" s="657">
        <v>0</v>
      </c>
      <c r="R31" s="657">
        <v>0</v>
      </c>
      <c r="S31" s="657">
        <v>0</v>
      </c>
      <c r="T31" s="604" t="e">
        <v>#DIV/0!</v>
      </c>
      <c r="U31" s="658">
        <v>0</v>
      </c>
      <c r="V31" s="658">
        <v>0</v>
      </c>
      <c r="W31" s="653"/>
      <c r="X31" s="653"/>
      <c r="Y31" s="653"/>
      <c r="Z31" s="653"/>
    </row>
    <row r="32" spans="1:26" x14ac:dyDescent="0.2">
      <c r="A32" s="602" t="s">
        <v>272</v>
      </c>
      <c r="B32" s="657">
        <v>0</v>
      </c>
      <c r="C32" s="657">
        <v>0</v>
      </c>
      <c r="D32" s="657">
        <v>0</v>
      </c>
      <c r="E32" s="653"/>
      <c r="F32" s="653"/>
      <c r="G32" s="657">
        <v>0</v>
      </c>
      <c r="H32" s="657">
        <v>0</v>
      </c>
      <c r="I32" s="657">
        <v>0</v>
      </c>
      <c r="J32" s="657">
        <v>0</v>
      </c>
      <c r="K32" s="657">
        <v>0</v>
      </c>
      <c r="L32" s="657">
        <v>0</v>
      </c>
      <c r="M32" s="657">
        <v>0</v>
      </c>
      <c r="N32" s="657">
        <v>0</v>
      </c>
      <c r="O32" s="657">
        <v>0</v>
      </c>
      <c r="P32" s="657">
        <v>0</v>
      </c>
      <c r="Q32" s="657">
        <v>0</v>
      </c>
      <c r="R32" s="657">
        <v>0</v>
      </c>
      <c r="S32" s="657">
        <v>0</v>
      </c>
      <c r="T32" s="604" t="e">
        <v>#DIV/0!</v>
      </c>
      <c r="U32" s="658">
        <v>0</v>
      </c>
      <c r="V32" s="658">
        <v>0</v>
      </c>
      <c r="W32" s="653"/>
      <c r="X32" s="653"/>
      <c r="Y32" s="653"/>
      <c r="Z32" s="653"/>
    </row>
    <row r="33" spans="1:26" x14ac:dyDescent="0.2">
      <c r="A33" s="602" t="s">
        <v>273</v>
      </c>
      <c r="B33" s="657">
        <v>0</v>
      </c>
      <c r="C33" s="657">
        <v>0</v>
      </c>
      <c r="D33" s="657">
        <v>0</v>
      </c>
      <c r="E33" s="653"/>
      <c r="F33" s="653"/>
      <c r="G33" s="657">
        <v>0</v>
      </c>
      <c r="H33" s="657">
        <v>0</v>
      </c>
      <c r="I33" s="657">
        <v>0</v>
      </c>
      <c r="J33" s="657">
        <v>0</v>
      </c>
      <c r="K33" s="657">
        <v>0</v>
      </c>
      <c r="L33" s="657">
        <v>0</v>
      </c>
      <c r="M33" s="657">
        <v>0</v>
      </c>
      <c r="N33" s="657">
        <v>0</v>
      </c>
      <c r="O33" s="657">
        <v>0</v>
      </c>
      <c r="P33" s="657">
        <v>0</v>
      </c>
      <c r="Q33" s="657">
        <v>0</v>
      </c>
      <c r="R33" s="657">
        <v>0</v>
      </c>
      <c r="S33" s="657">
        <v>0</v>
      </c>
      <c r="T33" s="604" t="e">
        <v>#DIV/0!</v>
      </c>
      <c r="U33" s="658">
        <v>0</v>
      </c>
      <c r="V33" s="658">
        <v>0</v>
      </c>
      <c r="W33" s="653"/>
      <c r="X33" s="653"/>
      <c r="Y33" s="653"/>
      <c r="Z33" s="653"/>
    </row>
    <row r="34" spans="1:26" x14ac:dyDescent="0.2">
      <c r="A34" s="602" t="s">
        <v>274</v>
      </c>
      <c r="B34" s="657">
        <v>0</v>
      </c>
      <c r="C34" s="657">
        <v>0</v>
      </c>
      <c r="D34" s="657">
        <v>0</v>
      </c>
      <c r="E34" s="653"/>
      <c r="F34" s="653"/>
      <c r="G34" s="657">
        <v>0</v>
      </c>
      <c r="H34" s="657">
        <v>0</v>
      </c>
      <c r="I34" s="657">
        <v>0</v>
      </c>
      <c r="J34" s="657">
        <v>0</v>
      </c>
      <c r="K34" s="657">
        <v>0</v>
      </c>
      <c r="L34" s="657">
        <v>0</v>
      </c>
      <c r="M34" s="657">
        <v>0</v>
      </c>
      <c r="N34" s="657">
        <v>0</v>
      </c>
      <c r="O34" s="657">
        <v>0</v>
      </c>
      <c r="P34" s="657">
        <v>0</v>
      </c>
      <c r="Q34" s="657">
        <v>0</v>
      </c>
      <c r="R34" s="657">
        <v>0</v>
      </c>
      <c r="S34" s="657">
        <v>0</v>
      </c>
      <c r="T34" s="604" t="e">
        <v>#DIV/0!</v>
      </c>
      <c r="U34" s="658">
        <v>0</v>
      </c>
      <c r="V34" s="658">
        <v>0</v>
      </c>
      <c r="W34" s="653"/>
      <c r="X34" s="653"/>
      <c r="Y34" s="653"/>
      <c r="Z34" s="653"/>
    </row>
    <row r="35" spans="1:26" x14ac:dyDescent="0.2">
      <c r="A35" s="602" t="s">
        <v>275</v>
      </c>
      <c r="B35" s="657">
        <v>0</v>
      </c>
      <c r="C35" s="657">
        <v>0</v>
      </c>
      <c r="D35" s="657">
        <v>0</v>
      </c>
      <c r="E35" s="653"/>
      <c r="F35" s="653"/>
      <c r="G35" s="657">
        <v>0</v>
      </c>
      <c r="H35" s="657">
        <v>0</v>
      </c>
      <c r="I35" s="657">
        <v>0</v>
      </c>
      <c r="J35" s="657">
        <v>0</v>
      </c>
      <c r="K35" s="657">
        <v>0</v>
      </c>
      <c r="L35" s="657">
        <v>0</v>
      </c>
      <c r="M35" s="657">
        <v>0</v>
      </c>
      <c r="N35" s="657">
        <v>0</v>
      </c>
      <c r="O35" s="657">
        <v>0</v>
      </c>
      <c r="P35" s="657">
        <v>0</v>
      </c>
      <c r="Q35" s="657">
        <v>0</v>
      </c>
      <c r="R35" s="657">
        <v>0</v>
      </c>
      <c r="S35" s="657">
        <v>0</v>
      </c>
      <c r="T35" s="604" t="e">
        <v>#DIV/0!</v>
      </c>
      <c r="U35" s="658">
        <v>0</v>
      </c>
      <c r="V35" s="658">
        <v>0</v>
      </c>
      <c r="W35" s="653"/>
      <c r="X35" s="653"/>
      <c r="Y35" s="653"/>
      <c r="Z35" s="653"/>
    </row>
    <row r="36" spans="1:26" x14ac:dyDescent="0.2">
      <c r="A36" s="602" t="s">
        <v>276</v>
      </c>
      <c r="B36" s="657">
        <v>0</v>
      </c>
      <c r="C36" s="657">
        <v>0</v>
      </c>
      <c r="D36" s="657">
        <v>0</v>
      </c>
      <c r="E36" s="653"/>
      <c r="F36" s="653"/>
      <c r="G36" s="657">
        <v>0</v>
      </c>
      <c r="H36" s="657">
        <v>0</v>
      </c>
      <c r="I36" s="657">
        <v>0</v>
      </c>
      <c r="J36" s="657">
        <v>0</v>
      </c>
      <c r="K36" s="657">
        <v>0</v>
      </c>
      <c r="L36" s="657">
        <v>0</v>
      </c>
      <c r="M36" s="657">
        <v>0</v>
      </c>
      <c r="N36" s="657">
        <v>0</v>
      </c>
      <c r="O36" s="657">
        <v>0</v>
      </c>
      <c r="P36" s="657">
        <v>0</v>
      </c>
      <c r="Q36" s="657">
        <v>0</v>
      </c>
      <c r="R36" s="657">
        <v>0</v>
      </c>
      <c r="S36" s="657">
        <v>0</v>
      </c>
      <c r="T36" s="604" t="e">
        <v>#DIV/0!</v>
      </c>
      <c r="U36" s="658">
        <v>0</v>
      </c>
      <c r="V36" s="658">
        <v>0</v>
      </c>
      <c r="W36" s="653"/>
      <c r="X36" s="653"/>
      <c r="Y36" s="653"/>
      <c r="Z36" s="653"/>
    </row>
    <row r="37" spans="1:26" x14ac:dyDescent="0.2">
      <c r="A37" s="602" t="s">
        <v>277</v>
      </c>
      <c r="B37" s="657">
        <v>0</v>
      </c>
      <c r="C37" s="657">
        <v>0</v>
      </c>
      <c r="D37" s="657">
        <v>0</v>
      </c>
      <c r="E37" s="653"/>
      <c r="F37" s="653"/>
      <c r="G37" s="657">
        <v>0</v>
      </c>
      <c r="H37" s="657">
        <v>0</v>
      </c>
      <c r="I37" s="657">
        <v>0</v>
      </c>
      <c r="J37" s="657">
        <v>0</v>
      </c>
      <c r="K37" s="657">
        <v>0</v>
      </c>
      <c r="L37" s="657">
        <v>0</v>
      </c>
      <c r="M37" s="657">
        <v>0</v>
      </c>
      <c r="N37" s="657">
        <v>0</v>
      </c>
      <c r="O37" s="657">
        <v>0</v>
      </c>
      <c r="P37" s="657">
        <v>0</v>
      </c>
      <c r="Q37" s="657">
        <v>0</v>
      </c>
      <c r="R37" s="657">
        <v>0</v>
      </c>
      <c r="S37" s="657">
        <v>0</v>
      </c>
      <c r="T37" s="604" t="e">
        <v>#DIV/0!</v>
      </c>
      <c r="U37" s="658">
        <v>0</v>
      </c>
      <c r="V37" s="658">
        <v>0</v>
      </c>
      <c r="W37" s="653"/>
      <c r="X37" s="653"/>
      <c r="Y37" s="653"/>
      <c r="Z37" s="653"/>
    </row>
    <row r="38" spans="1:26" x14ac:dyDescent="0.2">
      <c r="A38" s="602" t="s">
        <v>278</v>
      </c>
      <c r="B38" s="657">
        <v>0</v>
      </c>
      <c r="C38" s="657">
        <v>0</v>
      </c>
      <c r="D38" s="657">
        <v>0</v>
      </c>
      <c r="E38" s="653"/>
      <c r="F38" s="653"/>
      <c r="G38" s="657">
        <v>0</v>
      </c>
      <c r="H38" s="657">
        <v>0</v>
      </c>
      <c r="I38" s="657">
        <v>0</v>
      </c>
      <c r="J38" s="657">
        <v>0</v>
      </c>
      <c r="K38" s="657">
        <v>0</v>
      </c>
      <c r="L38" s="657">
        <v>0</v>
      </c>
      <c r="M38" s="657">
        <v>0</v>
      </c>
      <c r="N38" s="657">
        <v>0</v>
      </c>
      <c r="O38" s="657">
        <v>0</v>
      </c>
      <c r="P38" s="657">
        <v>0</v>
      </c>
      <c r="Q38" s="657">
        <v>0</v>
      </c>
      <c r="R38" s="657">
        <v>0</v>
      </c>
      <c r="S38" s="657">
        <v>0</v>
      </c>
      <c r="T38" s="604" t="e">
        <v>#DIV/0!</v>
      </c>
      <c r="U38" s="658">
        <v>0</v>
      </c>
      <c r="V38" s="658">
        <v>0</v>
      </c>
      <c r="W38" s="653"/>
      <c r="X38" s="653"/>
      <c r="Y38" s="653"/>
      <c r="Z38" s="653"/>
    </row>
    <row r="39" spans="1:26" x14ac:dyDescent="0.2">
      <c r="A39" s="602" t="s">
        <v>279</v>
      </c>
      <c r="B39" s="657">
        <v>0</v>
      </c>
      <c r="C39" s="657">
        <v>0</v>
      </c>
      <c r="D39" s="657">
        <v>0</v>
      </c>
      <c r="E39" s="653"/>
      <c r="F39" s="653"/>
      <c r="G39" s="657">
        <v>0</v>
      </c>
      <c r="H39" s="657">
        <v>0</v>
      </c>
      <c r="I39" s="657">
        <v>0</v>
      </c>
      <c r="J39" s="657">
        <v>0</v>
      </c>
      <c r="K39" s="657">
        <v>0</v>
      </c>
      <c r="L39" s="657">
        <v>0</v>
      </c>
      <c r="M39" s="657">
        <v>0</v>
      </c>
      <c r="N39" s="657">
        <v>0</v>
      </c>
      <c r="O39" s="657">
        <v>0</v>
      </c>
      <c r="P39" s="657">
        <v>0</v>
      </c>
      <c r="Q39" s="657">
        <v>0</v>
      </c>
      <c r="R39" s="657">
        <v>0</v>
      </c>
      <c r="S39" s="657">
        <v>0</v>
      </c>
      <c r="T39" s="604" t="e">
        <v>#DIV/0!</v>
      </c>
      <c r="U39" s="658">
        <v>0</v>
      </c>
      <c r="V39" s="658">
        <v>0</v>
      </c>
      <c r="W39" s="653"/>
      <c r="X39" s="653"/>
      <c r="Y39" s="653"/>
      <c r="Z39" s="653"/>
    </row>
    <row r="40" spans="1:26" x14ac:dyDescent="0.2">
      <c r="A40" s="602" t="s">
        <v>280</v>
      </c>
      <c r="B40" s="657">
        <v>0</v>
      </c>
      <c r="C40" s="657">
        <v>0</v>
      </c>
      <c r="D40" s="657">
        <v>0</v>
      </c>
      <c r="E40" s="653"/>
      <c r="F40" s="653"/>
      <c r="G40" s="657">
        <v>0</v>
      </c>
      <c r="H40" s="657">
        <v>0</v>
      </c>
      <c r="I40" s="657">
        <v>0</v>
      </c>
      <c r="J40" s="657">
        <v>0</v>
      </c>
      <c r="K40" s="657">
        <v>0</v>
      </c>
      <c r="L40" s="657">
        <v>0</v>
      </c>
      <c r="M40" s="657">
        <v>0</v>
      </c>
      <c r="N40" s="657">
        <v>0</v>
      </c>
      <c r="O40" s="657">
        <v>0</v>
      </c>
      <c r="P40" s="657">
        <v>0</v>
      </c>
      <c r="Q40" s="657">
        <v>0</v>
      </c>
      <c r="R40" s="657">
        <v>0</v>
      </c>
      <c r="S40" s="657">
        <v>0</v>
      </c>
      <c r="T40" s="604" t="e">
        <v>#DIV/0!</v>
      </c>
      <c r="U40" s="658">
        <v>0</v>
      </c>
      <c r="V40" s="658">
        <v>0</v>
      </c>
      <c r="W40" s="653"/>
      <c r="X40" s="653"/>
      <c r="Y40" s="653"/>
      <c r="Z40" s="653"/>
    </row>
    <row r="41" spans="1:26" x14ac:dyDescent="0.2">
      <c r="A41" s="602" t="s">
        <v>281</v>
      </c>
      <c r="B41" s="657">
        <v>0</v>
      </c>
      <c r="C41" s="657">
        <v>0</v>
      </c>
      <c r="D41" s="657">
        <v>0</v>
      </c>
      <c r="E41" s="653"/>
      <c r="F41" s="653"/>
      <c r="G41" s="657">
        <v>0</v>
      </c>
      <c r="H41" s="657">
        <v>0</v>
      </c>
      <c r="I41" s="657">
        <v>0</v>
      </c>
      <c r="J41" s="657">
        <v>0</v>
      </c>
      <c r="K41" s="657">
        <v>0</v>
      </c>
      <c r="L41" s="657">
        <v>0</v>
      </c>
      <c r="M41" s="657">
        <v>0</v>
      </c>
      <c r="N41" s="657">
        <v>0</v>
      </c>
      <c r="O41" s="657">
        <v>0</v>
      </c>
      <c r="P41" s="657">
        <v>0</v>
      </c>
      <c r="Q41" s="657">
        <v>0</v>
      </c>
      <c r="R41" s="657">
        <v>0</v>
      </c>
      <c r="S41" s="657">
        <v>0</v>
      </c>
      <c r="T41" s="604" t="e">
        <v>#DIV/0!</v>
      </c>
      <c r="U41" s="658">
        <v>0</v>
      </c>
      <c r="V41" s="658">
        <v>0</v>
      </c>
      <c r="W41" s="653"/>
      <c r="X41" s="653"/>
      <c r="Y41" s="653"/>
      <c r="Z41" s="653"/>
    </row>
    <row r="42" spans="1:26" x14ac:dyDescent="0.2">
      <c r="A42" s="602" t="s">
        <v>282</v>
      </c>
      <c r="B42" s="657">
        <v>0</v>
      </c>
      <c r="C42" s="657">
        <v>0</v>
      </c>
      <c r="D42" s="657">
        <v>0</v>
      </c>
      <c r="E42" s="653"/>
      <c r="F42" s="653"/>
      <c r="G42" s="657">
        <v>0</v>
      </c>
      <c r="H42" s="657">
        <v>0</v>
      </c>
      <c r="I42" s="657">
        <v>0</v>
      </c>
      <c r="J42" s="657">
        <v>0</v>
      </c>
      <c r="K42" s="657">
        <v>0</v>
      </c>
      <c r="L42" s="657">
        <v>0</v>
      </c>
      <c r="M42" s="657">
        <v>0</v>
      </c>
      <c r="N42" s="657">
        <v>0</v>
      </c>
      <c r="O42" s="657">
        <v>0</v>
      </c>
      <c r="P42" s="657">
        <v>0</v>
      </c>
      <c r="Q42" s="657">
        <v>0</v>
      </c>
      <c r="R42" s="657">
        <v>0</v>
      </c>
      <c r="S42" s="657">
        <v>0</v>
      </c>
      <c r="T42" s="604" t="e">
        <v>#DIV/0!</v>
      </c>
      <c r="U42" s="658">
        <v>0</v>
      </c>
      <c r="V42" s="658">
        <v>0</v>
      </c>
      <c r="W42" s="653"/>
      <c r="X42" s="653"/>
      <c r="Y42" s="653"/>
      <c r="Z42" s="653"/>
    </row>
    <row r="43" spans="1:26" x14ac:dyDescent="0.2">
      <c r="A43" s="602" t="s">
        <v>283</v>
      </c>
      <c r="B43" s="657">
        <v>0</v>
      </c>
      <c r="C43" s="657">
        <v>0</v>
      </c>
      <c r="D43" s="657">
        <v>0</v>
      </c>
      <c r="E43" s="653"/>
      <c r="F43" s="653"/>
      <c r="G43" s="657">
        <v>0</v>
      </c>
      <c r="H43" s="657">
        <v>0</v>
      </c>
      <c r="I43" s="657">
        <v>0</v>
      </c>
      <c r="J43" s="657">
        <v>0</v>
      </c>
      <c r="K43" s="657">
        <v>0</v>
      </c>
      <c r="L43" s="657">
        <v>0</v>
      </c>
      <c r="M43" s="657">
        <v>0</v>
      </c>
      <c r="N43" s="657">
        <v>0</v>
      </c>
      <c r="O43" s="657">
        <v>0</v>
      </c>
      <c r="P43" s="657">
        <v>0</v>
      </c>
      <c r="Q43" s="657">
        <v>0</v>
      </c>
      <c r="R43" s="657">
        <v>0</v>
      </c>
      <c r="S43" s="657">
        <v>0</v>
      </c>
      <c r="T43" s="604" t="e">
        <v>#DIV/0!</v>
      </c>
      <c r="U43" s="658">
        <v>0</v>
      </c>
      <c r="V43" s="658">
        <v>0</v>
      </c>
      <c r="W43" s="653"/>
      <c r="X43" s="653"/>
      <c r="Y43" s="653"/>
      <c r="Z43" s="653"/>
    </row>
    <row r="44" spans="1:26" x14ac:dyDescent="0.2">
      <c r="A44" s="602" t="s">
        <v>284</v>
      </c>
      <c r="B44" s="657">
        <v>0</v>
      </c>
      <c r="C44" s="657">
        <v>0</v>
      </c>
      <c r="D44" s="657">
        <v>0</v>
      </c>
      <c r="E44" s="653"/>
      <c r="F44" s="653"/>
      <c r="G44" s="657">
        <v>0</v>
      </c>
      <c r="H44" s="657">
        <v>0</v>
      </c>
      <c r="I44" s="657">
        <v>0</v>
      </c>
      <c r="J44" s="657">
        <v>0</v>
      </c>
      <c r="K44" s="657">
        <v>0</v>
      </c>
      <c r="L44" s="657">
        <v>0</v>
      </c>
      <c r="M44" s="657">
        <v>0</v>
      </c>
      <c r="N44" s="657">
        <v>0</v>
      </c>
      <c r="O44" s="657">
        <v>0</v>
      </c>
      <c r="P44" s="657">
        <v>0</v>
      </c>
      <c r="Q44" s="657">
        <v>0</v>
      </c>
      <c r="R44" s="657">
        <v>0</v>
      </c>
      <c r="S44" s="657">
        <v>0</v>
      </c>
      <c r="T44" s="604" t="e">
        <v>#DIV/0!</v>
      </c>
      <c r="U44" s="658">
        <v>0</v>
      </c>
      <c r="V44" s="658">
        <v>0</v>
      </c>
      <c r="W44" s="653"/>
      <c r="X44" s="653"/>
      <c r="Y44" s="653"/>
      <c r="Z44" s="653"/>
    </row>
    <row r="45" spans="1:26" x14ac:dyDescent="0.2">
      <c r="A45" s="602" t="s">
        <v>285</v>
      </c>
      <c r="B45" s="657">
        <v>0</v>
      </c>
      <c r="C45" s="657">
        <v>0</v>
      </c>
      <c r="D45" s="657">
        <v>0</v>
      </c>
      <c r="E45" s="653"/>
      <c r="F45" s="653"/>
      <c r="G45" s="657">
        <v>0</v>
      </c>
      <c r="H45" s="657">
        <v>0</v>
      </c>
      <c r="I45" s="657">
        <v>0</v>
      </c>
      <c r="J45" s="657">
        <v>0</v>
      </c>
      <c r="K45" s="657">
        <v>0</v>
      </c>
      <c r="L45" s="657">
        <v>0</v>
      </c>
      <c r="M45" s="657">
        <v>0</v>
      </c>
      <c r="N45" s="657">
        <v>0</v>
      </c>
      <c r="O45" s="657">
        <v>0</v>
      </c>
      <c r="P45" s="657">
        <v>0</v>
      </c>
      <c r="Q45" s="657">
        <v>0</v>
      </c>
      <c r="R45" s="657">
        <v>0</v>
      </c>
      <c r="S45" s="657">
        <v>0</v>
      </c>
      <c r="T45" s="604" t="e">
        <v>#DIV/0!</v>
      </c>
      <c r="U45" s="658">
        <v>0</v>
      </c>
      <c r="V45" s="658">
        <v>0</v>
      </c>
      <c r="W45" s="653"/>
      <c r="X45" s="653"/>
      <c r="Y45" s="653"/>
      <c r="Z45" s="653"/>
    </row>
    <row r="46" spans="1:26" x14ac:dyDescent="0.2">
      <c r="A46" s="602" t="s">
        <v>286</v>
      </c>
      <c r="B46" s="657">
        <v>0</v>
      </c>
      <c r="C46" s="657">
        <v>0</v>
      </c>
      <c r="D46" s="657">
        <v>0</v>
      </c>
      <c r="E46" s="653"/>
      <c r="F46" s="653"/>
      <c r="G46" s="657">
        <v>0</v>
      </c>
      <c r="H46" s="657">
        <v>0</v>
      </c>
      <c r="I46" s="657">
        <v>0</v>
      </c>
      <c r="J46" s="657">
        <v>0</v>
      </c>
      <c r="K46" s="657">
        <v>0</v>
      </c>
      <c r="L46" s="657">
        <v>0</v>
      </c>
      <c r="M46" s="657">
        <v>0</v>
      </c>
      <c r="N46" s="657">
        <v>0</v>
      </c>
      <c r="O46" s="657">
        <v>0</v>
      </c>
      <c r="P46" s="657">
        <v>0</v>
      </c>
      <c r="Q46" s="657">
        <v>0</v>
      </c>
      <c r="R46" s="657">
        <v>0</v>
      </c>
      <c r="S46" s="657">
        <v>0</v>
      </c>
      <c r="T46" s="604" t="e">
        <v>#DIV/0!</v>
      </c>
      <c r="U46" s="658">
        <v>0</v>
      </c>
      <c r="V46" s="658">
        <v>0</v>
      </c>
      <c r="W46" s="653"/>
      <c r="X46" s="653"/>
      <c r="Y46" s="653"/>
      <c r="Z46" s="653"/>
    </row>
    <row r="47" spans="1:26" x14ac:dyDescent="0.2">
      <c r="A47" s="602" t="s">
        <v>287</v>
      </c>
      <c r="B47" s="657">
        <v>0</v>
      </c>
      <c r="C47" s="657">
        <v>0</v>
      </c>
      <c r="D47" s="657">
        <v>0</v>
      </c>
      <c r="E47" s="653"/>
      <c r="F47" s="653"/>
      <c r="G47" s="657">
        <v>0</v>
      </c>
      <c r="H47" s="657">
        <v>0</v>
      </c>
      <c r="I47" s="657">
        <v>0</v>
      </c>
      <c r="J47" s="657">
        <v>0</v>
      </c>
      <c r="K47" s="657">
        <v>0</v>
      </c>
      <c r="L47" s="657">
        <v>0</v>
      </c>
      <c r="M47" s="657">
        <v>0</v>
      </c>
      <c r="N47" s="657">
        <v>0</v>
      </c>
      <c r="O47" s="657">
        <v>0</v>
      </c>
      <c r="P47" s="657">
        <v>0</v>
      </c>
      <c r="Q47" s="657">
        <v>0</v>
      </c>
      <c r="R47" s="657">
        <v>0</v>
      </c>
      <c r="S47" s="657">
        <v>0</v>
      </c>
      <c r="T47" s="604" t="e">
        <v>#DIV/0!</v>
      </c>
      <c r="U47" s="658">
        <v>0</v>
      </c>
      <c r="V47" s="658">
        <v>0</v>
      </c>
      <c r="W47" s="653"/>
      <c r="X47" s="653"/>
      <c r="Y47" s="653"/>
      <c r="Z47" s="653"/>
    </row>
    <row r="48" spans="1:26" x14ac:dyDescent="0.2">
      <c r="A48" s="602" t="s">
        <v>288</v>
      </c>
      <c r="B48" s="657">
        <v>0</v>
      </c>
      <c r="C48" s="657">
        <v>0</v>
      </c>
      <c r="D48" s="657">
        <v>0</v>
      </c>
      <c r="E48" s="653"/>
      <c r="F48" s="653"/>
      <c r="G48" s="657">
        <v>0</v>
      </c>
      <c r="H48" s="657">
        <v>0</v>
      </c>
      <c r="I48" s="657">
        <v>0</v>
      </c>
      <c r="J48" s="657">
        <v>0</v>
      </c>
      <c r="K48" s="657">
        <v>0</v>
      </c>
      <c r="L48" s="657">
        <v>0</v>
      </c>
      <c r="M48" s="657">
        <v>0</v>
      </c>
      <c r="N48" s="657">
        <v>0</v>
      </c>
      <c r="O48" s="657">
        <v>0</v>
      </c>
      <c r="P48" s="657">
        <v>0</v>
      </c>
      <c r="Q48" s="657">
        <v>0</v>
      </c>
      <c r="R48" s="657">
        <v>0</v>
      </c>
      <c r="S48" s="657">
        <v>0</v>
      </c>
      <c r="T48" s="604" t="e">
        <v>#DIV/0!</v>
      </c>
      <c r="U48" s="658">
        <v>0</v>
      </c>
      <c r="V48" s="658">
        <v>0</v>
      </c>
      <c r="W48" s="653"/>
      <c r="X48" s="653"/>
      <c r="Y48" s="653"/>
      <c r="Z48" s="653"/>
    </row>
    <row r="49" spans="1:26" x14ac:dyDescent="0.2">
      <c r="A49" s="597" t="s">
        <v>289</v>
      </c>
      <c r="B49" s="655">
        <v>0</v>
      </c>
      <c r="C49" s="655">
        <v>0</v>
      </c>
      <c r="D49" s="655">
        <v>0</v>
      </c>
      <c r="E49" s="650"/>
      <c r="F49" s="650"/>
      <c r="G49" s="655">
        <v>0</v>
      </c>
      <c r="H49" s="655">
        <v>0</v>
      </c>
      <c r="I49" s="655">
        <v>0</v>
      </c>
      <c r="J49" s="655">
        <v>0</v>
      </c>
      <c r="K49" s="655">
        <v>0</v>
      </c>
      <c r="L49" s="655">
        <v>0</v>
      </c>
      <c r="M49" s="655">
        <v>0</v>
      </c>
      <c r="N49" s="655">
        <v>0</v>
      </c>
      <c r="O49" s="655">
        <v>0</v>
      </c>
      <c r="P49" s="655">
        <v>0</v>
      </c>
      <c r="Q49" s="655">
        <v>0</v>
      </c>
      <c r="R49" s="655">
        <v>0</v>
      </c>
      <c r="S49" s="655">
        <v>0</v>
      </c>
      <c r="T49" s="600" t="e">
        <v>#DIV/0!</v>
      </c>
      <c r="U49" s="656">
        <v>0</v>
      </c>
      <c r="V49" s="656">
        <v>0</v>
      </c>
      <c r="W49" s="653"/>
      <c r="X49" s="653"/>
      <c r="Y49" s="653"/>
      <c r="Z49" s="653"/>
    </row>
    <row r="50" spans="1:26" x14ac:dyDescent="0.2">
      <c r="A50" s="602" t="s">
        <v>290</v>
      </c>
      <c r="B50" s="657">
        <v>0</v>
      </c>
      <c r="C50" s="657">
        <v>0</v>
      </c>
      <c r="D50" s="657">
        <v>0</v>
      </c>
      <c r="E50" s="653"/>
      <c r="F50" s="653"/>
      <c r="G50" s="657">
        <v>0</v>
      </c>
      <c r="H50" s="657">
        <v>0</v>
      </c>
      <c r="I50" s="657">
        <v>0</v>
      </c>
      <c r="J50" s="657">
        <v>0</v>
      </c>
      <c r="K50" s="657">
        <v>0</v>
      </c>
      <c r="L50" s="657">
        <v>0</v>
      </c>
      <c r="M50" s="657">
        <v>0</v>
      </c>
      <c r="N50" s="657">
        <v>0</v>
      </c>
      <c r="O50" s="657">
        <v>0</v>
      </c>
      <c r="P50" s="657">
        <v>0</v>
      </c>
      <c r="Q50" s="657">
        <v>0</v>
      </c>
      <c r="R50" s="657">
        <v>0</v>
      </c>
      <c r="S50" s="657">
        <v>0</v>
      </c>
      <c r="T50" s="604" t="e">
        <v>#DIV/0!</v>
      </c>
      <c r="U50" s="658">
        <v>0</v>
      </c>
      <c r="V50" s="658">
        <v>0</v>
      </c>
      <c r="W50" s="653"/>
      <c r="X50" s="653"/>
      <c r="Y50" s="653"/>
      <c r="Z50" s="653"/>
    </row>
    <row r="51" spans="1:26" x14ac:dyDescent="0.2">
      <c r="A51" s="602" t="s">
        <v>291</v>
      </c>
      <c r="B51" s="657">
        <v>0</v>
      </c>
      <c r="C51" s="657">
        <v>0</v>
      </c>
      <c r="D51" s="657">
        <v>0</v>
      </c>
      <c r="E51" s="653"/>
      <c r="F51" s="653"/>
      <c r="G51" s="657">
        <v>0</v>
      </c>
      <c r="H51" s="657">
        <v>0</v>
      </c>
      <c r="I51" s="657">
        <v>0</v>
      </c>
      <c r="J51" s="657">
        <v>0</v>
      </c>
      <c r="K51" s="657">
        <v>0</v>
      </c>
      <c r="L51" s="657">
        <v>0</v>
      </c>
      <c r="M51" s="657">
        <v>0</v>
      </c>
      <c r="N51" s="657">
        <v>0</v>
      </c>
      <c r="O51" s="657">
        <v>0</v>
      </c>
      <c r="P51" s="657">
        <v>0</v>
      </c>
      <c r="Q51" s="657">
        <v>0</v>
      </c>
      <c r="R51" s="657">
        <v>0</v>
      </c>
      <c r="S51" s="657">
        <v>0</v>
      </c>
      <c r="T51" s="604" t="e">
        <v>#DIV/0!</v>
      </c>
      <c r="U51" s="658">
        <v>0</v>
      </c>
      <c r="V51" s="658">
        <v>0</v>
      </c>
      <c r="W51" s="653"/>
      <c r="X51" s="653"/>
      <c r="Y51" s="653"/>
      <c r="Z51" s="653"/>
    </row>
    <row r="52" spans="1:26" x14ac:dyDescent="0.2">
      <c r="A52" s="602" t="s">
        <v>292</v>
      </c>
      <c r="B52" s="657">
        <v>0</v>
      </c>
      <c r="C52" s="657">
        <v>0</v>
      </c>
      <c r="D52" s="657">
        <v>0</v>
      </c>
      <c r="E52" s="653"/>
      <c r="F52" s="653"/>
      <c r="G52" s="657">
        <v>0</v>
      </c>
      <c r="H52" s="657">
        <v>0</v>
      </c>
      <c r="I52" s="657">
        <v>0</v>
      </c>
      <c r="J52" s="657">
        <v>0</v>
      </c>
      <c r="K52" s="657">
        <v>0</v>
      </c>
      <c r="L52" s="657">
        <v>0</v>
      </c>
      <c r="M52" s="657">
        <v>0</v>
      </c>
      <c r="N52" s="657">
        <v>0</v>
      </c>
      <c r="O52" s="657">
        <v>0</v>
      </c>
      <c r="P52" s="657">
        <v>0</v>
      </c>
      <c r="Q52" s="657">
        <v>0</v>
      </c>
      <c r="R52" s="657">
        <v>0</v>
      </c>
      <c r="S52" s="657">
        <v>0</v>
      </c>
      <c r="T52" s="604" t="e">
        <v>#DIV/0!</v>
      </c>
      <c r="U52" s="658">
        <v>0</v>
      </c>
      <c r="V52" s="658">
        <v>0</v>
      </c>
      <c r="W52" s="653"/>
      <c r="X52" s="653"/>
      <c r="Y52" s="653"/>
      <c r="Z52" s="653"/>
    </row>
    <row r="53" spans="1:26" x14ac:dyDescent="0.2">
      <c r="A53" s="602" t="s">
        <v>293</v>
      </c>
      <c r="B53" s="657">
        <v>0</v>
      </c>
      <c r="C53" s="657">
        <v>0</v>
      </c>
      <c r="D53" s="657">
        <v>0</v>
      </c>
      <c r="E53" s="653"/>
      <c r="F53" s="653"/>
      <c r="G53" s="657">
        <v>0</v>
      </c>
      <c r="H53" s="657">
        <v>0</v>
      </c>
      <c r="I53" s="657">
        <v>0</v>
      </c>
      <c r="J53" s="657">
        <v>0</v>
      </c>
      <c r="K53" s="657">
        <v>0</v>
      </c>
      <c r="L53" s="657">
        <v>0</v>
      </c>
      <c r="M53" s="657">
        <v>0</v>
      </c>
      <c r="N53" s="657">
        <v>0</v>
      </c>
      <c r="O53" s="657">
        <v>0</v>
      </c>
      <c r="P53" s="657">
        <v>0</v>
      </c>
      <c r="Q53" s="657">
        <v>0</v>
      </c>
      <c r="R53" s="657">
        <v>0</v>
      </c>
      <c r="S53" s="657">
        <v>0</v>
      </c>
      <c r="T53" s="604" t="e">
        <v>#DIV/0!</v>
      </c>
      <c r="U53" s="658">
        <v>0</v>
      </c>
      <c r="V53" s="658">
        <v>0</v>
      </c>
      <c r="W53" s="653"/>
      <c r="X53" s="653"/>
      <c r="Y53" s="653"/>
      <c r="Z53" s="653"/>
    </row>
    <row r="54" spans="1:26" x14ac:dyDescent="0.2">
      <c r="A54" s="602" t="s">
        <v>294</v>
      </c>
      <c r="B54" s="657">
        <v>0</v>
      </c>
      <c r="C54" s="657">
        <v>0</v>
      </c>
      <c r="D54" s="657">
        <v>0</v>
      </c>
      <c r="E54" s="653"/>
      <c r="F54" s="653"/>
      <c r="G54" s="657">
        <v>0</v>
      </c>
      <c r="H54" s="657">
        <v>0</v>
      </c>
      <c r="I54" s="657">
        <v>0</v>
      </c>
      <c r="J54" s="657">
        <v>0</v>
      </c>
      <c r="K54" s="657">
        <v>0</v>
      </c>
      <c r="L54" s="657">
        <v>0</v>
      </c>
      <c r="M54" s="657">
        <v>0</v>
      </c>
      <c r="N54" s="657">
        <v>0</v>
      </c>
      <c r="O54" s="657">
        <v>0</v>
      </c>
      <c r="P54" s="657">
        <v>0</v>
      </c>
      <c r="Q54" s="657">
        <v>0</v>
      </c>
      <c r="R54" s="657">
        <v>0</v>
      </c>
      <c r="S54" s="657">
        <v>0</v>
      </c>
      <c r="T54" s="604" t="e">
        <v>#DIV/0!</v>
      </c>
      <c r="U54" s="658">
        <v>0</v>
      </c>
      <c r="V54" s="658">
        <v>0</v>
      </c>
      <c r="W54" s="653"/>
      <c r="X54" s="653"/>
      <c r="Y54" s="653"/>
      <c r="Z54" s="653"/>
    </row>
    <row r="55" spans="1:26" x14ac:dyDescent="0.2">
      <c r="A55" s="602" t="s">
        <v>295</v>
      </c>
      <c r="B55" s="657">
        <v>0</v>
      </c>
      <c r="C55" s="657">
        <v>0</v>
      </c>
      <c r="D55" s="657">
        <v>0</v>
      </c>
      <c r="E55" s="653"/>
      <c r="F55" s="653"/>
      <c r="G55" s="657">
        <v>0</v>
      </c>
      <c r="H55" s="657">
        <v>0</v>
      </c>
      <c r="I55" s="657">
        <v>0</v>
      </c>
      <c r="J55" s="657">
        <v>0</v>
      </c>
      <c r="K55" s="657">
        <v>0</v>
      </c>
      <c r="L55" s="657">
        <v>0</v>
      </c>
      <c r="M55" s="657">
        <v>0</v>
      </c>
      <c r="N55" s="657">
        <v>0</v>
      </c>
      <c r="O55" s="657">
        <v>0</v>
      </c>
      <c r="P55" s="657">
        <v>0</v>
      </c>
      <c r="Q55" s="657">
        <v>0</v>
      </c>
      <c r="R55" s="657">
        <v>0</v>
      </c>
      <c r="S55" s="657">
        <v>0</v>
      </c>
      <c r="T55" s="604" t="e">
        <v>#DIV/0!</v>
      </c>
      <c r="U55" s="658">
        <v>0</v>
      </c>
      <c r="V55" s="658">
        <v>0</v>
      </c>
      <c r="W55" s="653"/>
      <c r="X55" s="653"/>
      <c r="Y55" s="653"/>
      <c r="Z55" s="653"/>
    </row>
    <row r="56" spans="1:26" x14ac:dyDescent="0.2">
      <c r="A56" s="602" t="s">
        <v>296</v>
      </c>
      <c r="B56" s="657">
        <v>0</v>
      </c>
      <c r="C56" s="657">
        <v>0</v>
      </c>
      <c r="D56" s="657">
        <v>0</v>
      </c>
      <c r="E56" s="653"/>
      <c r="F56" s="653"/>
      <c r="G56" s="657">
        <v>0</v>
      </c>
      <c r="H56" s="657">
        <v>0</v>
      </c>
      <c r="I56" s="657">
        <v>0</v>
      </c>
      <c r="J56" s="657">
        <v>0</v>
      </c>
      <c r="K56" s="657">
        <v>0</v>
      </c>
      <c r="L56" s="657">
        <v>0</v>
      </c>
      <c r="M56" s="657">
        <v>0</v>
      </c>
      <c r="N56" s="657">
        <v>0</v>
      </c>
      <c r="O56" s="657">
        <v>0</v>
      </c>
      <c r="P56" s="657">
        <v>0</v>
      </c>
      <c r="Q56" s="657">
        <v>0</v>
      </c>
      <c r="R56" s="657">
        <v>0</v>
      </c>
      <c r="S56" s="657">
        <v>0</v>
      </c>
      <c r="T56" s="604" t="e">
        <v>#DIV/0!</v>
      </c>
      <c r="U56" s="658">
        <v>0</v>
      </c>
      <c r="V56" s="658">
        <v>0</v>
      </c>
      <c r="W56" s="653"/>
      <c r="X56" s="653"/>
      <c r="Y56" s="653"/>
      <c r="Z56" s="653"/>
    </row>
    <row r="57" spans="1:26" x14ac:dyDescent="0.2">
      <c r="A57" s="648" t="s">
        <v>297</v>
      </c>
      <c r="B57" s="649">
        <v>0</v>
      </c>
      <c r="C57" s="649">
        <v>0</v>
      </c>
      <c r="D57" s="649">
        <v>35.063000000000002</v>
      </c>
      <c r="E57" s="650"/>
      <c r="F57" s="650"/>
      <c r="G57" s="649">
        <v>13.78</v>
      </c>
      <c r="H57" s="649">
        <v>13.29</v>
      </c>
      <c r="I57" s="649">
        <v>2.6240000000000001</v>
      </c>
      <c r="J57" s="649">
        <v>1</v>
      </c>
      <c r="K57" s="649">
        <v>0.81499999999999995</v>
      </c>
      <c r="L57" s="649">
        <v>0.53</v>
      </c>
      <c r="M57" s="649">
        <v>0.63</v>
      </c>
      <c r="N57" s="649">
        <v>1.23</v>
      </c>
      <c r="O57" s="649">
        <v>1.1639999999999999</v>
      </c>
      <c r="P57" s="649">
        <v>0</v>
      </c>
      <c r="Q57" s="649">
        <v>0</v>
      </c>
      <c r="R57" s="649">
        <v>0</v>
      </c>
      <c r="S57" s="649">
        <v>35.063000000000002</v>
      </c>
      <c r="T57" s="651" t="e">
        <v>#DIV/0!</v>
      </c>
      <c r="U57" s="652">
        <v>-35.063000000000002</v>
      </c>
      <c r="V57" s="652">
        <v>0</v>
      </c>
      <c r="W57" s="653"/>
      <c r="X57" s="653"/>
      <c r="Y57" s="653"/>
      <c r="Z57" s="653"/>
    </row>
    <row r="58" spans="1:26" x14ac:dyDescent="0.2">
      <c r="A58" s="662" t="s">
        <v>298</v>
      </c>
      <c r="B58" s="655">
        <v>0</v>
      </c>
      <c r="C58" s="655">
        <v>0</v>
      </c>
      <c r="D58" s="655">
        <v>0</v>
      </c>
      <c r="E58" s="650"/>
      <c r="F58" s="650"/>
      <c r="G58" s="655">
        <v>0</v>
      </c>
      <c r="H58" s="655">
        <v>0</v>
      </c>
      <c r="I58" s="655">
        <v>0</v>
      </c>
      <c r="J58" s="655">
        <v>0</v>
      </c>
      <c r="K58" s="655">
        <v>0</v>
      </c>
      <c r="L58" s="655">
        <v>0</v>
      </c>
      <c r="M58" s="655">
        <v>0</v>
      </c>
      <c r="N58" s="655">
        <v>0</v>
      </c>
      <c r="O58" s="655">
        <v>0</v>
      </c>
      <c r="P58" s="655">
        <v>0</v>
      </c>
      <c r="Q58" s="655">
        <v>0</v>
      </c>
      <c r="R58" s="655">
        <v>0</v>
      </c>
      <c r="S58" s="655">
        <v>0</v>
      </c>
      <c r="T58" s="600" t="e">
        <v>#DIV/0!</v>
      </c>
      <c r="U58" s="656">
        <v>0</v>
      </c>
      <c r="V58" s="656">
        <v>0</v>
      </c>
      <c r="W58" s="653"/>
      <c r="X58" s="653"/>
      <c r="Y58" s="653"/>
      <c r="Z58" s="653"/>
    </row>
    <row r="59" spans="1:26" ht="24" x14ac:dyDescent="0.2">
      <c r="A59" s="602" t="s">
        <v>299</v>
      </c>
      <c r="B59" s="657">
        <v>0</v>
      </c>
      <c r="C59" s="657">
        <v>0</v>
      </c>
      <c r="D59" s="657">
        <v>0</v>
      </c>
      <c r="E59" s="653"/>
      <c r="F59" s="653"/>
      <c r="G59" s="657">
        <v>0</v>
      </c>
      <c r="H59" s="657">
        <v>0</v>
      </c>
      <c r="I59" s="657">
        <v>0</v>
      </c>
      <c r="J59" s="657">
        <v>0</v>
      </c>
      <c r="K59" s="657">
        <v>0</v>
      </c>
      <c r="L59" s="657">
        <v>0</v>
      </c>
      <c r="M59" s="657">
        <v>0</v>
      </c>
      <c r="N59" s="657">
        <v>0</v>
      </c>
      <c r="O59" s="657">
        <v>0</v>
      </c>
      <c r="P59" s="657">
        <v>0</v>
      </c>
      <c r="Q59" s="657">
        <v>0</v>
      </c>
      <c r="R59" s="657">
        <v>0</v>
      </c>
      <c r="S59" s="657">
        <v>0</v>
      </c>
      <c r="T59" s="604" t="e">
        <v>#DIV/0!</v>
      </c>
      <c r="U59" s="658">
        <v>0</v>
      </c>
      <c r="V59" s="658">
        <v>0</v>
      </c>
      <c r="W59" s="653"/>
      <c r="X59" s="653"/>
      <c r="Y59" s="653"/>
      <c r="Z59" s="653"/>
    </row>
    <row r="60" spans="1:26" x14ac:dyDescent="0.2">
      <c r="A60" s="602" t="s">
        <v>300</v>
      </c>
      <c r="B60" s="657">
        <v>0</v>
      </c>
      <c r="C60" s="657">
        <v>0</v>
      </c>
      <c r="D60" s="657">
        <v>0</v>
      </c>
      <c r="E60" s="653"/>
      <c r="F60" s="653"/>
      <c r="G60" s="657">
        <v>0</v>
      </c>
      <c r="H60" s="657">
        <v>0</v>
      </c>
      <c r="I60" s="657">
        <v>0</v>
      </c>
      <c r="J60" s="657">
        <v>0</v>
      </c>
      <c r="K60" s="657">
        <v>0</v>
      </c>
      <c r="L60" s="657">
        <v>0</v>
      </c>
      <c r="M60" s="657">
        <v>0</v>
      </c>
      <c r="N60" s="657">
        <v>0</v>
      </c>
      <c r="O60" s="657">
        <v>0</v>
      </c>
      <c r="P60" s="657">
        <v>0</v>
      </c>
      <c r="Q60" s="657">
        <v>0</v>
      </c>
      <c r="R60" s="657">
        <v>0</v>
      </c>
      <c r="S60" s="657">
        <v>0</v>
      </c>
      <c r="T60" s="604" t="e">
        <v>#DIV/0!</v>
      </c>
      <c r="U60" s="658">
        <v>0</v>
      </c>
      <c r="V60" s="658">
        <v>0</v>
      </c>
      <c r="W60" s="653"/>
      <c r="X60" s="653"/>
      <c r="Y60" s="653"/>
      <c r="Z60" s="653"/>
    </row>
    <row r="61" spans="1:26" ht="24" x14ac:dyDescent="0.2">
      <c r="A61" s="602" t="s">
        <v>301</v>
      </c>
      <c r="B61" s="657">
        <v>0</v>
      </c>
      <c r="C61" s="657">
        <v>0</v>
      </c>
      <c r="D61" s="657">
        <v>0</v>
      </c>
      <c r="E61" s="653"/>
      <c r="F61" s="653"/>
      <c r="G61" s="657">
        <v>0</v>
      </c>
      <c r="H61" s="657">
        <v>0</v>
      </c>
      <c r="I61" s="657">
        <v>0</v>
      </c>
      <c r="J61" s="657">
        <v>0</v>
      </c>
      <c r="K61" s="657">
        <v>0</v>
      </c>
      <c r="L61" s="657">
        <v>0</v>
      </c>
      <c r="M61" s="657">
        <v>0</v>
      </c>
      <c r="N61" s="657">
        <v>0</v>
      </c>
      <c r="O61" s="657">
        <v>0</v>
      </c>
      <c r="P61" s="657">
        <v>0</v>
      </c>
      <c r="Q61" s="657">
        <v>0</v>
      </c>
      <c r="R61" s="657">
        <v>0</v>
      </c>
      <c r="S61" s="657">
        <v>0</v>
      </c>
      <c r="T61" s="604" t="e">
        <v>#DIV/0!</v>
      </c>
      <c r="U61" s="658">
        <v>0</v>
      </c>
      <c r="V61" s="658">
        <v>0</v>
      </c>
      <c r="W61" s="653"/>
      <c r="X61" s="653"/>
      <c r="Y61" s="653"/>
      <c r="Z61" s="653"/>
    </row>
    <row r="62" spans="1:26" x14ac:dyDescent="0.2">
      <c r="A62" s="602" t="s">
        <v>302</v>
      </c>
      <c r="B62" s="657">
        <v>0</v>
      </c>
      <c r="C62" s="657">
        <v>0</v>
      </c>
      <c r="D62" s="657">
        <v>0</v>
      </c>
      <c r="E62" s="653"/>
      <c r="F62" s="653"/>
      <c r="G62" s="657">
        <v>0</v>
      </c>
      <c r="H62" s="657">
        <v>0</v>
      </c>
      <c r="I62" s="657">
        <v>0</v>
      </c>
      <c r="J62" s="657">
        <v>0</v>
      </c>
      <c r="K62" s="657">
        <v>0</v>
      </c>
      <c r="L62" s="657">
        <v>0</v>
      </c>
      <c r="M62" s="657">
        <v>0</v>
      </c>
      <c r="N62" s="657">
        <v>0</v>
      </c>
      <c r="O62" s="657">
        <v>0</v>
      </c>
      <c r="P62" s="657">
        <v>0</v>
      </c>
      <c r="Q62" s="657">
        <v>0</v>
      </c>
      <c r="R62" s="657">
        <v>0</v>
      </c>
      <c r="S62" s="657">
        <v>0</v>
      </c>
      <c r="T62" s="604" t="e">
        <v>#DIV/0!</v>
      </c>
      <c r="U62" s="658">
        <v>0</v>
      </c>
      <c r="V62" s="658">
        <v>0</v>
      </c>
      <c r="W62" s="653"/>
      <c r="X62" s="653"/>
      <c r="Y62" s="653"/>
      <c r="Z62" s="653"/>
    </row>
    <row r="63" spans="1:26" x14ac:dyDescent="0.2">
      <c r="A63" s="602" t="s">
        <v>303</v>
      </c>
      <c r="B63" s="657">
        <v>0</v>
      </c>
      <c r="C63" s="657">
        <v>0</v>
      </c>
      <c r="D63" s="657">
        <v>0</v>
      </c>
      <c r="E63" s="653"/>
      <c r="F63" s="653"/>
      <c r="G63" s="657">
        <v>0</v>
      </c>
      <c r="H63" s="657">
        <v>0</v>
      </c>
      <c r="I63" s="657">
        <v>0</v>
      </c>
      <c r="J63" s="657">
        <v>0</v>
      </c>
      <c r="K63" s="657">
        <v>0</v>
      </c>
      <c r="L63" s="657">
        <v>0</v>
      </c>
      <c r="M63" s="657">
        <v>0</v>
      </c>
      <c r="N63" s="657">
        <v>0</v>
      </c>
      <c r="O63" s="657">
        <v>0</v>
      </c>
      <c r="P63" s="657">
        <v>0</v>
      </c>
      <c r="Q63" s="657">
        <v>0</v>
      </c>
      <c r="R63" s="657">
        <v>0</v>
      </c>
      <c r="S63" s="657">
        <v>0</v>
      </c>
      <c r="T63" s="604" t="e">
        <v>#DIV/0!</v>
      </c>
      <c r="U63" s="658">
        <v>0</v>
      </c>
      <c r="V63" s="658">
        <v>0</v>
      </c>
      <c r="W63" s="653"/>
      <c r="X63" s="653"/>
      <c r="Y63" s="653"/>
      <c r="Z63" s="653"/>
    </row>
    <row r="64" spans="1:26" x14ac:dyDescent="0.2">
      <c r="A64" s="662" t="s">
        <v>304</v>
      </c>
      <c r="B64" s="659">
        <v>0</v>
      </c>
      <c r="C64" s="659">
        <v>0</v>
      </c>
      <c r="D64" s="659">
        <v>0</v>
      </c>
      <c r="E64" s="660"/>
      <c r="F64" s="660"/>
      <c r="G64" s="659">
        <v>0</v>
      </c>
      <c r="H64" s="659">
        <v>0</v>
      </c>
      <c r="I64" s="659">
        <v>0</v>
      </c>
      <c r="J64" s="659">
        <v>0</v>
      </c>
      <c r="K64" s="659">
        <v>0</v>
      </c>
      <c r="L64" s="659">
        <v>0</v>
      </c>
      <c r="M64" s="659">
        <v>0</v>
      </c>
      <c r="N64" s="659">
        <v>0</v>
      </c>
      <c r="O64" s="659">
        <v>0</v>
      </c>
      <c r="P64" s="659">
        <v>0</v>
      </c>
      <c r="Q64" s="659">
        <v>0</v>
      </c>
      <c r="R64" s="659">
        <v>0</v>
      </c>
      <c r="S64" s="659">
        <v>0</v>
      </c>
      <c r="T64" s="600" t="e">
        <v>#DIV/0!</v>
      </c>
      <c r="U64" s="656">
        <v>0</v>
      </c>
      <c r="V64" s="656">
        <v>0</v>
      </c>
      <c r="W64" s="660"/>
      <c r="X64" s="660"/>
      <c r="Y64" s="653"/>
      <c r="Z64" s="653"/>
    </row>
    <row r="65" spans="1:26" x14ac:dyDescent="0.2">
      <c r="A65" s="662" t="s">
        <v>305</v>
      </c>
      <c r="B65" s="659">
        <v>0</v>
      </c>
      <c r="C65" s="659">
        <v>0</v>
      </c>
      <c r="D65" s="659">
        <v>35.063000000000002</v>
      </c>
      <c r="E65" s="660"/>
      <c r="F65" s="660"/>
      <c r="G65" s="659">
        <v>13.78</v>
      </c>
      <c r="H65" s="659">
        <v>13.29</v>
      </c>
      <c r="I65" s="659">
        <v>2.6240000000000001</v>
      </c>
      <c r="J65" s="659">
        <v>1</v>
      </c>
      <c r="K65" s="659">
        <v>0.81499999999999995</v>
      </c>
      <c r="L65" s="659">
        <v>0.53</v>
      </c>
      <c r="M65" s="659">
        <v>0.63</v>
      </c>
      <c r="N65" s="659">
        <v>1.23</v>
      </c>
      <c r="O65" s="659">
        <v>1.1639999999999999</v>
      </c>
      <c r="P65" s="659">
        <v>0</v>
      </c>
      <c r="Q65" s="659">
        <v>0</v>
      </c>
      <c r="R65" s="659">
        <v>0</v>
      </c>
      <c r="S65" s="659">
        <v>35.063000000000002</v>
      </c>
      <c r="T65" s="600" t="e">
        <v>#DIV/0!</v>
      </c>
      <c r="U65" s="656">
        <v>-35.063000000000002</v>
      </c>
      <c r="V65" s="656">
        <v>0</v>
      </c>
      <c r="W65" s="660"/>
      <c r="X65" s="660"/>
      <c r="Y65" s="653"/>
      <c r="Z65" s="653"/>
    </row>
    <row r="66" spans="1:26" x14ac:dyDescent="0.2">
      <c r="A66" s="662" t="s">
        <v>306</v>
      </c>
      <c r="B66" s="655">
        <v>0</v>
      </c>
      <c r="C66" s="655">
        <v>0</v>
      </c>
      <c r="D66" s="655">
        <v>0</v>
      </c>
      <c r="E66" s="650"/>
      <c r="F66" s="650"/>
      <c r="G66" s="655">
        <v>0</v>
      </c>
      <c r="H66" s="655">
        <v>0</v>
      </c>
      <c r="I66" s="655">
        <v>0</v>
      </c>
      <c r="J66" s="655">
        <v>0</v>
      </c>
      <c r="K66" s="655">
        <v>0</v>
      </c>
      <c r="L66" s="655">
        <v>0</v>
      </c>
      <c r="M66" s="655">
        <v>0</v>
      </c>
      <c r="N66" s="655">
        <v>0</v>
      </c>
      <c r="O66" s="655">
        <v>0</v>
      </c>
      <c r="P66" s="655">
        <v>0</v>
      </c>
      <c r="Q66" s="655">
        <v>0</v>
      </c>
      <c r="R66" s="655">
        <v>0</v>
      </c>
      <c r="S66" s="655">
        <v>0</v>
      </c>
      <c r="T66" s="600" t="e">
        <v>#DIV/0!</v>
      </c>
      <c r="U66" s="656">
        <v>0</v>
      </c>
      <c r="V66" s="656">
        <v>0</v>
      </c>
      <c r="W66" s="660"/>
      <c r="X66" s="660"/>
      <c r="Y66" s="653"/>
      <c r="Z66" s="653"/>
    </row>
    <row r="67" spans="1:26" x14ac:dyDescent="0.2">
      <c r="A67" s="602" t="s">
        <v>307</v>
      </c>
      <c r="B67" s="657">
        <v>0</v>
      </c>
      <c r="C67" s="657">
        <v>0</v>
      </c>
      <c r="D67" s="657">
        <v>0</v>
      </c>
      <c r="E67" s="653"/>
      <c r="F67" s="653"/>
      <c r="G67" s="657">
        <v>0</v>
      </c>
      <c r="H67" s="657">
        <v>0</v>
      </c>
      <c r="I67" s="657">
        <v>0</v>
      </c>
      <c r="J67" s="657">
        <v>0</v>
      </c>
      <c r="K67" s="657">
        <v>0</v>
      </c>
      <c r="L67" s="657">
        <v>0</v>
      </c>
      <c r="M67" s="657">
        <v>0</v>
      </c>
      <c r="N67" s="657">
        <v>0</v>
      </c>
      <c r="O67" s="657">
        <v>0</v>
      </c>
      <c r="P67" s="657">
        <v>0</v>
      </c>
      <c r="Q67" s="657">
        <v>0</v>
      </c>
      <c r="R67" s="657">
        <v>0</v>
      </c>
      <c r="S67" s="657">
        <v>0</v>
      </c>
      <c r="T67" s="604" t="e">
        <v>#DIV/0!</v>
      </c>
      <c r="U67" s="658">
        <v>0</v>
      </c>
      <c r="V67" s="658">
        <v>0</v>
      </c>
      <c r="W67" s="653"/>
      <c r="X67" s="653"/>
      <c r="Y67" s="653"/>
      <c r="Z67" s="653"/>
    </row>
    <row r="68" spans="1:26" ht="24" x14ac:dyDescent="0.2">
      <c r="A68" s="602" t="s">
        <v>308</v>
      </c>
      <c r="B68" s="657">
        <v>0</v>
      </c>
      <c r="C68" s="657">
        <v>0</v>
      </c>
      <c r="D68" s="657">
        <v>0</v>
      </c>
      <c r="E68" s="653"/>
      <c r="F68" s="653"/>
      <c r="G68" s="657">
        <v>0</v>
      </c>
      <c r="H68" s="657">
        <v>0</v>
      </c>
      <c r="I68" s="657">
        <v>0</v>
      </c>
      <c r="J68" s="657">
        <v>0</v>
      </c>
      <c r="K68" s="657">
        <v>0</v>
      </c>
      <c r="L68" s="657">
        <v>0</v>
      </c>
      <c r="M68" s="657">
        <v>0</v>
      </c>
      <c r="N68" s="657">
        <v>0</v>
      </c>
      <c r="O68" s="657">
        <v>0</v>
      </c>
      <c r="P68" s="657">
        <v>0</v>
      </c>
      <c r="Q68" s="657">
        <v>0</v>
      </c>
      <c r="R68" s="657">
        <v>0</v>
      </c>
      <c r="S68" s="657">
        <v>0</v>
      </c>
      <c r="T68" s="604" t="e">
        <v>#DIV/0!</v>
      </c>
      <c r="U68" s="658">
        <v>0</v>
      </c>
      <c r="V68" s="658">
        <v>0</v>
      </c>
      <c r="W68" s="653"/>
      <c r="X68" s="653"/>
      <c r="Y68" s="653"/>
      <c r="Z68" s="653"/>
    </row>
    <row r="69" spans="1:26" x14ac:dyDescent="0.2">
      <c r="A69" s="602" t="s">
        <v>309</v>
      </c>
      <c r="B69" s="657">
        <v>0</v>
      </c>
      <c r="C69" s="657">
        <v>0</v>
      </c>
      <c r="D69" s="657">
        <v>0</v>
      </c>
      <c r="E69" s="653"/>
      <c r="F69" s="653"/>
      <c r="G69" s="657">
        <v>0</v>
      </c>
      <c r="H69" s="657">
        <v>0</v>
      </c>
      <c r="I69" s="657">
        <v>0</v>
      </c>
      <c r="J69" s="657">
        <v>0</v>
      </c>
      <c r="K69" s="657">
        <v>0</v>
      </c>
      <c r="L69" s="657">
        <v>0</v>
      </c>
      <c r="M69" s="657">
        <v>0</v>
      </c>
      <c r="N69" s="657">
        <v>0</v>
      </c>
      <c r="O69" s="657">
        <v>0</v>
      </c>
      <c r="P69" s="657">
        <v>0</v>
      </c>
      <c r="Q69" s="657">
        <v>0</v>
      </c>
      <c r="R69" s="657">
        <v>0</v>
      </c>
      <c r="S69" s="657">
        <v>0</v>
      </c>
      <c r="T69" s="604" t="e">
        <v>#DIV/0!</v>
      </c>
      <c r="U69" s="658">
        <v>0</v>
      </c>
      <c r="V69" s="658">
        <v>0</v>
      </c>
      <c r="W69" s="653"/>
      <c r="X69" s="653"/>
      <c r="Y69" s="653"/>
      <c r="Z69" s="653"/>
    </row>
    <row r="70" spans="1:26" x14ac:dyDescent="0.2">
      <c r="A70" s="662" t="s">
        <v>310</v>
      </c>
      <c r="B70" s="659">
        <v>0</v>
      </c>
      <c r="C70" s="659">
        <v>0</v>
      </c>
      <c r="D70" s="659">
        <v>0</v>
      </c>
      <c r="E70" s="660"/>
      <c r="F70" s="660"/>
      <c r="G70" s="659">
        <v>0</v>
      </c>
      <c r="H70" s="659">
        <v>0</v>
      </c>
      <c r="I70" s="659">
        <v>0</v>
      </c>
      <c r="J70" s="659">
        <v>0</v>
      </c>
      <c r="K70" s="659">
        <v>0</v>
      </c>
      <c r="L70" s="659">
        <v>0</v>
      </c>
      <c r="M70" s="659">
        <v>0</v>
      </c>
      <c r="N70" s="659">
        <v>0</v>
      </c>
      <c r="O70" s="659">
        <v>0</v>
      </c>
      <c r="P70" s="659">
        <v>0</v>
      </c>
      <c r="Q70" s="659">
        <v>0</v>
      </c>
      <c r="R70" s="659">
        <v>0</v>
      </c>
      <c r="S70" s="659">
        <v>0</v>
      </c>
      <c r="T70" s="600" t="e">
        <v>#DIV/0!</v>
      </c>
      <c r="U70" s="656">
        <v>0</v>
      </c>
      <c r="V70" s="656">
        <v>0</v>
      </c>
      <c r="W70" s="660"/>
      <c r="X70" s="660"/>
      <c r="Y70" s="653"/>
      <c r="Z70" s="653"/>
    </row>
    <row r="71" spans="1:26" x14ac:dyDescent="0.2">
      <c r="A71" s="648" t="s">
        <v>311</v>
      </c>
      <c r="B71" s="649">
        <v>333807</v>
      </c>
      <c r="C71" s="649">
        <v>195404.21</v>
      </c>
      <c r="D71" s="649">
        <v>112094.09400000001</v>
      </c>
      <c r="E71" s="650"/>
      <c r="F71" s="650"/>
      <c r="G71" s="649">
        <v>0</v>
      </c>
      <c r="H71" s="649">
        <v>0</v>
      </c>
      <c r="I71" s="649">
        <v>28783.964</v>
      </c>
      <c r="J71" s="649">
        <v>0</v>
      </c>
      <c r="K71" s="649">
        <v>0</v>
      </c>
      <c r="L71" s="649">
        <v>0</v>
      </c>
      <c r="M71" s="649">
        <v>83310.13</v>
      </c>
      <c r="N71" s="649">
        <v>0</v>
      </c>
      <c r="O71" s="649">
        <v>0</v>
      </c>
      <c r="P71" s="649">
        <v>0</v>
      </c>
      <c r="Q71" s="649">
        <v>0</v>
      </c>
      <c r="R71" s="649">
        <v>0</v>
      </c>
      <c r="S71" s="649">
        <v>112094.09400000001</v>
      </c>
      <c r="T71" s="651">
        <v>0.57365239981267557</v>
      </c>
      <c r="U71" s="652">
        <v>83310.11599999998</v>
      </c>
      <c r="V71" s="652">
        <v>0</v>
      </c>
      <c r="W71" s="653"/>
      <c r="X71" s="653"/>
      <c r="Y71" s="653"/>
      <c r="Z71" s="653"/>
    </row>
    <row r="72" spans="1:26" ht="24" x14ac:dyDescent="0.2">
      <c r="A72" s="662" t="s">
        <v>312</v>
      </c>
      <c r="B72" s="659">
        <v>0</v>
      </c>
      <c r="C72" s="659">
        <v>0</v>
      </c>
      <c r="D72" s="659">
        <v>0</v>
      </c>
      <c r="E72" s="660"/>
      <c r="F72" s="660"/>
      <c r="G72" s="659">
        <v>0</v>
      </c>
      <c r="H72" s="659">
        <v>0</v>
      </c>
      <c r="I72" s="659">
        <v>0</v>
      </c>
      <c r="J72" s="659">
        <v>0</v>
      </c>
      <c r="K72" s="659">
        <v>0</v>
      </c>
      <c r="L72" s="659">
        <v>0</v>
      </c>
      <c r="M72" s="659">
        <v>0</v>
      </c>
      <c r="N72" s="659">
        <v>0</v>
      </c>
      <c r="O72" s="659">
        <v>0</v>
      </c>
      <c r="P72" s="659">
        <v>0</v>
      </c>
      <c r="Q72" s="659">
        <v>0</v>
      </c>
      <c r="R72" s="659">
        <v>0</v>
      </c>
      <c r="S72" s="659">
        <v>0</v>
      </c>
      <c r="T72" s="600" t="e">
        <v>#DIV/0!</v>
      </c>
      <c r="U72" s="656">
        <v>0</v>
      </c>
      <c r="V72" s="656">
        <v>0</v>
      </c>
      <c r="W72" s="660"/>
      <c r="X72" s="653"/>
      <c r="Y72" s="653"/>
      <c r="Z72" s="653"/>
    </row>
    <row r="73" spans="1:26" x14ac:dyDescent="0.2">
      <c r="A73" s="662" t="s">
        <v>313</v>
      </c>
      <c r="B73" s="655">
        <v>333807</v>
      </c>
      <c r="C73" s="655">
        <v>195404.21</v>
      </c>
      <c r="D73" s="655">
        <v>112094.09400000001</v>
      </c>
      <c r="E73" s="650"/>
      <c r="F73" s="650"/>
      <c r="G73" s="655">
        <v>0</v>
      </c>
      <c r="H73" s="655">
        <v>0</v>
      </c>
      <c r="I73" s="655">
        <v>28783.964</v>
      </c>
      <c r="J73" s="655">
        <v>0</v>
      </c>
      <c r="K73" s="655">
        <v>0</v>
      </c>
      <c r="L73" s="655">
        <v>0</v>
      </c>
      <c r="M73" s="655">
        <v>83310.13</v>
      </c>
      <c r="N73" s="655">
        <v>0</v>
      </c>
      <c r="O73" s="655">
        <v>0</v>
      </c>
      <c r="P73" s="655">
        <v>0</v>
      </c>
      <c r="Q73" s="655">
        <v>0</v>
      </c>
      <c r="R73" s="655">
        <v>0</v>
      </c>
      <c r="S73" s="655">
        <v>112094.09400000001</v>
      </c>
      <c r="T73" s="600">
        <v>0.57365239981267557</v>
      </c>
      <c r="U73" s="656">
        <v>83310.11599999998</v>
      </c>
      <c r="V73" s="656">
        <v>0</v>
      </c>
      <c r="W73" s="660"/>
      <c r="X73" s="653"/>
      <c r="Y73" s="653"/>
      <c r="Z73" s="653"/>
    </row>
    <row r="74" spans="1:26" x14ac:dyDescent="0.2">
      <c r="A74" s="602" t="s">
        <v>314</v>
      </c>
      <c r="B74" s="663">
        <v>0</v>
      </c>
      <c r="C74" s="663">
        <v>0</v>
      </c>
      <c r="D74" s="663">
        <v>0</v>
      </c>
      <c r="E74" s="664"/>
      <c r="F74" s="664"/>
      <c r="G74" s="663">
        <v>0</v>
      </c>
      <c r="H74" s="663">
        <v>0</v>
      </c>
      <c r="I74" s="663">
        <v>0</v>
      </c>
      <c r="J74" s="663">
        <v>0</v>
      </c>
      <c r="K74" s="663">
        <v>0</v>
      </c>
      <c r="L74" s="663">
        <v>0</v>
      </c>
      <c r="M74" s="663">
        <v>0</v>
      </c>
      <c r="N74" s="663">
        <v>0</v>
      </c>
      <c r="O74" s="663">
        <v>0</v>
      </c>
      <c r="P74" s="663">
        <v>0</v>
      </c>
      <c r="Q74" s="663">
        <v>0</v>
      </c>
      <c r="R74" s="663">
        <v>0</v>
      </c>
      <c r="S74" s="663">
        <v>0</v>
      </c>
      <c r="T74" s="604" t="e">
        <v>#DIV/0!</v>
      </c>
      <c r="U74" s="658">
        <v>0</v>
      </c>
      <c r="V74" s="658">
        <v>0</v>
      </c>
      <c r="W74" s="653"/>
      <c r="X74" s="653"/>
      <c r="Y74" s="653"/>
      <c r="Z74" s="653"/>
    </row>
    <row r="75" spans="1:26" ht="24" x14ac:dyDescent="0.2">
      <c r="A75" s="607" t="s">
        <v>315</v>
      </c>
      <c r="B75" s="663">
        <v>0</v>
      </c>
      <c r="C75" s="663">
        <v>0</v>
      </c>
      <c r="D75" s="663">
        <v>0</v>
      </c>
      <c r="E75" s="664"/>
      <c r="F75" s="664"/>
      <c r="G75" s="663">
        <v>0</v>
      </c>
      <c r="H75" s="663">
        <v>0</v>
      </c>
      <c r="I75" s="663">
        <v>0</v>
      </c>
      <c r="J75" s="663">
        <v>0</v>
      </c>
      <c r="K75" s="663">
        <v>0</v>
      </c>
      <c r="L75" s="663">
        <v>0</v>
      </c>
      <c r="M75" s="663">
        <v>0</v>
      </c>
      <c r="N75" s="663">
        <v>0</v>
      </c>
      <c r="O75" s="663">
        <v>0</v>
      </c>
      <c r="P75" s="663">
        <v>0</v>
      </c>
      <c r="Q75" s="663">
        <v>0</v>
      </c>
      <c r="R75" s="663">
        <v>0</v>
      </c>
      <c r="S75" s="663">
        <v>0</v>
      </c>
      <c r="T75" s="604" t="e">
        <v>#DIV/0!</v>
      </c>
      <c r="U75" s="658">
        <v>0</v>
      </c>
      <c r="V75" s="658">
        <v>0</v>
      </c>
      <c r="W75" s="653"/>
      <c r="X75" s="653"/>
      <c r="Y75" s="653"/>
      <c r="Z75" s="653"/>
    </row>
    <row r="76" spans="1:26" x14ac:dyDescent="0.2">
      <c r="A76" s="608" t="s">
        <v>316</v>
      </c>
      <c r="B76" s="657">
        <v>0</v>
      </c>
      <c r="C76" s="657">
        <v>0</v>
      </c>
      <c r="D76" s="657">
        <v>0</v>
      </c>
      <c r="E76" s="653"/>
      <c r="F76" s="653"/>
      <c r="G76" s="657">
        <v>0</v>
      </c>
      <c r="H76" s="657">
        <v>0</v>
      </c>
      <c r="I76" s="657">
        <v>0</v>
      </c>
      <c r="J76" s="657">
        <v>0</v>
      </c>
      <c r="K76" s="657">
        <v>0</v>
      </c>
      <c r="L76" s="657">
        <v>0</v>
      </c>
      <c r="M76" s="657">
        <v>0</v>
      </c>
      <c r="N76" s="657">
        <v>0</v>
      </c>
      <c r="O76" s="657">
        <v>0</v>
      </c>
      <c r="P76" s="657">
        <v>0</v>
      </c>
      <c r="Q76" s="657">
        <v>0</v>
      </c>
      <c r="R76" s="657">
        <v>0</v>
      </c>
      <c r="S76" s="657">
        <v>0</v>
      </c>
      <c r="T76" s="604" t="e">
        <v>#DIV/0!</v>
      </c>
      <c r="U76" s="658">
        <v>0</v>
      </c>
      <c r="V76" s="658">
        <v>0</v>
      </c>
      <c r="W76" s="653"/>
      <c r="X76" s="653"/>
      <c r="Y76" s="653"/>
      <c r="Z76" s="653"/>
    </row>
    <row r="77" spans="1:26" x14ac:dyDescent="0.2">
      <c r="A77" s="608" t="s">
        <v>317</v>
      </c>
      <c r="B77" s="657">
        <v>0</v>
      </c>
      <c r="C77" s="657">
        <v>0</v>
      </c>
      <c r="D77" s="657">
        <v>0</v>
      </c>
      <c r="E77" s="653"/>
      <c r="F77" s="653"/>
      <c r="G77" s="657">
        <v>0</v>
      </c>
      <c r="H77" s="657">
        <v>0</v>
      </c>
      <c r="I77" s="657">
        <v>0</v>
      </c>
      <c r="J77" s="657">
        <v>0</v>
      </c>
      <c r="K77" s="657">
        <v>0</v>
      </c>
      <c r="L77" s="657">
        <v>0</v>
      </c>
      <c r="M77" s="657">
        <v>0</v>
      </c>
      <c r="N77" s="657">
        <v>0</v>
      </c>
      <c r="O77" s="657">
        <v>0</v>
      </c>
      <c r="P77" s="657">
        <v>0</v>
      </c>
      <c r="Q77" s="657">
        <v>0</v>
      </c>
      <c r="R77" s="657">
        <v>0</v>
      </c>
      <c r="S77" s="657">
        <v>0</v>
      </c>
      <c r="T77" s="604" t="e">
        <v>#DIV/0!</v>
      </c>
      <c r="U77" s="658">
        <v>0</v>
      </c>
      <c r="V77" s="658">
        <v>0</v>
      </c>
      <c r="W77" s="653"/>
      <c r="X77" s="653"/>
      <c r="Y77" s="653"/>
      <c r="Z77" s="653"/>
    </row>
    <row r="78" spans="1:26" ht="24" x14ac:dyDescent="0.2">
      <c r="A78" s="608" t="s">
        <v>318</v>
      </c>
      <c r="B78" s="657">
        <v>0</v>
      </c>
      <c r="C78" s="657">
        <v>0</v>
      </c>
      <c r="D78" s="657">
        <v>0</v>
      </c>
      <c r="E78" s="653"/>
      <c r="F78" s="653"/>
      <c r="G78" s="657">
        <v>0</v>
      </c>
      <c r="H78" s="657">
        <v>0</v>
      </c>
      <c r="I78" s="657">
        <v>0</v>
      </c>
      <c r="J78" s="657">
        <v>0</v>
      </c>
      <c r="K78" s="657">
        <v>0</v>
      </c>
      <c r="L78" s="657">
        <v>0</v>
      </c>
      <c r="M78" s="657">
        <v>0</v>
      </c>
      <c r="N78" s="657">
        <v>0</v>
      </c>
      <c r="O78" s="657">
        <v>0</v>
      </c>
      <c r="P78" s="657">
        <v>0</v>
      </c>
      <c r="Q78" s="657">
        <v>0</v>
      </c>
      <c r="R78" s="657">
        <v>0</v>
      </c>
      <c r="S78" s="657">
        <v>0</v>
      </c>
      <c r="T78" s="604" t="e">
        <v>#DIV/0!</v>
      </c>
      <c r="U78" s="658">
        <v>0</v>
      </c>
      <c r="V78" s="658">
        <v>0</v>
      </c>
      <c r="W78" s="653"/>
      <c r="X78" s="653"/>
      <c r="Y78" s="653"/>
      <c r="Z78" s="653"/>
    </row>
    <row r="79" spans="1:26" ht="24" x14ac:dyDescent="0.2">
      <c r="A79" s="608" t="s">
        <v>319</v>
      </c>
      <c r="B79" s="657">
        <v>0</v>
      </c>
      <c r="C79" s="657">
        <v>0</v>
      </c>
      <c r="D79" s="657">
        <v>0</v>
      </c>
      <c r="E79" s="653"/>
      <c r="F79" s="653"/>
      <c r="G79" s="657">
        <v>0</v>
      </c>
      <c r="H79" s="657">
        <v>0</v>
      </c>
      <c r="I79" s="657">
        <v>0</v>
      </c>
      <c r="J79" s="657">
        <v>0</v>
      </c>
      <c r="K79" s="657">
        <v>0</v>
      </c>
      <c r="L79" s="657">
        <v>0</v>
      </c>
      <c r="M79" s="657">
        <v>0</v>
      </c>
      <c r="N79" s="657">
        <v>0</v>
      </c>
      <c r="O79" s="657">
        <v>0</v>
      </c>
      <c r="P79" s="657">
        <v>0</v>
      </c>
      <c r="Q79" s="657">
        <v>0</v>
      </c>
      <c r="R79" s="657">
        <v>0</v>
      </c>
      <c r="S79" s="657">
        <v>0</v>
      </c>
      <c r="T79" s="604" t="e">
        <v>#DIV/0!</v>
      </c>
      <c r="U79" s="658">
        <v>0</v>
      </c>
      <c r="V79" s="658">
        <v>0</v>
      </c>
      <c r="W79" s="653"/>
      <c r="X79" s="653"/>
      <c r="Y79" s="653"/>
      <c r="Z79" s="653"/>
    </row>
    <row r="80" spans="1:26" ht="24" x14ac:dyDescent="0.2">
      <c r="A80" s="607" t="s">
        <v>320</v>
      </c>
      <c r="B80" s="657">
        <v>0</v>
      </c>
      <c r="C80" s="657">
        <v>0</v>
      </c>
      <c r="D80" s="657">
        <v>0</v>
      </c>
      <c r="E80" s="653"/>
      <c r="F80" s="653"/>
      <c r="G80" s="657">
        <v>0</v>
      </c>
      <c r="H80" s="657">
        <v>0</v>
      </c>
      <c r="I80" s="657">
        <v>0</v>
      </c>
      <c r="J80" s="657">
        <v>0</v>
      </c>
      <c r="K80" s="657">
        <v>0</v>
      </c>
      <c r="L80" s="657">
        <v>0</v>
      </c>
      <c r="M80" s="657">
        <v>0</v>
      </c>
      <c r="N80" s="657">
        <v>0</v>
      </c>
      <c r="O80" s="657">
        <v>0</v>
      </c>
      <c r="P80" s="657">
        <v>0</v>
      </c>
      <c r="Q80" s="657">
        <v>0</v>
      </c>
      <c r="R80" s="657">
        <v>0</v>
      </c>
      <c r="S80" s="657">
        <v>0</v>
      </c>
      <c r="T80" s="604" t="e">
        <v>#DIV/0!</v>
      </c>
      <c r="U80" s="658">
        <v>0</v>
      </c>
      <c r="V80" s="658">
        <v>0</v>
      </c>
      <c r="W80" s="653"/>
      <c r="X80" s="653"/>
      <c r="Y80" s="653"/>
      <c r="Z80" s="653"/>
    </row>
    <row r="81" spans="1:26" x14ac:dyDescent="0.2">
      <c r="A81" s="602" t="s">
        <v>1399</v>
      </c>
      <c r="B81" s="657">
        <v>333807</v>
      </c>
      <c r="C81" s="657">
        <v>195404.21</v>
      </c>
      <c r="D81" s="657">
        <v>112094.09400000001</v>
      </c>
      <c r="E81" s="653"/>
      <c r="F81" s="653"/>
      <c r="G81" s="657">
        <v>0</v>
      </c>
      <c r="H81" s="657">
        <v>0</v>
      </c>
      <c r="I81" s="657">
        <v>28783.964</v>
      </c>
      <c r="J81" s="657">
        <v>0</v>
      </c>
      <c r="K81" s="657">
        <v>0</v>
      </c>
      <c r="L81" s="657">
        <v>0</v>
      </c>
      <c r="M81" s="657">
        <v>83310.13</v>
      </c>
      <c r="N81" s="657">
        <v>0</v>
      </c>
      <c r="O81" s="657">
        <v>0</v>
      </c>
      <c r="P81" s="657">
        <v>0</v>
      </c>
      <c r="Q81" s="657">
        <v>0</v>
      </c>
      <c r="R81" s="657">
        <v>0</v>
      </c>
      <c r="S81" s="657">
        <v>112094.09400000001</v>
      </c>
      <c r="T81" s="604">
        <v>0.57365239981267557</v>
      </c>
      <c r="U81" s="658">
        <v>83310.11599999998</v>
      </c>
      <c r="V81" s="658">
        <v>0</v>
      </c>
      <c r="W81" s="653"/>
      <c r="X81" s="653"/>
      <c r="Y81" s="653"/>
      <c r="Z81" s="653"/>
    </row>
    <row r="82" spans="1:26" x14ac:dyDescent="0.2">
      <c r="A82" s="607" t="s">
        <v>1400</v>
      </c>
      <c r="B82" s="657">
        <v>333807</v>
      </c>
      <c r="C82" s="657">
        <v>195404.21</v>
      </c>
      <c r="D82" s="657">
        <v>112094.09400000001</v>
      </c>
      <c r="E82" s="653"/>
      <c r="F82" s="653"/>
      <c r="G82" s="657">
        <v>0</v>
      </c>
      <c r="H82" s="657">
        <v>0</v>
      </c>
      <c r="I82" s="657">
        <v>28783.964</v>
      </c>
      <c r="J82" s="657">
        <v>0</v>
      </c>
      <c r="K82" s="657">
        <v>0</v>
      </c>
      <c r="L82" s="657">
        <v>0</v>
      </c>
      <c r="M82" s="657">
        <v>83310.13</v>
      </c>
      <c r="N82" s="657">
        <v>0</v>
      </c>
      <c r="O82" s="657">
        <v>0</v>
      </c>
      <c r="P82" s="657">
        <v>0</v>
      </c>
      <c r="Q82" s="657">
        <v>0</v>
      </c>
      <c r="R82" s="657">
        <v>0</v>
      </c>
      <c r="S82" s="657">
        <v>112094.09400000001</v>
      </c>
      <c r="T82" s="604">
        <v>0.57365239981267557</v>
      </c>
      <c r="U82" s="658">
        <v>83310.11599999998</v>
      </c>
      <c r="V82" s="658">
        <v>0</v>
      </c>
      <c r="W82" s="653"/>
      <c r="X82" s="653"/>
      <c r="Y82" s="653"/>
      <c r="Z82" s="653"/>
    </row>
    <row r="83" spans="1:26" x14ac:dyDescent="0.2">
      <c r="A83" s="607" t="s">
        <v>1401</v>
      </c>
      <c r="B83" s="657">
        <v>0</v>
      </c>
      <c r="C83" s="657">
        <v>0</v>
      </c>
      <c r="D83" s="657">
        <v>0</v>
      </c>
      <c r="E83" s="653"/>
      <c r="F83" s="653"/>
      <c r="G83" s="657">
        <v>0</v>
      </c>
      <c r="H83" s="657">
        <v>0</v>
      </c>
      <c r="I83" s="657">
        <v>0</v>
      </c>
      <c r="J83" s="657">
        <v>0</v>
      </c>
      <c r="K83" s="657">
        <v>0</v>
      </c>
      <c r="L83" s="657">
        <v>0</v>
      </c>
      <c r="M83" s="657">
        <v>0</v>
      </c>
      <c r="N83" s="657">
        <v>0</v>
      </c>
      <c r="O83" s="657">
        <v>0</v>
      </c>
      <c r="P83" s="657">
        <v>0</v>
      </c>
      <c r="Q83" s="657">
        <v>0</v>
      </c>
      <c r="R83" s="657">
        <v>0</v>
      </c>
      <c r="S83" s="657">
        <v>0</v>
      </c>
      <c r="T83" s="604" t="e">
        <v>#DIV/0!</v>
      </c>
      <c r="U83" s="658">
        <v>0</v>
      </c>
      <c r="V83" s="658">
        <v>0</v>
      </c>
      <c r="W83" s="653"/>
      <c r="X83" s="653"/>
      <c r="Y83" s="653"/>
      <c r="Z83" s="653"/>
    </row>
    <row r="84" spans="1:26" x14ac:dyDescent="0.2">
      <c r="A84" s="602" t="s">
        <v>321</v>
      </c>
      <c r="B84" s="657">
        <v>0</v>
      </c>
      <c r="C84" s="657">
        <v>0</v>
      </c>
      <c r="D84" s="657">
        <v>0</v>
      </c>
      <c r="E84" s="653"/>
      <c r="F84" s="653"/>
      <c r="G84" s="657">
        <v>0</v>
      </c>
      <c r="H84" s="657">
        <v>0</v>
      </c>
      <c r="I84" s="657">
        <v>0</v>
      </c>
      <c r="J84" s="657">
        <v>0</v>
      </c>
      <c r="K84" s="657">
        <v>0</v>
      </c>
      <c r="L84" s="657">
        <v>0</v>
      </c>
      <c r="M84" s="657">
        <v>0</v>
      </c>
      <c r="N84" s="657">
        <v>0</v>
      </c>
      <c r="O84" s="657">
        <v>0</v>
      </c>
      <c r="P84" s="657">
        <v>0</v>
      </c>
      <c r="Q84" s="657">
        <v>0</v>
      </c>
      <c r="R84" s="657">
        <v>0</v>
      </c>
      <c r="S84" s="657">
        <v>0</v>
      </c>
      <c r="T84" s="604" t="e">
        <v>#DIV/0!</v>
      </c>
      <c r="U84" s="658">
        <v>0</v>
      </c>
      <c r="V84" s="658">
        <v>0</v>
      </c>
      <c r="W84" s="653"/>
      <c r="X84" s="653"/>
      <c r="Y84" s="653"/>
      <c r="Z84" s="653"/>
    </row>
    <row r="85" spans="1:26" x14ac:dyDescent="0.2">
      <c r="A85" s="602" t="s">
        <v>322</v>
      </c>
      <c r="B85" s="657">
        <v>0</v>
      </c>
      <c r="C85" s="657">
        <v>0</v>
      </c>
      <c r="D85" s="657">
        <v>0</v>
      </c>
      <c r="E85" s="653"/>
      <c r="F85" s="653"/>
      <c r="G85" s="657">
        <v>0</v>
      </c>
      <c r="H85" s="657">
        <v>0</v>
      </c>
      <c r="I85" s="657">
        <v>0</v>
      </c>
      <c r="J85" s="657">
        <v>0</v>
      </c>
      <c r="K85" s="657">
        <v>0</v>
      </c>
      <c r="L85" s="657">
        <v>0</v>
      </c>
      <c r="M85" s="657">
        <v>0</v>
      </c>
      <c r="N85" s="657">
        <v>0</v>
      </c>
      <c r="O85" s="657">
        <v>0</v>
      </c>
      <c r="P85" s="657">
        <v>0</v>
      </c>
      <c r="Q85" s="657">
        <v>0</v>
      </c>
      <c r="R85" s="657">
        <v>0</v>
      </c>
      <c r="S85" s="657">
        <v>0</v>
      </c>
      <c r="T85" s="604" t="e">
        <v>#DIV/0!</v>
      </c>
      <c r="U85" s="658">
        <v>0</v>
      </c>
      <c r="V85" s="658">
        <v>0</v>
      </c>
      <c r="W85" s="653"/>
      <c r="X85" s="653"/>
      <c r="Y85" s="653"/>
      <c r="Z85" s="653"/>
    </row>
    <row r="86" spans="1:26" s="661" customFormat="1" x14ac:dyDescent="0.2">
      <c r="A86" s="662" t="s">
        <v>323</v>
      </c>
      <c r="B86" s="659">
        <v>0</v>
      </c>
      <c r="C86" s="659">
        <v>0</v>
      </c>
      <c r="D86" s="659">
        <v>0</v>
      </c>
      <c r="E86" s="660"/>
      <c r="F86" s="660"/>
      <c r="G86" s="659">
        <v>0</v>
      </c>
      <c r="H86" s="659">
        <v>0</v>
      </c>
      <c r="I86" s="659">
        <v>0</v>
      </c>
      <c r="J86" s="659">
        <v>0</v>
      </c>
      <c r="K86" s="659">
        <v>0</v>
      </c>
      <c r="L86" s="659">
        <v>0</v>
      </c>
      <c r="M86" s="659">
        <v>0</v>
      </c>
      <c r="N86" s="659">
        <v>0</v>
      </c>
      <c r="O86" s="659">
        <v>0</v>
      </c>
      <c r="P86" s="659">
        <v>0</v>
      </c>
      <c r="Q86" s="659">
        <v>0</v>
      </c>
      <c r="R86" s="659">
        <v>0</v>
      </c>
      <c r="S86" s="659">
        <v>0</v>
      </c>
      <c r="T86" s="600" t="e">
        <v>#DIV/0!</v>
      </c>
      <c r="U86" s="656">
        <v>0</v>
      </c>
      <c r="V86" s="656">
        <v>0</v>
      </c>
      <c r="W86" s="660"/>
      <c r="X86" s="660"/>
      <c r="Y86" s="660"/>
      <c r="Z86" s="660"/>
    </row>
    <row r="87" spans="1:26" s="661" customFormat="1" x14ac:dyDescent="0.2">
      <c r="A87" s="662" t="s">
        <v>324</v>
      </c>
      <c r="B87" s="659">
        <v>0</v>
      </c>
      <c r="C87" s="659">
        <v>0</v>
      </c>
      <c r="D87" s="659">
        <v>0</v>
      </c>
      <c r="E87" s="660"/>
      <c r="F87" s="660"/>
      <c r="G87" s="659">
        <v>0</v>
      </c>
      <c r="H87" s="659">
        <v>0</v>
      </c>
      <c r="I87" s="659">
        <v>0</v>
      </c>
      <c r="J87" s="659">
        <v>0</v>
      </c>
      <c r="K87" s="659">
        <v>0</v>
      </c>
      <c r="L87" s="659">
        <v>0</v>
      </c>
      <c r="M87" s="659">
        <v>0</v>
      </c>
      <c r="N87" s="659">
        <v>0</v>
      </c>
      <c r="O87" s="659">
        <v>0</v>
      </c>
      <c r="P87" s="659">
        <v>0</v>
      </c>
      <c r="Q87" s="659">
        <v>0</v>
      </c>
      <c r="R87" s="659">
        <v>0</v>
      </c>
      <c r="S87" s="659">
        <v>0</v>
      </c>
      <c r="T87" s="600" t="e">
        <v>#DIV/0!</v>
      </c>
      <c r="U87" s="656">
        <v>0</v>
      </c>
      <c r="V87" s="656">
        <v>0</v>
      </c>
      <c r="W87" s="660"/>
      <c r="X87" s="660"/>
      <c r="Y87" s="660"/>
      <c r="Z87" s="660"/>
    </row>
    <row r="88" spans="1:26" s="661" customFormat="1" x14ac:dyDescent="0.2">
      <c r="A88" s="662" t="s">
        <v>325</v>
      </c>
      <c r="B88" s="659">
        <v>0</v>
      </c>
      <c r="C88" s="659">
        <v>0</v>
      </c>
      <c r="D88" s="659">
        <v>0</v>
      </c>
      <c r="E88" s="660"/>
      <c r="F88" s="660"/>
      <c r="G88" s="659">
        <v>0</v>
      </c>
      <c r="H88" s="659">
        <v>0</v>
      </c>
      <c r="I88" s="659">
        <v>0</v>
      </c>
      <c r="J88" s="659">
        <v>0</v>
      </c>
      <c r="K88" s="659">
        <v>0</v>
      </c>
      <c r="L88" s="659">
        <v>0</v>
      </c>
      <c r="M88" s="659">
        <v>0</v>
      </c>
      <c r="N88" s="659">
        <v>0</v>
      </c>
      <c r="O88" s="659">
        <v>0</v>
      </c>
      <c r="P88" s="659">
        <v>0</v>
      </c>
      <c r="Q88" s="659">
        <v>0</v>
      </c>
      <c r="R88" s="659">
        <v>0</v>
      </c>
      <c r="S88" s="659">
        <v>0</v>
      </c>
      <c r="T88" s="600" t="e">
        <v>#DIV/0!</v>
      </c>
      <c r="U88" s="656">
        <v>0</v>
      </c>
      <c r="V88" s="656">
        <v>0</v>
      </c>
      <c r="W88" s="660"/>
      <c r="X88" s="660"/>
      <c r="Y88" s="660"/>
      <c r="Z88" s="660"/>
    </row>
    <row r="89" spans="1:26" x14ac:dyDescent="0.2">
      <c r="A89" s="602" t="s">
        <v>326</v>
      </c>
      <c r="B89" s="657">
        <v>0</v>
      </c>
      <c r="C89" s="657">
        <v>0</v>
      </c>
      <c r="D89" s="657">
        <v>0</v>
      </c>
      <c r="E89" s="653"/>
      <c r="F89" s="653"/>
      <c r="G89" s="657">
        <v>0</v>
      </c>
      <c r="H89" s="657">
        <v>0</v>
      </c>
      <c r="I89" s="657">
        <v>0</v>
      </c>
      <c r="J89" s="657">
        <v>0</v>
      </c>
      <c r="K89" s="657">
        <v>0</v>
      </c>
      <c r="L89" s="657">
        <v>0</v>
      </c>
      <c r="M89" s="657">
        <v>0</v>
      </c>
      <c r="N89" s="657">
        <v>0</v>
      </c>
      <c r="O89" s="657">
        <v>0</v>
      </c>
      <c r="P89" s="657">
        <v>0</v>
      </c>
      <c r="Q89" s="657">
        <v>0</v>
      </c>
      <c r="R89" s="657">
        <v>0</v>
      </c>
      <c r="S89" s="657">
        <v>0</v>
      </c>
      <c r="T89" s="604" t="e">
        <v>#DIV/0!</v>
      </c>
      <c r="U89" s="658">
        <v>0</v>
      </c>
      <c r="V89" s="658">
        <v>0</v>
      </c>
      <c r="W89" s="653"/>
      <c r="X89" s="653"/>
      <c r="Y89" s="653"/>
      <c r="Z89" s="653"/>
    </row>
    <row r="90" spans="1:26" x14ac:dyDescent="0.2">
      <c r="A90" s="602" t="s">
        <v>327</v>
      </c>
      <c r="B90" s="657">
        <v>0</v>
      </c>
      <c r="C90" s="657">
        <v>0</v>
      </c>
      <c r="D90" s="657">
        <v>0</v>
      </c>
      <c r="E90" s="653"/>
      <c r="F90" s="653"/>
      <c r="G90" s="657">
        <v>0</v>
      </c>
      <c r="H90" s="657">
        <v>0</v>
      </c>
      <c r="I90" s="657">
        <v>0</v>
      </c>
      <c r="J90" s="657">
        <v>0</v>
      </c>
      <c r="K90" s="657">
        <v>0</v>
      </c>
      <c r="L90" s="657">
        <v>0</v>
      </c>
      <c r="M90" s="657">
        <v>0</v>
      </c>
      <c r="N90" s="657">
        <v>0</v>
      </c>
      <c r="O90" s="657">
        <v>0</v>
      </c>
      <c r="P90" s="657">
        <v>0</v>
      </c>
      <c r="Q90" s="657">
        <v>0</v>
      </c>
      <c r="R90" s="657">
        <v>0</v>
      </c>
      <c r="S90" s="657">
        <v>0</v>
      </c>
      <c r="T90" s="604" t="e">
        <v>#DIV/0!</v>
      </c>
      <c r="U90" s="658">
        <v>0</v>
      </c>
      <c r="V90" s="658">
        <v>0</v>
      </c>
      <c r="W90" s="653"/>
      <c r="X90" s="653"/>
      <c r="Y90" s="653"/>
      <c r="Z90" s="653"/>
    </row>
    <row r="91" spans="1:26" ht="24" x14ac:dyDescent="0.2">
      <c r="A91" s="602" t="s">
        <v>328</v>
      </c>
      <c r="B91" s="657">
        <v>0</v>
      </c>
      <c r="C91" s="657">
        <v>0</v>
      </c>
      <c r="D91" s="657">
        <v>0</v>
      </c>
      <c r="E91" s="653"/>
      <c r="F91" s="653"/>
      <c r="G91" s="657">
        <v>0</v>
      </c>
      <c r="H91" s="657">
        <v>0</v>
      </c>
      <c r="I91" s="657">
        <v>0</v>
      </c>
      <c r="J91" s="657">
        <v>0</v>
      </c>
      <c r="K91" s="657">
        <v>0</v>
      </c>
      <c r="L91" s="657">
        <v>0</v>
      </c>
      <c r="M91" s="657">
        <v>0</v>
      </c>
      <c r="N91" s="657">
        <v>0</v>
      </c>
      <c r="O91" s="657">
        <v>0</v>
      </c>
      <c r="P91" s="657">
        <v>0</v>
      </c>
      <c r="Q91" s="657">
        <v>0</v>
      </c>
      <c r="R91" s="657">
        <v>0</v>
      </c>
      <c r="S91" s="657">
        <v>0</v>
      </c>
      <c r="T91" s="604" t="e">
        <v>#DIV/0!</v>
      </c>
      <c r="U91" s="658">
        <v>0</v>
      </c>
      <c r="V91" s="658">
        <v>0</v>
      </c>
      <c r="W91" s="653"/>
      <c r="X91" s="653"/>
      <c r="Y91" s="653"/>
      <c r="Z91" s="653"/>
    </row>
    <row r="92" spans="1:26" s="661" customFormat="1" x14ac:dyDescent="0.2">
      <c r="A92" s="662" t="s">
        <v>329</v>
      </c>
      <c r="B92" s="659">
        <v>0</v>
      </c>
      <c r="C92" s="659">
        <v>0</v>
      </c>
      <c r="D92" s="659">
        <v>0</v>
      </c>
      <c r="E92" s="660"/>
      <c r="F92" s="660"/>
      <c r="G92" s="659">
        <v>0</v>
      </c>
      <c r="H92" s="659">
        <v>0</v>
      </c>
      <c r="I92" s="659">
        <v>0</v>
      </c>
      <c r="J92" s="659">
        <v>0</v>
      </c>
      <c r="K92" s="659">
        <v>0</v>
      </c>
      <c r="L92" s="659">
        <v>0</v>
      </c>
      <c r="M92" s="659">
        <v>0</v>
      </c>
      <c r="N92" s="659">
        <v>0</v>
      </c>
      <c r="O92" s="659">
        <v>0</v>
      </c>
      <c r="P92" s="659">
        <v>0</v>
      </c>
      <c r="Q92" s="659">
        <v>0</v>
      </c>
      <c r="R92" s="659">
        <v>0</v>
      </c>
      <c r="S92" s="659">
        <v>0</v>
      </c>
      <c r="T92" s="600" t="e">
        <v>#DIV/0!</v>
      </c>
      <c r="U92" s="656">
        <v>0</v>
      </c>
      <c r="V92" s="656">
        <v>0</v>
      </c>
      <c r="W92" s="660"/>
      <c r="X92" s="660"/>
      <c r="Y92" s="660"/>
      <c r="Z92" s="660"/>
    </row>
    <row r="93" spans="1:26" x14ac:dyDescent="0.2">
      <c r="A93" s="602" t="s">
        <v>330</v>
      </c>
      <c r="B93" s="657">
        <v>0</v>
      </c>
      <c r="C93" s="657">
        <v>0</v>
      </c>
      <c r="D93" s="657">
        <v>0</v>
      </c>
      <c r="E93" s="653"/>
      <c r="F93" s="653"/>
      <c r="G93" s="657">
        <v>0</v>
      </c>
      <c r="H93" s="657">
        <v>0</v>
      </c>
      <c r="I93" s="657">
        <v>0</v>
      </c>
      <c r="J93" s="657">
        <v>0</v>
      </c>
      <c r="K93" s="657">
        <v>0</v>
      </c>
      <c r="L93" s="657">
        <v>0</v>
      </c>
      <c r="M93" s="657">
        <v>0</v>
      </c>
      <c r="N93" s="657">
        <v>0</v>
      </c>
      <c r="O93" s="657">
        <v>0</v>
      </c>
      <c r="P93" s="657">
        <v>0</v>
      </c>
      <c r="Q93" s="657">
        <v>0</v>
      </c>
      <c r="R93" s="657">
        <v>0</v>
      </c>
      <c r="S93" s="657">
        <v>0</v>
      </c>
      <c r="T93" s="604" t="e">
        <v>#DIV/0!</v>
      </c>
      <c r="U93" s="658">
        <v>0</v>
      </c>
      <c r="V93" s="658">
        <v>0</v>
      </c>
      <c r="W93" s="653"/>
      <c r="X93" s="653"/>
      <c r="Y93" s="653"/>
      <c r="Z93" s="653"/>
    </row>
    <row r="94" spans="1:26" ht="24" x14ac:dyDescent="0.2">
      <c r="A94" s="602" t="s">
        <v>331</v>
      </c>
      <c r="B94" s="657">
        <v>0</v>
      </c>
      <c r="C94" s="657">
        <v>0</v>
      </c>
      <c r="D94" s="657">
        <v>0</v>
      </c>
      <c r="E94" s="653"/>
      <c r="F94" s="653"/>
      <c r="G94" s="657">
        <v>0</v>
      </c>
      <c r="H94" s="657">
        <v>0</v>
      </c>
      <c r="I94" s="657">
        <v>0</v>
      </c>
      <c r="J94" s="657">
        <v>0</v>
      </c>
      <c r="K94" s="657">
        <v>0</v>
      </c>
      <c r="L94" s="657">
        <v>0</v>
      </c>
      <c r="M94" s="657">
        <v>0</v>
      </c>
      <c r="N94" s="657">
        <v>0</v>
      </c>
      <c r="O94" s="657">
        <v>0</v>
      </c>
      <c r="P94" s="657">
        <v>0</v>
      </c>
      <c r="Q94" s="657">
        <v>0</v>
      </c>
      <c r="R94" s="657">
        <v>0</v>
      </c>
      <c r="S94" s="657">
        <v>0</v>
      </c>
      <c r="T94" s="604" t="e">
        <v>#DIV/0!</v>
      </c>
      <c r="U94" s="658">
        <v>0</v>
      </c>
      <c r="V94" s="658">
        <v>0</v>
      </c>
      <c r="W94" s="653"/>
      <c r="X94" s="653"/>
      <c r="Y94" s="653"/>
      <c r="Z94" s="653"/>
    </row>
    <row r="95" spans="1:26" x14ac:dyDescent="0.2">
      <c r="A95" s="602" t="s">
        <v>332</v>
      </c>
      <c r="B95" s="657">
        <v>0</v>
      </c>
      <c r="C95" s="657">
        <v>0</v>
      </c>
      <c r="D95" s="657">
        <v>0</v>
      </c>
      <c r="E95" s="653"/>
      <c r="F95" s="653"/>
      <c r="G95" s="657">
        <v>0</v>
      </c>
      <c r="H95" s="657">
        <v>0</v>
      </c>
      <c r="I95" s="657">
        <v>0</v>
      </c>
      <c r="J95" s="657">
        <v>0</v>
      </c>
      <c r="K95" s="657">
        <v>0</v>
      </c>
      <c r="L95" s="657">
        <v>0</v>
      </c>
      <c r="M95" s="657">
        <v>0</v>
      </c>
      <c r="N95" s="657">
        <v>0</v>
      </c>
      <c r="O95" s="657">
        <v>0</v>
      </c>
      <c r="P95" s="657">
        <v>0</v>
      </c>
      <c r="Q95" s="657">
        <v>0</v>
      </c>
      <c r="R95" s="657">
        <v>0</v>
      </c>
      <c r="S95" s="657">
        <v>0</v>
      </c>
      <c r="T95" s="604" t="e">
        <v>#DIV/0!</v>
      </c>
      <c r="U95" s="658">
        <v>0</v>
      </c>
      <c r="V95" s="658">
        <v>0</v>
      </c>
      <c r="W95" s="653"/>
      <c r="X95" s="653"/>
      <c r="Y95" s="653"/>
      <c r="Z95" s="653"/>
    </row>
    <row r="96" spans="1:26" s="661" customFormat="1" x14ac:dyDescent="0.2">
      <c r="A96" s="662" t="s">
        <v>333</v>
      </c>
      <c r="B96" s="659">
        <v>0</v>
      </c>
      <c r="C96" s="659">
        <v>0</v>
      </c>
      <c r="D96" s="659">
        <v>0</v>
      </c>
      <c r="E96" s="660"/>
      <c r="F96" s="660"/>
      <c r="G96" s="659">
        <v>0</v>
      </c>
      <c r="H96" s="659">
        <v>0</v>
      </c>
      <c r="I96" s="659">
        <v>0</v>
      </c>
      <c r="J96" s="659">
        <v>0</v>
      </c>
      <c r="K96" s="659">
        <v>0</v>
      </c>
      <c r="L96" s="659">
        <v>0</v>
      </c>
      <c r="M96" s="659">
        <v>0</v>
      </c>
      <c r="N96" s="659">
        <v>0</v>
      </c>
      <c r="O96" s="659">
        <v>0</v>
      </c>
      <c r="P96" s="659">
        <v>0</v>
      </c>
      <c r="Q96" s="659">
        <v>0</v>
      </c>
      <c r="R96" s="659">
        <v>0</v>
      </c>
      <c r="S96" s="659">
        <v>0</v>
      </c>
      <c r="T96" s="600" t="e">
        <v>#DIV/0!</v>
      </c>
      <c r="U96" s="656">
        <v>0</v>
      </c>
      <c r="V96" s="656">
        <v>0</v>
      </c>
      <c r="W96" s="660"/>
      <c r="X96" s="660"/>
      <c r="Y96" s="660"/>
      <c r="Z96" s="660"/>
    </row>
    <row r="97" spans="1:26" s="661" customFormat="1" ht="24" x14ac:dyDescent="0.2">
      <c r="A97" s="662" t="s">
        <v>334</v>
      </c>
      <c r="B97" s="659">
        <v>0</v>
      </c>
      <c r="C97" s="659">
        <v>0</v>
      </c>
      <c r="D97" s="659">
        <v>0</v>
      </c>
      <c r="E97" s="660"/>
      <c r="F97" s="660"/>
      <c r="G97" s="659">
        <v>0</v>
      </c>
      <c r="H97" s="659">
        <v>0</v>
      </c>
      <c r="I97" s="659">
        <v>0</v>
      </c>
      <c r="J97" s="659">
        <v>0</v>
      </c>
      <c r="K97" s="659">
        <v>0</v>
      </c>
      <c r="L97" s="659">
        <v>0</v>
      </c>
      <c r="M97" s="659">
        <v>0</v>
      </c>
      <c r="N97" s="659">
        <v>0</v>
      </c>
      <c r="O97" s="659">
        <v>0</v>
      </c>
      <c r="P97" s="659">
        <v>0</v>
      </c>
      <c r="Q97" s="659">
        <v>0</v>
      </c>
      <c r="R97" s="659">
        <v>0</v>
      </c>
      <c r="S97" s="659">
        <v>0</v>
      </c>
      <c r="T97" s="600" t="e">
        <v>#DIV/0!</v>
      </c>
      <c r="U97" s="656">
        <v>0</v>
      </c>
      <c r="V97" s="656">
        <v>0</v>
      </c>
      <c r="W97" s="660"/>
      <c r="X97" s="660"/>
      <c r="Y97" s="660"/>
      <c r="Z97" s="660"/>
    </row>
    <row r="98" spans="1:26" s="661" customFormat="1" x14ac:dyDescent="0.2">
      <c r="A98" s="662" t="s">
        <v>335</v>
      </c>
      <c r="B98" s="659">
        <v>0</v>
      </c>
      <c r="C98" s="659">
        <v>0</v>
      </c>
      <c r="D98" s="659">
        <v>0</v>
      </c>
      <c r="E98" s="660"/>
      <c r="F98" s="660"/>
      <c r="G98" s="659">
        <v>0</v>
      </c>
      <c r="H98" s="659">
        <v>0</v>
      </c>
      <c r="I98" s="659">
        <v>0</v>
      </c>
      <c r="J98" s="659">
        <v>0</v>
      </c>
      <c r="K98" s="659">
        <v>0</v>
      </c>
      <c r="L98" s="659">
        <v>0</v>
      </c>
      <c r="M98" s="659">
        <v>0</v>
      </c>
      <c r="N98" s="659">
        <v>0</v>
      </c>
      <c r="O98" s="659">
        <v>0</v>
      </c>
      <c r="P98" s="659">
        <v>0</v>
      </c>
      <c r="Q98" s="659">
        <v>0</v>
      </c>
      <c r="R98" s="659">
        <v>0</v>
      </c>
      <c r="S98" s="659">
        <v>0</v>
      </c>
      <c r="T98" s="600" t="e">
        <v>#DIV/0!</v>
      </c>
      <c r="U98" s="656">
        <v>0</v>
      </c>
      <c r="V98" s="656">
        <v>0</v>
      </c>
      <c r="W98" s="660"/>
      <c r="X98" s="660"/>
      <c r="Y98" s="660"/>
      <c r="Z98" s="660"/>
    </row>
    <row r="99" spans="1:26" x14ac:dyDescent="0.2">
      <c r="A99" s="602" t="s">
        <v>336</v>
      </c>
      <c r="B99" s="657">
        <v>0</v>
      </c>
      <c r="C99" s="657">
        <v>0</v>
      </c>
      <c r="D99" s="657">
        <v>0</v>
      </c>
      <c r="E99" s="653"/>
      <c r="F99" s="653"/>
      <c r="G99" s="657">
        <v>0</v>
      </c>
      <c r="H99" s="657">
        <v>0</v>
      </c>
      <c r="I99" s="657">
        <v>0</v>
      </c>
      <c r="J99" s="657">
        <v>0</v>
      </c>
      <c r="K99" s="657">
        <v>0</v>
      </c>
      <c r="L99" s="657">
        <v>0</v>
      </c>
      <c r="M99" s="657">
        <v>0</v>
      </c>
      <c r="N99" s="657">
        <v>0</v>
      </c>
      <c r="O99" s="657">
        <v>0</v>
      </c>
      <c r="P99" s="657">
        <v>0</v>
      </c>
      <c r="Q99" s="657">
        <v>0</v>
      </c>
      <c r="R99" s="657">
        <v>0</v>
      </c>
      <c r="S99" s="657">
        <v>0</v>
      </c>
      <c r="T99" s="604" t="e">
        <v>#DIV/0!</v>
      </c>
      <c r="U99" s="658">
        <v>0</v>
      </c>
      <c r="V99" s="658">
        <v>0</v>
      </c>
      <c r="W99" s="653"/>
      <c r="X99" s="653"/>
      <c r="Y99" s="653"/>
      <c r="Z99" s="653"/>
    </row>
    <row r="100" spans="1:26" x14ac:dyDescent="0.2">
      <c r="A100" s="602" t="s">
        <v>1402</v>
      </c>
      <c r="B100" s="657">
        <v>0</v>
      </c>
      <c r="C100" s="657">
        <v>0</v>
      </c>
      <c r="D100" s="657">
        <v>0</v>
      </c>
      <c r="E100" s="653"/>
      <c r="F100" s="653"/>
      <c r="G100" s="657">
        <v>0</v>
      </c>
      <c r="H100" s="657">
        <v>0</v>
      </c>
      <c r="I100" s="657">
        <v>0</v>
      </c>
      <c r="J100" s="657">
        <v>0</v>
      </c>
      <c r="K100" s="657">
        <v>0</v>
      </c>
      <c r="L100" s="657">
        <v>0</v>
      </c>
      <c r="M100" s="657">
        <v>0</v>
      </c>
      <c r="N100" s="657">
        <v>0</v>
      </c>
      <c r="O100" s="657">
        <v>0</v>
      </c>
      <c r="P100" s="657">
        <v>0</v>
      </c>
      <c r="Q100" s="657">
        <v>0</v>
      </c>
      <c r="R100" s="657">
        <v>0</v>
      </c>
      <c r="S100" s="657">
        <v>0</v>
      </c>
      <c r="T100" s="604" t="e">
        <v>#DIV/0!</v>
      </c>
      <c r="U100" s="658">
        <v>0</v>
      </c>
      <c r="V100" s="658">
        <v>0</v>
      </c>
      <c r="W100" s="653"/>
      <c r="X100" s="653"/>
      <c r="Y100" s="653"/>
      <c r="Z100" s="653"/>
    </row>
    <row r="101" spans="1:26" x14ac:dyDescent="0.2">
      <c r="A101" s="607" t="s">
        <v>1403</v>
      </c>
      <c r="B101" s="657">
        <v>0</v>
      </c>
      <c r="C101" s="657">
        <v>0</v>
      </c>
      <c r="D101" s="657">
        <v>0</v>
      </c>
      <c r="E101" s="653"/>
      <c r="F101" s="653"/>
      <c r="G101" s="657">
        <v>0</v>
      </c>
      <c r="H101" s="657">
        <v>0</v>
      </c>
      <c r="I101" s="657">
        <v>0</v>
      </c>
      <c r="J101" s="657">
        <v>0</v>
      </c>
      <c r="K101" s="657">
        <v>0</v>
      </c>
      <c r="L101" s="657">
        <v>0</v>
      </c>
      <c r="M101" s="657">
        <v>0</v>
      </c>
      <c r="N101" s="657">
        <v>0</v>
      </c>
      <c r="O101" s="657">
        <v>0</v>
      </c>
      <c r="P101" s="657">
        <v>0</v>
      </c>
      <c r="Q101" s="657">
        <v>0</v>
      </c>
      <c r="R101" s="657">
        <v>0</v>
      </c>
      <c r="S101" s="657">
        <v>0</v>
      </c>
      <c r="T101" s="604" t="e">
        <v>#DIV/0!</v>
      </c>
      <c r="U101" s="658">
        <v>0</v>
      </c>
      <c r="V101" s="658">
        <v>0</v>
      </c>
      <c r="W101" s="653"/>
      <c r="X101" s="653"/>
      <c r="Y101" s="653"/>
      <c r="Z101" s="653"/>
    </row>
    <row r="102" spans="1:26" x14ac:dyDescent="0.2">
      <c r="A102" s="607" t="s">
        <v>1404</v>
      </c>
      <c r="B102" s="657">
        <v>0</v>
      </c>
      <c r="C102" s="657">
        <v>0</v>
      </c>
      <c r="D102" s="657">
        <v>0</v>
      </c>
      <c r="E102" s="653"/>
      <c r="F102" s="653"/>
      <c r="G102" s="657">
        <v>0</v>
      </c>
      <c r="H102" s="657">
        <v>0</v>
      </c>
      <c r="I102" s="657">
        <v>0</v>
      </c>
      <c r="J102" s="657">
        <v>0</v>
      </c>
      <c r="K102" s="657">
        <v>0</v>
      </c>
      <c r="L102" s="657">
        <v>0</v>
      </c>
      <c r="M102" s="657">
        <v>0</v>
      </c>
      <c r="N102" s="657">
        <v>0</v>
      </c>
      <c r="O102" s="657">
        <v>0</v>
      </c>
      <c r="P102" s="657">
        <v>0</v>
      </c>
      <c r="Q102" s="657">
        <v>0</v>
      </c>
      <c r="R102" s="657">
        <v>0</v>
      </c>
      <c r="S102" s="657">
        <v>0</v>
      </c>
      <c r="T102" s="604" t="e">
        <v>#DIV/0!</v>
      </c>
      <c r="U102" s="658">
        <v>0</v>
      </c>
      <c r="V102" s="658">
        <v>0</v>
      </c>
      <c r="W102" s="653"/>
      <c r="X102" s="653"/>
      <c r="Y102" s="653"/>
      <c r="Z102" s="653"/>
    </row>
    <row r="103" spans="1:26" x14ac:dyDescent="0.2">
      <c r="A103" s="602" t="s">
        <v>337</v>
      </c>
      <c r="B103" s="657">
        <v>0</v>
      </c>
      <c r="C103" s="657">
        <v>0</v>
      </c>
      <c r="D103" s="657">
        <v>0</v>
      </c>
      <c r="E103" s="653"/>
      <c r="F103" s="653"/>
      <c r="G103" s="657">
        <v>0</v>
      </c>
      <c r="H103" s="657">
        <v>0</v>
      </c>
      <c r="I103" s="657">
        <v>0</v>
      </c>
      <c r="J103" s="657">
        <v>0</v>
      </c>
      <c r="K103" s="657">
        <v>0</v>
      </c>
      <c r="L103" s="657">
        <v>0</v>
      </c>
      <c r="M103" s="657">
        <v>0</v>
      </c>
      <c r="N103" s="657">
        <v>0</v>
      </c>
      <c r="O103" s="657">
        <v>0</v>
      </c>
      <c r="P103" s="657">
        <v>0</v>
      </c>
      <c r="Q103" s="657">
        <v>0</v>
      </c>
      <c r="R103" s="657">
        <v>0</v>
      </c>
      <c r="S103" s="657">
        <v>0</v>
      </c>
      <c r="T103" s="604" t="e">
        <v>#DIV/0!</v>
      </c>
      <c r="U103" s="658">
        <v>0</v>
      </c>
      <c r="V103" s="658">
        <v>0</v>
      </c>
      <c r="W103" s="653"/>
      <c r="X103" s="653"/>
      <c r="Y103" s="653"/>
      <c r="Z103" s="653"/>
    </row>
    <row r="104" spans="1:26" x14ac:dyDescent="0.2">
      <c r="A104" s="602" t="s">
        <v>338</v>
      </c>
      <c r="B104" s="657">
        <v>0</v>
      </c>
      <c r="C104" s="657">
        <v>0</v>
      </c>
      <c r="D104" s="657">
        <v>0</v>
      </c>
      <c r="E104" s="653"/>
      <c r="F104" s="653"/>
      <c r="G104" s="657">
        <v>0</v>
      </c>
      <c r="H104" s="657">
        <v>0</v>
      </c>
      <c r="I104" s="657">
        <v>0</v>
      </c>
      <c r="J104" s="657">
        <v>0</v>
      </c>
      <c r="K104" s="657">
        <v>0</v>
      </c>
      <c r="L104" s="657">
        <v>0</v>
      </c>
      <c r="M104" s="657">
        <v>0</v>
      </c>
      <c r="N104" s="657">
        <v>0</v>
      </c>
      <c r="O104" s="657">
        <v>0</v>
      </c>
      <c r="P104" s="657">
        <v>0</v>
      </c>
      <c r="Q104" s="657">
        <v>0</v>
      </c>
      <c r="R104" s="657">
        <v>0</v>
      </c>
      <c r="S104" s="657">
        <v>0</v>
      </c>
      <c r="T104" s="604" t="e">
        <v>#DIV/0!</v>
      </c>
      <c r="U104" s="658">
        <v>0</v>
      </c>
      <c r="V104" s="658">
        <v>0</v>
      </c>
      <c r="W104" s="653"/>
      <c r="X104" s="653"/>
      <c r="Y104" s="653"/>
      <c r="Z104" s="653"/>
    </row>
    <row r="105" spans="1:26" s="661" customFormat="1" x14ac:dyDescent="0.2">
      <c r="A105" s="662" t="s">
        <v>339</v>
      </c>
      <c r="B105" s="659">
        <v>0</v>
      </c>
      <c r="C105" s="659">
        <v>0</v>
      </c>
      <c r="D105" s="659">
        <v>0</v>
      </c>
      <c r="E105" s="660"/>
      <c r="F105" s="660"/>
      <c r="G105" s="659">
        <v>0</v>
      </c>
      <c r="H105" s="659">
        <v>0</v>
      </c>
      <c r="I105" s="659">
        <v>0</v>
      </c>
      <c r="J105" s="659">
        <v>0</v>
      </c>
      <c r="K105" s="659">
        <v>0</v>
      </c>
      <c r="L105" s="659">
        <v>0</v>
      </c>
      <c r="M105" s="659">
        <v>0</v>
      </c>
      <c r="N105" s="659">
        <v>0</v>
      </c>
      <c r="O105" s="659">
        <v>0</v>
      </c>
      <c r="P105" s="659">
        <v>0</v>
      </c>
      <c r="Q105" s="659">
        <v>0</v>
      </c>
      <c r="R105" s="659">
        <v>0</v>
      </c>
      <c r="S105" s="659">
        <v>0</v>
      </c>
      <c r="T105" s="600" t="e">
        <v>#DIV/0!</v>
      </c>
      <c r="U105" s="656">
        <v>0</v>
      </c>
      <c r="V105" s="656">
        <v>0</v>
      </c>
      <c r="W105" s="660"/>
      <c r="X105" s="660"/>
      <c r="Y105" s="660"/>
      <c r="Z105" s="660"/>
    </row>
    <row r="106" spans="1:26" s="661" customFormat="1" x14ac:dyDescent="0.2">
      <c r="A106" s="648" t="s">
        <v>340</v>
      </c>
      <c r="B106" s="666">
        <v>0</v>
      </c>
      <c r="C106" s="666">
        <v>0</v>
      </c>
      <c r="D106" s="666">
        <v>0</v>
      </c>
      <c r="E106" s="660"/>
      <c r="F106" s="660"/>
      <c r="G106" s="666">
        <v>0</v>
      </c>
      <c r="H106" s="666">
        <v>0</v>
      </c>
      <c r="I106" s="666">
        <v>0</v>
      </c>
      <c r="J106" s="666">
        <v>0</v>
      </c>
      <c r="K106" s="666">
        <v>0</v>
      </c>
      <c r="L106" s="666">
        <v>0</v>
      </c>
      <c r="M106" s="666">
        <v>0</v>
      </c>
      <c r="N106" s="666">
        <v>0</v>
      </c>
      <c r="O106" s="666">
        <v>0</v>
      </c>
      <c r="P106" s="666">
        <v>0</v>
      </c>
      <c r="Q106" s="666">
        <v>0</v>
      </c>
      <c r="R106" s="666">
        <v>0</v>
      </c>
      <c r="S106" s="666">
        <v>0</v>
      </c>
      <c r="T106" s="651" t="e">
        <v>#DIV/0!</v>
      </c>
      <c r="U106" s="652">
        <v>0</v>
      </c>
      <c r="V106" s="652">
        <v>0</v>
      </c>
      <c r="W106" s="660"/>
      <c r="X106" s="660"/>
      <c r="Y106" s="660"/>
      <c r="Z106" s="660"/>
    </row>
    <row r="107" spans="1:26" s="661" customFormat="1" x14ac:dyDescent="0.2">
      <c r="A107" s="662" t="s">
        <v>341</v>
      </c>
      <c r="B107" s="659">
        <v>0</v>
      </c>
      <c r="C107" s="659">
        <v>0</v>
      </c>
      <c r="D107" s="659">
        <v>0</v>
      </c>
      <c r="E107" s="660"/>
      <c r="F107" s="660"/>
      <c r="G107" s="659">
        <v>0</v>
      </c>
      <c r="H107" s="659">
        <v>0</v>
      </c>
      <c r="I107" s="659">
        <v>0</v>
      </c>
      <c r="J107" s="659">
        <v>0</v>
      </c>
      <c r="K107" s="659">
        <v>0</v>
      </c>
      <c r="L107" s="659">
        <v>0</v>
      </c>
      <c r="M107" s="659">
        <v>0</v>
      </c>
      <c r="N107" s="659">
        <v>0</v>
      </c>
      <c r="O107" s="659">
        <v>0</v>
      </c>
      <c r="P107" s="659">
        <v>0</v>
      </c>
      <c r="Q107" s="659">
        <v>0</v>
      </c>
      <c r="R107" s="659">
        <v>0</v>
      </c>
      <c r="S107" s="659">
        <v>0</v>
      </c>
      <c r="T107" s="600" t="e">
        <v>#DIV/0!</v>
      </c>
      <c r="U107" s="656">
        <v>0</v>
      </c>
      <c r="V107" s="656">
        <v>0</v>
      </c>
      <c r="W107" s="660"/>
      <c r="X107" s="660"/>
      <c r="Y107" s="660"/>
      <c r="Z107" s="660"/>
    </row>
    <row r="108" spans="1:26" x14ac:dyDescent="0.2">
      <c r="A108" s="602" t="s">
        <v>342</v>
      </c>
      <c r="B108" s="657">
        <v>0</v>
      </c>
      <c r="C108" s="657">
        <v>0</v>
      </c>
      <c r="D108" s="657">
        <v>0</v>
      </c>
      <c r="E108" s="653"/>
      <c r="F108" s="653"/>
      <c r="G108" s="657">
        <v>0</v>
      </c>
      <c r="H108" s="657">
        <v>0</v>
      </c>
      <c r="I108" s="657">
        <v>0</v>
      </c>
      <c r="J108" s="657">
        <v>0</v>
      </c>
      <c r="K108" s="657">
        <v>0</v>
      </c>
      <c r="L108" s="657">
        <v>0</v>
      </c>
      <c r="M108" s="657">
        <v>0</v>
      </c>
      <c r="N108" s="657">
        <v>0</v>
      </c>
      <c r="O108" s="657">
        <v>0</v>
      </c>
      <c r="P108" s="657">
        <v>0</v>
      </c>
      <c r="Q108" s="657">
        <v>0</v>
      </c>
      <c r="R108" s="657">
        <v>0</v>
      </c>
      <c r="S108" s="657">
        <v>0</v>
      </c>
      <c r="T108" s="604" t="e">
        <v>#DIV/0!</v>
      </c>
      <c r="U108" s="658">
        <v>0</v>
      </c>
      <c r="V108" s="658">
        <v>0</v>
      </c>
      <c r="W108" s="653"/>
      <c r="X108" s="653"/>
      <c r="Y108" s="653"/>
      <c r="Z108" s="653"/>
    </row>
    <row r="109" spans="1:26" x14ac:dyDescent="0.2">
      <c r="A109" s="602" t="s">
        <v>343</v>
      </c>
      <c r="B109" s="657">
        <v>0</v>
      </c>
      <c r="C109" s="657">
        <v>0</v>
      </c>
      <c r="D109" s="657">
        <v>0</v>
      </c>
      <c r="E109" s="653"/>
      <c r="F109" s="653"/>
      <c r="G109" s="657">
        <v>0</v>
      </c>
      <c r="H109" s="657">
        <v>0</v>
      </c>
      <c r="I109" s="657">
        <v>0</v>
      </c>
      <c r="J109" s="657">
        <v>0</v>
      </c>
      <c r="K109" s="657">
        <v>0</v>
      </c>
      <c r="L109" s="657">
        <v>0</v>
      </c>
      <c r="M109" s="657">
        <v>0</v>
      </c>
      <c r="N109" s="657">
        <v>0</v>
      </c>
      <c r="O109" s="657">
        <v>0</v>
      </c>
      <c r="P109" s="657">
        <v>0</v>
      </c>
      <c r="Q109" s="657">
        <v>0</v>
      </c>
      <c r="R109" s="657">
        <v>0</v>
      </c>
      <c r="S109" s="657">
        <v>0</v>
      </c>
      <c r="T109" s="604" t="e">
        <v>#DIV/0!</v>
      </c>
      <c r="U109" s="658">
        <v>0</v>
      </c>
      <c r="V109" s="658">
        <v>0</v>
      </c>
      <c r="W109" s="653"/>
      <c r="X109" s="653"/>
      <c r="Y109" s="653"/>
      <c r="Z109" s="653"/>
    </row>
    <row r="110" spans="1:26" x14ac:dyDescent="0.2">
      <c r="A110" s="602" t="s">
        <v>344</v>
      </c>
      <c r="B110" s="657">
        <v>0</v>
      </c>
      <c r="C110" s="657">
        <v>0</v>
      </c>
      <c r="D110" s="657">
        <v>0</v>
      </c>
      <c r="E110" s="653"/>
      <c r="F110" s="653"/>
      <c r="G110" s="657">
        <v>0</v>
      </c>
      <c r="H110" s="657">
        <v>0</v>
      </c>
      <c r="I110" s="657">
        <v>0</v>
      </c>
      <c r="J110" s="657">
        <v>0</v>
      </c>
      <c r="K110" s="657">
        <v>0</v>
      </c>
      <c r="L110" s="657">
        <v>0</v>
      </c>
      <c r="M110" s="657">
        <v>0</v>
      </c>
      <c r="N110" s="657">
        <v>0</v>
      </c>
      <c r="O110" s="657">
        <v>0</v>
      </c>
      <c r="P110" s="657">
        <v>0</v>
      </c>
      <c r="Q110" s="657">
        <v>0</v>
      </c>
      <c r="R110" s="657">
        <v>0</v>
      </c>
      <c r="S110" s="657">
        <v>0</v>
      </c>
      <c r="T110" s="604" t="e">
        <v>#DIV/0!</v>
      </c>
      <c r="U110" s="658">
        <v>0</v>
      </c>
      <c r="V110" s="658">
        <v>0</v>
      </c>
      <c r="W110" s="653"/>
      <c r="X110" s="653"/>
      <c r="Y110" s="653"/>
      <c r="Z110" s="653"/>
    </row>
    <row r="111" spans="1:26" x14ac:dyDescent="0.2">
      <c r="A111" s="602" t="s">
        <v>345</v>
      </c>
      <c r="B111" s="657">
        <v>0</v>
      </c>
      <c r="C111" s="657">
        <v>0</v>
      </c>
      <c r="D111" s="657">
        <v>0</v>
      </c>
      <c r="E111" s="653"/>
      <c r="F111" s="653"/>
      <c r="G111" s="657">
        <v>0</v>
      </c>
      <c r="H111" s="657">
        <v>0</v>
      </c>
      <c r="I111" s="657">
        <v>0</v>
      </c>
      <c r="J111" s="657">
        <v>0</v>
      </c>
      <c r="K111" s="657">
        <v>0</v>
      </c>
      <c r="L111" s="657">
        <v>0</v>
      </c>
      <c r="M111" s="657">
        <v>0</v>
      </c>
      <c r="N111" s="657">
        <v>0</v>
      </c>
      <c r="O111" s="657">
        <v>0</v>
      </c>
      <c r="P111" s="657">
        <v>0</v>
      </c>
      <c r="Q111" s="657">
        <v>0</v>
      </c>
      <c r="R111" s="657">
        <v>0</v>
      </c>
      <c r="S111" s="657">
        <v>0</v>
      </c>
      <c r="T111" s="604" t="e">
        <v>#DIV/0!</v>
      </c>
      <c r="U111" s="658">
        <v>0</v>
      </c>
      <c r="V111" s="658">
        <v>0</v>
      </c>
      <c r="W111" s="653"/>
      <c r="X111" s="653"/>
      <c r="Y111" s="653"/>
      <c r="Z111" s="653"/>
    </row>
    <row r="112" spans="1:26" x14ac:dyDescent="0.2">
      <c r="A112" s="602" t="s">
        <v>346</v>
      </c>
      <c r="B112" s="657">
        <v>0</v>
      </c>
      <c r="C112" s="657">
        <v>0</v>
      </c>
      <c r="D112" s="657">
        <v>0</v>
      </c>
      <c r="E112" s="653"/>
      <c r="F112" s="653"/>
      <c r="G112" s="657">
        <v>0</v>
      </c>
      <c r="H112" s="657">
        <v>0</v>
      </c>
      <c r="I112" s="657">
        <v>0</v>
      </c>
      <c r="J112" s="657">
        <v>0</v>
      </c>
      <c r="K112" s="657">
        <v>0</v>
      </c>
      <c r="L112" s="657">
        <v>0</v>
      </c>
      <c r="M112" s="657">
        <v>0</v>
      </c>
      <c r="N112" s="657">
        <v>0</v>
      </c>
      <c r="O112" s="657">
        <v>0</v>
      </c>
      <c r="P112" s="657">
        <v>0</v>
      </c>
      <c r="Q112" s="657">
        <v>0</v>
      </c>
      <c r="R112" s="657">
        <v>0</v>
      </c>
      <c r="S112" s="657">
        <v>0</v>
      </c>
      <c r="T112" s="604" t="e">
        <v>#DIV/0!</v>
      </c>
      <c r="U112" s="658">
        <v>0</v>
      </c>
      <c r="V112" s="658">
        <v>0</v>
      </c>
      <c r="W112" s="653"/>
      <c r="X112" s="653"/>
      <c r="Y112" s="653"/>
      <c r="Z112" s="653"/>
    </row>
    <row r="113" spans="1:26" x14ac:dyDescent="0.2">
      <c r="A113" s="602" t="s">
        <v>347</v>
      </c>
      <c r="B113" s="657">
        <v>0</v>
      </c>
      <c r="C113" s="657">
        <v>0</v>
      </c>
      <c r="D113" s="657">
        <v>0</v>
      </c>
      <c r="E113" s="653"/>
      <c r="F113" s="653"/>
      <c r="G113" s="657">
        <v>0</v>
      </c>
      <c r="H113" s="657">
        <v>0</v>
      </c>
      <c r="I113" s="657">
        <v>0</v>
      </c>
      <c r="J113" s="657">
        <v>0</v>
      </c>
      <c r="K113" s="657">
        <v>0</v>
      </c>
      <c r="L113" s="657">
        <v>0</v>
      </c>
      <c r="M113" s="657">
        <v>0</v>
      </c>
      <c r="N113" s="657">
        <v>0</v>
      </c>
      <c r="O113" s="657">
        <v>0</v>
      </c>
      <c r="P113" s="657">
        <v>0</v>
      </c>
      <c r="Q113" s="657">
        <v>0</v>
      </c>
      <c r="R113" s="657">
        <v>0</v>
      </c>
      <c r="S113" s="657">
        <v>0</v>
      </c>
      <c r="T113" s="604" t="e">
        <v>#DIV/0!</v>
      </c>
      <c r="U113" s="658">
        <v>0</v>
      </c>
      <c r="V113" s="658">
        <v>0</v>
      </c>
      <c r="W113" s="653"/>
      <c r="X113" s="653"/>
      <c r="Y113" s="653"/>
      <c r="Z113" s="653"/>
    </row>
    <row r="114" spans="1:26" x14ac:dyDescent="0.2">
      <c r="A114" s="602" t="s">
        <v>348</v>
      </c>
      <c r="B114" s="657">
        <v>0</v>
      </c>
      <c r="C114" s="657">
        <v>0</v>
      </c>
      <c r="D114" s="657">
        <v>0</v>
      </c>
      <c r="E114" s="653"/>
      <c r="F114" s="653"/>
      <c r="G114" s="657">
        <v>0</v>
      </c>
      <c r="H114" s="657">
        <v>0</v>
      </c>
      <c r="I114" s="657">
        <v>0</v>
      </c>
      <c r="J114" s="657">
        <v>0</v>
      </c>
      <c r="K114" s="657">
        <v>0</v>
      </c>
      <c r="L114" s="657">
        <v>0</v>
      </c>
      <c r="M114" s="657">
        <v>0</v>
      </c>
      <c r="N114" s="657">
        <v>0</v>
      </c>
      <c r="O114" s="657">
        <v>0</v>
      </c>
      <c r="P114" s="657">
        <v>0</v>
      </c>
      <c r="Q114" s="657">
        <v>0</v>
      </c>
      <c r="R114" s="657">
        <v>0</v>
      </c>
      <c r="S114" s="657">
        <v>0</v>
      </c>
      <c r="T114" s="604" t="e">
        <v>#DIV/0!</v>
      </c>
      <c r="U114" s="658">
        <v>0</v>
      </c>
      <c r="V114" s="658">
        <v>0</v>
      </c>
      <c r="W114" s="653"/>
      <c r="X114" s="653"/>
      <c r="Y114" s="653"/>
      <c r="Z114" s="653"/>
    </row>
    <row r="115" spans="1:26" x14ac:dyDescent="0.2">
      <c r="A115" s="602" t="s">
        <v>349</v>
      </c>
      <c r="B115" s="657">
        <v>0</v>
      </c>
      <c r="C115" s="657">
        <v>0</v>
      </c>
      <c r="D115" s="657">
        <v>0</v>
      </c>
      <c r="E115" s="653"/>
      <c r="F115" s="653"/>
      <c r="G115" s="657">
        <v>0</v>
      </c>
      <c r="H115" s="657">
        <v>0</v>
      </c>
      <c r="I115" s="657">
        <v>0</v>
      </c>
      <c r="J115" s="657">
        <v>0</v>
      </c>
      <c r="K115" s="657">
        <v>0</v>
      </c>
      <c r="L115" s="657">
        <v>0</v>
      </c>
      <c r="M115" s="657">
        <v>0</v>
      </c>
      <c r="N115" s="657">
        <v>0</v>
      </c>
      <c r="O115" s="657">
        <v>0</v>
      </c>
      <c r="P115" s="657">
        <v>0</v>
      </c>
      <c r="Q115" s="657">
        <v>0</v>
      </c>
      <c r="R115" s="657">
        <v>0</v>
      </c>
      <c r="S115" s="657">
        <v>0</v>
      </c>
      <c r="T115" s="604" t="e">
        <v>#DIV/0!</v>
      </c>
      <c r="U115" s="658">
        <v>0</v>
      </c>
      <c r="V115" s="658">
        <v>0</v>
      </c>
      <c r="W115" s="653"/>
      <c r="X115" s="653"/>
      <c r="Y115" s="653"/>
      <c r="Z115" s="653"/>
    </row>
    <row r="116" spans="1:26" x14ac:dyDescent="0.2">
      <c r="A116" s="602" t="s">
        <v>350</v>
      </c>
      <c r="B116" s="657">
        <v>0</v>
      </c>
      <c r="C116" s="657">
        <v>0</v>
      </c>
      <c r="D116" s="657">
        <v>0</v>
      </c>
      <c r="E116" s="653"/>
      <c r="F116" s="653"/>
      <c r="G116" s="657">
        <v>0</v>
      </c>
      <c r="H116" s="657">
        <v>0</v>
      </c>
      <c r="I116" s="657">
        <v>0</v>
      </c>
      <c r="J116" s="657">
        <v>0</v>
      </c>
      <c r="K116" s="657">
        <v>0</v>
      </c>
      <c r="L116" s="657">
        <v>0</v>
      </c>
      <c r="M116" s="657">
        <v>0</v>
      </c>
      <c r="N116" s="657">
        <v>0</v>
      </c>
      <c r="O116" s="657">
        <v>0</v>
      </c>
      <c r="P116" s="657">
        <v>0</v>
      </c>
      <c r="Q116" s="657">
        <v>0</v>
      </c>
      <c r="R116" s="657">
        <v>0</v>
      </c>
      <c r="S116" s="657">
        <v>0</v>
      </c>
      <c r="T116" s="604" t="e">
        <v>#DIV/0!</v>
      </c>
      <c r="U116" s="658">
        <v>0</v>
      </c>
      <c r="V116" s="658">
        <v>0</v>
      </c>
      <c r="W116" s="653"/>
      <c r="X116" s="653"/>
      <c r="Y116" s="653"/>
      <c r="Z116" s="653"/>
    </row>
    <row r="117" spans="1:26" x14ac:dyDescent="0.2">
      <c r="A117" s="602" t="s">
        <v>351</v>
      </c>
      <c r="B117" s="657">
        <v>0</v>
      </c>
      <c r="C117" s="657">
        <v>0</v>
      </c>
      <c r="D117" s="657">
        <v>0</v>
      </c>
      <c r="E117" s="653"/>
      <c r="F117" s="653"/>
      <c r="G117" s="657">
        <v>0</v>
      </c>
      <c r="H117" s="657">
        <v>0</v>
      </c>
      <c r="I117" s="657">
        <v>0</v>
      </c>
      <c r="J117" s="657">
        <v>0</v>
      </c>
      <c r="K117" s="657">
        <v>0</v>
      </c>
      <c r="L117" s="657">
        <v>0</v>
      </c>
      <c r="M117" s="657">
        <v>0</v>
      </c>
      <c r="N117" s="657">
        <v>0</v>
      </c>
      <c r="O117" s="657">
        <v>0</v>
      </c>
      <c r="P117" s="657">
        <v>0</v>
      </c>
      <c r="Q117" s="657">
        <v>0</v>
      </c>
      <c r="R117" s="657">
        <v>0</v>
      </c>
      <c r="S117" s="657">
        <v>0</v>
      </c>
      <c r="T117" s="604" t="e">
        <v>#DIV/0!</v>
      </c>
      <c r="U117" s="658">
        <v>0</v>
      </c>
      <c r="V117" s="658">
        <v>0</v>
      </c>
      <c r="W117" s="653"/>
      <c r="X117" s="653"/>
      <c r="Y117" s="653"/>
      <c r="Z117" s="653"/>
    </row>
    <row r="118" spans="1:26" s="661" customFormat="1" x14ac:dyDescent="0.2">
      <c r="A118" s="597" t="s">
        <v>352</v>
      </c>
      <c r="B118" s="659">
        <v>0</v>
      </c>
      <c r="C118" s="659">
        <v>0</v>
      </c>
      <c r="D118" s="659">
        <v>0</v>
      </c>
      <c r="E118" s="660"/>
      <c r="F118" s="660"/>
      <c r="G118" s="659">
        <v>0</v>
      </c>
      <c r="H118" s="659">
        <v>0</v>
      </c>
      <c r="I118" s="659">
        <v>0</v>
      </c>
      <c r="J118" s="659">
        <v>0</v>
      </c>
      <c r="K118" s="659">
        <v>0</v>
      </c>
      <c r="L118" s="659">
        <v>0</v>
      </c>
      <c r="M118" s="659">
        <v>0</v>
      </c>
      <c r="N118" s="659">
        <v>0</v>
      </c>
      <c r="O118" s="659">
        <v>0</v>
      </c>
      <c r="P118" s="659">
        <v>0</v>
      </c>
      <c r="Q118" s="659">
        <v>0</v>
      </c>
      <c r="R118" s="659">
        <v>0</v>
      </c>
      <c r="S118" s="659">
        <v>0</v>
      </c>
      <c r="T118" s="600" t="e">
        <v>#DIV/0!</v>
      </c>
      <c r="U118" s="656">
        <v>0</v>
      </c>
      <c r="V118" s="656">
        <v>0</v>
      </c>
      <c r="W118" s="660"/>
      <c r="X118" s="660"/>
      <c r="Y118" s="660"/>
      <c r="Z118" s="660"/>
    </row>
    <row r="119" spans="1:26" x14ac:dyDescent="0.2">
      <c r="A119" s="602" t="s">
        <v>353</v>
      </c>
      <c r="B119" s="657">
        <v>0</v>
      </c>
      <c r="C119" s="657">
        <v>0</v>
      </c>
      <c r="D119" s="657">
        <v>0</v>
      </c>
      <c r="E119" s="653"/>
      <c r="F119" s="653"/>
      <c r="G119" s="657">
        <v>0</v>
      </c>
      <c r="H119" s="657">
        <v>0</v>
      </c>
      <c r="I119" s="657">
        <v>0</v>
      </c>
      <c r="J119" s="657">
        <v>0</v>
      </c>
      <c r="K119" s="657">
        <v>0</v>
      </c>
      <c r="L119" s="657">
        <v>0</v>
      </c>
      <c r="M119" s="657">
        <v>0</v>
      </c>
      <c r="N119" s="657">
        <v>0</v>
      </c>
      <c r="O119" s="657">
        <v>0</v>
      </c>
      <c r="P119" s="657">
        <v>0</v>
      </c>
      <c r="Q119" s="657">
        <v>0</v>
      </c>
      <c r="R119" s="657">
        <v>0</v>
      </c>
      <c r="S119" s="657">
        <v>0</v>
      </c>
      <c r="T119" s="604" t="e">
        <v>#DIV/0!</v>
      </c>
      <c r="U119" s="658">
        <v>0</v>
      </c>
      <c r="V119" s="658">
        <v>0</v>
      </c>
      <c r="W119" s="653"/>
      <c r="X119" s="653"/>
      <c r="Y119" s="653"/>
      <c r="Z119" s="653"/>
    </row>
    <row r="120" spans="1:26" x14ac:dyDescent="0.2">
      <c r="A120" s="602" t="s">
        <v>354</v>
      </c>
      <c r="B120" s="657">
        <v>0</v>
      </c>
      <c r="C120" s="657">
        <v>0</v>
      </c>
      <c r="D120" s="657">
        <v>0</v>
      </c>
      <c r="E120" s="653"/>
      <c r="F120" s="653"/>
      <c r="G120" s="657">
        <v>0</v>
      </c>
      <c r="H120" s="657">
        <v>0</v>
      </c>
      <c r="I120" s="657">
        <v>0</v>
      </c>
      <c r="J120" s="657">
        <v>0</v>
      </c>
      <c r="K120" s="657">
        <v>0</v>
      </c>
      <c r="L120" s="657">
        <v>0</v>
      </c>
      <c r="M120" s="657">
        <v>0</v>
      </c>
      <c r="N120" s="657">
        <v>0</v>
      </c>
      <c r="O120" s="657">
        <v>0</v>
      </c>
      <c r="P120" s="657">
        <v>0</v>
      </c>
      <c r="Q120" s="657">
        <v>0</v>
      </c>
      <c r="R120" s="657">
        <v>0</v>
      </c>
      <c r="S120" s="657">
        <v>0</v>
      </c>
      <c r="T120" s="604" t="e">
        <v>#DIV/0!</v>
      </c>
      <c r="U120" s="658">
        <v>0</v>
      </c>
      <c r="V120" s="658">
        <v>0</v>
      </c>
      <c r="W120" s="653"/>
      <c r="X120" s="653"/>
      <c r="Y120" s="653"/>
      <c r="Z120" s="653"/>
    </row>
    <row r="121" spans="1:26" x14ac:dyDescent="0.2">
      <c r="A121" s="602" t="s">
        <v>355</v>
      </c>
      <c r="B121" s="657">
        <v>0</v>
      </c>
      <c r="C121" s="657">
        <v>0</v>
      </c>
      <c r="D121" s="657">
        <v>0</v>
      </c>
      <c r="E121" s="653"/>
      <c r="F121" s="653"/>
      <c r="G121" s="657">
        <v>0</v>
      </c>
      <c r="H121" s="657">
        <v>0</v>
      </c>
      <c r="I121" s="657">
        <v>0</v>
      </c>
      <c r="J121" s="657">
        <v>0</v>
      </c>
      <c r="K121" s="657">
        <v>0</v>
      </c>
      <c r="L121" s="657">
        <v>0</v>
      </c>
      <c r="M121" s="657">
        <v>0</v>
      </c>
      <c r="N121" s="657">
        <v>0</v>
      </c>
      <c r="O121" s="657">
        <v>0</v>
      </c>
      <c r="P121" s="657">
        <v>0</v>
      </c>
      <c r="Q121" s="657">
        <v>0</v>
      </c>
      <c r="R121" s="657">
        <v>0</v>
      </c>
      <c r="S121" s="657">
        <v>0</v>
      </c>
      <c r="T121" s="604" t="e">
        <v>#DIV/0!</v>
      </c>
      <c r="U121" s="658">
        <v>0</v>
      </c>
      <c r="V121" s="658">
        <v>0</v>
      </c>
      <c r="W121" s="653"/>
      <c r="X121" s="653"/>
      <c r="Y121" s="653"/>
      <c r="Z121" s="653"/>
    </row>
    <row r="122" spans="1:26" x14ac:dyDescent="0.2">
      <c r="A122" s="602" t="s">
        <v>356</v>
      </c>
      <c r="B122" s="657">
        <v>0</v>
      </c>
      <c r="C122" s="657">
        <v>0</v>
      </c>
      <c r="D122" s="657">
        <v>0</v>
      </c>
      <c r="E122" s="653"/>
      <c r="F122" s="653"/>
      <c r="G122" s="657">
        <v>0</v>
      </c>
      <c r="H122" s="657">
        <v>0</v>
      </c>
      <c r="I122" s="657">
        <v>0</v>
      </c>
      <c r="J122" s="657">
        <v>0</v>
      </c>
      <c r="K122" s="657">
        <v>0</v>
      </c>
      <c r="L122" s="657">
        <v>0</v>
      </c>
      <c r="M122" s="657">
        <v>0</v>
      </c>
      <c r="N122" s="657">
        <v>0</v>
      </c>
      <c r="O122" s="657">
        <v>0</v>
      </c>
      <c r="P122" s="657">
        <v>0</v>
      </c>
      <c r="Q122" s="657">
        <v>0</v>
      </c>
      <c r="R122" s="657">
        <v>0</v>
      </c>
      <c r="S122" s="657">
        <v>0</v>
      </c>
      <c r="T122" s="604" t="e">
        <v>#DIV/0!</v>
      </c>
      <c r="U122" s="658">
        <v>0</v>
      </c>
      <c r="V122" s="658">
        <v>0</v>
      </c>
      <c r="W122" s="653"/>
      <c r="X122" s="653"/>
      <c r="Y122" s="653"/>
      <c r="Z122" s="653"/>
    </row>
    <row r="123" spans="1:26" x14ac:dyDescent="0.2">
      <c r="A123" s="602" t="s">
        <v>357</v>
      </c>
      <c r="B123" s="657">
        <v>0</v>
      </c>
      <c r="C123" s="657">
        <v>0</v>
      </c>
      <c r="D123" s="657">
        <v>0</v>
      </c>
      <c r="E123" s="653"/>
      <c r="F123" s="653"/>
      <c r="G123" s="657">
        <v>0</v>
      </c>
      <c r="H123" s="657">
        <v>0</v>
      </c>
      <c r="I123" s="657">
        <v>0</v>
      </c>
      <c r="J123" s="657">
        <v>0</v>
      </c>
      <c r="K123" s="657">
        <v>0</v>
      </c>
      <c r="L123" s="657">
        <v>0</v>
      </c>
      <c r="M123" s="657">
        <v>0</v>
      </c>
      <c r="N123" s="657">
        <v>0</v>
      </c>
      <c r="O123" s="657">
        <v>0</v>
      </c>
      <c r="P123" s="657">
        <v>0</v>
      </c>
      <c r="Q123" s="657">
        <v>0</v>
      </c>
      <c r="R123" s="657">
        <v>0</v>
      </c>
      <c r="S123" s="657">
        <v>0</v>
      </c>
      <c r="T123" s="604" t="e">
        <v>#DIV/0!</v>
      </c>
      <c r="U123" s="658">
        <v>0</v>
      </c>
      <c r="V123" s="658">
        <v>0</v>
      </c>
      <c r="W123" s="653"/>
      <c r="X123" s="653"/>
      <c r="Y123" s="653"/>
      <c r="Z123" s="653"/>
    </row>
    <row r="124" spans="1:26" x14ac:dyDescent="0.2">
      <c r="A124" s="602" t="s">
        <v>358</v>
      </c>
      <c r="B124" s="657">
        <v>0</v>
      </c>
      <c r="C124" s="657">
        <v>0</v>
      </c>
      <c r="D124" s="657">
        <v>0</v>
      </c>
      <c r="E124" s="653"/>
      <c r="F124" s="653"/>
      <c r="G124" s="657">
        <v>0</v>
      </c>
      <c r="H124" s="657">
        <v>0</v>
      </c>
      <c r="I124" s="657">
        <v>0</v>
      </c>
      <c r="J124" s="657">
        <v>0</v>
      </c>
      <c r="K124" s="657">
        <v>0</v>
      </c>
      <c r="L124" s="657">
        <v>0</v>
      </c>
      <c r="M124" s="657">
        <v>0</v>
      </c>
      <c r="N124" s="657">
        <v>0</v>
      </c>
      <c r="O124" s="657">
        <v>0</v>
      </c>
      <c r="P124" s="657">
        <v>0</v>
      </c>
      <c r="Q124" s="657">
        <v>0</v>
      </c>
      <c r="R124" s="657">
        <v>0</v>
      </c>
      <c r="S124" s="657">
        <v>0</v>
      </c>
      <c r="T124" s="604" t="e">
        <v>#DIV/0!</v>
      </c>
      <c r="U124" s="658">
        <v>0</v>
      </c>
      <c r="V124" s="658">
        <v>0</v>
      </c>
      <c r="W124" s="653"/>
      <c r="X124" s="653"/>
      <c r="Y124" s="653"/>
      <c r="Z124" s="653"/>
    </row>
    <row r="125" spans="1:26" x14ac:dyDescent="0.2">
      <c r="A125" s="602" t="s">
        <v>359</v>
      </c>
      <c r="B125" s="657">
        <v>0</v>
      </c>
      <c r="C125" s="657">
        <v>0</v>
      </c>
      <c r="D125" s="657">
        <v>0</v>
      </c>
      <c r="E125" s="653"/>
      <c r="F125" s="653"/>
      <c r="G125" s="657">
        <v>0</v>
      </c>
      <c r="H125" s="657">
        <v>0</v>
      </c>
      <c r="I125" s="657">
        <v>0</v>
      </c>
      <c r="J125" s="657">
        <v>0</v>
      </c>
      <c r="K125" s="657">
        <v>0</v>
      </c>
      <c r="L125" s="657">
        <v>0</v>
      </c>
      <c r="M125" s="657">
        <v>0</v>
      </c>
      <c r="N125" s="657">
        <v>0</v>
      </c>
      <c r="O125" s="657">
        <v>0</v>
      </c>
      <c r="P125" s="657">
        <v>0</v>
      </c>
      <c r="Q125" s="657">
        <v>0</v>
      </c>
      <c r="R125" s="657">
        <v>0</v>
      </c>
      <c r="S125" s="657">
        <v>0</v>
      </c>
      <c r="T125" s="604" t="e">
        <v>#DIV/0!</v>
      </c>
      <c r="U125" s="658">
        <v>0</v>
      </c>
      <c r="V125" s="658">
        <v>0</v>
      </c>
      <c r="W125" s="653"/>
      <c r="X125" s="653"/>
      <c r="Y125" s="653"/>
      <c r="Z125" s="653"/>
    </row>
    <row r="126" spans="1:26" x14ac:dyDescent="0.2">
      <c r="A126" s="602" t="s">
        <v>360</v>
      </c>
      <c r="B126" s="657">
        <v>0</v>
      </c>
      <c r="C126" s="657">
        <v>0</v>
      </c>
      <c r="D126" s="657">
        <v>0</v>
      </c>
      <c r="E126" s="653"/>
      <c r="F126" s="653"/>
      <c r="G126" s="657">
        <v>0</v>
      </c>
      <c r="H126" s="657">
        <v>0</v>
      </c>
      <c r="I126" s="657">
        <v>0</v>
      </c>
      <c r="J126" s="657">
        <v>0</v>
      </c>
      <c r="K126" s="657">
        <v>0</v>
      </c>
      <c r="L126" s="657">
        <v>0</v>
      </c>
      <c r="M126" s="657">
        <v>0</v>
      </c>
      <c r="N126" s="657">
        <v>0</v>
      </c>
      <c r="O126" s="657">
        <v>0</v>
      </c>
      <c r="P126" s="657">
        <v>0</v>
      </c>
      <c r="Q126" s="657">
        <v>0</v>
      </c>
      <c r="R126" s="657">
        <v>0</v>
      </c>
      <c r="S126" s="657">
        <v>0</v>
      </c>
      <c r="T126" s="604" t="e">
        <v>#DIV/0!</v>
      </c>
      <c r="U126" s="658">
        <v>0</v>
      </c>
      <c r="V126" s="658">
        <v>0</v>
      </c>
      <c r="W126" s="653"/>
      <c r="X126" s="653"/>
      <c r="Y126" s="653"/>
      <c r="Z126" s="653"/>
    </row>
    <row r="127" spans="1:26" x14ac:dyDescent="0.2">
      <c r="A127" s="602" t="s">
        <v>361</v>
      </c>
      <c r="B127" s="657">
        <v>0</v>
      </c>
      <c r="C127" s="657">
        <v>0</v>
      </c>
      <c r="D127" s="657">
        <v>0</v>
      </c>
      <c r="E127" s="653"/>
      <c r="F127" s="653"/>
      <c r="G127" s="657">
        <v>0</v>
      </c>
      <c r="H127" s="657">
        <v>0</v>
      </c>
      <c r="I127" s="657">
        <v>0</v>
      </c>
      <c r="J127" s="657">
        <v>0</v>
      </c>
      <c r="K127" s="657">
        <v>0</v>
      </c>
      <c r="L127" s="657">
        <v>0</v>
      </c>
      <c r="M127" s="657">
        <v>0</v>
      </c>
      <c r="N127" s="657">
        <v>0</v>
      </c>
      <c r="O127" s="657">
        <v>0</v>
      </c>
      <c r="P127" s="657">
        <v>0</v>
      </c>
      <c r="Q127" s="657">
        <v>0</v>
      </c>
      <c r="R127" s="657">
        <v>0</v>
      </c>
      <c r="S127" s="657">
        <v>0</v>
      </c>
      <c r="T127" s="604" t="e">
        <v>#DIV/0!</v>
      </c>
      <c r="U127" s="658">
        <v>0</v>
      </c>
      <c r="V127" s="658">
        <v>0</v>
      </c>
      <c r="W127" s="653"/>
      <c r="X127" s="653"/>
      <c r="Y127" s="653"/>
      <c r="Z127" s="653"/>
    </row>
    <row r="128" spans="1:26" x14ac:dyDescent="0.2">
      <c r="A128" s="602" t="s">
        <v>362</v>
      </c>
      <c r="B128" s="657">
        <v>0</v>
      </c>
      <c r="C128" s="657">
        <v>0</v>
      </c>
      <c r="D128" s="657">
        <v>0</v>
      </c>
      <c r="E128" s="653"/>
      <c r="F128" s="653"/>
      <c r="G128" s="657">
        <v>0</v>
      </c>
      <c r="H128" s="657">
        <v>0</v>
      </c>
      <c r="I128" s="657">
        <v>0</v>
      </c>
      <c r="J128" s="657">
        <v>0</v>
      </c>
      <c r="K128" s="657">
        <v>0</v>
      </c>
      <c r="L128" s="657">
        <v>0</v>
      </c>
      <c r="M128" s="657">
        <v>0</v>
      </c>
      <c r="N128" s="657">
        <v>0</v>
      </c>
      <c r="O128" s="657">
        <v>0</v>
      </c>
      <c r="P128" s="657">
        <v>0</v>
      </c>
      <c r="Q128" s="657">
        <v>0</v>
      </c>
      <c r="R128" s="657">
        <v>0</v>
      </c>
      <c r="S128" s="657">
        <v>0</v>
      </c>
      <c r="T128" s="604" t="e">
        <v>#DIV/0!</v>
      </c>
      <c r="U128" s="658">
        <v>0</v>
      </c>
      <c r="V128" s="658">
        <v>0</v>
      </c>
      <c r="W128" s="653"/>
      <c r="X128" s="653"/>
      <c r="Y128" s="653"/>
      <c r="Z128" s="653"/>
    </row>
    <row r="129" spans="1:26" x14ac:dyDescent="0.2">
      <c r="A129" s="602" t="s">
        <v>363</v>
      </c>
      <c r="B129" s="657">
        <v>0</v>
      </c>
      <c r="C129" s="657">
        <v>0</v>
      </c>
      <c r="D129" s="657">
        <v>0</v>
      </c>
      <c r="E129" s="653"/>
      <c r="F129" s="653"/>
      <c r="G129" s="657">
        <v>0</v>
      </c>
      <c r="H129" s="657">
        <v>0</v>
      </c>
      <c r="I129" s="657">
        <v>0</v>
      </c>
      <c r="J129" s="657">
        <v>0</v>
      </c>
      <c r="K129" s="657">
        <v>0</v>
      </c>
      <c r="L129" s="657">
        <v>0</v>
      </c>
      <c r="M129" s="657">
        <v>0</v>
      </c>
      <c r="N129" s="657">
        <v>0</v>
      </c>
      <c r="O129" s="657">
        <v>0</v>
      </c>
      <c r="P129" s="657">
        <v>0</v>
      </c>
      <c r="Q129" s="657">
        <v>0</v>
      </c>
      <c r="R129" s="657">
        <v>0</v>
      </c>
      <c r="S129" s="657">
        <v>0</v>
      </c>
      <c r="T129" s="604" t="e">
        <v>#DIV/0!</v>
      </c>
      <c r="U129" s="658">
        <v>0</v>
      </c>
      <c r="V129" s="658">
        <v>0</v>
      </c>
      <c r="W129" s="653"/>
      <c r="X129" s="653"/>
      <c r="Y129" s="653"/>
      <c r="Z129" s="653"/>
    </row>
    <row r="130" spans="1:26" x14ac:dyDescent="0.2">
      <c r="A130" s="602" t="s">
        <v>364</v>
      </c>
      <c r="B130" s="657">
        <v>0</v>
      </c>
      <c r="C130" s="657">
        <v>0</v>
      </c>
      <c r="D130" s="657">
        <v>0</v>
      </c>
      <c r="E130" s="653"/>
      <c r="F130" s="653"/>
      <c r="G130" s="657">
        <v>0</v>
      </c>
      <c r="H130" s="657">
        <v>0</v>
      </c>
      <c r="I130" s="657">
        <v>0</v>
      </c>
      <c r="J130" s="657">
        <v>0</v>
      </c>
      <c r="K130" s="657">
        <v>0</v>
      </c>
      <c r="L130" s="657">
        <v>0</v>
      </c>
      <c r="M130" s="657">
        <v>0</v>
      </c>
      <c r="N130" s="657">
        <v>0</v>
      </c>
      <c r="O130" s="657">
        <v>0</v>
      </c>
      <c r="P130" s="657">
        <v>0</v>
      </c>
      <c r="Q130" s="657">
        <v>0</v>
      </c>
      <c r="R130" s="657">
        <v>0</v>
      </c>
      <c r="S130" s="657">
        <v>0</v>
      </c>
      <c r="T130" s="604" t="e">
        <v>#DIV/0!</v>
      </c>
      <c r="U130" s="658">
        <v>0</v>
      </c>
      <c r="V130" s="658">
        <v>0</v>
      </c>
      <c r="W130" s="653"/>
      <c r="X130" s="653"/>
      <c r="Y130" s="653"/>
      <c r="Z130" s="653"/>
    </row>
    <row r="131" spans="1:26" x14ac:dyDescent="0.2">
      <c r="A131" s="602" t="s">
        <v>365</v>
      </c>
      <c r="B131" s="657">
        <v>0</v>
      </c>
      <c r="C131" s="657">
        <v>0</v>
      </c>
      <c r="D131" s="657">
        <v>0</v>
      </c>
      <c r="E131" s="653"/>
      <c r="F131" s="653"/>
      <c r="G131" s="657">
        <v>0</v>
      </c>
      <c r="H131" s="657">
        <v>0</v>
      </c>
      <c r="I131" s="657">
        <v>0</v>
      </c>
      <c r="J131" s="657">
        <v>0</v>
      </c>
      <c r="K131" s="657">
        <v>0</v>
      </c>
      <c r="L131" s="657">
        <v>0</v>
      </c>
      <c r="M131" s="657">
        <v>0</v>
      </c>
      <c r="N131" s="657">
        <v>0</v>
      </c>
      <c r="O131" s="657">
        <v>0</v>
      </c>
      <c r="P131" s="657">
        <v>0</v>
      </c>
      <c r="Q131" s="657">
        <v>0</v>
      </c>
      <c r="R131" s="657">
        <v>0</v>
      </c>
      <c r="S131" s="657">
        <v>0</v>
      </c>
      <c r="T131" s="604" t="e">
        <v>#DIV/0!</v>
      </c>
      <c r="U131" s="658">
        <v>0</v>
      </c>
      <c r="V131" s="658">
        <v>0</v>
      </c>
      <c r="W131" s="653"/>
      <c r="X131" s="653"/>
      <c r="Y131" s="653"/>
      <c r="Z131" s="653"/>
    </row>
    <row r="132" spans="1:26" x14ac:dyDescent="0.2">
      <c r="A132" s="602" t="s">
        <v>366</v>
      </c>
      <c r="B132" s="657">
        <v>0</v>
      </c>
      <c r="C132" s="657">
        <v>0</v>
      </c>
      <c r="D132" s="657">
        <v>0</v>
      </c>
      <c r="E132" s="653"/>
      <c r="F132" s="653"/>
      <c r="G132" s="657">
        <v>0</v>
      </c>
      <c r="H132" s="657">
        <v>0</v>
      </c>
      <c r="I132" s="657">
        <v>0</v>
      </c>
      <c r="J132" s="657">
        <v>0</v>
      </c>
      <c r="K132" s="657">
        <v>0</v>
      </c>
      <c r="L132" s="657">
        <v>0</v>
      </c>
      <c r="M132" s="657">
        <v>0</v>
      </c>
      <c r="N132" s="657">
        <v>0</v>
      </c>
      <c r="O132" s="657">
        <v>0</v>
      </c>
      <c r="P132" s="657">
        <v>0</v>
      </c>
      <c r="Q132" s="657">
        <v>0</v>
      </c>
      <c r="R132" s="657">
        <v>0</v>
      </c>
      <c r="S132" s="657">
        <v>0</v>
      </c>
      <c r="T132" s="604" t="e">
        <v>#DIV/0!</v>
      </c>
      <c r="U132" s="658">
        <v>0</v>
      </c>
      <c r="V132" s="658">
        <v>0</v>
      </c>
      <c r="W132" s="653"/>
      <c r="X132" s="653"/>
      <c r="Y132" s="653"/>
      <c r="Z132" s="653"/>
    </row>
    <row r="133" spans="1:26" x14ac:dyDescent="0.2">
      <c r="A133" s="602" t="s">
        <v>367</v>
      </c>
      <c r="B133" s="657">
        <v>0</v>
      </c>
      <c r="C133" s="657">
        <v>0</v>
      </c>
      <c r="D133" s="657">
        <v>0</v>
      </c>
      <c r="E133" s="653"/>
      <c r="F133" s="653"/>
      <c r="G133" s="657">
        <v>0</v>
      </c>
      <c r="H133" s="657">
        <v>0</v>
      </c>
      <c r="I133" s="657">
        <v>0</v>
      </c>
      <c r="J133" s="657">
        <v>0</v>
      </c>
      <c r="K133" s="657">
        <v>0</v>
      </c>
      <c r="L133" s="657">
        <v>0</v>
      </c>
      <c r="M133" s="657">
        <v>0</v>
      </c>
      <c r="N133" s="657">
        <v>0</v>
      </c>
      <c r="O133" s="657">
        <v>0</v>
      </c>
      <c r="P133" s="657">
        <v>0</v>
      </c>
      <c r="Q133" s="657">
        <v>0</v>
      </c>
      <c r="R133" s="657">
        <v>0</v>
      </c>
      <c r="S133" s="657">
        <v>0</v>
      </c>
      <c r="T133" s="604" t="e">
        <v>#DIV/0!</v>
      </c>
      <c r="U133" s="658">
        <v>0</v>
      </c>
      <c r="V133" s="658">
        <v>0</v>
      </c>
      <c r="W133" s="653"/>
      <c r="X133" s="653"/>
      <c r="Y133" s="653"/>
      <c r="Z133" s="653"/>
    </row>
    <row r="134" spans="1:26" x14ac:dyDescent="0.2">
      <c r="A134" s="602" t="s">
        <v>368</v>
      </c>
      <c r="B134" s="657">
        <v>0</v>
      </c>
      <c r="C134" s="657">
        <v>0</v>
      </c>
      <c r="D134" s="657">
        <v>0</v>
      </c>
      <c r="E134" s="653"/>
      <c r="F134" s="653"/>
      <c r="G134" s="657">
        <v>0</v>
      </c>
      <c r="H134" s="657">
        <v>0</v>
      </c>
      <c r="I134" s="657">
        <v>0</v>
      </c>
      <c r="J134" s="657">
        <v>0</v>
      </c>
      <c r="K134" s="657">
        <v>0</v>
      </c>
      <c r="L134" s="657">
        <v>0</v>
      </c>
      <c r="M134" s="657">
        <v>0</v>
      </c>
      <c r="N134" s="657">
        <v>0</v>
      </c>
      <c r="O134" s="657">
        <v>0</v>
      </c>
      <c r="P134" s="657">
        <v>0</v>
      </c>
      <c r="Q134" s="657">
        <v>0</v>
      </c>
      <c r="R134" s="657">
        <v>0</v>
      </c>
      <c r="S134" s="657">
        <v>0</v>
      </c>
      <c r="T134" s="604" t="e">
        <v>#DIV/0!</v>
      </c>
      <c r="U134" s="658">
        <v>0</v>
      </c>
      <c r="V134" s="658">
        <v>0</v>
      </c>
      <c r="W134" s="653"/>
      <c r="X134" s="653"/>
      <c r="Y134" s="653"/>
      <c r="Z134" s="653"/>
    </row>
    <row r="135" spans="1:26" x14ac:dyDescent="0.2">
      <c r="A135" s="602" t="s">
        <v>369</v>
      </c>
      <c r="B135" s="657">
        <v>0</v>
      </c>
      <c r="C135" s="657">
        <v>0</v>
      </c>
      <c r="D135" s="657">
        <v>0</v>
      </c>
      <c r="E135" s="653"/>
      <c r="F135" s="653"/>
      <c r="G135" s="657">
        <v>0</v>
      </c>
      <c r="H135" s="657">
        <v>0</v>
      </c>
      <c r="I135" s="657">
        <v>0</v>
      </c>
      <c r="J135" s="657">
        <v>0</v>
      </c>
      <c r="K135" s="657">
        <v>0</v>
      </c>
      <c r="L135" s="657">
        <v>0</v>
      </c>
      <c r="M135" s="657">
        <v>0</v>
      </c>
      <c r="N135" s="657">
        <v>0</v>
      </c>
      <c r="O135" s="657">
        <v>0</v>
      </c>
      <c r="P135" s="657">
        <v>0</v>
      </c>
      <c r="Q135" s="657">
        <v>0</v>
      </c>
      <c r="R135" s="657">
        <v>0</v>
      </c>
      <c r="S135" s="657">
        <v>0</v>
      </c>
      <c r="T135" s="604" t="e">
        <v>#DIV/0!</v>
      </c>
      <c r="U135" s="658">
        <v>0</v>
      </c>
      <c r="V135" s="658">
        <v>0</v>
      </c>
      <c r="W135" s="653"/>
      <c r="X135" s="653"/>
      <c r="Y135" s="653"/>
      <c r="Z135" s="653"/>
    </row>
    <row r="136" spans="1:26" s="661" customFormat="1" x14ac:dyDescent="0.2">
      <c r="A136" s="662" t="s">
        <v>370</v>
      </c>
      <c r="B136" s="659">
        <v>0</v>
      </c>
      <c r="C136" s="659">
        <v>0</v>
      </c>
      <c r="D136" s="659">
        <v>0</v>
      </c>
      <c r="E136" s="660"/>
      <c r="F136" s="660"/>
      <c r="G136" s="659">
        <v>0</v>
      </c>
      <c r="H136" s="659">
        <v>0</v>
      </c>
      <c r="I136" s="659">
        <v>0</v>
      </c>
      <c r="J136" s="659">
        <v>0</v>
      </c>
      <c r="K136" s="659">
        <v>0</v>
      </c>
      <c r="L136" s="659">
        <v>0</v>
      </c>
      <c r="M136" s="659">
        <v>0</v>
      </c>
      <c r="N136" s="659">
        <v>0</v>
      </c>
      <c r="O136" s="659">
        <v>0</v>
      </c>
      <c r="P136" s="659">
        <v>0</v>
      </c>
      <c r="Q136" s="659">
        <v>0</v>
      </c>
      <c r="R136" s="659">
        <v>0</v>
      </c>
      <c r="S136" s="659">
        <v>0</v>
      </c>
      <c r="T136" s="600" t="e">
        <v>#DIV/0!</v>
      </c>
      <c r="U136" s="656">
        <v>0</v>
      </c>
      <c r="V136" s="656">
        <v>0</v>
      </c>
      <c r="W136" s="660"/>
      <c r="X136" s="660"/>
      <c r="Y136" s="660"/>
      <c r="Z136" s="660"/>
    </row>
    <row r="137" spans="1:26" x14ac:dyDescent="0.2">
      <c r="A137" s="602" t="s">
        <v>371</v>
      </c>
      <c r="B137" s="657">
        <v>0</v>
      </c>
      <c r="C137" s="657">
        <v>0</v>
      </c>
      <c r="D137" s="657">
        <v>0</v>
      </c>
      <c r="E137" s="653"/>
      <c r="F137" s="653"/>
      <c r="G137" s="657">
        <v>0</v>
      </c>
      <c r="H137" s="657">
        <v>0</v>
      </c>
      <c r="I137" s="657">
        <v>0</v>
      </c>
      <c r="J137" s="657">
        <v>0</v>
      </c>
      <c r="K137" s="657">
        <v>0</v>
      </c>
      <c r="L137" s="657">
        <v>0</v>
      </c>
      <c r="M137" s="657">
        <v>0</v>
      </c>
      <c r="N137" s="657">
        <v>0</v>
      </c>
      <c r="O137" s="657">
        <v>0</v>
      </c>
      <c r="P137" s="657">
        <v>0</v>
      </c>
      <c r="Q137" s="657">
        <v>0</v>
      </c>
      <c r="R137" s="657">
        <v>0</v>
      </c>
      <c r="S137" s="657">
        <v>0</v>
      </c>
      <c r="T137" s="604" t="e">
        <v>#DIV/0!</v>
      </c>
      <c r="U137" s="658">
        <v>0</v>
      </c>
      <c r="V137" s="658">
        <v>0</v>
      </c>
      <c r="W137" s="653"/>
      <c r="X137" s="653"/>
      <c r="Y137" s="653"/>
      <c r="Z137" s="653"/>
    </row>
    <row r="138" spans="1:26" x14ac:dyDescent="0.2">
      <c r="A138" s="602" t="s">
        <v>372</v>
      </c>
      <c r="B138" s="657">
        <v>0</v>
      </c>
      <c r="C138" s="657">
        <v>0</v>
      </c>
      <c r="D138" s="657">
        <v>0</v>
      </c>
      <c r="E138" s="653"/>
      <c r="F138" s="653"/>
      <c r="G138" s="657">
        <v>0</v>
      </c>
      <c r="H138" s="657">
        <v>0</v>
      </c>
      <c r="I138" s="657">
        <v>0</v>
      </c>
      <c r="J138" s="657">
        <v>0</v>
      </c>
      <c r="K138" s="657">
        <v>0</v>
      </c>
      <c r="L138" s="657">
        <v>0</v>
      </c>
      <c r="M138" s="657">
        <v>0</v>
      </c>
      <c r="N138" s="657">
        <v>0</v>
      </c>
      <c r="O138" s="657">
        <v>0</v>
      </c>
      <c r="P138" s="657">
        <v>0</v>
      </c>
      <c r="Q138" s="657">
        <v>0</v>
      </c>
      <c r="R138" s="657">
        <v>0</v>
      </c>
      <c r="S138" s="657">
        <v>0</v>
      </c>
      <c r="T138" s="604" t="e">
        <v>#DIV/0!</v>
      </c>
      <c r="U138" s="658">
        <v>0</v>
      </c>
      <c r="V138" s="658">
        <v>0</v>
      </c>
      <c r="W138" s="653"/>
      <c r="X138" s="653"/>
      <c r="Y138" s="653"/>
      <c r="Z138" s="653"/>
    </row>
    <row r="139" spans="1:26" x14ac:dyDescent="0.2">
      <c r="A139" s="602" t="s">
        <v>373</v>
      </c>
      <c r="B139" s="657">
        <v>0</v>
      </c>
      <c r="C139" s="657">
        <v>0</v>
      </c>
      <c r="D139" s="657">
        <v>0</v>
      </c>
      <c r="E139" s="653"/>
      <c r="F139" s="653"/>
      <c r="G139" s="657">
        <v>0</v>
      </c>
      <c r="H139" s="657">
        <v>0</v>
      </c>
      <c r="I139" s="657">
        <v>0</v>
      </c>
      <c r="J139" s="657">
        <v>0</v>
      </c>
      <c r="K139" s="657">
        <v>0</v>
      </c>
      <c r="L139" s="657">
        <v>0</v>
      </c>
      <c r="M139" s="657">
        <v>0</v>
      </c>
      <c r="N139" s="657">
        <v>0</v>
      </c>
      <c r="O139" s="657">
        <v>0</v>
      </c>
      <c r="P139" s="657">
        <v>0</v>
      </c>
      <c r="Q139" s="657">
        <v>0</v>
      </c>
      <c r="R139" s="657">
        <v>0</v>
      </c>
      <c r="S139" s="657">
        <v>0</v>
      </c>
      <c r="T139" s="604" t="e">
        <v>#DIV/0!</v>
      </c>
      <c r="U139" s="658">
        <v>0</v>
      </c>
      <c r="V139" s="658">
        <v>0</v>
      </c>
      <c r="W139" s="653"/>
      <c r="X139" s="653"/>
      <c r="Y139" s="653"/>
      <c r="Z139" s="653"/>
    </row>
    <row r="140" spans="1:26" x14ac:dyDescent="0.2">
      <c r="A140" s="602" t="s">
        <v>374</v>
      </c>
      <c r="B140" s="657">
        <v>0</v>
      </c>
      <c r="C140" s="657">
        <v>0</v>
      </c>
      <c r="D140" s="657">
        <v>0</v>
      </c>
      <c r="E140" s="653"/>
      <c r="F140" s="653"/>
      <c r="G140" s="657">
        <v>0</v>
      </c>
      <c r="H140" s="657">
        <v>0</v>
      </c>
      <c r="I140" s="657">
        <v>0</v>
      </c>
      <c r="J140" s="657">
        <v>0</v>
      </c>
      <c r="K140" s="657">
        <v>0</v>
      </c>
      <c r="L140" s="657">
        <v>0</v>
      </c>
      <c r="M140" s="657">
        <v>0</v>
      </c>
      <c r="N140" s="657">
        <v>0</v>
      </c>
      <c r="O140" s="657">
        <v>0</v>
      </c>
      <c r="P140" s="657">
        <v>0</v>
      </c>
      <c r="Q140" s="657">
        <v>0</v>
      </c>
      <c r="R140" s="657">
        <v>0</v>
      </c>
      <c r="S140" s="657">
        <v>0</v>
      </c>
      <c r="T140" s="604" t="e">
        <v>#DIV/0!</v>
      </c>
      <c r="U140" s="658">
        <v>0</v>
      </c>
      <c r="V140" s="658">
        <v>0</v>
      </c>
      <c r="W140" s="653"/>
      <c r="X140" s="653"/>
      <c r="Y140" s="653"/>
      <c r="Z140" s="653"/>
    </row>
    <row r="141" spans="1:26" x14ac:dyDescent="0.2">
      <c r="A141" s="602" t="s">
        <v>375</v>
      </c>
      <c r="B141" s="657">
        <v>0</v>
      </c>
      <c r="C141" s="657">
        <v>0</v>
      </c>
      <c r="D141" s="657">
        <v>0</v>
      </c>
      <c r="E141" s="653"/>
      <c r="F141" s="653"/>
      <c r="G141" s="657">
        <v>0</v>
      </c>
      <c r="H141" s="657">
        <v>0</v>
      </c>
      <c r="I141" s="657">
        <v>0</v>
      </c>
      <c r="J141" s="657">
        <v>0</v>
      </c>
      <c r="K141" s="657">
        <v>0</v>
      </c>
      <c r="L141" s="657">
        <v>0</v>
      </c>
      <c r="M141" s="657">
        <v>0</v>
      </c>
      <c r="N141" s="657">
        <v>0</v>
      </c>
      <c r="O141" s="657">
        <v>0</v>
      </c>
      <c r="P141" s="657">
        <v>0</v>
      </c>
      <c r="Q141" s="657">
        <v>0</v>
      </c>
      <c r="R141" s="657">
        <v>0</v>
      </c>
      <c r="S141" s="657">
        <v>0</v>
      </c>
      <c r="T141" s="604" t="e">
        <v>#DIV/0!</v>
      </c>
      <c r="U141" s="658">
        <v>0</v>
      </c>
      <c r="V141" s="658">
        <v>0</v>
      </c>
      <c r="W141" s="653"/>
      <c r="X141" s="653"/>
      <c r="Y141" s="653"/>
      <c r="Z141" s="653"/>
    </row>
    <row r="142" spans="1:26" x14ac:dyDescent="0.2">
      <c r="A142" s="602" t="s">
        <v>376</v>
      </c>
      <c r="B142" s="657">
        <v>0</v>
      </c>
      <c r="C142" s="657">
        <v>0</v>
      </c>
      <c r="D142" s="657">
        <v>0</v>
      </c>
      <c r="E142" s="653"/>
      <c r="F142" s="653"/>
      <c r="G142" s="657">
        <v>0</v>
      </c>
      <c r="H142" s="657">
        <v>0</v>
      </c>
      <c r="I142" s="657">
        <v>0</v>
      </c>
      <c r="J142" s="657">
        <v>0</v>
      </c>
      <c r="K142" s="657">
        <v>0</v>
      </c>
      <c r="L142" s="657">
        <v>0</v>
      </c>
      <c r="M142" s="657">
        <v>0</v>
      </c>
      <c r="N142" s="657">
        <v>0</v>
      </c>
      <c r="O142" s="657">
        <v>0</v>
      </c>
      <c r="P142" s="657">
        <v>0</v>
      </c>
      <c r="Q142" s="657">
        <v>0</v>
      </c>
      <c r="R142" s="657">
        <v>0</v>
      </c>
      <c r="S142" s="657">
        <v>0</v>
      </c>
      <c r="T142" s="604" t="e">
        <v>#DIV/0!</v>
      </c>
      <c r="U142" s="658">
        <v>0</v>
      </c>
      <c r="V142" s="658">
        <v>0</v>
      </c>
      <c r="W142" s="653"/>
      <c r="X142" s="653"/>
      <c r="Y142" s="653"/>
      <c r="Z142" s="653"/>
    </row>
    <row r="143" spans="1:26" x14ac:dyDescent="0.2">
      <c r="A143" s="602" t="s">
        <v>377</v>
      </c>
      <c r="B143" s="657">
        <v>0</v>
      </c>
      <c r="C143" s="657">
        <v>0</v>
      </c>
      <c r="D143" s="657">
        <v>0</v>
      </c>
      <c r="E143" s="653"/>
      <c r="F143" s="653"/>
      <c r="G143" s="657">
        <v>0</v>
      </c>
      <c r="H143" s="657">
        <v>0</v>
      </c>
      <c r="I143" s="657">
        <v>0</v>
      </c>
      <c r="J143" s="657">
        <v>0</v>
      </c>
      <c r="K143" s="657">
        <v>0</v>
      </c>
      <c r="L143" s="657">
        <v>0</v>
      </c>
      <c r="M143" s="657">
        <v>0</v>
      </c>
      <c r="N143" s="657">
        <v>0</v>
      </c>
      <c r="O143" s="657">
        <v>0</v>
      </c>
      <c r="P143" s="657">
        <v>0</v>
      </c>
      <c r="Q143" s="657">
        <v>0</v>
      </c>
      <c r="R143" s="657">
        <v>0</v>
      </c>
      <c r="S143" s="657">
        <v>0</v>
      </c>
      <c r="T143" s="604" t="e">
        <v>#DIV/0!</v>
      </c>
      <c r="U143" s="658">
        <v>0</v>
      </c>
      <c r="V143" s="658">
        <v>0</v>
      </c>
      <c r="W143" s="653"/>
      <c r="X143" s="653"/>
      <c r="Y143" s="653"/>
      <c r="Z143" s="653"/>
    </row>
    <row r="144" spans="1:26" x14ac:dyDescent="0.2">
      <c r="A144" s="602" t="s">
        <v>378</v>
      </c>
      <c r="B144" s="657">
        <v>0</v>
      </c>
      <c r="C144" s="657">
        <v>0</v>
      </c>
      <c r="D144" s="657">
        <v>0</v>
      </c>
      <c r="E144" s="653"/>
      <c r="F144" s="653"/>
      <c r="G144" s="657">
        <v>0</v>
      </c>
      <c r="H144" s="657">
        <v>0</v>
      </c>
      <c r="I144" s="657">
        <v>0</v>
      </c>
      <c r="J144" s="657">
        <v>0</v>
      </c>
      <c r="K144" s="657">
        <v>0</v>
      </c>
      <c r="L144" s="657">
        <v>0</v>
      </c>
      <c r="M144" s="657">
        <v>0</v>
      </c>
      <c r="N144" s="657">
        <v>0</v>
      </c>
      <c r="O144" s="657">
        <v>0</v>
      </c>
      <c r="P144" s="657">
        <v>0</v>
      </c>
      <c r="Q144" s="657">
        <v>0</v>
      </c>
      <c r="R144" s="657">
        <v>0</v>
      </c>
      <c r="S144" s="657">
        <v>0</v>
      </c>
      <c r="T144" s="604" t="e">
        <v>#DIV/0!</v>
      </c>
      <c r="U144" s="658">
        <v>0</v>
      </c>
      <c r="V144" s="658">
        <v>0</v>
      </c>
      <c r="W144" s="653"/>
      <c r="X144" s="653"/>
      <c r="Y144" s="653"/>
      <c r="Z144" s="653"/>
    </row>
    <row r="145" spans="1:26" x14ac:dyDescent="0.2">
      <c r="A145" s="602" t="s">
        <v>379</v>
      </c>
      <c r="B145" s="657">
        <v>0</v>
      </c>
      <c r="C145" s="657">
        <v>0</v>
      </c>
      <c r="D145" s="657">
        <v>0</v>
      </c>
      <c r="E145" s="653"/>
      <c r="F145" s="653"/>
      <c r="G145" s="657">
        <v>0</v>
      </c>
      <c r="H145" s="657">
        <v>0</v>
      </c>
      <c r="I145" s="657">
        <v>0</v>
      </c>
      <c r="J145" s="657">
        <v>0</v>
      </c>
      <c r="K145" s="657">
        <v>0</v>
      </c>
      <c r="L145" s="657">
        <v>0</v>
      </c>
      <c r="M145" s="657">
        <v>0</v>
      </c>
      <c r="N145" s="657">
        <v>0</v>
      </c>
      <c r="O145" s="657">
        <v>0</v>
      </c>
      <c r="P145" s="657">
        <v>0</v>
      </c>
      <c r="Q145" s="657">
        <v>0</v>
      </c>
      <c r="R145" s="657">
        <v>0</v>
      </c>
      <c r="S145" s="657">
        <v>0</v>
      </c>
      <c r="T145" s="604" t="e">
        <v>#DIV/0!</v>
      </c>
      <c r="U145" s="658">
        <v>0</v>
      </c>
      <c r="V145" s="658">
        <v>0</v>
      </c>
      <c r="W145" s="653"/>
      <c r="X145" s="653"/>
      <c r="Y145" s="653"/>
      <c r="Z145" s="653"/>
    </row>
    <row r="146" spans="1:26" x14ac:dyDescent="0.2">
      <c r="A146" s="602" t="s">
        <v>380</v>
      </c>
      <c r="B146" s="657">
        <v>0</v>
      </c>
      <c r="C146" s="657">
        <v>0</v>
      </c>
      <c r="D146" s="657">
        <v>0</v>
      </c>
      <c r="E146" s="653"/>
      <c r="F146" s="653"/>
      <c r="G146" s="657">
        <v>0</v>
      </c>
      <c r="H146" s="657">
        <v>0</v>
      </c>
      <c r="I146" s="657">
        <v>0</v>
      </c>
      <c r="J146" s="657">
        <v>0</v>
      </c>
      <c r="K146" s="657">
        <v>0</v>
      </c>
      <c r="L146" s="657">
        <v>0</v>
      </c>
      <c r="M146" s="657">
        <v>0</v>
      </c>
      <c r="N146" s="657">
        <v>0</v>
      </c>
      <c r="O146" s="657">
        <v>0</v>
      </c>
      <c r="P146" s="657">
        <v>0</v>
      </c>
      <c r="Q146" s="657">
        <v>0</v>
      </c>
      <c r="R146" s="657">
        <v>0</v>
      </c>
      <c r="S146" s="657">
        <v>0</v>
      </c>
      <c r="T146" s="604" t="e">
        <v>#DIV/0!</v>
      </c>
      <c r="U146" s="658">
        <v>0</v>
      </c>
      <c r="V146" s="658">
        <v>0</v>
      </c>
      <c r="W146" s="653"/>
      <c r="X146" s="653"/>
      <c r="Y146" s="653"/>
      <c r="Z146" s="653"/>
    </row>
    <row r="147" spans="1:26" s="661" customFormat="1" x14ac:dyDescent="0.2">
      <c r="A147" s="662" t="s">
        <v>381</v>
      </c>
      <c r="B147" s="659">
        <v>0</v>
      </c>
      <c r="C147" s="659">
        <v>0</v>
      </c>
      <c r="D147" s="659">
        <v>0</v>
      </c>
      <c r="E147" s="660"/>
      <c r="F147" s="660"/>
      <c r="G147" s="659">
        <v>0</v>
      </c>
      <c r="H147" s="659">
        <v>0</v>
      </c>
      <c r="I147" s="659">
        <v>0</v>
      </c>
      <c r="J147" s="659">
        <v>0</v>
      </c>
      <c r="K147" s="659">
        <v>0</v>
      </c>
      <c r="L147" s="659">
        <v>0</v>
      </c>
      <c r="M147" s="659">
        <v>0</v>
      </c>
      <c r="N147" s="659">
        <v>0</v>
      </c>
      <c r="O147" s="659">
        <v>0</v>
      </c>
      <c r="P147" s="659">
        <v>0</v>
      </c>
      <c r="Q147" s="659">
        <v>0</v>
      </c>
      <c r="R147" s="659">
        <v>0</v>
      </c>
      <c r="S147" s="659">
        <v>0</v>
      </c>
      <c r="T147" s="600" t="e">
        <v>#DIV/0!</v>
      </c>
      <c r="U147" s="656">
        <v>0</v>
      </c>
      <c r="V147" s="656">
        <v>0</v>
      </c>
      <c r="W147" s="660"/>
      <c r="X147" s="660"/>
      <c r="Y147" s="660"/>
      <c r="Z147" s="660"/>
    </row>
    <row r="148" spans="1:26" s="661" customFormat="1" x14ac:dyDescent="0.2">
      <c r="A148" s="648" t="s">
        <v>382</v>
      </c>
      <c r="B148" s="666">
        <v>0</v>
      </c>
      <c r="C148" s="666">
        <v>0</v>
      </c>
      <c r="D148" s="666">
        <v>0</v>
      </c>
      <c r="E148" s="660"/>
      <c r="F148" s="660"/>
      <c r="G148" s="666">
        <v>0</v>
      </c>
      <c r="H148" s="666">
        <v>0</v>
      </c>
      <c r="I148" s="666">
        <v>0</v>
      </c>
      <c r="J148" s="666">
        <v>0</v>
      </c>
      <c r="K148" s="666">
        <v>0</v>
      </c>
      <c r="L148" s="666">
        <v>0</v>
      </c>
      <c r="M148" s="666">
        <v>0</v>
      </c>
      <c r="N148" s="666">
        <v>0</v>
      </c>
      <c r="O148" s="666">
        <v>0</v>
      </c>
      <c r="P148" s="666">
        <v>0</v>
      </c>
      <c r="Q148" s="666">
        <v>0</v>
      </c>
      <c r="R148" s="666">
        <v>0</v>
      </c>
      <c r="S148" s="666">
        <v>0</v>
      </c>
      <c r="T148" s="651" t="e">
        <v>#DIV/0!</v>
      </c>
      <c r="U148" s="652">
        <v>0</v>
      </c>
      <c r="V148" s="652">
        <v>0</v>
      </c>
      <c r="W148" s="660"/>
      <c r="X148" s="660"/>
      <c r="Y148" s="660"/>
      <c r="Z148" s="660"/>
    </row>
    <row r="149" spans="1:26" s="661" customFormat="1" x14ac:dyDescent="0.2">
      <c r="A149" s="662" t="s">
        <v>383</v>
      </c>
      <c r="B149" s="659">
        <v>0</v>
      </c>
      <c r="C149" s="659">
        <v>0</v>
      </c>
      <c r="D149" s="659">
        <v>0</v>
      </c>
      <c r="E149" s="660"/>
      <c r="F149" s="660"/>
      <c r="G149" s="659">
        <v>0</v>
      </c>
      <c r="H149" s="659">
        <v>0</v>
      </c>
      <c r="I149" s="659">
        <v>0</v>
      </c>
      <c r="J149" s="659">
        <v>0</v>
      </c>
      <c r="K149" s="659">
        <v>0</v>
      </c>
      <c r="L149" s="659">
        <v>0</v>
      </c>
      <c r="M149" s="659">
        <v>0</v>
      </c>
      <c r="N149" s="659">
        <v>0</v>
      </c>
      <c r="O149" s="659">
        <v>0</v>
      </c>
      <c r="P149" s="659">
        <v>0</v>
      </c>
      <c r="Q149" s="659">
        <v>0</v>
      </c>
      <c r="R149" s="659">
        <v>0</v>
      </c>
      <c r="S149" s="659">
        <v>0</v>
      </c>
      <c r="T149" s="600" t="e">
        <v>#DIV/0!</v>
      </c>
      <c r="U149" s="656">
        <v>0</v>
      </c>
      <c r="V149" s="656">
        <v>0</v>
      </c>
      <c r="W149" s="660"/>
      <c r="X149" s="660"/>
      <c r="Y149" s="660"/>
      <c r="Z149" s="660"/>
    </row>
    <row r="150" spans="1:26" x14ac:dyDescent="0.2">
      <c r="A150" s="602" t="s">
        <v>384</v>
      </c>
      <c r="B150" s="657">
        <v>0</v>
      </c>
      <c r="C150" s="657">
        <v>0</v>
      </c>
      <c r="D150" s="657">
        <v>0</v>
      </c>
      <c r="E150" s="653"/>
      <c r="F150" s="653"/>
      <c r="G150" s="657">
        <v>0</v>
      </c>
      <c r="H150" s="657">
        <v>0</v>
      </c>
      <c r="I150" s="657">
        <v>0</v>
      </c>
      <c r="J150" s="657">
        <v>0</v>
      </c>
      <c r="K150" s="657">
        <v>0</v>
      </c>
      <c r="L150" s="657">
        <v>0</v>
      </c>
      <c r="M150" s="657">
        <v>0</v>
      </c>
      <c r="N150" s="657">
        <v>0</v>
      </c>
      <c r="O150" s="657">
        <v>0</v>
      </c>
      <c r="P150" s="657">
        <v>0</v>
      </c>
      <c r="Q150" s="657">
        <v>0</v>
      </c>
      <c r="R150" s="657">
        <v>0</v>
      </c>
      <c r="S150" s="657">
        <v>0</v>
      </c>
      <c r="T150" s="604" t="e">
        <v>#DIV/0!</v>
      </c>
      <c r="U150" s="658">
        <v>0</v>
      </c>
      <c r="V150" s="658">
        <v>0</v>
      </c>
      <c r="W150" s="653"/>
      <c r="X150" s="653"/>
      <c r="Y150" s="653"/>
      <c r="Z150" s="653"/>
    </row>
    <row r="151" spans="1:26" x14ac:dyDescent="0.2">
      <c r="A151" s="602" t="s">
        <v>385</v>
      </c>
      <c r="B151" s="657">
        <v>0</v>
      </c>
      <c r="C151" s="657">
        <v>0</v>
      </c>
      <c r="D151" s="657">
        <v>0</v>
      </c>
      <c r="E151" s="653"/>
      <c r="F151" s="653"/>
      <c r="G151" s="657">
        <v>0</v>
      </c>
      <c r="H151" s="657">
        <v>0</v>
      </c>
      <c r="I151" s="657">
        <v>0</v>
      </c>
      <c r="J151" s="657">
        <v>0</v>
      </c>
      <c r="K151" s="657">
        <v>0</v>
      </c>
      <c r="L151" s="657">
        <v>0</v>
      </c>
      <c r="M151" s="657">
        <v>0</v>
      </c>
      <c r="N151" s="657">
        <v>0</v>
      </c>
      <c r="O151" s="657">
        <v>0</v>
      </c>
      <c r="P151" s="657">
        <v>0</v>
      </c>
      <c r="Q151" s="657">
        <v>0</v>
      </c>
      <c r="R151" s="657">
        <v>0</v>
      </c>
      <c r="S151" s="657">
        <v>0</v>
      </c>
      <c r="T151" s="604" t="e">
        <v>#DIV/0!</v>
      </c>
      <c r="U151" s="658">
        <v>0</v>
      </c>
      <c r="V151" s="658">
        <v>0</v>
      </c>
      <c r="W151" s="653"/>
      <c r="X151" s="653"/>
      <c r="Y151" s="653"/>
      <c r="Z151" s="653"/>
    </row>
    <row r="152" spans="1:26" x14ac:dyDescent="0.2">
      <c r="A152" s="602" t="s">
        <v>386</v>
      </c>
      <c r="B152" s="657">
        <v>0</v>
      </c>
      <c r="C152" s="657">
        <v>0</v>
      </c>
      <c r="D152" s="657">
        <v>0</v>
      </c>
      <c r="E152" s="653"/>
      <c r="F152" s="653"/>
      <c r="G152" s="657">
        <v>0</v>
      </c>
      <c r="H152" s="657">
        <v>0</v>
      </c>
      <c r="I152" s="657">
        <v>0</v>
      </c>
      <c r="J152" s="657">
        <v>0</v>
      </c>
      <c r="K152" s="657">
        <v>0</v>
      </c>
      <c r="L152" s="657">
        <v>0</v>
      </c>
      <c r="M152" s="657">
        <v>0</v>
      </c>
      <c r="N152" s="657">
        <v>0</v>
      </c>
      <c r="O152" s="657">
        <v>0</v>
      </c>
      <c r="P152" s="657">
        <v>0</v>
      </c>
      <c r="Q152" s="657">
        <v>0</v>
      </c>
      <c r="R152" s="657">
        <v>0</v>
      </c>
      <c r="S152" s="657">
        <v>0</v>
      </c>
      <c r="T152" s="604" t="e">
        <v>#DIV/0!</v>
      </c>
      <c r="U152" s="658">
        <v>0</v>
      </c>
      <c r="V152" s="658">
        <v>0</v>
      </c>
      <c r="W152" s="653"/>
      <c r="X152" s="653"/>
      <c r="Y152" s="653"/>
      <c r="Z152" s="653"/>
    </row>
    <row r="153" spans="1:26" x14ac:dyDescent="0.2">
      <c r="A153" s="602" t="s">
        <v>387</v>
      </c>
      <c r="B153" s="657">
        <v>0</v>
      </c>
      <c r="C153" s="657">
        <v>0</v>
      </c>
      <c r="D153" s="657">
        <v>0</v>
      </c>
      <c r="E153" s="653"/>
      <c r="F153" s="653"/>
      <c r="G153" s="657">
        <v>0</v>
      </c>
      <c r="H153" s="657">
        <v>0</v>
      </c>
      <c r="I153" s="657">
        <v>0</v>
      </c>
      <c r="J153" s="657">
        <v>0</v>
      </c>
      <c r="K153" s="657">
        <v>0</v>
      </c>
      <c r="L153" s="657">
        <v>0</v>
      </c>
      <c r="M153" s="657">
        <v>0</v>
      </c>
      <c r="N153" s="657">
        <v>0</v>
      </c>
      <c r="O153" s="657">
        <v>0</v>
      </c>
      <c r="P153" s="657">
        <v>0</v>
      </c>
      <c r="Q153" s="657">
        <v>0</v>
      </c>
      <c r="R153" s="657">
        <v>0</v>
      </c>
      <c r="S153" s="657">
        <v>0</v>
      </c>
      <c r="T153" s="604" t="e">
        <v>#DIV/0!</v>
      </c>
      <c r="U153" s="658">
        <v>0</v>
      </c>
      <c r="V153" s="658">
        <v>0</v>
      </c>
      <c r="W153" s="653"/>
      <c r="X153" s="653"/>
      <c r="Y153" s="653"/>
      <c r="Z153" s="653"/>
    </row>
    <row r="154" spans="1:26" x14ac:dyDescent="0.2">
      <c r="A154" s="602" t="s">
        <v>388</v>
      </c>
      <c r="B154" s="657">
        <v>0</v>
      </c>
      <c r="C154" s="657">
        <v>0</v>
      </c>
      <c r="D154" s="657">
        <v>0</v>
      </c>
      <c r="E154" s="653"/>
      <c r="F154" s="653"/>
      <c r="G154" s="657">
        <v>0</v>
      </c>
      <c r="H154" s="657">
        <v>0</v>
      </c>
      <c r="I154" s="657">
        <v>0</v>
      </c>
      <c r="J154" s="657">
        <v>0</v>
      </c>
      <c r="K154" s="657">
        <v>0</v>
      </c>
      <c r="L154" s="657">
        <v>0</v>
      </c>
      <c r="M154" s="657">
        <v>0</v>
      </c>
      <c r="N154" s="657">
        <v>0</v>
      </c>
      <c r="O154" s="657">
        <v>0</v>
      </c>
      <c r="P154" s="657">
        <v>0</v>
      </c>
      <c r="Q154" s="657">
        <v>0</v>
      </c>
      <c r="R154" s="657">
        <v>0</v>
      </c>
      <c r="S154" s="657">
        <v>0</v>
      </c>
      <c r="T154" s="604" t="e">
        <v>#DIV/0!</v>
      </c>
      <c r="U154" s="658">
        <v>0</v>
      </c>
      <c r="V154" s="658">
        <v>0</v>
      </c>
      <c r="W154" s="653"/>
      <c r="X154" s="653"/>
      <c r="Y154" s="653"/>
      <c r="Z154" s="653"/>
    </row>
    <row r="155" spans="1:26" x14ac:dyDescent="0.2">
      <c r="A155" s="602" t="s">
        <v>389</v>
      </c>
      <c r="B155" s="657">
        <v>0</v>
      </c>
      <c r="C155" s="657">
        <v>0</v>
      </c>
      <c r="D155" s="657">
        <v>0</v>
      </c>
      <c r="E155" s="653"/>
      <c r="F155" s="653"/>
      <c r="G155" s="657">
        <v>0</v>
      </c>
      <c r="H155" s="657">
        <v>0</v>
      </c>
      <c r="I155" s="657">
        <v>0</v>
      </c>
      <c r="J155" s="657">
        <v>0</v>
      </c>
      <c r="K155" s="657">
        <v>0</v>
      </c>
      <c r="L155" s="657">
        <v>0</v>
      </c>
      <c r="M155" s="657">
        <v>0</v>
      </c>
      <c r="N155" s="657">
        <v>0</v>
      </c>
      <c r="O155" s="657">
        <v>0</v>
      </c>
      <c r="P155" s="657">
        <v>0</v>
      </c>
      <c r="Q155" s="657">
        <v>0</v>
      </c>
      <c r="R155" s="657">
        <v>0</v>
      </c>
      <c r="S155" s="657">
        <v>0</v>
      </c>
      <c r="T155" s="604" t="e">
        <v>#DIV/0!</v>
      </c>
      <c r="U155" s="658">
        <v>0</v>
      </c>
      <c r="V155" s="658">
        <v>0</v>
      </c>
      <c r="W155" s="653"/>
      <c r="X155" s="653"/>
      <c r="Y155" s="653"/>
      <c r="Z155" s="653"/>
    </row>
    <row r="156" spans="1:26" s="661" customFormat="1" x14ac:dyDescent="0.2">
      <c r="A156" s="597" t="s">
        <v>390</v>
      </c>
      <c r="B156" s="659">
        <v>0</v>
      </c>
      <c r="C156" s="659">
        <v>0</v>
      </c>
      <c r="D156" s="659">
        <v>0</v>
      </c>
      <c r="E156" s="660"/>
      <c r="F156" s="660"/>
      <c r="G156" s="659">
        <v>0</v>
      </c>
      <c r="H156" s="659">
        <v>0</v>
      </c>
      <c r="I156" s="659">
        <v>0</v>
      </c>
      <c r="J156" s="659">
        <v>0</v>
      </c>
      <c r="K156" s="659">
        <v>0</v>
      </c>
      <c r="L156" s="659">
        <v>0</v>
      </c>
      <c r="M156" s="659">
        <v>0</v>
      </c>
      <c r="N156" s="659">
        <v>0</v>
      </c>
      <c r="O156" s="659">
        <v>0</v>
      </c>
      <c r="P156" s="659">
        <v>0</v>
      </c>
      <c r="Q156" s="659">
        <v>0</v>
      </c>
      <c r="R156" s="659">
        <v>0</v>
      </c>
      <c r="S156" s="659">
        <v>0</v>
      </c>
      <c r="T156" s="600" t="e">
        <v>#DIV/0!</v>
      </c>
      <c r="U156" s="656">
        <v>0</v>
      </c>
      <c r="V156" s="656">
        <v>0</v>
      </c>
      <c r="W156" s="660"/>
      <c r="X156" s="660"/>
      <c r="Y156" s="660"/>
      <c r="Z156" s="660"/>
    </row>
    <row r="157" spans="1:26" x14ac:dyDescent="0.2">
      <c r="A157" s="605" t="s">
        <v>391</v>
      </c>
      <c r="B157" s="657">
        <v>0</v>
      </c>
      <c r="C157" s="657">
        <v>0</v>
      </c>
      <c r="D157" s="657">
        <v>0</v>
      </c>
      <c r="E157" s="653"/>
      <c r="F157" s="653"/>
      <c r="G157" s="657">
        <v>0</v>
      </c>
      <c r="H157" s="657">
        <v>0</v>
      </c>
      <c r="I157" s="657">
        <v>0</v>
      </c>
      <c r="J157" s="657">
        <v>0</v>
      </c>
      <c r="K157" s="657">
        <v>0</v>
      </c>
      <c r="L157" s="657">
        <v>0</v>
      </c>
      <c r="M157" s="657">
        <v>0</v>
      </c>
      <c r="N157" s="657">
        <v>0</v>
      </c>
      <c r="O157" s="657">
        <v>0</v>
      </c>
      <c r="P157" s="657">
        <v>0</v>
      </c>
      <c r="Q157" s="657">
        <v>0</v>
      </c>
      <c r="R157" s="657">
        <v>0</v>
      </c>
      <c r="S157" s="657">
        <v>0</v>
      </c>
      <c r="T157" s="604" t="e">
        <v>#DIV/0!</v>
      </c>
      <c r="U157" s="658">
        <v>0</v>
      </c>
      <c r="V157" s="658">
        <v>0</v>
      </c>
      <c r="W157" s="653"/>
      <c r="X157" s="653"/>
      <c r="Y157" s="653"/>
      <c r="Z157" s="653"/>
    </row>
    <row r="158" spans="1:26" x14ac:dyDescent="0.2">
      <c r="A158" s="605" t="s">
        <v>392</v>
      </c>
      <c r="B158" s="657">
        <v>0</v>
      </c>
      <c r="C158" s="657">
        <v>0</v>
      </c>
      <c r="D158" s="657">
        <v>0</v>
      </c>
      <c r="E158" s="653"/>
      <c r="F158" s="653"/>
      <c r="G158" s="657">
        <v>0</v>
      </c>
      <c r="H158" s="657">
        <v>0</v>
      </c>
      <c r="I158" s="657">
        <v>0</v>
      </c>
      <c r="J158" s="657">
        <v>0</v>
      </c>
      <c r="K158" s="657">
        <v>0</v>
      </c>
      <c r="L158" s="657">
        <v>0</v>
      </c>
      <c r="M158" s="657">
        <v>0</v>
      </c>
      <c r="N158" s="657">
        <v>0</v>
      </c>
      <c r="O158" s="657">
        <v>0</v>
      </c>
      <c r="P158" s="657">
        <v>0</v>
      </c>
      <c r="Q158" s="657">
        <v>0</v>
      </c>
      <c r="R158" s="657">
        <v>0</v>
      </c>
      <c r="S158" s="657">
        <v>0</v>
      </c>
      <c r="T158" s="604" t="e">
        <v>#DIV/0!</v>
      </c>
      <c r="U158" s="658">
        <v>0</v>
      </c>
      <c r="V158" s="658">
        <v>0</v>
      </c>
      <c r="W158" s="653"/>
      <c r="X158" s="653"/>
      <c r="Y158" s="653"/>
      <c r="Z158" s="653"/>
    </row>
    <row r="159" spans="1:26" x14ac:dyDescent="0.2">
      <c r="A159" s="605" t="s">
        <v>393</v>
      </c>
      <c r="B159" s="657">
        <v>0</v>
      </c>
      <c r="C159" s="657">
        <v>0</v>
      </c>
      <c r="D159" s="657">
        <v>0</v>
      </c>
      <c r="E159" s="653"/>
      <c r="F159" s="653"/>
      <c r="G159" s="657">
        <v>0</v>
      </c>
      <c r="H159" s="657">
        <v>0</v>
      </c>
      <c r="I159" s="657">
        <v>0</v>
      </c>
      <c r="J159" s="657">
        <v>0</v>
      </c>
      <c r="K159" s="657">
        <v>0</v>
      </c>
      <c r="L159" s="657">
        <v>0</v>
      </c>
      <c r="M159" s="657">
        <v>0</v>
      </c>
      <c r="N159" s="657">
        <v>0</v>
      </c>
      <c r="O159" s="657">
        <v>0</v>
      </c>
      <c r="P159" s="657">
        <v>0</v>
      </c>
      <c r="Q159" s="657">
        <v>0</v>
      </c>
      <c r="R159" s="657">
        <v>0</v>
      </c>
      <c r="S159" s="657">
        <v>0</v>
      </c>
      <c r="T159" s="604" t="e">
        <v>#DIV/0!</v>
      </c>
      <c r="U159" s="658">
        <v>0</v>
      </c>
      <c r="V159" s="658">
        <v>0</v>
      </c>
      <c r="W159" s="653"/>
      <c r="X159" s="653"/>
      <c r="Y159" s="653"/>
      <c r="Z159" s="653"/>
    </row>
    <row r="160" spans="1:26" s="661" customFormat="1" x14ac:dyDescent="0.2">
      <c r="A160" s="648" t="s">
        <v>394</v>
      </c>
      <c r="B160" s="666">
        <v>0</v>
      </c>
      <c r="C160" s="666">
        <v>0</v>
      </c>
      <c r="D160" s="666">
        <v>0</v>
      </c>
      <c r="E160" s="660"/>
      <c r="F160" s="660"/>
      <c r="G160" s="666">
        <v>0</v>
      </c>
      <c r="H160" s="666">
        <v>0</v>
      </c>
      <c r="I160" s="666">
        <v>0</v>
      </c>
      <c r="J160" s="666">
        <v>0</v>
      </c>
      <c r="K160" s="666">
        <v>0</v>
      </c>
      <c r="L160" s="666">
        <v>0</v>
      </c>
      <c r="M160" s="666">
        <v>0</v>
      </c>
      <c r="N160" s="666">
        <v>0</v>
      </c>
      <c r="O160" s="666">
        <v>0</v>
      </c>
      <c r="P160" s="666">
        <v>0</v>
      </c>
      <c r="Q160" s="666">
        <v>0</v>
      </c>
      <c r="R160" s="666">
        <v>0</v>
      </c>
      <c r="S160" s="666">
        <v>0</v>
      </c>
      <c r="T160" s="651" t="e">
        <v>#DIV/0!</v>
      </c>
      <c r="U160" s="652">
        <v>0</v>
      </c>
      <c r="V160" s="652">
        <v>0</v>
      </c>
      <c r="W160" s="660"/>
      <c r="X160" s="660"/>
      <c r="Y160" s="660"/>
      <c r="Z160" s="660"/>
    </row>
    <row r="161" spans="1:27" s="661" customFormat="1" x14ac:dyDescent="0.2">
      <c r="A161" s="667" t="s">
        <v>395</v>
      </c>
      <c r="B161" s="666">
        <v>0</v>
      </c>
      <c r="C161" s="666">
        <v>138402.79</v>
      </c>
      <c r="D161" s="666">
        <v>138402.79</v>
      </c>
      <c r="E161" s="660"/>
      <c r="F161" s="660"/>
      <c r="G161" s="666">
        <v>138402.79</v>
      </c>
      <c r="H161" s="666">
        <v>0</v>
      </c>
      <c r="I161" s="666">
        <v>0</v>
      </c>
      <c r="J161" s="666">
        <v>0</v>
      </c>
      <c r="K161" s="666">
        <v>0</v>
      </c>
      <c r="L161" s="666">
        <v>0</v>
      </c>
      <c r="M161" s="666">
        <v>0</v>
      </c>
      <c r="N161" s="666">
        <v>0</v>
      </c>
      <c r="O161" s="666">
        <v>0</v>
      </c>
      <c r="P161" s="666">
        <v>0</v>
      </c>
      <c r="Q161" s="666">
        <v>0</v>
      </c>
      <c r="R161" s="666">
        <v>0</v>
      </c>
      <c r="S161" s="666">
        <v>138402.79</v>
      </c>
      <c r="T161" s="651">
        <v>1</v>
      </c>
      <c r="U161" s="652">
        <v>0</v>
      </c>
      <c r="V161" s="652">
        <v>0</v>
      </c>
      <c r="W161" s="660"/>
      <c r="X161" s="660"/>
      <c r="Y161" s="660"/>
      <c r="Z161" s="660"/>
    </row>
    <row r="162" spans="1:27" s="661" customFormat="1" x14ac:dyDescent="0.2">
      <c r="A162" s="668" t="s">
        <v>396</v>
      </c>
      <c r="B162" s="694">
        <v>0</v>
      </c>
      <c r="C162" s="694">
        <v>0</v>
      </c>
      <c r="D162" s="694">
        <v>0</v>
      </c>
      <c r="E162" s="660"/>
      <c r="F162" s="660"/>
      <c r="G162" s="694">
        <v>0</v>
      </c>
      <c r="H162" s="694">
        <v>0</v>
      </c>
      <c r="I162" s="694">
        <v>0</v>
      </c>
      <c r="J162" s="694">
        <v>0</v>
      </c>
      <c r="K162" s="694">
        <v>0</v>
      </c>
      <c r="L162" s="694">
        <v>0</v>
      </c>
      <c r="M162" s="694">
        <v>0</v>
      </c>
      <c r="N162" s="694">
        <v>0</v>
      </c>
      <c r="O162" s="694">
        <v>0</v>
      </c>
      <c r="P162" s="694">
        <v>0</v>
      </c>
      <c r="Q162" s="694">
        <v>0</v>
      </c>
      <c r="R162" s="694">
        <v>0</v>
      </c>
      <c r="S162" s="694">
        <v>0</v>
      </c>
      <c r="T162" s="612" t="e">
        <v>#DIV/0!</v>
      </c>
      <c r="U162" s="670">
        <v>0</v>
      </c>
      <c r="V162" s="670">
        <v>0</v>
      </c>
      <c r="W162" s="660"/>
      <c r="X162" s="660"/>
      <c r="Y162" s="660"/>
      <c r="Z162" s="660"/>
    </row>
    <row r="163" spans="1:27" s="661" customFormat="1" x14ac:dyDescent="0.2">
      <c r="A163" s="662" t="s">
        <v>397</v>
      </c>
      <c r="B163" s="659">
        <v>0</v>
      </c>
      <c r="C163" s="659">
        <v>0</v>
      </c>
      <c r="D163" s="659">
        <v>0</v>
      </c>
      <c r="E163" s="660"/>
      <c r="F163" s="660"/>
      <c r="G163" s="659">
        <v>0</v>
      </c>
      <c r="H163" s="659">
        <v>0</v>
      </c>
      <c r="I163" s="659">
        <v>0</v>
      </c>
      <c r="J163" s="659">
        <v>0</v>
      </c>
      <c r="K163" s="659">
        <v>0</v>
      </c>
      <c r="L163" s="659">
        <v>0</v>
      </c>
      <c r="M163" s="659">
        <v>0</v>
      </c>
      <c r="N163" s="659">
        <v>0</v>
      </c>
      <c r="O163" s="659">
        <v>0</v>
      </c>
      <c r="P163" s="659">
        <v>0</v>
      </c>
      <c r="Q163" s="659">
        <v>0</v>
      </c>
      <c r="R163" s="659">
        <v>0</v>
      </c>
      <c r="S163" s="659">
        <v>0</v>
      </c>
      <c r="T163" s="600" t="e">
        <v>#DIV/0!</v>
      </c>
      <c r="U163" s="656">
        <v>0</v>
      </c>
      <c r="V163" s="656">
        <v>0</v>
      </c>
      <c r="W163" s="660"/>
      <c r="X163" s="660"/>
      <c r="Y163" s="660"/>
      <c r="Z163" s="660"/>
    </row>
    <row r="164" spans="1:27" s="661" customFormat="1" x14ac:dyDescent="0.2">
      <c r="A164" s="662" t="s">
        <v>398</v>
      </c>
      <c r="B164" s="659">
        <v>0</v>
      </c>
      <c r="C164" s="659">
        <v>0</v>
      </c>
      <c r="D164" s="659">
        <v>0</v>
      </c>
      <c r="E164" s="660"/>
      <c r="F164" s="660"/>
      <c r="G164" s="659">
        <v>0</v>
      </c>
      <c r="H164" s="659">
        <v>0</v>
      </c>
      <c r="I164" s="659">
        <v>0</v>
      </c>
      <c r="J164" s="659">
        <v>0</v>
      </c>
      <c r="K164" s="659">
        <v>0</v>
      </c>
      <c r="L164" s="659">
        <v>0</v>
      </c>
      <c r="M164" s="659">
        <v>0</v>
      </c>
      <c r="N164" s="659">
        <v>0</v>
      </c>
      <c r="O164" s="659">
        <v>0</v>
      </c>
      <c r="P164" s="659">
        <v>0</v>
      </c>
      <c r="Q164" s="659">
        <v>0</v>
      </c>
      <c r="R164" s="659">
        <v>0</v>
      </c>
      <c r="S164" s="659">
        <v>0</v>
      </c>
      <c r="T164" s="600" t="e">
        <v>#DIV/0!</v>
      </c>
      <c r="U164" s="656">
        <v>0</v>
      </c>
      <c r="V164" s="656">
        <v>0</v>
      </c>
      <c r="W164" s="660"/>
      <c r="X164" s="660"/>
      <c r="Y164" s="660"/>
      <c r="Z164" s="660"/>
    </row>
    <row r="165" spans="1:27" s="661" customFormat="1" x14ac:dyDescent="0.2">
      <c r="A165" s="662" t="s">
        <v>399</v>
      </c>
      <c r="B165" s="659">
        <v>0</v>
      </c>
      <c r="C165" s="659">
        <v>0</v>
      </c>
      <c r="D165" s="659">
        <v>0</v>
      </c>
      <c r="E165" s="660"/>
      <c r="F165" s="660"/>
      <c r="G165" s="659">
        <v>0</v>
      </c>
      <c r="H165" s="659">
        <v>0</v>
      </c>
      <c r="I165" s="659">
        <v>0</v>
      </c>
      <c r="J165" s="659">
        <v>0</v>
      </c>
      <c r="K165" s="659">
        <v>0</v>
      </c>
      <c r="L165" s="659">
        <v>0</v>
      </c>
      <c r="M165" s="659">
        <v>0</v>
      </c>
      <c r="N165" s="659">
        <v>0</v>
      </c>
      <c r="O165" s="659">
        <v>0</v>
      </c>
      <c r="P165" s="659">
        <v>0</v>
      </c>
      <c r="Q165" s="659">
        <v>0</v>
      </c>
      <c r="R165" s="659">
        <v>0</v>
      </c>
      <c r="S165" s="659">
        <v>0</v>
      </c>
      <c r="T165" s="600" t="e">
        <v>#DIV/0!</v>
      </c>
      <c r="U165" s="656">
        <v>0</v>
      </c>
      <c r="V165" s="656">
        <v>0</v>
      </c>
      <c r="W165" s="660"/>
      <c r="X165" s="660"/>
      <c r="Y165" s="660"/>
      <c r="Z165" s="660"/>
    </row>
    <row r="166" spans="1:27" x14ac:dyDescent="0.2">
      <c r="A166" s="602" t="s">
        <v>400</v>
      </c>
      <c r="B166" s="657">
        <v>0</v>
      </c>
      <c r="C166" s="657">
        <v>0</v>
      </c>
      <c r="D166" s="657">
        <v>0</v>
      </c>
      <c r="E166" s="653"/>
      <c r="F166" s="653"/>
      <c r="G166" s="657">
        <v>0</v>
      </c>
      <c r="H166" s="657">
        <v>0</v>
      </c>
      <c r="I166" s="657">
        <v>0</v>
      </c>
      <c r="J166" s="657">
        <v>0</v>
      </c>
      <c r="K166" s="657">
        <v>0</v>
      </c>
      <c r="L166" s="657">
        <v>0</v>
      </c>
      <c r="M166" s="657">
        <v>0</v>
      </c>
      <c r="N166" s="657">
        <v>0</v>
      </c>
      <c r="O166" s="657">
        <v>0</v>
      </c>
      <c r="P166" s="657">
        <v>0</v>
      </c>
      <c r="Q166" s="657">
        <v>0</v>
      </c>
      <c r="R166" s="657">
        <v>0</v>
      </c>
      <c r="S166" s="657">
        <v>0</v>
      </c>
      <c r="T166" s="604" t="e">
        <v>#DIV/0!</v>
      </c>
      <c r="U166" s="658">
        <v>0</v>
      </c>
      <c r="V166" s="658">
        <v>0</v>
      </c>
      <c r="W166" s="653"/>
      <c r="X166" s="653"/>
      <c r="Y166" s="653"/>
      <c r="Z166" s="653"/>
    </row>
    <row r="167" spans="1:27" x14ac:dyDescent="0.2">
      <c r="A167" s="602" t="s">
        <v>401</v>
      </c>
      <c r="B167" s="657">
        <v>0</v>
      </c>
      <c r="C167" s="657">
        <v>0</v>
      </c>
      <c r="D167" s="657">
        <v>0</v>
      </c>
      <c r="E167" s="653"/>
      <c r="F167" s="653"/>
      <c r="G167" s="657">
        <v>0</v>
      </c>
      <c r="H167" s="657">
        <v>0</v>
      </c>
      <c r="I167" s="657">
        <v>0</v>
      </c>
      <c r="J167" s="657">
        <v>0</v>
      </c>
      <c r="K167" s="657">
        <v>0</v>
      </c>
      <c r="L167" s="657">
        <v>0</v>
      </c>
      <c r="M167" s="657">
        <v>0</v>
      </c>
      <c r="N167" s="657">
        <v>0</v>
      </c>
      <c r="O167" s="657">
        <v>0</v>
      </c>
      <c r="P167" s="657">
        <v>0</v>
      </c>
      <c r="Q167" s="657">
        <v>0</v>
      </c>
      <c r="R167" s="657">
        <v>0</v>
      </c>
      <c r="S167" s="657">
        <v>0</v>
      </c>
      <c r="T167" s="604" t="e">
        <v>#DIV/0!</v>
      </c>
      <c r="U167" s="658">
        <v>0</v>
      </c>
      <c r="V167" s="658">
        <v>0</v>
      </c>
      <c r="W167" s="653"/>
      <c r="X167" s="653"/>
      <c r="Y167" s="653"/>
      <c r="Z167" s="653"/>
    </row>
    <row r="168" spans="1:27" x14ac:dyDescent="0.2">
      <c r="A168" s="602" t="s">
        <v>402</v>
      </c>
      <c r="B168" s="657">
        <v>0</v>
      </c>
      <c r="C168" s="657">
        <v>0</v>
      </c>
      <c r="D168" s="657">
        <v>0</v>
      </c>
      <c r="E168" s="653"/>
      <c r="F168" s="653"/>
      <c r="G168" s="657">
        <v>0</v>
      </c>
      <c r="H168" s="657">
        <v>0</v>
      </c>
      <c r="I168" s="657">
        <v>0</v>
      </c>
      <c r="J168" s="657">
        <v>0</v>
      </c>
      <c r="K168" s="657">
        <v>0</v>
      </c>
      <c r="L168" s="657">
        <v>0</v>
      </c>
      <c r="M168" s="657">
        <v>0</v>
      </c>
      <c r="N168" s="657">
        <v>0</v>
      </c>
      <c r="O168" s="657">
        <v>0</v>
      </c>
      <c r="P168" s="657">
        <v>0</v>
      </c>
      <c r="Q168" s="657">
        <v>0</v>
      </c>
      <c r="R168" s="657">
        <v>0</v>
      </c>
      <c r="S168" s="657">
        <v>0</v>
      </c>
      <c r="T168" s="604" t="e">
        <v>#DIV/0!</v>
      </c>
      <c r="U168" s="658">
        <v>0</v>
      </c>
      <c r="V168" s="658">
        <v>0</v>
      </c>
      <c r="W168" s="653"/>
      <c r="X168" s="653"/>
      <c r="Y168" s="653"/>
      <c r="Z168" s="653"/>
    </row>
    <row r="169" spans="1:27" s="661" customFormat="1" x14ac:dyDescent="0.2">
      <c r="A169" s="662" t="s">
        <v>403</v>
      </c>
      <c r="B169" s="659">
        <v>0</v>
      </c>
      <c r="C169" s="659">
        <v>0</v>
      </c>
      <c r="D169" s="659">
        <v>0</v>
      </c>
      <c r="E169" s="660"/>
      <c r="F169" s="660"/>
      <c r="G169" s="659">
        <v>0</v>
      </c>
      <c r="H169" s="659">
        <v>0</v>
      </c>
      <c r="I169" s="659">
        <v>0</v>
      </c>
      <c r="J169" s="659">
        <v>0</v>
      </c>
      <c r="K169" s="659">
        <v>0</v>
      </c>
      <c r="L169" s="659">
        <v>0</v>
      </c>
      <c r="M169" s="659">
        <v>0</v>
      </c>
      <c r="N169" s="659">
        <v>0</v>
      </c>
      <c r="O169" s="659">
        <v>0</v>
      </c>
      <c r="P169" s="659">
        <v>0</v>
      </c>
      <c r="Q169" s="659">
        <v>0</v>
      </c>
      <c r="R169" s="659">
        <v>0</v>
      </c>
      <c r="S169" s="659">
        <v>0</v>
      </c>
      <c r="T169" s="600" t="e">
        <v>#DIV/0!</v>
      </c>
      <c r="U169" s="656">
        <v>0</v>
      </c>
      <c r="V169" s="656">
        <v>0</v>
      </c>
      <c r="W169" s="660"/>
      <c r="X169" s="660"/>
      <c r="Y169" s="660"/>
      <c r="Z169" s="660"/>
    </row>
    <row r="170" spans="1:27" x14ac:dyDescent="0.2">
      <c r="A170" s="671" t="s">
        <v>53</v>
      </c>
      <c r="B170" s="672">
        <v>333807</v>
      </c>
      <c r="C170" s="672">
        <v>333807</v>
      </c>
      <c r="D170" s="672">
        <v>250531.94700000001</v>
      </c>
      <c r="E170" s="672">
        <v>0</v>
      </c>
      <c r="F170" s="672">
        <v>0</v>
      </c>
      <c r="G170" s="672">
        <v>138416.57</v>
      </c>
      <c r="H170" s="672">
        <v>13.29</v>
      </c>
      <c r="I170" s="672">
        <v>28786.588</v>
      </c>
      <c r="J170" s="672">
        <v>1</v>
      </c>
      <c r="K170" s="672">
        <v>0.81499999999999995</v>
      </c>
      <c r="L170" s="672">
        <v>0.53</v>
      </c>
      <c r="M170" s="672">
        <v>83310.760000000009</v>
      </c>
      <c r="N170" s="672">
        <v>1.23</v>
      </c>
      <c r="O170" s="672">
        <v>1.1639999999999999</v>
      </c>
      <c r="P170" s="672">
        <v>0</v>
      </c>
      <c r="Q170" s="672">
        <v>0</v>
      </c>
      <c r="R170" s="672">
        <v>0</v>
      </c>
      <c r="S170" s="672">
        <v>250531.94700000001</v>
      </c>
      <c r="T170" s="673">
        <v>0.75052933880955164</v>
      </c>
      <c r="U170" s="674">
        <v>83275.052999999985</v>
      </c>
      <c r="V170" s="674">
        <v>0</v>
      </c>
      <c r="W170" s="660"/>
      <c r="X170" s="660"/>
      <c r="Y170" s="660"/>
      <c r="Z170" s="660"/>
      <c r="AA170" s="661"/>
    </row>
    <row r="171" spans="1:27" x14ac:dyDescent="0.2">
      <c r="A171" s="675" t="s">
        <v>54</v>
      </c>
      <c r="B171" s="676">
        <v>0</v>
      </c>
      <c r="C171" s="676">
        <v>138402.79</v>
      </c>
      <c r="D171" s="676">
        <v>138437.853</v>
      </c>
      <c r="E171" s="676">
        <v>0</v>
      </c>
      <c r="F171" s="676">
        <v>0</v>
      </c>
      <c r="G171" s="676">
        <v>138416.57</v>
      </c>
      <c r="H171" s="676">
        <v>13.29</v>
      </c>
      <c r="I171" s="676">
        <v>2.6239999999997963</v>
      </c>
      <c r="J171" s="676">
        <v>1</v>
      </c>
      <c r="K171" s="676">
        <v>0.81499999999999995</v>
      </c>
      <c r="L171" s="676">
        <v>0.53</v>
      </c>
      <c r="M171" s="676">
        <v>0.63000000000465661</v>
      </c>
      <c r="N171" s="676">
        <v>1.23</v>
      </c>
      <c r="O171" s="676">
        <v>1.1639999999999999</v>
      </c>
      <c r="P171" s="676">
        <v>0</v>
      </c>
      <c r="Q171" s="676">
        <v>0</v>
      </c>
      <c r="R171" s="676">
        <v>0</v>
      </c>
      <c r="S171" s="676">
        <v>138437.853</v>
      </c>
      <c r="T171" s="677">
        <v>1.0002533402686462</v>
      </c>
      <c r="U171" s="678">
        <v>-35.062999999994645</v>
      </c>
      <c r="V171" s="678">
        <v>0</v>
      </c>
      <c r="W171" s="660"/>
      <c r="X171" s="660"/>
      <c r="Y171" s="660"/>
      <c r="Z171" s="660"/>
      <c r="AA171" s="661"/>
    </row>
    <row r="172" spans="1:27" x14ac:dyDescent="0.2">
      <c r="A172" s="675" t="s">
        <v>55</v>
      </c>
      <c r="B172" s="676">
        <v>333807</v>
      </c>
      <c r="C172" s="676">
        <v>195404.21</v>
      </c>
      <c r="D172" s="676">
        <v>112129.15700000001</v>
      </c>
      <c r="E172" s="676">
        <v>0</v>
      </c>
      <c r="F172" s="676">
        <v>0</v>
      </c>
      <c r="G172" s="676">
        <v>13.779999999998836</v>
      </c>
      <c r="H172" s="676">
        <v>13.29</v>
      </c>
      <c r="I172" s="676">
        <v>28786.588</v>
      </c>
      <c r="J172" s="676">
        <v>1</v>
      </c>
      <c r="K172" s="676">
        <v>0.81499999999999995</v>
      </c>
      <c r="L172" s="676">
        <v>0.53</v>
      </c>
      <c r="M172" s="676">
        <v>83310.760000000009</v>
      </c>
      <c r="N172" s="676">
        <v>1.23</v>
      </c>
      <c r="O172" s="676">
        <v>1.1639999999999999</v>
      </c>
      <c r="P172" s="676">
        <v>0</v>
      </c>
      <c r="Q172" s="676">
        <v>0</v>
      </c>
      <c r="R172" s="676">
        <v>0</v>
      </c>
      <c r="S172" s="676">
        <v>112129.15700000001</v>
      </c>
      <c r="T172" s="677">
        <v>0.57383183811648686</v>
      </c>
      <c r="U172" s="678">
        <v>83275.052999999985</v>
      </c>
      <c r="V172" s="678">
        <v>0</v>
      </c>
      <c r="W172" s="660"/>
      <c r="X172" s="660"/>
      <c r="Y172" s="660"/>
      <c r="Z172" s="660"/>
      <c r="AA172" s="661"/>
    </row>
    <row r="173" spans="1:27" x14ac:dyDescent="0.2">
      <c r="A173" s="675" t="s">
        <v>56</v>
      </c>
      <c r="B173" s="676">
        <v>0</v>
      </c>
      <c r="C173" s="676">
        <v>0</v>
      </c>
      <c r="D173" s="676">
        <v>35.062999999994645</v>
      </c>
      <c r="E173" s="676">
        <v>0</v>
      </c>
      <c r="F173" s="676">
        <v>0</v>
      </c>
      <c r="G173" s="676">
        <v>13.779999999998836</v>
      </c>
      <c r="H173" s="676">
        <v>13.29</v>
      </c>
      <c r="I173" s="676">
        <v>2.6239999999997963</v>
      </c>
      <c r="J173" s="676">
        <v>1</v>
      </c>
      <c r="K173" s="676">
        <v>0.81499999999999995</v>
      </c>
      <c r="L173" s="676">
        <v>0.53</v>
      </c>
      <c r="M173" s="676">
        <v>0.63000000000465661</v>
      </c>
      <c r="N173" s="676">
        <v>1.23</v>
      </c>
      <c r="O173" s="676">
        <v>1.1639999999999999</v>
      </c>
      <c r="P173" s="676">
        <v>0</v>
      </c>
      <c r="Q173" s="676">
        <v>0</v>
      </c>
      <c r="R173" s="676">
        <v>0</v>
      </c>
      <c r="S173" s="676">
        <v>35.062999999994645</v>
      </c>
      <c r="T173" s="677" t="e">
        <v>#DIV/0!</v>
      </c>
      <c r="U173" s="678">
        <v>-35.062999999994645</v>
      </c>
      <c r="V173" s="678">
        <v>0</v>
      </c>
      <c r="W173" s="660"/>
      <c r="X173" s="660"/>
      <c r="Y173" s="660"/>
      <c r="Z173" s="660"/>
      <c r="AA173" s="661"/>
    </row>
    <row r="174" spans="1:27" s="588" customFormat="1" x14ac:dyDescent="0.2">
      <c r="A174" s="551" t="s">
        <v>34</v>
      </c>
      <c r="B174" s="551"/>
      <c r="C174" s="551"/>
      <c r="D174" s="551"/>
      <c r="E174" s="551"/>
      <c r="F174" s="551"/>
      <c r="G174" s="551"/>
      <c r="H174" s="551"/>
      <c r="I174" s="551"/>
      <c r="J174" s="551"/>
      <c r="K174" s="551"/>
      <c r="L174" s="551"/>
      <c r="M174" s="551"/>
      <c r="N174" s="551"/>
      <c r="O174" s="551"/>
      <c r="P174" s="551"/>
      <c r="Q174" s="551"/>
      <c r="R174" s="551"/>
      <c r="S174" s="551"/>
      <c r="T174" s="551"/>
      <c r="U174" s="551"/>
      <c r="V174" s="551"/>
      <c r="W174" s="551"/>
      <c r="X174" s="551"/>
      <c r="Y174" s="551"/>
      <c r="Z174" s="551"/>
    </row>
    <row r="175" spans="1:27" s="588" customFormat="1" x14ac:dyDescent="0.2">
      <c r="A175" s="537" t="s">
        <v>1095</v>
      </c>
      <c r="B175" s="553" t="s">
        <v>2</v>
      </c>
      <c r="C175" s="553" t="s">
        <v>3</v>
      </c>
      <c r="D175" s="679" t="s">
        <v>57</v>
      </c>
      <c r="E175" s="679" t="s">
        <v>30</v>
      </c>
      <c r="F175" s="679" t="s">
        <v>58</v>
      </c>
      <c r="G175" s="680" t="s">
        <v>5</v>
      </c>
      <c r="H175" s="680" t="s">
        <v>6</v>
      </c>
      <c r="I175" s="680" t="s">
        <v>7</v>
      </c>
      <c r="J175" s="680" t="s">
        <v>8</v>
      </c>
      <c r="K175" s="680" t="s">
        <v>9</v>
      </c>
      <c r="L175" s="680" t="s">
        <v>10</v>
      </c>
      <c r="M175" s="680" t="s">
        <v>11</v>
      </c>
      <c r="N175" s="680" t="s">
        <v>12</v>
      </c>
      <c r="O175" s="680" t="s">
        <v>13</v>
      </c>
      <c r="P175" s="680" t="s">
        <v>14</v>
      </c>
      <c r="Q175" s="680" t="s">
        <v>15</v>
      </c>
      <c r="R175" s="680" t="s">
        <v>16</v>
      </c>
      <c r="S175" s="679" t="s">
        <v>17</v>
      </c>
      <c r="T175" s="679" t="s">
        <v>18</v>
      </c>
      <c r="U175" s="680" t="s">
        <v>59</v>
      </c>
      <c r="V175" s="680" t="s">
        <v>60</v>
      </c>
      <c r="W175" s="680" t="s">
        <v>32</v>
      </c>
      <c r="X175" s="680" t="s">
        <v>31</v>
      </c>
      <c r="Y175" s="680" t="s">
        <v>61</v>
      </c>
      <c r="Z175" s="680" t="s">
        <v>62</v>
      </c>
    </row>
    <row r="176" spans="1:27" s="588" customFormat="1" ht="24" x14ac:dyDescent="0.2">
      <c r="A176" s="537"/>
      <c r="B176" s="553"/>
      <c r="C176" s="553"/>
      <c r="D176" s="681" t="s">
        <v>1426</v>
      </c>
      <c r="E176" s="681" t="s">
        <v>1426</v>
      </c>
      <c r="F176" s="681" t="s">
        <v>1426</v>
      </c>
      <c r="G176" s="680"/>
      <c r="H176" s="680"/>
      <c r="I176" s="680"/>
      <c r="J176" s="680"/>
      <c r="K176" s="680"/>
      <c r="L176" s="680"/>
      <c r="M176" s="680"/>
      <c r="N176" s="680"/>
      <c r="O176" s="680"/>
      <c r="P176" s="680"/>
      <c r="Q176" s="680"/>
      <c r="R176" s="680"/>
      <c r="S176" s="681" t="s">
        <v>1426</v>
      </c>
      <c r="T176" s="681" t="s">
        <v>1426</v>
      </c>
      <c r="U176" s="680"/>
      <c r="V176" s="680"/>
      <c r="W176" s="680"/>
      <c r="X176" s="680"/>
      <c r="Y176" s="680"/>
      <c r="Z176" s="680"/>
    </row>
    <row r="177" spans="1:26" s="588" customFormat="1" x14ac:dyDescent="0.2">
      <c r="A177" s="537"/>
      <c r="B177" s="682" t="s">
        <v>20</v>
      </c>
      <c r="C177" s="682" t="s">
        <v>21</v>
      </c>
      <c r="D177" s="682" t="s">
        <v>22</v>
      </c>
      <c r="E177" s="682" t="s">
        <v>23</v>
      </c>
      <c r="F177" s="682" t="s">
        <v>24</v>
      </c>
      <c r="G177" s="682" t="s">
        <v>63</v>
      </c>
      <c r="H177" s="682" t="s">
        <v>63</v>
      </c>
      <c r="I177" s="682" t="s">
        <v>63</v>
      </c>
      <c r="J177" s="682" t="s">
        <v>63</v>
      </c>
      <c r="K177" s="682" t="s">
        <v>63</v>
      </c>
      <c r="L177" s="682" t="s">
        <v>63</v>
      </c>
      <c r="M177" s="682" t="s">
        <v>63</v>
      </c>
      <c r="N177" s="682" t="s">
        <v>63</v>
      </c>
      <c r="O177" s="682" t="s">
        <v>63</v>
      </c>
      <c r="P177" s="682" t="s">
        <v>63</v>
      </c>
      <c r="Q177" s="682" t="s">
        <v>63</v>
      </c>
      <c r="R177" s="682" t="s">
        <v>63</v>
      </c>
      <c r="S177" s="682" t="s">
        <v>64</v>
      </c>
      <c r="T177" s="682" t="s">
        <v>65</v>
      </c>
      <c r="U177" s="682" t="s">
        <v>66</v>
      </c>
      <c r="V177" s="682" t="s">
        <v>67</v>
      </c>
      <c r="W177" s="682" t="s">
        <v>68</v>
      </c>
      <c r="X177" s="682" t="s">
        <v>69</v>
      </c>
      <c r="Y177" s="682" t="s">
        <v>70</v>
      </c>
      <c r="Z177" s="682" t="s">
        <v>71</v>
      </c>
    </row>
    <row r="178" spans="1:26" x14ac:dyDescent="0.2">
      <c r="A178" s="592" t="s">
        <v>404</v>
      </c>
      <c r="B178" s="683">
        <v>0</v>
      </c>
      <c r="C178" s="683">
        <v>0</v>
      </c>
      <c r="D178" s="683">
        <v>0</v>
      </c>
      <c r="E178" s="683">
        <v>0</v>
      </c>
      <c r="F178" s="683">
        <v>0</v>
      </c>
      <c r="G178" s="683">
        <v>0</v>
      </c>
      <c r="H178" s="683">
        <v>0</v>
      </c>
      <c r="I178" s="683">
        <v>0</v>
      </c>
      <c r="J178" s="683">
        <v>0</v>
      </c>
      <c r="K178" s="683">
        <v>0</v>
      </c>
      <c r="L178" s="683">
        <v>0</v>
      </c>
      <c r="M178" s="683">
        <v>0</v>
      </c>
      <c r="N178" s="683">
        <v>0</v>
      </c>
      <c r="O178" s="683">
        <v>0</v>
      </c>
      <c r="P178" s="683">
        <v>0</v>
      </c>
      <c r="Q178" s="683">
        <v>0</v>
      </c>
      <c r="R178" s="683">
        <v>0</v>
      </c>
      <c r="S178" s="683">
        <v>0</v>
      </c>
      <c r="T178" s="595" t="e">
        <v>#DIV/0!</v>
      </c>
      <c r="U178" s="594">
        <v>0</v>
      </c>
      <c r="V178" s="594">
        <v>0</v>
      </c>
      <c r="W178" s="594">
        <v>0</v>
      </c>
      <c r="X178" s="594">
        <v>0</v>
      </c>
      <c r="Y178" s="594">
        <v>0</v>
      </c>
      <c r="Z178" s="594">
        <v>0</v>
      </c>
    </row>
    <row r="179" spans="1:26" x14ac:dyDescent="0.2">
      <c r="A179" s="597" t="s">
        <v>405</v>
      </c>
      <c r="B179" s="655">
        <v>0</v>
      </c>
      <c r="C179" s="655">
        <v>0</v>
      </c>
      <c r="D179" s="655">
        <v>0</v>
      </c>
      <c r="E179" s="655">
        <v>0</v>
      </c>
      <c r="F179" s="655">
        <v>0</v>
      </c>
      <c r="G179" s="655">
        <v>0</v>
      </c>
      <c r="H179" s="655">
        <v>0</v>
      </c>
      <c r="I179" s="655">
        <v>0</v>
      </c>
      <c r="J179" s="655">
        <v>0</v>
      </c>
      <c r="K179" s="655">
        <v>0</v>
      </c>
      <c r="L179" s="655">
        <v>0</v>
      </c>
      <c r="M179" s="655">
        <v>0</v>
      </c>
      <c r="N179" s="655">
        <v>0</v>
      </c>
      <c r="O179" s="655">
        <v>0</v>
      </c>
      <c r="P179" s="655">
        <v>0</v>
      </c>
      <c r="Q179" s="655">
        <v>0</v>
      </c>
      <c r="R179" s="655">
        <v>0</v>
      </c>
      <c r="S179" s="655">
        <v>0</v>
      </c>
      <c r="T179" s="600" t="e">
        <v>#DIV/0!</v>
      </c>
      <c r="U179" s="599">
        <v>0</v>
      </c>
      <c r="V179" s="599">
        <v>0</v>
      </c>
      <c r="W179" s="599">
        <v>0</v>
      </c>
      <c r="X179" s="599">
        <v>0</v>
      </c>
      <c r="Y179" s="599">
        <v>0</v>
      </c>
      <c r="Z179" s="599">
        <v>0</v>
      </c>
    </row>
    <row r="180" spans="1:26" x14ac:dyDescent="0.2">
      <c r="A180" s="602" t="s">
        <v>406</v>
      </c>
      <c r="B180" s="665">
        <v>0</v>
      </c>
      <c r="C180" s="665">
        <v>0</v>
      </c>
      <c r="D180" s="665">
        <v>0</v>
      </c>
      <c r="E180" s="665">
        <v>0</v>
      </c>
      <c r="F180" s="665">
        <v>0</v>
      </c>
      <c r="G180" s="665">
        <v>0</v>
      </c>
      <c r="H180" s="665">
        <v>0</v>
      </c>
      <c r="I180" s="665">
        <v>0</v>
      </c>
      <c r="J180" s="665">
        <v>0</v>
      </c>
      <c r="K180" s="665">
        <v>0</v>
      </c>
      <c r="L180" s="665">
        <v>0</v>
      </c>
      <c r="M180" s="665">
        <v>0</v>
      </c>
      <c r="N180" s="665">
        <v>0</v>
      </c>
      <c r="O180" s="665">
        <v>0</v>
      </c>
      <c r="P180" s="665">
        <v>0</v>
      </c>
      <c r="Q180" s="665">
        <v>0</v>
      </c>
      <c r="R180" s="665">
        <v>0</v>
      </c>
      <c r="S180" s="665">
        <v>0</v>
      </c>
      <c r="T180" s="604" t="e">
        <v>#DIV/0!</v>
      </c>
      <c r="U180" s="603">
        <v>0</v>
      </c>
      <c r="V180" s="603">
        <v>0</v>
      </c>
      <c r="W180" s="603">
        <v>0</v>
      </c>
      <c r="X180" s="603">
        <v>0</v>
      </c>
      <c r="Y180" s="603">
        <v>0</v>
      </c>
      <c r="Z180" s="603">
        <v>0</v>
      </c>
    </row>
    <row r="181" spans="1:26" x14ac:dyDescent="0.2">
      <c r="A181" s="602" t="s">
        <v>407</v>
      </c>
      <c r="B181" s="665">
        <v>0</v>
      </c>
      <c r="C181" s="665">
        <v>0</v>
      </c>
      <c r="D181" s="665">
        <v>0</v>
      </c>
      <c r="E181" s="665">
        <v>0</v>
      </c>
      <c r="F181" s="665">
        <v>0</v>
      </c>
      <c r="G181" s="665">
        <v>0</v>
      </c>
      <c r="H181" s="665">
        <v>0</v>
      </c>
      <c r="I181" s="665">
        <v>0</v>
      </c>
      <c r="J181" s="665">
        <v>0</v>
      </c>
      <c r="K181" s="665">
        <v>0</v>
      </c>
      <c r="L181" s="665">
        <v>0</v>
      </c>
      <c r="M181" s="665">
        <v>0</v>
      </c>
      <c r="N181" s="665">
        <v>0</v>
      </c>
      <c r="O181" s="665">
        <v>0</v>
      </c>
      <c r="P181" s="665">
        <v>0</v>
      </c>
      <c r="Q181" s="665">
        <v>0</v>
      </c>
      <c r="R181" s="665">
        <v>0</v>
      </c>
      <c r="S181" s="665">
        <v>0</v>
      </c>
      <c r="T181" s="604" t="e">
        <v>#DIV/0!</v>
      </c>
      <c r="U181" s="603">
        <v>0</v>
      </c>
      <c r="V181" s="603">
        <v>0</v>
      </c>
      <c r="W181" s="603">
        <v>0</v>
      </c>
      <c r="X181" s="603">
        <v>0</v>
      </c>
      <c r="Y181" s="603">
        <v>0</v>
      </c>
      <c r="Z181" s="603">
        <v>0</v>
      </c>
    </row>
    <row r="182" spans="1:26" x14ac:dyDescent="0.2">
      <c r="A182" s="602" t="s">
        <v>408</v>
      </c>
      <c r="B182" s="665">
        <v>0</v>
      </c>
      <c r="C182" s="665">
        <v>0</v>
      </c>
      <c r="D182" s="665">
        <v>0</v>
      </c>
      <c r="E182" s="665">
        <v>0</v>
      </c>
      <c r="F182" s="665">
        <v>0</v>
      </c>
      <c r="G182" s="665">
        <v>0</v>
      </c>
      <c r="H182" s="665">
        <v>0</v>
      </c>
      <c r="I182" s="665">
        <v>0</v>
      </c>
      <c r="J182" s="665">
        <v>0</v>
      </c>
      <c r="K182" s="665">
        <v>0</v>
      </c>
      <c r="L182" s="665">
        <v>0</v>
      </c>
      <c r="M182" s="665">
        <v>0</v>
      </c>
      <c r="N182" s="665">
        <v>0</v>
      </c>
      <c r="O182" s="665">
        <v>0</v>
      </c>
      <c r="P182" s="665">
        <v>0</v>
      </c>
      <c r="Q182" s="665">
        <v>0</v>
      </c>
      <c r="R182" s="665">
        <v>0</v>
      </c>
      <c r="S182" s="665">
        <v>0</v>
      </c>
      <c r="T182" s="604" t="e">
        <v>#DIV/0!</v>
      </c>
      <c r="U182" s="603">
        <v>0</v>
      </c>
      <c r="V182" s="603">
        <v>0</v>
      </c>
      <c r="W182" s="603">
        <v>0</v>
      </c>
      <c r="X182" s="603">
        <v>0</v>
      </c>
      <c r="Y182" s="603">
        <v>0</v>
      </c>
      <c r="Z182" s="603">
        <v>0</v>
      </c>
    </row>
    <row r="183" spans="1:26" x14ac:dyDescent="0.2">
      <c r="A183" s="602" t="s">
        <v>409</v>
      </c>
      <c r="B183" s="665">
        <v>0</v>
      </c>
      <c r="C183" s="665">
        <v>0</v>
      </c>
      <c r="D183" s="665">
        <v>0</v>
      </c>
      <c r="E183" s="665">
        <v>0</v>
      </c>
      <c r="F183" s="665">
        <v>0</v>
      </c>
      <c r="G183" s="665">
        <v>0</v>
      </c>
      <c r="H183" s="665">
        <v>0</v>
      </c>
      <c r="I183" s="665">
        <v>0</v>
      </c>
      <c r="J183" s="665">
        <v>0</v>
      </c>
      <c r="K183" s="665">
        <v>0</v>
      </c>
      <c r="L183" s="665">
        <v>0</v>
      </c>
      <c r="M183" s="665">
        <v>0</v>
      </c>
      <c r="N183" s="665">
        <v>0</v>
      </c>
      <c r="O183" s="665">
        <v>0</v>
      </c>
      <c r="P183" s="665">
        <v>0</v>
      </c>
      <c r="Q183" s="665">
        <v>0</v>
      </c>
      <c r="R183" s="665">
        <v>0</v>
      </c>
      <c r="S183" s="665">
        <v>0</v>
      </c>
      <c r="T183" s="604" t="e">
        <v>#DIV/0!</v>
      </c>
      <c r="U183" s="603">
        <v>0</v>
      </c>
      <c r="V183" s="603">
        <v>0</v>
      </c>
      <c r="W183" s="603">
        <v>0</v>
      </c>
      <c r="X183" s="603">
        <v>0</v>
      </c>
      <c r="Y183" s="603">
        <v>0</v>
      </c>
      <c r="Z183" s="603">
        <v>0</v>
      </c>
    </row>
    <row r="184" spans="1:26" x14ac:dyDescent="0.2">
      <c r="A184" s="602" t="s">
        <v>410</v>
      </c>
      <c r="B184" s="665">
        <v>0</v>
      </c>
      <c r="C184" s="665">
        <v>0</v>
      </c>
      <c r="D184" s="665">
        <v>0</v>
      </c>
      <c r="E184" s="665">
        <v>0</v>
      </c>
      <c r="F184" s="665">
        <v>0</v>
      </c>
      <c r="G184" s="665">
        <v>0</v>
      </c>
      <c r="H184" s="665">
        <v>0</v>
      </c>
      <c r="I184" s="665">
        <v>0</v>
      </c>
      <c r="J184" s="665">
        <v>0</v>
      </c>
      <c r="K184" s="665">
        <v>0</v>
      </c>
      <c r="L184" s="665">
        <v>0</v>
      </c>
      <c r="M184" s="665">
        <v>0</v>
      </c>
      <c r="N184" s="665">
        <v>0</v>
      </c>
      <c r="O184" s="665">
        <v>0</v>
      </c>
      <c r="P184" s="665">
        <v>0</v>
      </c>
      <c r="Q184" s="665">
        <v>0</v>
      </c>
      <c r="R184" s="665">
        <v>0</v>
      </c>
      <c r="S184" s="665">
        <v>0</v>
      </c>
      <c r="T184" s="604" t="e">
        <v>#DIV/0!</v>
      </c>
      <c r="U184" s="603">
        <v>0</v>
      </c>
      <c r="V184" s="603">
        <v>0</v>
      </c>
      <c r="W184" s="603">
        <v>0</v>
      </c>
      <c r="X184" s="603">
        <v>0</v>
      </c>
      <c r="Y184" s="603">
        <v>0</v>
      </c>
      <c r="Z184" s="603">
        <v>0</v>
      </c>
    </row>
    <row r="185" spans="1:26" x14ac:dyDescent="0.2">
      <c r="A185" s="602" t="s">
        <v>411</v>
      </c>
      <c r="B185" s="665">
        <v>0</v>
      </c>
      <c r="C185" s="665">
        <v>0</v>
      </c>
      <c r="D185" s="665">
        <v>0</v>
      </c>
      <c r="E185" s="665">
        <v>0</v>
      </c>
      <c r="F185" s="665">
        <v>0</v>
      </c>
      <c r="G185" s="665">
        <v>0</v>
      </c>
      <c r="H185" s="665">
        <v>0</v>
      </c>
      <c r="I185" s="665">
        <v>0</v>
      </c>
      <c r="J185" s="665">
        <v>0</v>
      </c>
      <c r="K185" s="665">
        <v>0</v>
      </c>
      <c r="L185" s="665">
        <v>0</v>
      </c>
      <c r="M185" s="665">
        <v>0</v>
      </c>
      <c r="N185" s="665">
        <v>0</v>
      </c>
      <c r="O185" s="665">
        <v>0</v>
      </c>
      <c r="P185" s="665">
        <v>0</v>
      </c>
      <c r="Q185" s="665">
        <v>0</v>
      </c>
      <c r="R185" s="665">
        <v>0</v>
      </c>
      <c r="S185" s="665">
        <v>0</v>
      </c>
      <c r="T185" s="604" t="e">
        <v>#DIV/0!</v>
      </c>
      <c r="U185" s="603">
        <v>0</v>
      </c>
      <c r="V185" s="603">
        <v>0</v>
      </c>
      <c r="W185" s="603">
        <v>0</v>
      </c>
      <c r="X185" s="603">
        <v>0</v>
      </c>
      <c r="Y185" s="603">
        <v>0</v>
      </c>
      <c r="Z185" s="603">
        <v>0</v>
      </c>
    </row>
    <row r="186" spans="1:26" ht="24" x14ac:dyDescent="0.2">
      <c r="A186" s="602" t="s">
        <v>412</v>
      </c>
      <c r="B186" s="665">
        <v>0</v>
      </c>
      <c r="C186" s="665">
        <v>0</v>
      </c>
      <c r="D186" s="665">
        <v>0</v>
      </c>
      <c r="E186" s="665">
        <v>0</v>
      </c>
      <c r="F186" s="665">
        <v>0</v>
      </c>
      <c r="G186" s="665">
        <v>0</v>
      </c>
      <c r="H186" s="665">
        <v>0</v>
      </c>
      <c r="I186" s="665">
        <v>0</v>
      </c>
      <c r="J186" s="665">
        <v>0</v>
      </c>
      <c r="K186" s="665">
        <v>0</v>
      </c>
      <c r="L186" s="665">
        <v>0</v>
      </c>
      <c r="M186" s="665">
        <v>0</v>
      </c>
      <c r="N186" s="665">
        <v>0</v>
      </c>
      <c r="O186" s="665">
        <v>0</v>
      </c>
      <c r="P186" s="665">
        <v>0</v>
      </c>
      <c r="Q186" s="665">
        <v>0</v>
      </c>
      <c r="R186" s="665">
        <v>0</v>
      </c>
      <c r="S186" s="665">
        <v>0</v>
      </c>
      <c r="T186" s="604" t="e">
        <v>#DIV/0!</v>
      </c>
      <c r="U186" s="603">
        <v>0</v>
      </c>
      <c r="V186" s="603">
        <v>0</v>
      </c>
      <c r="W186" s="603">
        <v>0</v>
      </c>
      <c r="X186" s="603">
        <v>0</v>
      </c>
      <c r="Y186" s="603">
        <v>0</v>
      </c>
      <c r="Z186" s="603">
        <v>0</v>
      </c>
    </row>
    <row r="187" spans="1:26" ht="24" x14ac:dyDescent="0.2">
      <c r="A187" s="602" t="s">
        <v>413</v>
      </c>
      <c r="B187" s="665">
        <v>0</v>
      </c>
      <c r="C187" s="665">
        <v>0</v>
      </c>
      <c r="D187" s="665">
        <v>0</v>
      </c>
      <c r="E187" s="665">
        <v>0</v>
      </c>
      <c r="F187" s="665">
        <v>0</v>
      </c>
      <c r="G187" s="665">
        <v>0</v>
      </c>
      <c r="H187" s="665">
        <v>0</v>
      </c>
      <c r="I187" s="665">
        <v>0</v>
      </c>
      <c r="J187" s="665">
        <v>0</v>
      </c>
      <c r="K187" s="665">
        <v>0</v>
      </c>
      <c r="L187" s="665">
        <v>0</v>
      </c>
      <c r="M187" s="665">
        <v>0</v>
      </c>
      <c r="N187" s="665">
        <v>0</v>
      </c>
      <c r="O187" s="665">
        <v>0</v>
      </c>
      <c r="P187" s="665">
        <v>0</v>
      </c>
      <c r="Q187" s="665">
        <v>0</v>
      </c>
      <c r="R187" s="665">
        <v>0</v>
      </c>
      <c r="S187" s="665">
        <v>0</v>
      </c>
      <c r="T187" s="604" t="e">
        <v>#DIV/0!</v>
      </c>
      <c r="U187" s="603">
        <v>0</v>
      </c>
      <c r="V187" s="603">
        <v>0</v>
      </c>
      <c r="W187" s="603">
        <v>0</v>
      </c>
      <c r="X187" s="603">
        <v>0</v>
      </c>
      <c r="Y187" s="603">
        <v>0</v>
      </c>
      <c r="Z187" s="603">
        <v>0</v>
      </c>
    </row>
    <row r="188" spans="1:26" x14ac:dyDescent="0.2">
      <c r="A188" s="602" t="s">
        <v>414</v>
      </c>
      <c r="B188" s="665">
        <v>0</v>
      </c>
      <c r="C188" s="665">
        <v>0</v>
      </c>
      <c r="D188" s="665">
        <v>0</v>
      </c>
      <c r="E188" s="665">
        <v>0</v>
      </c>
      <c r="F188" s="665">
        <v>0</v>
      </c>
      <c r="G188" s="665">
        <v>0</v>
      </c>
      <c r="H188" s="665">
        <v>0</v>
      </c>
      <c r="I188" s="665">
        <v>0</v>
      </c>
      <c r="J188" s="665">
        <v>0</v>
      </c>
      <c r="K188" s="665">
        <v>0</v>
      </c>
      <c r="L188" s="665">
        <v>0</v>
      </c>
      <c r="M188" s="665">
        <v>0</v>
      </c>
      <c r="N188" s="665">
        <v>0</v>
      </c>
      <c r="O188" s="665">
        <v>0</v>
      </c>
      <c r="P188" s="665">
        <v>0</v>
      </c>
      <c r="Q188" s="665">
        <v>0</v>
      </c>
      <c r="R188" s="665">
        <v>0</v>
      </c>
      <c r="S188" s="665">
        <v>0</v>
      </c>
      <c r="T188" s="604" t="e">
        <v>#DIV/0!</v>
      </c>
      <c r="U188" s="603">
        <v>0</v>
      </c>
      <c r="V188" s="603">
        <v>0</v>
      </c>
      <c r="W188" s="603">
        <v>0</v>
      </c>
      <c r="X188" s="603">
        <v>0</v>
      </c>
      <c r="Y188" s="603">
        <v>0</v>
      </c>
      <c r="Z188" s="603">
        <v>0</v>
      </c>
    </row>
    <row r="189" spans="1:26" x14ac:dyDescent="0.2">
      <c r="A189" s="602" t="s">
        <v>415</v>
      </c>
      <c r="B189" s="665">
        <v>0</v>
      </c>
      <c r="C189" s="665">
        <v>0</v>
      </c>
      <c r="D189" s="665">
        <v>0</v>
      </c>
      <c r="E189" s="665">
        <v>0</v>
      </c>
      <c r="F189" s="665">
        <v>0</v>
      </c>
      <c r="G189" s="665">
        <v>0</v>
      </c>
      <c r="H189" s="665">
        <v>0</v>
      </c>
      <c r="I189" s="665">
        <v>0</v>
      </c>
      <c r="J189" s="665">
        <v>0</v>
      </c>
      <c r="K189" s="665">
        <v>0</v>
      </c>
      <c r="L189" s="665">
        <v>0</v>
      </c>
      <c r="M189" s="665">
        <v>0</v>
      </c>
      <c r="N189" s="665">
        <v>0</v>
      </c>
      <c r="O189" s="665">
        <v>0</v>
      </c>
      <c r="P189" s="665">
        <v>0</v>
      </c>
      <c r="Q189" s="665">
        <v>0</v>
      </c>
      <c r="R189" s="665">
        <v>0</v>
      </c>
      <c r="S189" s="665">
        <v>0</v>
      </c>
      <c r="T189" s="604" t="e">
        <v>#DIV/0!</v>
      </c>
      <c r="U189" s="603">
        <v>0</v>
      </c>
      <c r="V189" s="603">
        <v>0</v>
      </c>
      <c r="W189" s="603">
        <v>0</v>
      </c>
      <c r="X189" s="603">
        <v>0</v>
      </c>
      <c r="Y189" s="603">
        <v>0</v>
      </c>
      <c r="Z189" s="603">
        <v>0</v>
      </c>
    </row>
    <row r="190" spans="1:26" x14ac:dyDescent="0.2">
      <c r="A190" s="602" t="s">
        <v>416</v>
      </c>
      <c r="B190" s="665">
        <v>0</v>
      </c>
      <c r="C190" s="665">
        <v>0</v>
      </c>
      <c r="D190" s="665">
        <v>0</v>
      </c>
      <c r="E190" s="665">
        <v>0</v>
      </c>
      <c r="F190" s="665">
        <v>0</v>
      </c>
      <c r="G190" s="665">
        <v>0</v>
      </c>
      <c r="H190" s="665">
        <v>0</v>
      </c>
      <c r="I190" s="665">
        <v>0</v>
      </c>
      <c r="J190" s="665">
        <v>0</v>
      </c>
      <c r="K190" s="665">
        <v>0</v>
      </c>
      <c r="L190" s="665">
        <v>0</v>
      </c>
      <c r="M190" s="665">
        <v>0</v>
      </c>
      <c r="N190" s="665">
        <v>0</v>
      </c>
      <c r="O190" s="665">
        <v>0</v>
      </c>
      <c r="P190" s="665">
        <v>0</v>
      </c>
      <c r="Q190" s="665">
        <v>0</v>
      </c>
      <c r="R190" s="665">
        <v>0</v>
      </c>
      <c r="S190" s="665">
        <v>0</v>
      </c>
      <c r="T190" s="604" t="e">
        <v>#DIV/0!</v>
      </c>
      <c r="U190" s="603">
        <v>0</v>
      </c>
      <c r="V190" s="603">
        <v>0</v>
      </c>
      <c r="W190" s="603">
        <v>0</v>
      </c>
      <c r="X190" s="603">
        <v>0</v>
      </c>
      <c r="Y190" s="603">
        <v>0</v>
      </c>
      <c r="Z190" s="603">
        <v>0</v>
      </c>
    </row>
    <row r="191" spans="1:26" x14ac:dyDescent="0.2">
      <c r="A191" s="602" t="s">
        <v>417</v>
      </c>
      <c r="B191" s="665">
        <v>0</v>
      </c>
      <c r="C191" s="665">
        <v>0</v>
      </c>
      <c r="D191" s="665">
        <v>0</v>
      </c>
      <c r="E191" s="665">
        <v>0</v>
      </c>
      <c r="F191" s="665">
        <v>0</v>
      </c>
      <c r="G191" s="665">
        <v>0</v>
      </c>
      <c r="H191" s="665">
        <v>0</v>
      </c>
      <c r="I191" s="665">
        <v>0</v>
      </c>
      <c r="J191" s="665">
        <v>0</v>
      </c>
      <c r="K191" s="665">
        <v>0</v>
      </c>
      <c r="L191" s="665">
        <v>0</v>
      </c>
      <c r="M191" s="665">
        <v>0</v>
      </c>
      <c r="N191" s="665">
        <v>0</v>
      </c>
      <c r="O191" s="665">
        <v>0</v>
      </c>
      <c r="P191" s="665">
        <v>0</v>
      </c>
      <c r="Q191" s="665">
        <v>0</v>
      </c>
      <c r="R191" s="665">
        <v>0</v>
      </c>
      <c r="S191" s="665">
        <v>0</v>
      </c>
      <c r="T191" s="604" t="e">
        <v>#DIV/0!</v>
      </c>
      <c r="U191" s="603">
        <v>0</v>
      </c>
      <c r="V191" s="603">
        <v>0</v>
      </c>
      <c r="W191" s="603">
        <v>0</v>
      </c>
      <c r="X191" s="603">
        <v>0</v>
      </c>
      <c r="Y191" s="603">
        <v>0</v>
      </c>
      <c r="Z191" s="603">
        <v>0</v>
      </c>
    </row>
    <row r="192" spans="1:26" x14ac:dyDescent="0.2">
      <c r="A192" s="597" t="s">
        <v>418</v>
      </c>
      <c r="B192" s="655">
        <v>0</v>
      </c>
      <c r="C192" s="655">
        <v>0</v>
      </c>
      <c r="D192" s="655">
        <v>0</v>
      </c>
      <c r="E192" s="655">
        <v>0</v>
      </c>
      <c r="F192" s="655">
        <v>0</v>
      </c>
      <c r="G192" s="655">
        <v>0</v>
      </c>
      <c r="H192" s="655">
        <v>0</v>
      </c>
      <c r="I192" s="655">
        <v>0</v>
      </c>
      <c r="J192" s="655">
        <v>0</v>
      </c>
      <c r="K192" s="655">
        <v>0</v>
      </c>
      <c r="L192" s="655">
        <v>0</v>
      </c>
      <c r="M192" s="655">
        <v>0</v>
      </c>
      <c r="N192" s="655">
        <v>0</v>
      </c>
      <c r="O192" s="655">
        <v>0</v>
      </c>
      <c r="P192" s="655">
        <v>0</v>
      </c>
      <c r="Q192" s="655">
        <v>0</v>
      </c>
      <c r="R192" s="655">
        <v>0</v>
      </c>
      <c r="S192" s="655">
        <v>0</v>
      </c>
      <c r="T192" s="600" t="e">
        <v>#DIV/0!</v>
      </c>
      <c r="U192" s="599">
        <v>0</v>
      </c>
      <c r="V192" s="599">
        <v>0</v>
      </c>
      <c r="W192" s="599">
        <v>0</v>
      </c>
      <c r="X192" s="599">
        <v>0</v>
      </c>
      <c r="Y192" s="599">
        <v>0</v>
      </c>
      <c r="Z192" s="599">
        <v>0</v>
      </c>
    </row>
    <row r="193" spans="1:26" x14ac:dyDescent="0.2">
      <c r="A193" s="602" t="s">
        <v>419</v>
      </c>
      <c r="B193" s="665">
        <v>0</v>
      </c>
      <c r="C193" s="665">
        <v>0</v>
      </c>
      <c r="D193" s="665">
        <v>0</v>
      </c>
      <c r="E193" s="665">
        <v>0</v>
      </c>
      <c r="F193" s="665">
        <v>0</v>
      </c>
      <c r="G193" s="665">
        <v>0</v>
      </c>
      <c r="H193" s="665">
        <v>0</v>
      </c>
      <c r="I193" s="665">
        <v>0</v>
      </c>
      <c r="J193" s="665">
        <v>0</v>
      </c>
      <c r="K193" s="665">
        <v>0</v>
      </c>
      <c r="L193" s="665">
        <v>0</v>
      </c>
      <c r="M193" s="665">
        <v>0</v>
      </c>
      <c r="N193" s="665">
        <v>0</v>
      </c>
      <c r="O193" s="665">
        <v>0</v>
      </c>
      <c r="P193" s="665">
        <v>0</v>
      </c>
      <c r="Q193" s="665">
        <v>0</v>
      </c>
      <c r="R193" s="665">
        <v>0</v>
      </c>
      <c r="S193" s="665">
        <v>0</v>
      </c>
      <c r="T193" s="604" t="e">
        <v>#DIV/0!</v>
      </c>
      <c r="U193" s="603">
        <v>0</v>
      </c>
      <c r="V193" s="603">
        <v>0</v>
      </c>
      <c r="W193" s="603">
        <v>0</v>
      </c>
      <c r="X193" s="603">
        <v>0</v>
      </c>
      <c r="Y193" s="603">
        <v>0</v>
      </c>
      <c r="Z193" s="603">
        <v>0</v>
      </c>
    </row>
    <row r="194" spans="1:26" x14ac:dyDescent="0.2">
      <c r="A194" s="602" t="s">
        <v>420</v>
      </c>
      <c r="B194" s="665">
        <v>0</v>
      </c>
      <c r="C194" s="665">
        <v>0</v>
      </c>
      <c r="D194" s="665">
        <v>0</v>
      </c>
      <c r="E194" s="665">
        <v>0</v>
      </c>
      <c r="F194" s="665">
        <v>0</v>
      </c>
      <c r="G194" s="665">
        <v>0</v>
      </c>
      <c r="H194" s="665">
        <v>0</v>
      </c>
      <c r="I194" s="665">
        <v>0</v>
      </c>
      <c r="J194" s="665">
        <v>0</v>
      </c>
      <c r="K194" s="665">
        <v>0</v>
      </c>
      <c r="L194" s="665">
        <v>0</v>
      </c>
      <c r="M194" s="665">
        <v>0</v>
      </c>
      <c r="N194" s="665">
        <v>0</v>
      </c>
      <c r="O194" s="665">
        <v>0</v>
      </c>
      <c r="P194" s="665">
        <v>0</v>
      </c>
      <c r="Q194" s="665">
        <v>0</v>
      </c>
      <c r="R194" s="665">
        <v>0</v>
      </c>
      <c r="S194" s="665">
        <v>0</v>
      </c>
      <c r="T194" s="604" t="e">
        <v>#DIV/0!</v>
      </c>
      <c r="U194" s="603">
        <v>0</v>
      </c>
      <c r="V194" s="603">
        <v>0</v>
      </c>
      <c r="W194" s="603">
        <v>0</v>
      </c>
      <c r="X194" s="603">
        <v>0</v>
      </c>
      <c r="Y194" s="603">
        <v>0</v>
      </c>
      <c r="Z194" s="603">
        <v>0</v>
      </c>
    </row>
    <row r="195" spans="1:26" x14ac:dyDescent="0.2">
      <c r="A195" s="602" t="s">
        <v>421</v>
      </c>
      <c r="B195" s="665">
        <v>0</v>
      </c>
      <c r="C195" s="665">
        <v>0</v>
      </c>
      <c r="D195" s="665">
        <v>0</v>
      </c>
      <c r="E195" s="665">
        <v>0</v>
      </c>
      <c r="F195" s="665">
        <v>0</v>
      </c>
      <c r="G195" s="665">
        <v>0</v>
      </c>
      <c r="H195" s="665">
        <v>0</v>
      </c>
      <c r="I195" s="665">
        <v>0</v>
      </c>
      <c r="J195" s="665">
        <v>0</v>
      </c>
      <c r="K195" s="665">
        <v>0</v>
      </c>
      <c r="L195" s="665">
        <v>0</v>
      </c>
      <c r="M195" s="665">
        <v>0</v>
      </c>
      <c r="N195" s="665">
        <v>0</v>
      </c>
      <c r="O195" s="665">
        <v>0</v>
      </c>
      <c r="P195" s="665">
        <v>0</v>
      </c>
      <c r="Q195" s="665">
        <v>0</v>
      </c>
      <c r="R195" s="665">
        <v>0</v>
      </c>
      <c r="S195" s="665">
        <v>0</v>
      </c>
      <c r="T195" s="604" t="e">
        <v>#DIV/0!</v>
      </c>
      <c r="U195" s="603">
        <v>0</v>
      </c>
      <c r="V195" s="603">
        <v>0</v>
      </c>
      <c r="W195" s="603">
        <v>0</v>
      </c>
      <c r="X195" s="603">
        <v>0</v>
      </c>
      <c r="Y195" s="603">
        <v>0</v>
      </c>
      <c r="Z195" s="603">
        <v>0</v>
      </c>
    </row>
    <row r="196" spans="1:26" x14ac:dyDescent="0.2">
      <c r="A196" s="602" t="s">
        <v>422</v>
      </c>
      <c r="B196" s="665">
        <v>0</v>
      </c>
      <c r="C196" s="665">
        <v>0</v>
      </c>
      <c r="D196" s="665">
        <v>0</v>
      </c>
      <c r="E196" s="665">
        <v>0</v>
      </c>
      <c r="F196" s="665">
        <v>0</v>
      </c>
      <c r="G196" s="665">
        <v>0</v>
      </c>
      <c r="H196" s="665">
        <v>0</v>
      </c>
      <c r="I196" s="665">
        <v>0</v>
      </c>
      <c r="J196" s="665">
        <v>0</v>
      </c>
      <c r="K196" s="665">
        <v>0</v>
      </c>
      <c r="L196" s="665">
        <v>0</v>
      </c>
      <c r="M196" s="665">
        <v>0</v>
      </c>
      <c r="N196" s="665">
        <v>0</v>
      </c>
      <c r="O196" s="665">
        <v>0</v>
      </c>
      <c r="P196" s="665">
        <v>0</v>
      </c>
      <c r="Q196" s="665">
        <v>0</v>
      </c>
      <c r="R196" s="665">
        <v>0</v>
      </c>
      <c r="S196" s="665">
        <v>0</v>
      </c>
      <c r="T196" s="604" t="e">
        <v>#DIV/0!</v>
      </c>
      <c r="U196" s="603">
        <v>0</v>
      </c>
      <c r="V196" s="603">
        <v>0</v>
      </c>
      <c r="W196" s="603">
        <v>0</v>
      </c>
      <c r="X196" s="603">
        <v>0</v>
      </c>
      <c r="Y196" s="603">
        <v>0</v>
      </c>
      <c r="Z196" s="603">
        <v>0</v>
      </c>
    </row>
    <row r="197" spans="1:26" ht="24" x14ac:dyDescent="0.2">
      <c r="A197" s="602" t="s">
        <v>423</v>
      </c>
      <c r="B197" s="665">
        <v>0</v>
      </c>
      <c r="C197" s="665">
        <v>0</v>
      </c>
      <c r="D197" s="665">
        <v>0</v>
      </c>
      <c r="E197" s="665">
        <v>0</v>
      </c>
      <c r="F197" s="665">
        <v>0</v>
      </c>
      <c r="G197" s="665">
        <v>0</v>
      </c>
      <c r="H197" s="665">
        <v>0</v>
      </c>
      <c r="I197" s="665">
        <v>0</v>
      </c>
      <c r="J197" s="665">
        <v>0</v>
      </c>
      <c r="K197" s="665">
        <v>0</v>
      </c>
      <c r="L197" s="665">
        <v>0</v>
      </c>
      <c r="M197" s="665">
        <v>0</v>
      </c>
      <c r="N197" s="665">
        <v>0</v>
      </c>
      <c r="O197" s="665">
        <v>0</v>
      </c>
      <c r="P197" s="665">
        <v>0</v>
      </c>
      <c r="Q197" s="665">
        <v>0</v>
      </c>
      <c r="R197" s="665">
        <v>0</v>
      </c>
      <c r="S197" s="665">
        <v>0</v>
      </c>
      <c r="T197" s="604" t="e">
        <v>#DIV/0!</v>
      </c>
      <c r="U197" s="603">
        <v>0</v>
      </c>
      <c r="V197" s="603">
        <v>0</v>
      </c>
      <c r="W197" s="603">
        <v>0</v>
      </c>
      <c r="X197" s="603">
        <v>0</v>
      </c>
      <c r="Y197" s="603">
        <v>0</v>
      </c>
      <c r="Z197" s="603">
        <v>0</v>
      </c>
    </row>
    <row r="198" spans="1:26" x14ac:dyDescent="0.2">
      <c r="A198" s="602" t="s">
        <v>424</v>
      </c>
      <c r="B198" s="665">
        <v>0</v>
      </c>
      <c r="C198" s="665">
        <v>0</v>
      </c>
      <c r="D198" s="665">
        <v>0</v>
      </c>
      <c r="E198" s="665">
        <v>0</v>
      </c>
      <c r="F198" s="665">
        <v>0</v>
      </c>
      <c r="G198" s="665">
        <v>0</v>
      </c>
      <c r="H198" s="665">
        <v>0</v>
      </c>
      <c r="I198" s="665">
        <v>0</v>
      </c>
      <c r="J198" s="665">
        <v>0</v>
      </c>
      <c r="K198" s="665">
        <v>0</v>
      </c>
      <c r="L198" s="665">
        <v>0</v>
      </c>
      <c r="M198" s="665">
        <v>0</v>
      </c>
      <c r="N198" s="665">
        <v>0</v>
      </c>
      <c r="O198" s="665">
        <v>0</v>
      </c>
      <c r="P198" s="665">
        <v>0</v>
      </c>
      <c r="Q198" s="665">
        <v>0</v>
      </c>
      <c r="R198" s="665">
        <v>0</v>
      </c>
      <c r="S198" s="665">
        <v>0</v>
      </c>
      <c r="T198" s="604" t="e">
        <v>#DIV/0!</v>
      </c>
      <c r="U198" s="603">
        <v>0</v>
      </c>
      <c r="V198" s="603">
        <v>0</v>
      </c>
      <c r="W198" s="603">
        <v>0</v>
      </c>
      <c r="X198" s="603">
        <v>0</v>
      </c>
      <c r="Y198" s="603">
        <v>0</v>
      </c>
      <c r="Z198" s="603">
        <v>0</v>
      </c>
    </row>
    <row r="199" spans="1:26" x14ac:dyDescent="0.2">
      <c r="A199" s="602" t="s">
        <v>425</v>
      </c>
      <c r="B199" s="665">
        <v>0</v>
      </c>
      <c r="C199" s="665">
        <v>0</v>
      </c>
      <c r="D199" s="665">
        <v>0</v>
      </c>
      <c r="E199" s="665">
        <v>0</v>
      </c>
      <c r="F199" s="665">
        <v>0</v>
      </c>
      <c r="G199" s="665">
        <v>0</v>
      </c>
      <c r="H199" s="665">
        <v>0</v>
      </c>
      <c r="I199" s="665">
        <v>0</v>
      </c>
      <c r="J199" s="665">
        <v>0</v>
      </c>
      <c r="K199" s="665">
        <v>0</v>
      </c>
      <c r="L199" s="665">
        <v>0</v>
      </c>
      <c r="M199" s="665">
        <v>0</v>
      </c>
      <c r="N199" s="665">
        <v>0</v>
      </c>
      <c r="O199" s="665">
        <v>0</v>
      </c>
      <c r="P199" s="665">
        <v>0</v>
      </c>
      <c r="Q199" s="665">
        <v>0</v>
      </c>
      <c r="R199" s="665">
        <v>0</v>
      </c>
      <c r="S199" s="665">
        <v>0</v>
      </c>
      <c r="T199" s="604" t="e">
        <v>#DIV/0!</v>
      </c>
      <c r="U199" s="603">
        <v>0</v>
      </c>
      <c r="V199" s="603">
        <v>0</v>
      </c>
      <c r="W199" s="603">
        <v>0</v>
      </c>
      <c r="X199" s="603">
        <v>0</v>
      </c>
      <c r="Y199" s="603">
        <v>0</v>
      </c>
      <c r="Z199" s="603">
        <v>0</v>
      </c>
    </row>
    <row r="200" spans="1:26" x14ac:dyDescent="0.2">
      <c r="A200" s="602" t="s">
        <v>426</v>
      </c>
      <c r="B200" s="665">
        <v>0</v>
      </c>
      <c r="C200" s="665">
        <v>0</v>
      </c>
      <c r="D200" s="665">
        <v>0</v>
      </c>
      <c r="E200" s="665">
        <v>0</v>
      </c>
      <c r="F200" s="665">
        <v>0</v>
      </c>
      <c r="G200" s="665">
        <v>0</v>
      </c>
      <c r="H200" s="665">
        <v>0</v>
      </c>
      <c r="I200" s="665">
        <v>0</v>
      </c>
      <c r="J200" s="665">
        <v>0</v>
      </c>
      <c r="K200" s="665">
        <v>0</v>
      </c>
      <c r="L200" s="665">
        <v>0</v>
      </c>
      <c r="M200" s="665">
        <v>0</v>
      </c>
      <c r="N200" s="665">
        <v>0</v>
      </c>
      <c r="O200" s="665">
        <v>0</v>
      </c>
      <c r="P200" s="665">
        <v>0</v>
      </c>
      <c r="Q200" s="665">
        <v>0</v>
      </c>
      <c r="R200" s="665">
        <v>0</v>
      </c>
      <c r="S200" s="665">
        <v>0</v>
      </c>
      <c r="T200" s="604" t="e">
        <v>#DIV/0!</v>
      </c>
      <c r="U200" s="603">
        <v>0</v>
      </c>
      <c r="V200" s="603">
        <v>0</v>
      </c>
      <c r="W200" s="603">
        <v>0</v>
      </c>
      <c r="X200" s="603">
        <v>0</v>
      </c>
      <c r="Y200" s="603">
        <v>0</v>
      </c>
      <c r="Z200" s="603">
        <v>0</v>
      </c>
    </row>
    <row r="201" spans="1:26" x14ac:dyDescent="0.2">
      <c r="A201" s="602" t="s">
        <v>427</v>
      </c>
      <c r="B201" s="665">
        <v>0</v>
      </c>
      <c r="C201" s="665">
        <v>0</v>
      </c>
      <c r="D201" s="665">
        <v>0</v>
      </c>
      <c r="E201" s="665">
        <v>0</v>
      </c>
      <c r="F201" s="665">
        <v>0</v>
      </c>
      <c r="G201" s="665">
        <v>0</v>
      </c>
      <c r="H201" s="665">
        <v>0</v>
      </c>
      <c r="I201" s="665">
        <v>0</v>
      </c>
      <c r="J201" s="665">
        <v>0</v>
      </c>
      <c r="K201" s="665">
        <v>0</v>
      </c>
      <c r="L201" s="665">
        <v>0</v>
      </c>
      <c r="M201" s="665">
        <v>0</v>
      </c>
      <c r="N201" s="665">
        <v>0</v>
      </c>
      <c r="O201" s="665">
        <v>0</v>
      </c>
      <c r="P201" s="665">
        <v>0</v>
      </c>
      <c r="Q201" s="665">
        <v>0</v>
      </c>
      <c r="R201" s="665">
        <v>0</v>
      </c>
      <c r="S201" s="665">
        <v>0</v>
      </c>
      <c r="T201" s="604" t="e">
        <v>#DIV/0!</v>
      </c>
      <c r="U201" s="603">
        <v>0</v>
      </c>
      <c r="V201" s="603">
        <v>0</v>
      </c>
      <c r="W201" s="603">
        <v>0</v>
      </c>
      <c r="X201" s="603">
        <v>0</v>
      </c>
      <c r="Y201" s="603">
        <v>0</v>
      </c>
      <c r="Z201" s="603">
        <v>0</v>
      </c>
    </row>
    <row r="202" spans="1:26" ht="24" x14ac:dyDescent="0.2">
      <c r="A202" s="597" t="s">
        <v>428</v>
      </c>
      <c r="B202" s="685">
        <v>0</v>
      </c>
      <c r="C202" s="685">
        <v>0</v>
      </c>
      <c r="D202" s="685">
        <v>0</v>
      </c>
      <c r="E202" s="685">
        <v>0</v>
      </c>
      <c r="F202" s="685">
        <v>0</v>
      </c>
      <c r="G202" s="685">
        <v>0</v>
      </c>
      <c r="H202" s="685">
        <v>0</v>
      </c>
      <c r="I202" s="685">
        <v>0</v>
      </c>
      <c r="J202" s="685">
        <v>0</v>
      </c>
      <c r="K202" s="685">
        <v>0</v>
      </c>
      <c r="L202" s="685">
        <v>0</v>
      </c>
      <c r="M202" s="685">
        <v>0</v>
      </c>
      <c r="N202" s="685">
        <v>0</v>
      </c>
      <c r="O202" s="685">
        <v>0</v>
      </c>
      <c r="P202" s="685">
        <v>0</v>
      </c>
      <c r="Q202" s="685">
        <v>0</v>
      </c>
      <c r="R202" s="685">
        <v>0</v>
      </c>
      <c r="S202" s="685">
        <v>0</v>
      </c>
      <c r="T202" s="600" t="e">
        <v>#DIV/0!</v>
      </c>
      <c r="U202" s="599">
        <v>0</v>
      </c>
      <c r="V202" s="599">
        <v>0</v>
      </c>
      <c r="W202" s="599">
        <v>0</v>
      </c>
      <c r="X202" s="599">
        <v>0</v>
      </c>
      <c r="Y202" s="599">
        <v>0</v>
      </c>
      <c r="Z202" s="599">
        <v>0</v>
      </c>
    </row>
    <row r="203" spans="1:26" x14ac:dyDescent="0.2">
      <c r="A203" s="597" t="s">
        <v>429</v>
      </c>
      <c r="B203" s="685">
        <v>0</v>
      </c>
      <c r="C203" s="685">
        <v>0</v>
      </c>
      <c r="D203" s="685">
        <v>0</v>
      </c>
      <c r="E203" s="685">
        <v>0</v>
      </c>
      <c r="F203" s="685">
        <v>0</v>
      </c>
      <c r="G203" s="685">
        <v>0</v>
      </c>
      <c r="H203" s="685">
        <v>0</v>
      </c>
      <c r="I203" s="685">
        <v>0</v>
      </c>
      <c r="J203" s="685">
        <v>0</v>
      </c>
      <c r="K203" s="685">
        <v>0</v>
      </c>
      <c r="L203" s="685">
        <v>0</v>
      </c>
      <c r="M203" s="685">
        <v>0</v>
      </c>
      <c r="N203" s="685">
        <v>0</v>
      </c>
      <c r="O203" s="685">
        <v>0</v>
      </c>
      <c r="P203" s="685">
        <v>0</v>
      </c>
      <c r="Q203" s="685">
        <v>0</v>
      </c>
      <c r="R203" s="685">
        <v>0</v>
      </c>
      <c r="S203" s="685">
        <v>0</v>
      </c>
      <c r="T203" s="600" t="e">
        <v>#DIV/0!</v>
      </c>
      <c r="U203" s="599">
        <v>0</v>
      </c>
      <c r="V203" s="599">
        <v>0</v>
      </c>
      <c r="W203" s="599">
        <v>0</v>
      </c>
      <c r="X203" s="599">
        <v>0</v>
      </c>
      <c r="Y203" s="599">
        <v>0</v>
      </c>
      <c r="Z203" s="599">
        <v>0</v>
      </c>
    </row>
    <row r="204" spans="1:26" x14ac:dyDescent="0.2">
      <c r="A204" s="592" t="s">
        <v>430</v>
      </c>
      <c r="B204" s="683">
        <v>333807</v>
      </c>
      <c r="C204" s="683">
        <v>333007</v>
      </c>
      <c r="D204" s="683">
        <v>290586.40000000002</v>
      </c>
      <c r="E204" s="683">
        <v>103398.51</v>
      </c>
      <c r="F204" s="683">
        <v>90828.329999999987</v>
      </c>
      <c r="G204" s="683">
        <v>0.5</v>
      </c>
      <c r="H204" s="683">
        <v>44190.69</v>
      </c>
      <c r="I204" s="683">
        <v>1094.71</v>
      </c>
      <c r="J204" s="683">
        <v>11912.43</v>
      </c>
      <c r="K204" s="683">
        <v>1044.26</v>
      </c>
      <c r="L204" s="683">
        <v>11098.130000000001</v>
      </c>
      <c r="M204" s="683">
        <v>3970.75</v>
      </c>
      <c r="N204" s="683">
        <v>3506.35</v>
      </c>
      <c r="O204" s="683">
        <v>14010.51</v>
      </c>
      <c r="P204" s="683">
        <v>0</v>
      </c>
      <c r="Q204" s="683">
        <v>0</v>
      </c>
      <c r="R204" s="683">
        <v>0</v>
      </c>
      <c r="S204" s="683">
        <v>90828.33</v>
      </c>
      <c r="T204" s="595">
        <v>0.27275201422192324</v>
      </c>
      <c r="U204" s="594">
        <v>242178.66999999998</v>
      </c>
      <c r="V204" s="594">
        <v>42420.599999999977</v>
      </c>
      <c r="W204" s="594">
        <v>229608.49</v>
      </c>
      <c r="X204" s="594">
        <v>187187.89</v>
      </c>
      <c r="Y204" s="594">
        <v>12570.180000000008</v>
      </c>
      <c r="Z204" s="594">
        <v>0</v>
      </c>
    </row>
    <row r="205" spans="1:26" x14ac:dyDescent="0.2">
      <c r="A205" s="597" t="s">
        <v>431</v>
      </c>
      <c r="B205" s="685">
        <v>0</v>
      </c>
      <c r="C205" s="685">
        <v>0</v>
      </c>
      <c r="D205" s="685">
        <v>0</v>
      </c>
      <c r="E205" s="685">
        <v>0</v>
      </c>
      <c r="F205" s="685">
        <v>0</v>
      </c>
      <c r="G205" s="685">
        <v>0</v>
      </c>
      <c r="H205" s="685">
        <v>0</v>
      </c>
      <c r="I205" s="685">
        <v>0</v>
      </c>
      <c r="J205" s="685">
        <v>0</v>
      </c>
      <c r="K205" s="685">
        <v>0</v>
      </c>
      <c r="L205" s="685">
        <v>0</v>
      </c>
      <c r="M205" s="685">
        <v>0</v>
      </c>
      <c r="N205" s="685">
        <v>0</v>
      </c>
      <c r="O205" s="685">
        <v>0</v>
      </c>
      <c r="P205" s="685">
        <v>0</v>
      </c>
      <c r="Q205" s="685">
        <v>0</v>
      </c>
      <c r="R205" s="685">
        <v>0</v>
      </c>
      <c r="S205" s="685">
        <v>0</v>
      </c>
      <c r="T205" s="600" t="e">
        <v>#DIV/0!</v>
      </c>
      <c r="U205" s="599">
        <v>0</v>
      </c>
      <c r="V205" s="599">
        <v>0</v>
      </c>
      <c r="W205" s="599">
        <v>0</v>
      </c>
      <c r="X205" s="599">
        <v>0</v>
      </c>
      <c r="Y205" s="599">
        <v>0</v>
      </c>
      <c r="Z205" s="599">
        <v>0</v>
      </c>
    </row>
    <row r="206" spans="1:26" x14ac:dyDescent="0.2">
      <c r="A206" s="597" t="s">
        <v>432</v>
      </c>
      <c r="B206" s="685">
        <v>0</v>
      </c>
      <c r="C206" s="685">
        <v>0</v>
      </c>
      <c r="D206" s="685">
        <v>0</v>
      </c>
      <c r="E206" s="685">
        <v>0</v>
      </c>
      <c r="F206" s="685">
        <v>0</v>
      </c>
      <c r="G206" s="685">
        <v>0</v>
      </c>
      <c r="H206" s="685">
        <v>0</v>
      </c>
      <c r="I206" s="685">
        <v>0</v>
      </c>
      <c r="J206" s="685">
        <v>0</v>
      </c>
      <c r="K206" s="685">
        <v>0</v>
      </c>
      <c r="L206" s="685">
        <v>0</v>
      </c>
      <c r="M206" s="685">
        <v>0</v>
      </c>
      <c r="N206" s="685">
        <v>0</v>
      </c>
      <c r="O206" s="685">
        <v>0</v>
      </c>
      <c r="P206" s="685">
        <v>0</v>
      </c>
      <c r="Q206" s="685">
        <v>0</v>
      </c>
      <c r="R206" s="685">
        <v>0</v>
      </c>
      <c r="S206" s="685">
        <v>0</v>
      </c>
      <c r="T206" s="600" t="e">
        <v>#DIV/0!</v>
      </c>
      <c r="U206" s="599">
        <v>0</v>
      </c>
      <c r="V206" s="599">
        <v>0</v>
      </c>
      <c r="W206" s="599">
        <v>0</v>
      </c>
      <c r="X206" s="599">
        <v>0</v>
      </c>
      <c r="Y206" s="599">
        <v>0</v>
      </c>
      <c r="Z206" s="599">
        <v>0</v>
      </c>
    </row>
    <row r="207" spans="1:26" x14ac:dyDescent="0.2">
      <c r="A207" s="597" t="s">
        <v>433</v>
      </c>
      <c r="B207" s="655">
        <v>0</v>
      </c>
      <c r="C207" s="655">
        <v>8675</v>
      </c>
      <c r="D207" s="655">
        <v>0</v>
      </c>
      <c r="E207" s="655">
        <v>0</v>
      </c>
      <c r="F207" s="655">
        <v>0</v>
      </c>
      <c r="G207" s="655">
        <v>0</v>
      </c>
      <c r="H207" s="655">
        <v>0</v>
      </c>
      <c r="I207" s="655">
        <v>0</v>
      </c>
      <c r="J207" s="655">
        <v>0</v>
      </c>
      <c r="K207" s="655">
        <v>0</v>
      </c>
      <c r="L207" s="655">
        <v>0</v>
      </c>
      <c r="M207" s="655">
        <v>0</v>
      </c>
      <c r="N207" s="655">
        <v>0</v>
      </c>
      <c r="O207" s="655">
        <v>0</v>
      </c>
      <c r="P207" s="655">
        <v>0</v>
      </c>
      <c r="Q207" s="655">
        <v>0</v>
      </c>
      <c r="R207" s="655">
        <v>0</v>
      </c>
      <c r="S207" s="655">
        <v>0</v>
      </c>
      <c r="T207" s="600">
        <v>0</v>
      </c>
      <c r="U207" s="599">
        <v>8675</v>
      </c>
      <c r="V207" s="599">
        <v>8675</v>
      </c>
      <c r="W207" s="599">
        <v>8675</v>
      </c>
      <c r="X207" s="599">
        <v>0</v>
      </c>
      <c r="Y207" s="599">
        <v>0</v>
      </c>
      <c r="Z207" s="599">
        <v>0</v>
      </c>
    </row>
    <row r="208" spans="1:26" x14ac:dyDescent="0.2">
      <c r="A208" s="602" t="s">
        <v>434</v>
      </c>
      <c r="B208" s="665">
        <v>0</v>
      </c>
      <c r="C208" s="665">
        <v>8675</v>
      </c>
      <c r="D208" s="665">
        <v>0</v>
      </c>
      <c r="E208" s="665">
        <v>0</v>
      </c>
      <c r="F208" s="665">
        <v>0</v>
      </c>
      <c r="G208" s="665">
        <v>0</v>
      </c>
      <c r="H208" s="665">
        <v>0</v>
      </c>
      <c r="I208" s="665">
        <v>0</v>
      </c>
      <c r="J208" s="665">
        <v>0</v>
      </c>
      <c r="K208" s="665">
        <v>0</v>
      </c>
      <c r="L208" s="665">
        <v>0</v>
      </c>
      <c r="M208" s="665">
        <v>0</v>
      </c>
      <c r="N208" s="665">
        <v>0</v>
      </c>
      <c r="O208" s="665">
        <v>0</v>
      </c>
      <c r="P208" s="665">
        <v>0</v>
      </c>
      <c r="Q208" s="665">
        <v>0</v>
      </c>
      <c r="R208" s="665">
        <v>0</v>
      </c>
      <c r="S208" s="665">
        <v>0</v>
      </c>
      <c r="T208" s="604">
        <v>0</v>
      </c>
      <c r="U208" s="603">
        <v>8675</v>
      </c>
      <c r="V208" s="603">
        <v>8675</v>
      </c>
      <c r="W208" s="603">
        <v>8675</v>
      </c>
      <c r="X208" s="603">
        <v>0</v>
      </c>
      <c r="Y208" s="603">
        <v>0</v>
      </c>
      <c r="Z208" s="603">
        <v>0</v>
      </c>
    </row>
    <row r="209" spans="1:26" x14ac:dyDescent="0.2">
      <c r="A209" s="602" t="s">
        <v>435</v>
      </c>
      <c r="B209" s="665">
        <v>0</v>
      </c>
      <c r="C209" s="665">
        <v>0</v>
      </c>
      <c r="D209" s="665">
        <v>0</v>
      </c>
      <c r="E209" s="665">
        <v>0</v>
      </c>
      <c r="F209" s="665">
        <v>0</v>
      </c>
      <c r="G209" s="665">
        <v>0</v>
      </c>
      <c r="H209" s="665">
        <v>0</v>
      </c>
      <c r="I209" s="665">
        <v>0</v>
      </c>
      <c r="J209" s="665">
        <v>0</v>
      </c>
      <c r="K209" s="665">
        <v>0</v>
      </c>
      <c r="L209" s="665">
        <v>0</v>
      </c>
      <c r="M209" s="665">
        <v>0</v>
      </c>
      <c r="N209" s="665">
        <v>0</v>
      </c>
      <c r="O209" s="665">
        <v>0</v>
      </c>
      <c r="P209" s="665">
        <v>0</v>
      </c>
      <c r="Q209" s="665">
        <v>0</v>
      </c>
      <c r="R209" s="665">
        <v>0</v>
      </c>
      <c r="S209" s="665">
        <v>0</v>
      </c>
      <c r="T209" s="604" t="e">
        <v>#DIV/0!</v>
      </c>
      <c r="U209" s="603">
        <v>0</v>
      </c>
      <c r="V209" s="603">
        <v>0</v>
      </c>
      <c r="W209" s="603">
        <v>0</v>
      </c>
      <c r="X209" s="603">
        <v>0</v>
      </c>
      <c r="Y209" s="603">
        <v>0</v>
      </c>
      <c r="Z209" s="603">
        <v>0</v>
      </c>
    </row>
    <row r="210" spans="1:26" x14ac:dyDescent="0.2">
      <c r="A210" s="597" t="s">
        <v>436</v>
      </c>
      <c r="B210" s="655">
        <v>0</v>
      </c>
      <c r="C210" s="655">
        <v>0</v>
      </c>
      <c r="D210" s="655">
        <v>0</v>
      </c>
      <c r="E210" s="655">
        <v>0</v>
      </c>
      <c r="F210" s="655">
        <v>0</v>
      </c>
      <c r="G210" s="655">
        <v>0</v>
      </c>
      <c r="H210" s="655">
        <v>0</v>
      </c>
      <c r="I210" s="655">
        <v>0</v>
      </c>
      <c r="J210" s="655">
        <v>0</v>
      </c>
      <c r="K210" s="655">
        <v>0</v>
      </c>
      <c r="L210" s="655">
        <v>0</v>
      </c>
      <c r="M210" s="655">
        <v>0</v>
      </c>
      <c r="N210" s="655">
        <v>0</v>
      </c>
      <c r="O210" s="655">
        <v>0</v>
      </c>
      <c r="P210" s="655">
        <v>0</v>
      </c>
      <c r="Q210" s="655">
        <v>0</v>
      </c>
      <c r="R210" s="655">
        <v>0</v>
      </c>
      <c r="S210" s="655">
        <v>0</v>
      </c>
      <c r="T210" s="600" t="e">
        <v>#DIV/0!</v>
      </c>
      <c r="U210" s="599">
        <v>0</v>
      </c>
      <c r="V210" s="599">
        <v>0</v>
      </c>
      <c r="W210" s="599">
        <v>0</v>
      </c>
      <c r="X210" s="599">
        <v>0</v>
      </c>
      <c r="Y210" s="599">
        <v>0</v>
      </c>
      <c r="Z210" s="599">
        <v>0</v>
      </c>
    </row>
    <row r="211" spans="1:26" x14ac:dyDescent="0.2">
      <c r="A211" s="602" t="s">
        <v>437</v>
      </c>
      <c r="B211" s="665">
        <v>0</v>
      </c>
      <c r="C211" s="665">
        <v>0</v>
      </c>
      <c r="D211" s="665">
        <v>0</v>
      </c>
      <c r="E211" s="665">
        <v>0</v>
      </c>
      <c r="F211" s="665">
        <v>0</v>
      </c>
      <c r="G211" s="665">
        <v>0</v>
      </c>
      <c r="H211" s="665">
        <v>0</v>
      </c>
      <c r="I211" s="665">
        <v>0</v>
      </c>
      <c r="J211" s="665">
        <v>0</v>
      </c>
      <c r="K211" s="665">
        <v>0</v>
      </c>
      <c r="L211" s="665">
        <v>0</v>
      </c>
      <c r="M211" s="665">
        <v>0</v>
      </c>
      <c r="N211" s="665">
        <v>0</v>
      </c>
      <c r="O211" s="665">
        <v>0</v>
      </c>
      <c r="P211" s="665">
        <v>0</v>
      </c>
      <c r="Q211" s="665">
        <v>0</v>
      </c>
      <c r="R211" s="665">
        <v>0</v>
      </c>
      <c r="S211" s="665">
        <v>0</v>
      </c>
      <c r="T211" s="604" t="e">
        <v>#DIV/0!</v>
      </c>
      <c r="U211" s="603">
        <v>0</v>
      </c>
      <c r="V211" s="603">
        <v>0</v>
      </c>
      <c r="W211" s="603">
        <v>0</v>
      </c>
      <c r="X211" s="603">
        <v>0</v>
      </c>
      <c r="Y211" s="603">
        <v>0</v>
      </c>
      <c r="Z211" s="603">
        <v>0</v>
      </c>
    </row>
    <row r="212" spans="1:26" x14ac:dyDescent="0.2">
      <c r="A212" s="602" t="s">
        <v>438</v>
      </c>
      <c r="B212" s="665">
        <v>0</v>
      </c>
      <c r="C212" s="665">
        <v>0</v>
      </c>
      <c r="D212" s="665">
        <v>0</v>
      </c>
      <c r="E212" s="665">
        <v>0</v>
      </c>
      <c r="F212" s="665">
        <v>0</v>
      </c>
      <c r="G212" s="665">
        <v>0</v>
      </c>
      <c r="H212" s="665">
        <v>0</v>
      </c>
      <c r="I212" s="665">
        <v>0</v>
      </c>
      <c r="J212" s="665">
        <v>0</v>
      </c>
      <c r="K212" s="665">
        <v>0</v>
      </c>
      <c r="L212" s="665">
        <v>0</v>
      </c>
      <c r="M212" s="665">
        <v>0</v>
      </c>
      <c r="N212" s="665">
        <v>0</v>
      </c>
      <c r="O212" s="665">
        <v>0</v>
      </c>
      <c r="P212" s="665">
        <v>0</v>
      </c>
      <c r="Q212" s="665">
        <v>0</v>
      </c>
      <c r="R212" s="665">
        <v>0</v>
      </c>
      <c r="S212" s="665">
        <v>0</v>
      </c>
      <c r="T212" s="604" t="e">
        <v>#DIV/0!</v>
      </c>
      <c r="U212" s="603">
        <v>0</v>
      </c>
      <c r="V212" s="603">
        <v>0</v>
      </c>
      <c r="W212" s="603">
        <v>0</v>
      </c>
      <c r="X212" s="603">
        <v>0</v>
      </c>
      <c r="Y212" s="603">
        <v>0</v>
      </c>
      <c r="Z212" s="603">
        <v>0</v>
      </c>
    </row>
    <row r="213" spans="1:26" x14ac:dyDescent="0.2">
      <c r="A213" s="602" t="s">
        <v>439</v>
      </c>
      <c r="B213" s="665">
        <v>0</v>
      </c>
      <c r="C213" s="665">
        <v>0</v>
      </c>
      <c r="D213" s="665">
        <v>0</v>
      </c>
      <c r="E213" s="665">
        <v>0</v>
      </c>
      <c r="F213" s="665">
        <v>0</v>
      </c>
      <c r="G213" s="665">
        <v>0</v>
      </c>
      <c r="H213" s="665">
        <v>0</v>
      </c>
      <c r="I213" s="665">
        <v>0</v>
      </c>
      <c r="J213" s="665">
        <v>0</v>
      </c>
      <c r="K213" s="665">
        <v>0</v>
      </c>
      <c r="L213" s="665">
        <v>0</v>
      </c>
      <c r="M213" s="665">
        <v>0</v>
      </c>
      <c r="N213" s="665">
        <v>0</v>
      </c>
      <c r="O213" s="665">
        <v>0</v>
      </c>
      <c r="P213" s="665">
        <v>0</v>
      </c>
      <c r="Q213" s="665">
        <v>0</v>
      </c>
      <c r="R213" s="665">
        <v>0</v>
      </c>
      <c r="S213" s="665">
        <v>0</v>
      </c>
      <c r="T213" s="604" t="e">
        <v>#DIV/0!</v>
      </c>
      <c r="U213" s="603">
        <v>0</v>
      </c>
      <c r="V213" s="603">
        <v>0</v>
      </c>
      <c r="W213" s="603">
        <v>0</v>
      </c>
      <c r="X213" s="603">
        <v>0</v>
      </c>
      <c r="Y213" s="603">
        <v>0</v>
      </c>
      <c r="Z213" s="603">
        <v>0</v>
      </c>
    </row>
    <row r="214" spans="1:26" x14ac:dyDescent="0.2">
      <c r="A214" s="602" t="s">
        <v>440</v>
      </c>
      <c r="B214" s="665">
        <v>0</v>
      </c>
      <c r="C214" s="665">
        <v>0</v>
      </c>
      <c r="D214" s="665">
        <v>0</v>
      </c>
      <c r="E214" s="665">
        <v>0</v>
      </c>
      <c r="F214" s="665">
        <v>0</v>
      </c>
      <c r="G214" s="665">
        <v>0</v>
      </c>
      <c r="H214" s="665">
        <v>0</v>
      </c>
      <c r="I214" s="665">
        <v>0</v>
      </c>
      <c r="J214" s="665">
        <v>0</v>
      </c>
      <c r="K214" s="665">
        <v>0</v>
      </c>
      <c r="L214" s="665">
        <v>0</v>
      </c>
      <c r="M214" s="665">
        <v>0</v>
      </c>
      <c r="N214" s="665">
        <v>0</v>
      </c>
      <c r="O214" s="665">
        <v>0</v>
      </c>
      <c r="P214" s="665">
        <v>0</v>
      </c>
      <c r="Q214" s="665">
        <v>0</v>
      </c>
      <c r="R214" s="665">
        <v>0</v>
      </c>
      <c r="S214" s="665">
        <v>0</v>
      </c>
      <c r="T214" s="604" t="e">
        <v>#DIV/0!</v>
      </c>
      <c r="U214" s="603">
        <v>0</v>
      </c>
      <c r="V214" s="603">
        <v>0</v>
      </c>
      <c r="W214" s="603">
        <v>0</v>
      </c>
      <c r="X214" s="603">
        <v>0</v>
      </c>
      <c r="Y214" s="603">
        <v>0</v>
      </c>
      <c r="Z214" s="603">
        <v>0</v>
      </c>
    </row>
    <row r="215" spans="1:26" x14ac:dyDescent="0.2">
      <c r="A215" s="597" t="s">
        <v>441</v>
      </c>
      <c r="B215" s="655">
        <v>3087</v>
      </c>
      <c r="C215" s="655">
        <v>1607</v>
      </c>
      <c r="D215" s="655">
        <v>1607</v>
      </c>
      <c r="E215" s="655">
        <v>1606.2</v>
      </c>
      <c r="F215" s="655">
        <v>1056</v>
      </c>
      <c r="G215" s="655">
        <v>0</v>
      </c>
      <c r="H215" s="655">
        <v>0</v>
      </c>
      <c r="I215" s="655">
        <v>0</v>
      </c>
      <c r="J215" s="655">
        <v>61</v>
      </c>
      <c r="K215" s="655">
        <v>0</v>
      </c>
      <c r="L215" s="655">
        <v>472</v>
      </c>
      <c r="M215" s="655">
        <v>111</v>
      </c>
      <c r="N215" s="655">
        <v>0</v>
      </c>
      <c r="O215" s="655">
        <v>412</v>
      </c>
      <c r="P215" s="655">
        <v>0</v>
      </c>
      <c r="Q215" s="655">
        <v>0</v>
      </c>
      <c r="R215" s="655">
        <v>0</v>
      </c>
      <c r="S215" s="655">
        <v>1056</v>
      </c>
      <c r="T215" s="600">
        <v>0.65712507778469198</v>
      </c>
      <c r="U215" s="599">
        <v>551</v>
      </c>
      <c r="V215" s="599">
        <v>0</v>
      </c>
      <c r="W215" s="599">
        <v>0.79999999999995453</v>
      </c>
      <c r="X215" s="599">
        <v>0.79999999999995453</v>
      </c>
      <c r="Y215" s="599">
        <v>550.20000000000005</v>
      </c>
      <c r="Z215" s="599">
        <v>0</v>
      </c>
    </row>
    <row r="216" spans="1:26" x14ac:dyDescent="0.2">
      <c r="A216" s="602" t="s">
        <v>442</v>
      </c>
      <c r="B216" s="665">
        <v>1480</v>
      </c>
      <c r="C216" s="665">
        <v>0</v>
      </c>
      <c r="D216" s="665">
        <v>0</v>
      </c>
      <c r="E216" s="665">
        <v>0</v>
      </c>
      <c r="F216" s="665">
        <v>0</v>
      </c>
      <c r="G216" s="665">
        <v>0</v>
      </c>
      <c r="H216" s="665">
        <v>0</v>
      </c>
      <c r="I216" s="665">
        <v>0</v>
      </c>
      <c r="J216" s="665">
        <v>0</v>
      </c>
      <c r="K216" s="665">
        <v>0</v>
      </c>
      <c r="L216" s="665">
        <v>0</v>
      </c>
      <c r="M216" s="665">
        <v>0</v>
      </c>
      <c r="N216" s="665">
        <v>0</v>
      </c>
      <c r="O216" s="665">
        <v>0</v>
      </c>
      <c r="P216" s="665">
        <v>0</v>
      </c>
      <c r="Q216" s="665">
        <v>0</v>
      </c>
      <c r="R216" s="665">
        <v>0</v>
      </c>
      <c r="S216" s="665">
        <v>0</v>
      </c>
      <c r="T216" s="604" t="e">
        <v>#DIV/0!</v>
      </c>
      <c r="U216" s="603">
        <v>0</v>
      </c>
      <c r="V216" s="603">
        <v>0</v>
      </c>
      <c r="W216" s="603">
        <v>0</v>
      </c>
      <c r="X216" s="603">
        <v>0</v>
      </c>
      <c r="Y216" s="603">
        <v>0</v>
      </c>
      <c r="Z216" s="603">
        <v>0</v>
      </c>
    </row>
    <row r="217" spans="1:26" x14ac:dyDescent="0.2">
      <c r="A217" s="602" t="s">
        <v>443</v>
      </c>
      <c r="B217" s="665">
        <v>1080</v>
      </c>
      <c r="C217" s="665">
        <v>1080</v>
      </c>
      <c r="D217" s="665">
        <v>1080</v>
      </c>
      <c r="E217" s="665">
        <v>1080</v>
      </c>
      <c r="F217" s="665">
        <v>840</v>
      </c>
      <c r="G217" s="665">
        <v>0</v>
      </c>
      <c r="H217" s="665">
        <v>0</v>
      </c>
      <c r="I217" s="665">
        <v>0</v>
      </c>
      <c r="J217" s="665">
        <v>0</v>
      </c>
      <c r="K217" s="665">
        <v>0</v>
      </c>
      <c r="L217" s="665">
        <v>450</v>
      </c>
      <c r="M217" s="665">
        <v>0</v>
      </c>
      <c r="N217" s="665">
        <v>0</v>
      </c>
      <c r="O217" s="665">
        <v>390</v>
      </c>
      <c r="P217" s="665">
        <v>0</v>
      </c>
      <c r="Q217" s="665">
        <v>0</v>
      </c>
      <c r="R217" s="665">
        <v>0</v>
      </c>
      <c r="S217" s="665">
        <v>840</v>
      </c>
      <c r="T217" s="604">
        <v>0.77777777777777779</v>
      </c>
      <c r="U217" s="603">
        <v>240</v>
      </c>
      <c r="V217" s="603">
        <v>0</v>
      </c>
      <c r="W217" s="603">
        <v>0</v>
      </c>
      <c r="X217" s="603">
        <v>0</v>
      </c>
      <c r="Y217" s="603">
        <v>240</v>
      </c>
      <c r="Z217" s="603">
        <v>0</v>
      </c>
    </row>
    <row r="218" spans="1:26" x14ac:dyDescent="0.2">
      <c r="A218" s="602" t="s">
        <v>444</v>
      </c>
      <c r="B218" s="665">
        <v>527</v>
      </c>
      <c r="C218" s="665">
        <v>527</v>
      </c>
      <c r="D218" s="665">
        <v>527</v>
      </c>
      <c r="E218" s="665">
        <v>526.20000000000005</v>
      </c>
      <c r="F218" s="665">
        <v>216</v>
      </c>
      <c r="G218" s="665">
        <v>0</v>
      </c>
      <c r="H218" s="665">
        <v>0</v>
      </c>
      <c r="I218" s="665">
        <v>0</v>
      </c>
      <c r="J218" s="665">
        <v>61</v>
      </c>
      <c r="K218" s="665">
        <v>0</v>
      </c>
      <c r="L218" s="665">
        <v>22</v>
      </c>
      <c r="M218" s="665">
        <v>111</v>
      </c>
      <c r="N218" s="665">
        <v>0</v>
      </c>
      <c r="O218" s="665">
        <v>22</v>
      </c>
      <c r="P218" s="665">
        <v>0</v>
      </c>
      <c r="Q218" s="665">
        <v>0</v>
      </c>
      <c r="R218" s="665">
        <v>0</v>
      </c>
      <c r="S218" s="665">
        <v>216</v>
      </c>
      <c r="T218" s="604">
        <v>0.40986717267552181</v>
      </c>
      <c r="U218" s="603">
        <v>311</v>
      </c>
      <c r="V218" s="603">
        <v>0</v>
      </c>
      <c r="W218" s="603">
        <v>0.79999999999995453</v>
      </c>
      <c r="X218" s="603">
        <v>0.79999999999995453</v>
      </c>
      <c r="Y218" s="603">
        <v>310.20000000000005</v>
      </c>
      <c r="Z218" s="603">
        <v>0</v>
      </c>
    </row>
    <row r="219" spans="1:26" x14ac:dyDescent="0.2">
      <c r="A219" s="602" t="s">
        <v>445</v>
      </c>
      <c r="B219" s="665">
        <v>0</v>
      </c>
      <c r="C219" s="665">
        <v>0</v>
      </c>
      <c r="D219" s="665">
        <v>0</v>
      </c>
      <c r="E219" s="665">
        <v>0</v>
      </c>
      <c r="F219" s="665">
        <v>0</v>
      </c>
      <c r="G219" s="665">
        <v>0</v>
      </c>
      <c r="H219" s="665">
        <v>0</v>
      </c>
      <c r="I219" s="665">
        <v>0</v>
      </c>
      <c r="J219" s="665">
        <v>0</v>
      </c>
      <c r="K219" s="665">
        <v>0</v>
      </c>
      <c r="L219" s="665">
        <v>0</v>
      </c>
      <c r="M219" s="665">
        <v>0</v>
      </c>
      <c r="N219" s="665">
        <v>0</v>
      </c>
      <c r="O219" s="665">
        <v>0</v>
      </c>
      <c r="P219" s="665">
        <v>0</v>
      </c>
      <c r="Q219" s="665">
        <v>0</v>
      </c>
      <c r="R219" s="665">
        <v>0</v>
      </c>
      <c r="S219" s="665">
        <v>0</v>
      </c>
      <c r="T219" s="604" t="e">
        <v>#DIV/0!</v>
      </c>
      <c r="U219" s="603">
        <v>0</v>
      </c>
      <c r="V219" s="603">
        <v>0</v>
      </c>
      <c r="W219" s="603">
        <v>0</v>
      </c>
      <c r="X219" s="603">
        <v>0</v>
      </c>
      <c r="Y219" s="603">
        <v>0</v>
      </c>
      <c r="Z219" s="603">
        <v>0</v>
      </c>
    </row>
    <row r="220" spans="1:26" x14ac:dyDescent="0.2">
      <c r="A220" s="597" t="s">
        <v>446</v>
      </c>
      <c r="B220" s="685">
        <v>0</v>
      </c>
      <c r="C220" s="685">
        <v>0</v>
      </c>
      <c r="D220" s="685">
        <v>0</v>
      </c>
      <c r="E220" s="685">
        <v>0</v>
      </c>
      <c r="F220" s="685">
        <v>0</v>
      </c>
      <c r="G220" s="685">
        <v>0</v>
      </c>
      <c r="H220" s="685">
        <v>0</v>
      </c>
      <c r="I220" s="685">
        <v>0</v>
      </c>
      <c r="J220" s="685">
        <v>0</v>
      </c>
      <c r="K220" s="685">
        <v>0</v>
      </c>
      <c r="L220" s="685">
        <v>0</v>
      </c>
      <c r="M220" s="685">
        <v>0</v>
      </c>
      <c r="N220" s="685">
        <v>0</v>
      </c>
      <c r="O220" s="685">
        <v>0</v>
      </c>
      <c r="P220" s="685">
        <v>0</v>
      </c>
      <c r="Q220" s="685">
        <v>0</v>
      </c>
      <c r="R220" s="685">
        <v>0</v>
      </c>
      <c r="S220" s="685">
        <v>0</v>
      </c>
      <c r="T220" s="600" t="e">
        <v>#DIV/0!</v>
      </c>
      <c r="U220" s="599">
        <v>0</v>
      </c>
      <c r="V220" s="599">
        <v>0</v>
      </c>
      <c r="W220" s="599">
        <v>0</v>
      </c>
      <c r="X220" s="599">
        <v>0</v>
      </c>
      <c r="Y220" s="599">
        <v>0</v>
      </c>
      <c r="Z220" s="599">
        <v>0</v>
      </c>
    </row>
    <row r="221" spans="1:26" x14ac:dyDescent="0.2">
      <c r="A221" s="597" t="s">
        <v>447</v>
      </c>
      <c r="B221" s="685">
        <v>0</v>
      </c>
      <c r="C221" s="685">
        <v>0</v>
      </c>
      <c r="D221" s="685">
        <v>0</v>
      </c>
      <c r="E221" s="685">
        <v>0</v>
      </c>
      <c r="F221" s="685">
        <v>0</v>
      </c>
      <c r="G221" s="685">
        <v>0</v>
      </c>
      <c r="H221" s="685">
        <v>0</v>
      </c>
      <c r="I221" s="685">
        <v>0</v>
      </c>
      <c r="J221" s="685">
        <v>0</v>
      </c>
      <c r="K221" s="685">
        <v>0</v>
      </c>
      <c r="L221" s="685">
        <v>0</v>
      </c>
      <c r="M221" s="685">
        <v>0</v>
      </c>
      <c r="N221" s="685">
        <v>0</v>
      </c>
      <c r="O221" s="685">
        <v>0</v>
      </c>
      <c r="P221" s="685">
        <v>0</v>
      </c>
      <c r="Q221" s="685">
        <v>0</v>
      </c>
      <c r="R221" s="685">
        <v>0</v>
      </c>
      <c r="S221" s="685">
        <v>0</v>
      </c>
      <c r="T221" s="600" t="e">
        <v>#DIV/0!</v>
      </c>
      <c r="U221" s="599">
        <v>0</v>
      </c>
      <c r="V221" s="599">
        <v>0</v>
      </c>
      <c r="W221" s="599">
        <v>0</v>
      </c>
      <c r="X221" s="599">
        <v>0</v>
      </c>
      <c r="Y221" s="599">
        <v>0</v>
      </c>
      <c r="Z221" s="599">
        <v>0</v>
      </c>
    </row>
    <row r="222" spans="1:26" x14ac:dyDescent="0.2">
      <c r="A222" s="597" t="s">
        <v>448</v>
      </c>
      <c r="B222" s="685">
        <v>0</v>
      </c>
      <c r="C222" s="685">
        <v>0</v>
      </c>
      <c r="D222" s="685">
        <v>0</v>
      </c>
      <c r="E222" s="685">
        <v>0</v>
      </c>
      <c r="F222" s="685">
        <v>0</v>
      </c>
      <c r="G222" s="685">
        <v>0</v>
      </c>
      <c r="H222" s="685">
        <v>0</v>
      </c>
      <c r="I222" s="685">
        <v>0</v>
      </c>
      <c r="J222" s="685">
        <v>0</v>
      </c>
      <c r="K222" s="685">
        <v>0</v>
      </c>
      <c r="L222" s="685">
        <v>0</v>
      </c>
      <c r="M222" s="685">
        <v>0</v>
      </c>
      <c r="N222" s="685">
        <v>0</v>
      </c>
      <c r="O222" s="685">
        <v>0</v>
      </c>
      <c r="P222" s="685">
        <v>0</v>
      </c>
      <c r="Q222" s="685">
        <v>0</v>
      </c>
      <c r="R222" s="685">
        <v>0</v>
      </c>
      <c r="S222" s="685">
        <v>0</v>
      </c>
      <c r="T222" s="600" t="e">
        <v>#DIV/0!</v>
      </c>
      <c r="U222" s="599">
        <v>0</v>
      </c>
      <c r="V222" s="599">
        <v>0</v>
      </c>
      <c r="W222" s="599">
        <v>0</v>
      </c>
      <c r="X222" s="599">
        <v>0</v>
      </c>
      <c r="Y222" s="599">
        <v>0</v>
      </c>
      <c r="Z222" s="599">
        <v>0</v>
      </c>
    </row>
    <row r="223" spans="1:26" x14ac:dyDescent="0.2">
      <c r="A223" s="597" t="s">
        <v>449</v>
      </c>
      <c r="B223" s="685">
        <v>8919</v>
      </c>
      <c r="C223" s="685">
        <v>9430</v>
      </c>
      <c r="D223" s="685">
        <v>0</v>
      </c>
      <c r="E223" s="685">
        <v>0</v>
      </c>
      <c r="F223" s="685">
        <v>0</v>
      </c>
      <c r="G223" s="685">
        <v>0</v>
      </c>
      <c r="H223" s="685">
        <v>0</v>
      </c>
      <c r="I223" s="685">
        <v>0</v>
      </c>
      <c r="J223" s="685">
        <v>0</v>
      </c>
      <c r="K223" s="685">
        <v>0</v>
      </c>
      <c r="L223" s="685">
        <v>0</v>
      </c>
      <c r="M223" s="685">
        <v>0</v>
      </c>
      <c r="N223" s="685">
        <v>0</v>
      </c>
      <c r="O223" s="685">
        <v>0</v>
      </c>
      <c r="P223" s="685">
        <v>0</v>
      </c>
      <c r="Q223" s="685">
        <v>0</v>
      </c>
      <c r="R223" s="685">
        <v>0</v>
      </c>
      <c r="S223" s="685">
        <v>0</v>
      </c>
      <c r="T223" s="600">
        <v>0</v>
      </c>
      <c r="U223" s="599">
        <v>9430</v>
      </c>
      <c r="V223" s="599">
        <v>9430</v>
      </c>
      <c r="W223" s="599">
        <v>9430</v>
      </c>
      <c r="X223" s="599">
        <v>0</v>
      </c>
      <c r="Y223" s="599">
        <v>0</v>
      </c>
      <c r="Z223" s="599">
        <v>0</v>
      </c>
    </row>
    <row r="224" spans="1:26" x14ac:dyDescent="0.2">
      <c r="A224" s="597" t="s">
        <v>450</v>
      </c>
      <c r="B224" s="655">
        <v>2700</v>
      </c>
      <c r="C224" s="655">
        <v>0</v>
      </c>
      <c r="D224" s="655">
        <v>0</v>
      </c>
      <c r="E224" s="655">
        <v>0</v>
      </c>
      <c r="F224" s="655">
        <v>0</v>
      </c>
      <c r="G224" s="655">
        <v>0</v>
      </c>
      <c r="H224" s="655">
        <v>0</v>
      </c>
      <c r="I224" s="655">
        <v>0</v>
      </c>
      <c r="J224" s="655">
        <v>0</v>
      </c>
      <c r="K224" s="655">
        <v>0</v>
      </c>
      <c r="L224" s="655">
        <v>0</v>
      </c>
      <c r="M224" s="655">
        <v>0</v>
      </c>
      <c r="N224" s="655">
        <v>0</v>
      </c>
      <c r="O224" s="655">
        <v>0</v>
      </c>
      <c r="P224" s="655">
        <v>0</v>
      </c>
      <c r="Q224" s="655">
        <v>0</v>
      </c>
      <c r="R224" s="655">
        <v>0</v>
      </c>
      <c r="S224" s="655">
        <v>0</v>
      </c>
      <c r="T224" s="600" t="e">
        <v>#DIV/0!</v>
      </c>
      <c r="U224" s="599">
        <v>0</v>
      </c>
      <c r="V224" s="599">
        <v>0</v>
      </c>
      <c r="W224" s="599">
        <v>0</v>
      </c>
      <c r="X224" s="599">
        <v>0</v>
      </c>
      <c r="Y224" s="599">
        <v>0</v>
      </c>
      <c r="Z224" s="599">
        <v>0</v>
      </c>
    </row>
    <row r="225" spans="1:26" x14ac:dyDescent="0.2">
      <c r="A225" s="602" t="s">
        <v>451</v>
      </c>
      <c r="B225" s="665">
        <v>0</v>
      </c>
      <c r="C225" s="665">
        <v>0</v>
      </c>
      <c r="D225" s="665">
        <v>0</v>
      </c>
      <c r="E225" s="665">
        <v>0</v>
      </c>
      <c r="F225" s="665">
        <v>0</v>
      </c>
      <c r="G225" s="665">
        <v>0</v>
      </c>
      <c r="H225" s="665">
        <v>0</v>
      </c>
      <c r="I225" s="665">
        <v>0</v>
      </c>
      <c r="J225" s="665">
        <v>0</v>
      </c>
      <c r="K225" s="665">
        <v>0</v>
      </c>
      <c r="L225" s="665">
        <v>0</v>
      </c>
      <c r="M225" s="665">
        <v>0</v>
      </c>
      <c r="N225" s="665">
        <v>0</v>
      </c>
      <c r="O225" s="665">
        <v>0</v>
      </c>
      <c r="P225" s="665">
        <v>0</v>
      </c>
      <c r="Q225" s="665">
        <v>0</v>
      </c>
      <c r="R225" s="665">
        <v>0</v>
      </c>
      <c r="S225" s="665">
        <v>0</v>
      </c>
      <c r="T225" s="604" t="e">
        <v>#DIV/0!</v>
      </c>
      <c r="U225" s="603">
        <v>0</v>
      </c>
      <c r="V225" s="603">
        <v>0</v>
      </c>
      <c r="W225" s="603">
        <v>0</v>
      </c>
      <c r="X225" s="603">
        <v>0</v>
      </c>
      <c r="Y225" s="603">
        <v>0</v>
      </c>
      <c r="Z225" s="603">
        <v>0</v>
      </c>
    </row>
    <row r="226" spans="1:26" x14ac:dyDescent="0.2">
      <c r="A226" s="602" t="s">
        <v>452</v>
      </c>
      <c r="B226" s="665">
        <v>2700</v>
      </c>
      <c r="C226" s="665">
        <v>0</v>
      </c>
      <c r="D226" s="665">
        <v>0</v>
      </c>
      <c r="E226" s="665">
        <v>0</v>
      </c>
      <c r="F226" s="665">
        <v>0</v>
      </c>
      <c r="G226" s="665">
        <v>0</v>
      </c>
      <c r="H226" s="665">
        <v>0</v>
      </c>
      <c r="I226" s="665">
        <v>0</v>
      </c>
      <c r="J226" s="665">
        <v>0</v>
      </c>
      <c r="K226" s="665">
        <v>0</v>
      </c>
      <c r="L226" s="665">
        <v>0</v>
      </c>
      <c r="M226" s="665">
        <v>0</v>
      </c>
      <c r="N226" s="665">
        <v>0</v>
      </c>
      <c r="O226" s="665">
        <v>0</v>
      </c>
      <c r="P226" s="665">
        <v>0</v>
      </c>
      <c r="Q226" s="665">
        <v>0</v>
      </c>
      <c r="R226" s="665">
        <v>0</v>
      </c>
      <c r="S226" s="665">
        <v>0</v>
      </c>
      <c r="T226" s="604" t="e">
        <v>#DIV/0!</v>
      </c>
      <c r="U226" s="603">
        <v>0</v>
      </c>
      <c r="V226" s="603">
        <v>0</v>
      </c>
      <c r="W226" s="603">
        <v>0</v>
      </c>
      <c r="X226" s="603">
        <v>0</v>
      </c>
      <c r="Y226" s="603">
        <v>0</v>
      </c>
      <c r="Z226" s="603">
        <v>0</v>
      </c>
    </row>
    <row r="227" spans="1:26" x14ac:dyDescent="0.2">
      <c r="A227" s="602" t="s">
        <v>453</v>
      </c>
      <c r="B227" s="665">
        <v>0</v>
      </c>
      <c r="C227" s="665">
        <v>0</v>
      </c>
      <c r="D227" s="665">
        <v>0</v>
      </c>
      <c r="E227" s="665">
        <v>0</v>
      </c>
      <c r="F227" s="665">
        <v>0</v>
      </c>
      <c r="G227" s="665">
        <v>0</v>
      </c>
      <c r="H227" s="665">
        <v>0</v>
      </c>
      <c r="I227" s="665">
        <v>0</v>
      </c>
      <c r="J227" s="665">
        <v>0</v>
      </c>
      <c r="K227" s="665">
        <v>0</v>
      </c>
      <c r="L227" s="665">
        <v>0</v>
      </c>
      <c r="M227" s="665">
        <v>0</v>
      </c>
      <c r="N227" s="665">
        <v>0</v>
      </c>
      <c r="O227" s="665">
        <v>0</v>
      </c>
      <c r="P227" s="665">
        <v>0</v>
      </c>
      <c r="Q227" s="665">
        <v>0</v>
      </c>
      <c r="R227" s="665">
        <v>0</v>
      </c>
      <c r="S227" s="665">
        <v>0</v>
      </c>
      <c r="T227" s="604" t="e">
        <v>#DIV/0!</v>
      </c>
      <c r="U227" s="603">
        <v>0</v>
      </c>
      <c r="V227" s="603">
        <v>0</v>
      </c>
      <c r="W227" s="603">
        <v>0</v>
      </c>
      <c r="X227" s="603">
        <v>0</v>
      </c>
      <c r="Y227" s="603">
        <v>0</v>
      </c>
      <c r="Z227" s="603">
        <v>0</v>
      </c>
    </row>
    <row r="228" spans="1:26" x14ac:dyDescent="0.2">
      <c r="A228" s="602" t="s">
        <v>454</v>
      </c>
      <c r="B228" s="665">
        <v>0</v>
      </c>
      <c r="C228" s="665">
        <v>0</v>
      </c>
      <c r="D228" s="665">
        <v>0</v>
      </c>
      <c r="E228" s="665">
        <v>0</v>
      </c>
      <c r="F228" s="665">
        <v>0</v>
      </c>
      <c r="G228" s="665">
        <v>0</v>
      </c>
      <c r="H228" s="665">
        <v>0</v>
      </c>
      <c r="I228" s="665">
        <v>0</v>
      </c>
      <c r="J228" s="665">
        <v>0</v>
      </c>
      <c r="K228" s="665">
        <v>0</v>
      </c>
      <c r="L228" s="665">
        <v>0</v>
      </c>
      <c r="M228" s="665">
        <v>0</v>
      </c>
      <c r="N228" s="665">
        <v>0</v>
      </c>
      <c r="O228" s="665">
        <v>0</v>
      </c>
      <c r="P228" s="665">
        <v>0</v>
      </c>
      <c r="Q228" s="665">
        <v>0</v>
      </c>
      <c r="R228" s="665">
        <v>0</v>
      </c>
      <c r="S228" s="665">
        <v>0</v>
      </c>
      <c r="T228" s="604" t="e">
        <v>#DIV/0!</v>
      </c>
      <c r="U228" s="603">
        <v>0</v>
      </c>
      <c r="V228" s="603">
        <v>0</v>
      </c>
      <c r="W228" s="603">
        <v>0</v>
      </c>
      <c r="X228" s="603">
        <v>0</v>
      </c>
      <c r="Y228" s="603">
        <v>0</v>
      </c>
      <c r="Z228" s="603">
        <v>0</v>
      </c>
    </row>
    <row r="229" spans="1:26" x14ac:dyDescent="0.2">
      <c r="A229" s="602" t="s">
        <v>455</v>
      </c>
      <c r="B229" s="665">
        <v>0</v>
      </c>
      <c r="C229" s="665">
        <v>0</v>
      </c>
      <c r="D229" s="665">
        <v>0</v>
      </c>
      <c r="E229" s="665">
        <v>0</v>
      </c>
      <c r="F229" s="665">
        <v>0</v>
      </c>
      <c r="G229" s="665">
        <v>0</v>
      </c>
      <c r="H229" s="665">
        <v>0</v>
      </c>
      <c r="I229" s="665">
        <v>0</v>
      </c>
      <c r="J229" s="665">
        <v>0</v>
      </c>
      <c r="K229" s="665">
        <v>0</v>
      </c>
      <c r="L229" s="665">
        <v>0</v>
      </c>
      <c r="M229" s="665">
        <v>0</v>
      </c>
      <c r="N229" s="665">
        <v>0</v>
      </c>
      <c r="O229" s="665">
        <v>0</v>
      </c>
      <c r="P229" s="665">
        <v>0</v>
      </c>
      <c r="Q229" s="665">
        <v>0</v>
      </c>
      <c r="R229" s="665">
        <v>0</v>
      </c>
      <c r="S229" s="665">
        <v>0</v>
      </c>
      <c r="T229" s="604" t="e">
        <v>#DIV/0!</v>
      </c>
      <c r="U229" s="603">
        <v>0</v>
      </c>
      <c r="V229" s="603">
        <v>0</v>
      </c>
      <c r="W229" s="603">
        <v>0</v>
      </c>
      <c r="X229" s="603">
        <v>0</v>
      </c>
      <c r="Y229" s="603">
        <v>0</v>
      </c>
      <c r="Z229" s="603">
        <v>0</v>
      </c>
    </row>
    <row r="230" spans="1:26" x14ac:dyDescent="0.2">
      <c r="A230" s="597" t="s">
        <v>456</v>
      </c>
      <c r="B230" s="655">
        <v>1484</v>
      </c>
      <c r="C230" s="655">
        <v>965</v>
      </c>
      <c r="D230" s="655">
        <v>0</v>
      </c>
      <c r="E230" s="655">
        <v>0</v>
      </c>
      <c r="F230" s="655">
        <v>0</v>
      </c>
      <c r="G230" s="655">
        <v>0</v>
      </c>
      <c r="H230" s="655">
        <v>0</v>
      </c>
      <c r="I230" s="655">
        <v>0</v>
      </c>
      <c r="J230" s="655">
        <v>0</v>
      </c>
      <c r="K230" s="655">
        <v>0</v>
      </c>
      <c r="L230" s="655">
        <v>0</v>
      </c>
      <c r="M230" s="655">
        <v>0</v>
      </c>
      <c r="N230" s="655">
        <v>0</v>
      </c>
      <c r="O230" s="655">
        <v>0</v>
      </c>
      <c r="P230" s="655">
        <v>0</v>
      </c>
      <c r="Q230" s="655">
        <v>0</v>
      </c>
      <c r="R230" s="655">
        <v>0</v>
      </c>
      <c r="S230" s="655">
        <v>0</v>
      </c>
      <c r="T230" s="600">
        <v>0</v>
      </c>
      <c r="U230" s="599">
        <v>965</v>
      </c>
      <c r="V230" s="599">
        <v>965</v>
      </c>
      <c r="W230" s="599">
        <v>965</v>
      </c>
      <c r="X230" s="599">
        <v>0</v>
      </c>
      <c r="Y230" s="599">
        <v>0</v>
      </c>
      <c r="Z230" s="599">
        <v>0</v>
      </c>
    </row>
    <row r="231" spans="1:26" x14ac:dyDescent="0.2">
      <c r="A231" s="602" t="s">
        <v>457</v>
      </c>
      <c r="B231" s="665">
        <v>0</v>
      </c>
      <c r="C231" s="665">
        <v>0</v>
      </c>
      <c r="D231" s="665">
        <v>0</v>
      </c>
      <c r="E231" s="665">
        <v>0</v>
      </c>
      <c r="F231" s="665">
        <v>0</v>
      </c>
      <c r="G231" s="665">
        <v>0</v>
      </c>
      <c r="H231" s="665">
        <v>0</v>
      </c>
      <c r="I231" s="665">
        <v>0</v>
      </c>
      <c r="J231" s="665">
        <v>0</v>
      </c>
      <c r="K231" s="665">
        <v>0</v>
      </c>
      <c r="L231" s="665">
        <v>0</v>
      </c>
      <c r="M231" s="665">
        <v>0</v>
      </c>
      <c r="N231" s="665">
        <v>0</v>
      </c>
      <c r="O231" s="665">
        <v>0</v>
      </c>
      <c r="P231" s="665">
        <v>0</v>
      </c>
      <c r="Q231" s="665">
        <v>0</v>
      </c>
      <c r="R231" s="665">
        <v>0</v>
      </c>
      <c r="S231" s="665">
        <v>0</v>
      </c>
      <c r="T231" s="604" t="e">
        <v>#DIV/0!</v>
      </c>
      <c r="U231" s="603">
        <v>0</v>
      </c>
      <c r="V231" s="603">
        <v>0</v>
      </c>
      <c r="W231" s="603">
        <v>0</v>
      </c>
      <c r="X231" s="603">
        <v>0</v>
      </c>
      <c r="Y231" s="603">
        <v>0</v>
      </c>
      <c r="Z231" s="603">
        <v>0</v>
      </c>
    </row>
    <row r="232" spans="1:26" x14ac:dyDescent="0.2">
      <c r="A232" s="602" t="s">
        <v>458</v>
      </c>
      <c r="B232" s="665">
        <v>1484</v>
      </c>
      <c r="C232" s="665">
        <v>965</v>
      </c>
      <c r="D232" s="665">
        <v>0</v>
      </c>
      <c r="E232" s="665">
        <v>0</v>
      </c>
      <c r="F232" s="665">
        <v>0</v>
      </c>
      <c r="G232" s="665">
        <v>0</v>
      </c>
      <c r="H232" s="665">
        <v>0</v>
      </c>
      <c r="I232" s="665">
        <v>0</v>
      </c>
      <c r="J232" s="665">
        <v>0</v>
      </c>
      <c r="K232" s="665">
        <v>0</v>
      </c>
      <c r="L232" s="665">
        <v>0</v>
      </c>
      <c r="M232" s="665">
        <v>0</v>
      </c>
      <c r="N232" s="665">
        <v>0</v>
      </c>
      <c r="O232" s="665">
        <v>0</v>
      </c>
      <c r="P232" s="665">
        <v>0</v>
      </c>
      <c r="Q232" s="665">
        <v>0</v>
      </c>
      <c r="R232" s="665">
        <v>0</v>
      </c>
      <c r="S232" s="665">
        <v>0</v>
      </c>
      <c r="T232" s="604">
        <v>0</v>
      </c>
      <c r="U232" s="603">
        <v>965</v>
      </c>
      <c r="V232" s="603">
        <v>965</v>
      </c>
      <c r="W232" s="603">
        <v>965</v>
      </c>
      <c r="X232" s="603">
        <v>0</v>
      </c>
      <c r="Y232" s="603">
        <v>0</v>
      </c>
      <c r="Z232" s="603">
        <v>0</v>
      </c>
    </row>
    <row r="233" spans="1:26" x14ac:dyDescent="0.2">
      <c r="A233" s="602" t="s">
        <v>459</v>
      </c>
      <c r="B233" s="665">
        <v>0</v>
      </c>
      <c r="C233" s="665">
        <v>0</v>
      </c>
      <c r="D233" s="665">
        <v>0</v>
      </c>
      <c r="E233" s="665">
        <v>0</v>
      </c>
      <c r="F233" s="665">
        <v>0</v>
      </c>
      <c r="G233" s="665">
        <v>0</v>
      </c>
      <c r="H233" s="665">
        <v>0</v>
      </c>
      <c r="I233" s="665">
        <v>0</v>
      </c>
      <c r="J233" s="665">
        <v>0</v>
      </c>
      <c r="K233" s="665">
        <v>0</v>
      </c>
      <c r="L233" s="665">
        <v>0</v>
      </c>
      <c r="M233" s="665">
        <v>0</v>
      </c>
      <c r="N233" s="665">
        <v>0</v>
      </c>
      <c r="O233" s="665">
        <v>0</v>
      </c>
      <c r="P233" s="665">
        <v>0</v>
      </c>
      <c r="Q233" s="665">
        <v>0</v>
      </c>
      <c r="R233" s="665">
        <v>0</v>
      </c>
      <c r="S233" s="665">
        <v>0</v>
      </c>
      <c r="T233" s="604" t="e">
        <v>#DIV/0!</v>
      </c>
      <c r="U233" s="603">
        <v>0</v>
      </c>
      <c r="V233" s="603">
        <v>0</v>
      </c>
      <c r="W233" s="603">
        <v>0</v>
      </c>
      <c r="X233" s="603">
        <v>0</v>
      </c>
      <c r="Y233" s="603">
        <v>0</v>
      </c>
      <c r="Z233" s="603">
        <v>0</v>
      </c>
    </row>
    <row r="234" spans="1:26" x14ac:dyDescent="0.2">
      <c r="A234" s="602" t="s">
        <v>460</v>
      </c>
      <c r="B234" s="665">
        <v>0</v>
      </c>
      <c r="C234" s="665">
        <v>0</v>
      </c>
      <c r="D234" s="665">
        <v>0</v>
      </c>
      <c r="E234" s="665">
        <v>0</v>
      </c>
      <c r="F234" s="665">
        <v>0</v>
      </c>
      <c r="G234" s="665">
        <v>0</v>
      </c>
      <c r="H234" s="665">
        <v>0</v>
      </c>
      <c r="I234" s="665">
        <v>0</v>
      </c>
      <c r="J234" s="665">
        <v>0</v>
      </c>
      <c r="K234" s="665">
        <v>0</v>
      </c>
      <c r="L234" s="665">
        <v>0</v>
      </c>
      <c r="M234" s="665">
        <v>0</v>
      </c>
      <c r="N234" s="665">
        <v>0</v>
      </c>
      <c r="O234" s="665">
        <v>0</v>
      </c>
      <c r="P234" s="665">
        <v>0</v>
      </c>
      <c r="Q234" s="665">
        <v>0</v>
      </c>
      <c r="R234" s="665">
        <v>0</v>
      </c>
      <c r="S234" s="665">
        <v>0</v>
      </c>
      <c r="T234" s="604" t="e">
        <v>#DIV/0!</v>
      </c>
      <c r="U234" s="603">
        <v>0</v>
      </c>
      <c r="V234" s="603">
        <v>0</v>
      </c>
      <c r="W234" s="603">
        <v>0</v>
      </c>
      <c r="X234" s="603">
        <v>0</v>
      </c>
      <c r="Y234" s="603">
        <v>0</v>
      </c>
      <c r="Z234" s="603">
        <v>0</v>
      </c>
    </row>
    <row r="235" spans="1:26" x14ac:dyDescent="0.2">
      <c r="A235" s="602" t="s">
        <v>461</v>
      </c>
      <c r="B235" s="665">
        <v>0</v>
      </c>
      <c r="C235" s="665">
        <v>0</v>
      </c>
      <c r="D235" s="665">
        <v>0</v>
      </c>
      <c r="E235" s="665">
        <v>0</v>
      </c>
      <c r="F235" s="665">
        <v>0</v>
      </c>
      <c r="G235" s="665">
        <v>0</v>
      </c>
      <c r="H235" s="665">
        <v>0</v>
      </c>
      <c r="I235" s="665">
        <v>0</v>
      </c>
      <c r="J235" s="665">
        <v>0</v>
      </c>
      <c r="K235" s="665">
        <v>0</v>
      </c>
      <c r="L235" s="665">
        <v>0</v>
      </c>
      <c r="M235" s="665">
        <v>0</v>
      </c>
      <c r="N235" s="665">
        <v>0</v>
      </c>
      <c r="O235" s="665">
        <v>0</v>
      </c>
      <c r="P235" s="665">
        <v>0</v>
      </c>
      <c r="Q235" s="665">
        <v>0</v>
      </c>
      <c r="R235" s="665">
        <v>0</v>
      </c>
      <c r="S235" s="665">
        <v>0</v>
      </c>
      <c r="T235" s="604" t="e">
        <v>#DIV/0!</v>
      </c>
      <c r="U235" s="603">
        <v>0</v>
      </c>
      <c r="V235" s="603">
        <v>0</v>
      </c>
      <c r="W235" s="603">
        <v>0</v>
      </c>
      <c r="X235" s="603">
        <v>0</v>
      </c>
      <c r="Y235" s="603">
        <v>0</v>
      </c>
      <c r="Z235" s="603">
        <v>0</v>
      </c>
    </row>
    <row r="236" spans="1:26" x14ac:dyDescent="0.2">
      <c r="A236" s="602" t="s">
        <v>462</v>
      </c>
      <c r="B236" s="665">
        <v>0</v>
      </c>
      <c r="C236" s="665">
        <v>0</v>
      </c>
      <c r="D236" s="665">
        <v>0</v>
      </c>
      <c r="E236" s="665">
        <v>0</v>
      </c>
      <c r="F236" s="665">
        <v>0</v>
      </c>
      <c r="G236" s="665">
        <v>0</v>
      </c>
      <c r="H236" s="665">
        <v>0</v>
      </c>
      <c r="I236" s="665">
        <v>0</v>
      </c>
      <c r="J236" s="665">
        <v>0</v>
      </c>
      <c r="K236" s="665">
        <v>0</v>
      </c>
      <c r="L236" s="665">
        <v>0</v>
      </c>
      <c r="M236" s="665">
        <v>0</v>
      </c>
      <c r="N236" s="665">
        <v>0</v>
      </c>
      <c r="O236" s="665">
        <v>0</v>
      </c>
      <c r="P236" s="665">
        <v>0</v>
      </c>
      <c r="Q236" s="665">
        <v>0</v>
      </c>
      <c r="R236" s="665">
        <v>0</v>
      </c>
      <c r="S236" s="665">
        <v>0</v>
      </c>
      <c r="T236" s="604" t="e">
        <v>#DIV/0!</v>
      </c>
      <c r="U236" s="603">
        <v>0</v>
      </c>
      <c r="V236" s="603">
        <v>0</v>
      </c>
      <c r="W236" s="603">
        <v>0</v>
      </c>
      <c r="X236" s="603">
        <v>0</v>
      </c>
      <c r="Y236" s="603">
        <v>0</v>
      </c>
      <c r="Z236" s="603">
        <v>0</v>
      </c>
    </row>
    <row r="237" spans="1:26" x14ac:dyDescent="0.2">
      <c r="A237" s="597" t="s">
        <v>463</v>
      </c>
      <c r="B237" s="655">
        <v>0</v>
      </c>
      <c r="C237" s="655">
        <v>0</v>
      </c>
      <c r="D237" s="655">
        <v>0</v>
      </c>
      <c r="E237" s="655">
        <v>0</v>
      </c>
      <c r="F237" s="655">
        <v>0</v>
      </c>
      <c r="G237" s="655">
        <v>0</v>
      </c>
      <c r="H237" s="655">
        <v>0</v>
      </c>
      <c r="I237" s="655">
        <v>0</v>
      </c>
      <c r="J237" s="655">
        <v>0</v>
      </c>
      <c r="K237" s="655">
        <v>0</v>
      </c>
      <c r="L237" s="655">
        <v>0</v>
      </c>
      <c r="M237" s="655">
        <v>0</v>
      </c>
      <c r="N237" s="655">
        <v>0</v>
      </c>
      <c r="O237" s="655">
        <v>0</v>
      </c>
      <c r="P237" s="655">
        <v>0</v>
      </c>
      <c r="Q237" s="655">
        <v>0</v>
      </c>
      <c r="R237" s="655">
        <v>0</v>
      </c>
      <c r="S237" s="655">
        <v>0</v>
      </c>
      <c r="T237" s="600" t="e">
        <v>#DIV/0!</v>
      </c>
      <c r="U237" s="599">
        <v>0</v>
      </c>
      <c r="V237" s="599">
        <v>0</v>
      </c>
      <c r="W237" s="599">
        <v>0</v>
      </c>
      <c r="X237" s="599">
        <v>0</v>
      </c>
      <c r="Y237" s="599">
        <v>0</v>
      </c>
      <c r="Z237" s="599">
        <v>0</v>
      </c>
    </row>
    <row r="238" spans="1:26" x14ac:dyDescent="0.2">
      <c r="A238" s="602" t="s">
        <v>464</v>
      </c>
      <c r="B238" s="665">
        <v>0</v>
      </c>
      <c r="C238" s="665">
        <v>0</v>
      </c>
      <c r="D238" s="665">
        <v>0</v>
      </c>
      <c r="E238" s="665">
        <v>0</v>
      </c>
      <c r="F238" s="665">
        <v>0</v>
      </c>
      <c r="G238" s="665">
        <v>0</v>
      </c>
      <c r="H238" s="665">
        <v>0</v>
      </c>
      <c r="I238" s="665">
        <v>0</v>
      </c>
      <c r="J238" s="665">
        <v>0</v>
      </c>
      <c r="K238" s="665">
        <v>0</v>
      </c>
      <c r="L238" s="665">
        <v>0</v>
      </c>
      <c r="M238" s="665">
        <v>0</v>
      </c>
      <c r="N238" s="665">
        <v>0</v>
      </c>
      <c r="O238" s="665">
        <v>0</v>
      </c>
      <c r="P238" s="665">
        <v>0</v>
      </c>
      <c r="Q238" s="665">
        <v>0</v>
      </c>
      <c r="R238" s="665">
        <v>0</v>
      </c>
      <c r="S238" s="665">
        <v>0</v>
      </c>
      <c r="T238" s="604" t="e">
        <v>#DIV/0!</v>
      </c>
      <c r="U238" s="603">
        <v>0</v>
      </c>
      <c r="V238" s="603">
        <v>0</v>
      </c>
      <c r="W238" s="603">
        <v>0</v>
      </c>
      <c r="X238" s="603">
        <v>0</v>
      </c>
      <c r="Y238" s="603">
        <v>0</v>
      </c>
      <c r="Z238" s="603">
        <v>0</v>
      </c>
    </row>
    <row r="239" spans="1:26" x14ac:dyDescent="0.2">
      <c r="A239" s="602" t="s">
        <v>465</v>
      </c>
      <c r="B239" s="665">
        <v>0</v>
      </c>
      <c r="C239" s="665">
        <v>0</v>
      </c>
      <c r="D239" s="665">
        <v>0</v>
      </c>
      <c r="E239" s="665">
        <v>0</v>
      </c>
      <c r="F239" s="665">
        <v>0</v>
      </c>
      <c r="G239" s="665">
        <v>0</v>
      </c>
      <c r="H239" s="665">
        <v>0</v>
      </c>
      <c r="I239" s="665">
        <v>0</v>
      </c>
      <c r="J239" s="665">
        <v>0</v>
      </c>
      <c r="K239" s="665">
        <v>0</v>
      </c>
      <c r="L239" s="665">
        <v>0</v>
      </c>
      <c r="M239" s="665">
        <v>0</v>
      </c>
      <c r="N239" s="665">
        <v>0</v>
      </c>
      <c r="O239" s="665">
        <v>0</v>
      </c>
      <c r="P239" s="665">
        <v>0</v>
      </c>
      <c r="Q239" s="665">
        <v>0</v>
      </c>
      <c r="R239" s="665">
        <v>0</v>
      </c>
      <c r="S239" s="665">
        <v>0</v>
      </c>
      <c r="T239" s="604" t="e">
        <v>#DIV/0!</v>
      </c>
      <c r="U239" s="603">
        <v>0</v>
      </c>
      <c r="V239" s="603">
        <v>0</v>
      </c>
      <c r="W239" s="603">
        <v>0</v>
      </c>
      <c r="X239" s="603">
        <v>0</v>
      </c>
      <c r="Y239" s="603">
        <v>0</v>
      </c>
      <c r="Z239" s="603">
        <v>0</v>
      </c>
    </row>
    <row r="240" spans="1:26" x14ac:dyDescent="0.2">
      <c r="A240" s="597" t="s">
        <v>466</v>
      </c>
      <c r="B240" s="685">
        <v>0</v>
      </c>
      <c r="C240" s="685">
        <v>9000</v>
      </c>
      <c r="D240" s="685">
        <v>0</v>
      </c>
      <c r="E240" s="685">
        <v>0</v>
      </c>
      <c r="F240" s="685">
        <v>0</v>
      </c>
      <c r="G240" s="685">
        <v>0</v>
      </c>
      <c r="H240" s="685">
        <v>0</v>
      </c>
      <c r="I240" s="685">
        <v>0</v>
      </c>
      <c r="J240" s="685">
        <v>0</v>
      </c>
      <c r="K240" s="685">
        <v>0</v>
      </c>
      <c r="L240" s="685">
        <v>0</v>
      </c>
      <c r="M240" s="685">
        <v>0</v>
      </c>
      <c r="N240" s="685">
        <v>0</v>
      </c>
      <c r="O240" s="685">
        <v>0</v>
      </c>
      <c r="P240" s="685">
        <v>0</v>
      </c>
      <c r="Q240" s="685">
        <v>0</v>
      </c>
      <c r="R240" s="685">
        <v>0</v>
      </c>
      <c r="S240" s="685">
        <v>0</v>
      </c>
      <c r="T240" s="600">
        <v>0</v>
      </c>
      <c r="U240" s="599">
        <v>9000</v>
      </c>
      <c r="V240" s="599">
        <v>9000</v>
      </c>
      <c r="W240" s="599">
        <v>9000</v>
      </c>
      <c r="X240" s="599">
        <v>0</v>
      </c>
      <c r="Y240" s="599">
        <v>0</v>
      </c>
      <c r="Z240" s="599">
        <v>0</v>
      </c>
    </row>
    <row r="241" spans="1:26" x14ac:dyDescent="0.2">
      <c r="A241" s="597" t="s">
        <v>467</v>
      </c>
      <c r="B241" s="685">
        <v>0</v>
      </c>
      <c r="C241" s="685">
        <v>0</v>
      </c>
      <c r="D241" s="685">
        <v>0</v>
      </c>
      <c r="E241" s="685">
        <v>0</v>
      </c>
      <c r="F241" s="685">
        <v>0</v>
      </c>
      <c r="G241" s="685">
        <v>0</v>
      </c>
      <c r="H241" s="685">
        <v>0</v>
      </c>
      <c r="I241" s="685">
        <v>0</v>
      </c>
      <c r="J241" s="685">
        <v>0</v>
      </c>
      <c r="K241" s="685">
        <v>0</v>
      </c>
      <c r="L241" s="685">
        <v>0</v>
      </c>
      <c r="M241" s="685">
        <v>0</v>
      </c>
      <c r="N241" s="685">
        <v>0</v>
      </c>
      <c r="O241" s="685">
        <v>0</v>
      </c>
      <c r="P241" s="685">
        <v>0</v>
      </c>
      <c r="Q241" s="685">
        <v>0</v>
      </c>
      <c r="R241" s="685">
        <v>0</v>
      </c>
      <c r="S241" s="685">
        <v>0</v>
      </c>
      <c r="T241" s="600" t="e">
        <v>#DIV/0!</v>
      </c>
      <c r="U241" s="599">
        <v>0</v>
      </c>
      <c r="V241" s="599">
        <v>0</v>
      </c>
      <c r="W241" s="599">
        <v>0</v>
      </c>
      <c r="X241" s="599">
        <v>0</v>
      </c>
      <c r="Y241" s="599">
        <v>0</v>
      </c>
      <c r="Z241" s="599">
        <v>0</v>
      </c>
    </row>
    <row r="242" spans="1:26" x14ac:dyDescent="0.2">
      <c r="A242" s="597" t="s">
        <v>468</v>
      </c>
      <c r="B242" s="685">
        <v>0</v>
      </c>
      <c r="C242" s="685">
        <v>251</v>
      </c>
      <c r="D242" s="685">
        <v>251</v>
      </c>
      <c r="E242" s="685">
        <v>251</v>
      </c>
      <c r="F242" s="685">
        <v>251</v>
      </c>
      <c r="G242" s="685">
        <v>0</v>
      </c>
      <c r="H242" s="685">
        <v>251</v>
      </c>
      <c r="I242" s="685">
        <v>0</v>
      </c>
      <c r="J242" s="685">
        <v>0</v>
      </c>
      <c r="K242" s="685">
        <v>0</v>
      </c>
      <c r="L242" s="685">
        <v>0</v>
      </c>
      <c r="M242" s="685">
        <v>0</v>
      </c>
      <c r="N242" s="685">
        <v>0</v>
      </c>
      <c r="O242" s="685">
        <v>0</v>
      </c>
      <c r="P242" s="685">
        <v>0</v>
      </c>
      <c r="Q242" s="685">
        <v>0</v>
      </c>
      <c r="R242" s="685">
        <v>0</v>
      </c>
      <c r="S242" s="685">
        <v>251</v>
      </c>
      <c r="T242" s="600">
        <v>1</v>
      </c>
      <c r="U242" s="599">
        <v>0</v>
      </c>
      <c r="V242" s="599">
        <v>0</v>
      </c>
      <c r="W242" s="599">
        <v>0</v>
      </c>
      <c r="X242" s="599">
        <v>0</v>
      </c>
      <c r="Y242" s="599">
        <v>0</v>
      </c>
      <c r="Z242" s="599">
        <v>0</v>
      </c>
    </row>
    <row r="243" spans="1:26" x14ac:dyDescent="0.2">
      <c r="A243" s="597" t="s">
        <v>469</v>
      </c>
      <c r="B243" s="655">
        <v>0</v>
      </c>
      <c r="C243" s="655">
        <v>0</v>
      </c>
      <c r="D243" s="655">
        <v>0</v>
      </c>
      <c r="E243" s="655">
        <v>0</v>
      </c>
      <c r="F243" s="655">
        <v>0</v>
      </c>
      <c r="G243" s="655">
        <v>0</v>
      </c>
      <c r="H243" s="655">
        <v>0</v>
      </c>
      <c r="I243" s="655">
        <v>0</v>
      </c>
      <c r="J243" s="655">
        <v>0</v>
      </c>
      <c r="K243" s="655">
        <v>0</v>
      </c>
      <c r="L243" s="655">
        <v>0</v>
      </c>
      <c r="M243" s="655">
        <v>0</v>
      </c>
      <c r="N243" s="655">
        <v>0</v>
      </c>
      <c r="O243" s="655">
        <v>0</v>
      </c>
      <c r="P243" s="655">
        <v>0</v>
      </c>
      <c r="Q243" s="655">
        <v>0</v>
      </c>
      <c r="R243" s="655">
        <v>0</v>
      </c>
      <c r="S243" s="655">
        <v>0</v>
      </c>
      <c r="T243" s="600" t="e">
        <v>#DIV/0!</v>
      </c>
      <c r="U243" s="599">
        <v>0</v>
      </c>
      <c r="V243" s="599">
        <v>0</v>
      </c>
      <c r="W243" s="599">
        <v>0</v>
      </c>
      <c r="X243" s="599">
        <v>0</v>
      </c>
      <c r="Y243" s="599">
        <v>0</v>
      </c>
      <c r="Z243" s="599">
        <v>0</v>
      </c>
    </row>
    <row r="244" spans="1:26" x14ac:dyDescent="0.2">
      <c r="A244" s="602" t="s">
        <v>470</v>
      </c>
      <c r="B244" s="665">
        <v>0</v>
      </c>
      <c r="C244" s="665">
        <v>0</v>
      </c>
      <c r="D244" s="665">
        <v>0</v>
      </c>
      <c r="E244" s="665">
        <v>0</v>
      </c>
      <c r="F244" s="665">
        <v>0</v>
      </c>
      <c r="G244" s="665">
        <v>0</v>
      </c>
      <c r="H244" s="665">
        <v>0</v>
      </c>
      <c r="I244" s="665">
        <v>0</v>
      </c>
      <c r="J244" s="665">
        <v>0</v>
      </c>
      <c r="K244" s="665">
        <v>0</v>
      </c>
      <c r="L244" s="665">
        <v>0</v>
      </c>
      <c r="M244" s="665">
        <v>0</v>
      </c>
      <c r="N244" s="665">
        <v>0</v>
      </c>
      <c r="O244" s="665">
        <v>0</v>
      </c>
      <c r="P244" s="665">
        <v>0</v>
      </c>
      <c r="Q244" s="665">
        <v>0</v>
      </c>
      <c r="R244" s="665">
        <v>0</v>
      </c>
      <c r="S244" s="665">
        <v>0</v>
      </c>
      <c r="T244" s="604" t="e">
        <v>#DIV/0!</v>
      </c>
      <c r="U244" s="603">
        <v>0</v>
      </c>
      <c r="V244" s="603">
        <v>0</v>
      </c>
      <c r="W244" s="603">
        <v>0</v>
      </c>
      <c r="X244" s="603">
        <v>0</v>
      </c>
      <c r="Y244" s="603">
        <v>0</v>
      </c>
      <c r="Z244" s="603">
        <v>0</v>
      </c>
    </row>
    <row r="245" spans="1:26" x14ac:dyDescent="0.2">
      <c r="A245" s="602" t="s">
        <v>471</v>
      </c>
      <c r="B245" s="665">
        <v>0</v>
      </c>
      <c r="C245" s="665">
        <v>0</v>
      </c>
      <c r="D245" s="665">
        <v>0</v>
      </c>
      <c r="E245" s="665">
        <v>0</v>
      </c>
      <c r="F245" s="665">
        <v>0</v>
      </c>
      <c r="G245" s="665">
        <v>0</v>
      </c>
      <c r="H245" s="665">
        <v>0</v>
      </c>
      <c r="I245" s="665">
        <v>0</v>
      </c>
      <c r="J245" s="665">
        <v>0</v>
      </c>
      <c r="K245" s="665">
        <v>0</v>
      </c>
      <c r="L245" s="665">
        <v>0</v>
      </c>
      <c r="M245" s="665">
        <v>0</v>
      </c>
      <c r="N245" s="665">
        <v>0</v>
      </c>
      <c r="O245" s="665">
        <v>0</v>
      </c>
      <c r="P245" s="665">
        <v>0</v>
      </c>
      <c r="Q245" s="665">
        <v>0</v>
      </c>
      <c r="R245" s="665">
        <v>0</v>
      </c>
      <c r="S245" s="665">
        <v>0</v>
      </c>
      <c r="T245" s="604" t="e">
        <v>#DIV/0!</v>
      </c>
      <c r="U245" s="603">
        <v>0</v>
      </c>
      <c r="V245" s="603">
        <v>0</v>
      </c>
      <c r="W245" s="603">
        <v>0</v>
      </c>
      <c r="X245" s="603">
        <v>0</v>
      </c>
      <c r="Y245" s="603">
        <v>0</v>
      </c>
      <c r="Z245" s="603">
        <v>0</v>
      </c>
    </row>
    <row r="246" spans="1:26" x14ac:dyDescent="0.2">
      <c r="A246" s="597" t="s">
        <v>472</v>
      </c>
      <c r="B246" s="655">
        <v>0</v>
      </c>
      <c r="C246" s="655">
        <v>0</v>
      </c>
      <c r="D246" s="655">
        <v>0</v>
      </c>
      <c r="E246" s="655">
        <v>0</v>
      </c>
      <c r="F246" s="655">
        <v>0</v>
      </c>
      <c r="G246" s="655">
        <v>0</v>
      </c>
      <c r="H246" s="655">
        <v>0</v>
      </c>
      <c r="I246" s="655">
        <v>0</v>
      </c>
      <c r="J246" s="655">
        <v>0</v>
      </c>
      <c r="K246" s="655">
        <v>0</v>
      </c>
      <c r="L246" s="655">
        <v>0</v>
      </c>
      <c r="M246" s="655">
        <v>0</v>
      </c>
      <c r="N246" s="655">
        <v>0</v>
      </c>
      <c r="O246" s="655">
        <v>0</v>
      </c>
      <c r="P246" s="655">
        <v>0</v>
      </c>
      <c r="Q246" s="655">
        <v>0</v>
      </c>
      <c r="R246" s="655">
        <v>0</v>
      </c>
      <c r="S246" s="655">
        <v>0</v>
      </c>
      <c r="T246" s="600" t="e">
        <v>#DIV/0!</v>
      </c>
      <c r="U246" s="599">
        <v>0</v>
      </c>
      <c r="V246" s="599">
        <v>0</v>
      </c>
      <c r="W246" s="599">
        <v>0</v>
      </c>
      <c r="X246" s="599">
        <v>0</v>
      </c>
      <c r="Y246" s="599">
        <v>0</v>
      </c>
      <c r="Z246" s="599">
        <v>0</v>
      </c>
    </row>
    <row r="247" spans="1:26" x14ac:dyDescent="0.2">
      <c r="A247" s="605" t="s">
        <v>473</v>
      </c>
      <c r="B247" s="665">
        <v>0</v>
      </c>
      <c r="C247" s="665">
        <v>0</v>
      </c>
      <c r="D247" s="665">
        <v>0</v>
      </c>
      <c r="E247" s="665">
        <v>0</v>
      </c>
      <c r="F247" s="665">
        <v>0</v>
      </c>
      <c r="G247" s="665">
        <v>0</v>
      </c>
      <c r="H247" s="665">
        <v>0</v>
      </c>
      <c r="I247" s="665">
        <v>0</v>
      </c>
      <c r="J247" s="665">
        <v>0</v>
      </c>
      <c r="K247" s="665">
        <v>0</v>
      </c>
      <c r="L247" s="665">
        <v>0</v>
      </c>
      <c r="M247" s="665">
        <v>0</v>
      </c>
      <c r="N247" s="665">
        <v>0</v>
      </c>
      <c r="O247" s="665">
        <v>0</v>
      </c>
      <c r="P247" s="665">
        <v>0</v>
      </c>
      <c r="Q247" s="665">
        <v>0</v>
      </c>
      <c r="R247" s="665">
        <v>0</v>
      </c>
      <c r="S247" s="665">
        <v>0</v>
      </c>
      <c r="T247" s="604" t="e">
        <v>#DIV/0!</v>
      </c>
      <c r="U247" s="603">
        <v>0</v>
      </c>
      <c r="V247" s="603">
        <v>0</v>
      </c>
      <c r="W247" s="603">
        <v>0</v>
      </c>
      <c r="X247" s="603">
        <v>0</v>
      </c>
      <c r="Y247" s="603">
        <v>0</v>
      </c>
      <c r="Z247" s="603">
        <v>0</v>
      </c>
    </row>
    <row r="248" spans="1:26" x14ac:dyDescent="0.2">
      <c r="A248" s="605" t="s">
        <v>474</v>
      </c>
      <c r="B248" s="665">
        <v>0</v>
      </c>
      <c r="C248" s="665">
        <v>0</v>
      </c>
      <c r="D248" s="665">
        <v>0</v>
      </c>
      <c r="E248" s="665">
        <v>0</v>
      </c>
      <c r="F248" s="665">
        <v>0</v>
      </c>
      <c r="G248" s="665">
        <v>0</v>
      </c>
      <c r="H248" s="665">
        <v>0</v>
      </c>
      <c r="I248" s="665">
        <v>0</v>
      </c>
      <c r="J248" s="665">
        <v>0</v>
      </c>
      <c r="K248" s="665">
        <v>0</v>
      </c>
      <c r="L248" s="665">
        <v>0</v>
      </c>
      <c r="M248" s="665">
        <v>0</v>
      </c>
      <c r="N248" s="665">
        <v>0</v>
      </c>
      <c r="O248" s="665">
        <v>0</v>
      </c>
      <c r="P248" s="665">
        <v>0</v>
      </c>
      <c r="Q248" s="665">
        <v>0</v>
      </c>
      <c r="R248" s="665">
        <v>0</v>
      </c>
      <c r="S248" s="665">
        <v>0</v>
      </c>
      <c r="T248" s="604" t="e">
        <v>#DIV/0!</v>
      </c>
      <c r="U248" s="603">
        <v>0</v>
      </c>
      <c r="V248" s="603">
        <v>0</v>
      </c>
      <c r="W248" s="603">
        <v>0</v>
      </c>
      <c r="X248" s="603">
        <v>0</v>
      </c>
      <c r="Y248" s="603">
        <v>0</v>
      </c>
      <c r="Z248" s="603">
        <v>0</v>
      </c>
    </row>
    <row r="249" spans="1:26" x14ac:dyDescent="0.2">
      <c r="A249" s="605" t="s">
        <v>475</v>
      </c>
      <c r="B249" s="665">
        <v>0</v>
      </c>
      <c r="C249" s="665">
        <v>0</v>
      </c>
      <c r="D249" s="665">
        <v>0</v>
      </c>
      <c r="E249" s="665">
        <v>0</v>
      </c>
      <c r="F249" s="665">
        <v>0</v>
      </c>
      <c r="G249" s="665">
        <v>0</v>
      </c>
      <c r="H249" s="665">
        <v>0</v>
      </c>
      <c r="I249" s="665">
        <v>0</v>
      </c>
      <c r="J249" s="665">
        <v>0</v>
      </c>
      <c r="K249" s="665">
        <v>0</v>
      </c>
      <c r="L249" s="665">
        <v>0</v>
      </c>
      <c r="M249" s="665">
        <v>0</v>
      </c>
      <c r="N249" s="665">
        <v>0</v>
      </c>
      <c r="O249" s="665">
        <v>0</v>
      </c>
      <c r="P249" s="665">
        <v>0</v>
      </c>
      <c r="Q249" s="665">
        <v>0</v>
      </c>
      <c r="R249" s="665">
        <v>0</v>
      </c>
      <c r="S249" s="665">
        <v>0</v>
      </c>
      <c r="T249" s="604" t="e">
        <v>#DIV/0!</v>
      </c>
      <c r="U249" s="603">
        <v>0</v>
      </c>
      <c r="V249" s="603">
        <v>0</v>
      </c>
      <c r="W249" s="603">
        <v>0</v>
      </c>
      <c r="X249" s="603">
        <v>0</v>
      </c>
      <c r="Y249" s="603">
        <v>0</v>
      </c>
      <c r="Z249" s="603">
        <v>0</v>
      </c>
    </row>
    <row r="250" spans="1:26" x14ac:dyDescent="0.2">
      <c r="A250" s="605" t="s">
        <v>476</v>
      </c>
      <c r="B250" s="665">
        <v>0</v>
      </c>
      <c r="C250" s="665">
        <v>0</v>
      </c>
      <c r="D250" s="665">
        <v>0</v>
      </c>
      <c r="E250" s="665">
        <v>0</v>
      </c>
      <c r="F250" s="665">
        <v>0</v>
      </c>
      <c r="G250" s="665">
        <v>0</v>
      </c>
      <c r="H250" s="665">
        <v>0</v>
      </c>
      <c r="I250" s="665">
        <v>0</v>
      </c>
      <c r="J250" s="665">
        <v>0</v>
      </c>
      <c r="K250" s="665">
        <v>0</v>
      </c>
      <c r="L250" s="665">
        <v>0</v>
      </c>
      <c r="M250" s="665">
        <v>0</v>
      </c>
      <c r="N250" s="665">
        <v>0</v>
      </c>
      <c r="O250" s="665">
        <v>0</v>
      </c>
      <c r="P250" s="665">
        <v>0</v>
      </c>
      <c r="Q250" s="665">
        <v>0</v>
      </c>
      <c r="R250" s="665">
        <v>0</v>
      </c>
      <c r="S250" s="665">
        <v>0</v>
      </c>
      <c r="T250" s="604" t="e">
        <v>#DIV/0!</v>
      </c>
      <c r="U250" s="603">
        <v>0</v>
      </c>
      <c r="V250" s="603">
        <v>0</v>
      </c>
      <c r="W250" s="603">
        <v>0</v>
      </c>
      <c r="X250" s="603">
        <v>0</v>
      </c>
      <c r="Y250" s="603">
        <v>0</v>
      </c>
      <c r="Z250" s="603">
        <v>0</v>
      </c>
    </row>
    <row r="251" spans="1:26" x14ac:dyDescent="0.2">
      <c r="A251" s="605" t="s">
        <v>477</v>
      </c>
      <c r="B251" s="665">
        <v>0</v>
      </c>
      <c r="C251" s="665">
        <v>0</v>
      </c>
      <c r="D251" s="665">
        <v>0</v>
      </c>
      <c r="E251" s="665">
        <v>0</v>
      </c>
      <c r="F251" s="665">
        <v>0</v>
      </c>
      <c r="G251" s="665">
        <v>0</v>
      </c>
      <c r="H251" s="665">
        <v>0</v>
      </c>
      <c r="I251" s="665">
        <v>0</v>
      </c>
      <c r="J251" s="665">
        <v>0</v>
      </c>
      <c r="K251" s="665">
        <v>0</v>
      </c>
      <c r="L251" s="665">
        <v>0</v>
      </c>
      <c r="M251" s="665">
        <v>0</v>
      </c>
      <c r="N251" s="665">
        <v>0</v>
      </c>
      <c r="O251" s="665">
        <v>0</v>
      </c>
      <c r="P251" s="665">
        <v>0</v>
      </c>
      <c r="Q251" s="665">
        <v>0</v>
      </c>
      <c r="R251" s="665">
        <v>0</v>
      </c>
      <c r="S251" s="665">
        <v>0</v>
      </c>
      <c r="T251" s="604" t="e">
        <v>#DIV/0!</v>
      </c>
      <c r="U251" s="603">
        <v>0</v>
      </c>
      <c r="V251" s="603">
        <v>0</v>
      </c>
      <c r="W251" s="603">
        <v>0</v>
      </c>
      <c r="X251" s="603">
        <v>0</v>
      </c>
      <c r="Y251" s="603">
        <v>0</v>
      </c>
      <c r="Z251" s="603">
        <v>0</v>
      </c>
    </row>
    <row r="252" spans="1:26" x14ac:dyDescent="0.2">
      <c r="A252" s="605" t="s">
        <v>478</v>
      </c>
      <c r="B252" s="665">
        <v>0</v>
      </c>
      <c r="C252" s="665">
        <v>0</v>
      </c>
      <c r="D252" s="665">
        <v>0</v>
      </c>
      <c r="E252" s="665">
        <v>0</v>
      </c>
      <c r="F252" s="665">
        <v>0</v>
      </c>
      <c r="G252" s="665">
        <v>0</v>
      </c>
      <c r="H252" s="665">
        <v>0</v>
      </c>
      <c r="I252" s="665">
        <v>0</v>
      </c>
      <c r="J252" s="665">
        <v>0</v>
      </c>
      <c r="K252" s="665">
        <v>0</v>
      </c>
      <c r="L252" s="665">
        <v>0</v>
      </c>
      <c r="M252" s="665">
        <v>0</v>
      </c>
      <c r="N252" s="665">
        <v>0</v>
      </c>
      <c r="O252" s="665">
        <v>0</v>
      </c>
      <c r="P252" s="665">
        <v>0</v>
      </c>
      <c r="Q252" s="665">
        <v>0</v>
      </c>
      <c r="R252" s="665">
        <v>0</v>
      </c>
      <c r="S252" s="665">
        <v>0</v>
      </c>
      <c r="T252" s="604" t="e">
        <v>#DIV/0!</v>
      </c>
      <c r="U252" s="603">
        <v>0</v>
      </c>
      <c r="V252" s="603">
        <v>0</v>
      </c>
      <c r="W252" s="603">
        <v>0</v>
      </c>
      <c r="X252" s="603">
        <v>0</v>
      </c>
      <c r="Y252" s="603">
        <v>0</v>
      </c>
      <c r="Z252" s="603">
        <v>0</v>
      </c>
    </row>
    <row r="253" spans="1:26" x14ac:dyDescent="0.2">
      <c r="A253" s="605" t="s">
        <v>479</v>
      </c>
      <c r="B253" s="665">
        <v>0</v>
      </c>
      <c r="C253" s="665">
        <v>0</v>
      </c>
      <c r="D253" s="665">
        <v>0</v>
      </c>
      <c r="E253" s="665">
        <v>0</v>
      </c>
      <c r="F253" s="665">
        <v>0</v>
      </c>
      <c r="G253" s="665">
        <v>0</v>
      </c>
      <c r="H253" s="665">
        <v>0</v>
      </c>
      <c r="I253" s="665">
        <v>0</v>
      </c>
      <c r="J253" s="665">
        <v>0</v>
      </c>
      <c r="K253" s="665">
        <v>0</v>
      </c>
      <c r="L253" s="665">
        <v>0</v>
      </c>
      <c r="M253" s="665">
        <v>0</v>
      </c>
      <c r="N253" s="665">
        <v>0</v>
      </c>
      <c r="O253" s="665">
        <v>0</v>
      </c>
      <c r="P253" s="665">
        <v>0</v>
      </c>
      <c r="Q253" s="665">
        <v>0</v>
      </c>
      <c r="R253" s="665">
        <v>0</v>
      </c>
      <c r="S253" s="665">
        <v>0</v>
      </c>
      <c r="T253" s="604" t="e">
        <v>#DIV/0!</v>
      </c>
      <c r="U253" s="603">
        <v>0</v>
      </c>
      <c r="V253" s="603">
        <v>0</v>
      </c>
      <c r="W253" s="603">
        <v>0</v>
      </c>
      <c r="X253" s="603">
        <v>0</v>
      </c>
      <c r="Y253" s="603">
        <v>0</v>
      </c>
      <c r="Z253" s="603">
        <v>0</v>
      </c>
    </row>
    <row r="254" spans="1:26" x14ac:dyDescent="0.2">
      <c r="A254" s="605" t="s">
        <v>480</v>
      </c>
      <c r="B254" s="665">
        <v>0</v>
      </c>
      <c r="C254" s="665">
        <v>0</v>
      </c>
      <c r="D254" s="665">
        <v>0</v>
      </c>
      <c r="E254" s="665">
        <v>0</v>
      </c>
      <c r="F254" s="665">
        <v>0</v>
      </c>
      <c r="G254" s="665">
        <v>0</v>
      </c>
      <c r="H254" s="665">
        <v>0</v>
      </c>
      <c r="I254" s="665">
        <v>0</v>
      </c>
      <c r="J254" s="665">
        <v>0</v>
      </c>
      <c r="K254" s="665">
        <v>0</v>
      </c>
      <c r="L254" s="665">
        <v>0</v>
      </c>
      <c r="M254" s="665">
        <v>0</v>
      </c>
      <c r="N254" s="665">
        <v>0</v>
      </c>
      <c r="O254" s="665">
        <v>0</v>
      </c>
      <c r="P254" s="665">
        <v>0</v>
      </c>
      <c r="Q254" s="665">
        <v>0</v>
      </c>
      <c r="R254" s="665">
        <v>0</v>
      </c>
      <c r="S254" s="665">
        <v>0</v>
      </c>
      <c r="T254" s="604" t="e">
        <v>#DIV/0!</v>
      </c>
      <c r="U254" s="603">
        <v>0</v>
      </c>
      <c r="V254" s="603">
        <v>0</v>
      </c>
      <c r="W254" s="603">
        <v>0</v>
      </c>
      <c r="X254" s="603">
        <v>0</v>
      </c>
      <c r="Y254" s="603">
        <v>0</v>
      </c>
      <c r="Z254" s="603">
        <v>0</v>
      </c>
    </row>
    <row r="255" spans="1:26" x14ac:dyDescent="0.2">
      <c r="A255" s="605" t="s">
        <v>481</v>
      </c>
      <c r="B255" s="665">
        <v>0</v>
      </c>
      <c r="C255" s="665">
        <v>0</v>
      </c>
      <c r="D255" s="665">
        <v>0</v>
      </c>
      <c r="E255" s="665">
        <v>0</v>
      </c>
      <c r="F255" s="665">
        <v>0</v>
      </c>
      <c r="G255" s="665">
        <v>0</v>
      </c>
      <c r="H255" s="665">
        <v>0</v>
      </c>
      <c r="I255" s="665">
        <v>0</v>
      </c>
      <c r="J255" s="665">
        <v>0</v>
      </c>
      <c r="K255" s="665">
        <v>0</v>
      </c>
      <c r="L255" s="665">
        <v>0</v>
      </c>
      <c r="M255" s="665">
        <v>0</v>
      </c>
      <c r="N255" s="665">
        <v>0</v>
      </c>
      <c r="O255" s="665">
        <v>0</v>
      </c>
      <c r="P255" s="665">
        <v>0</v>
      </c>
      <c r="Q255" s="665">
        <v>0</v>
      </c>
      <c r="R255" s="665">
        <v>0</v>
      </c>
      <c r="S255" s="665">
        <v>0</v>
      </c>
      <c r="T255" s="604" t="e">
        <v>#DIV/0!</v>
      </c>
      <c r="U255" s="603">
        <v>0</v>
      </c>
      <c r="V255" s="603">
        <v>0</v>
      </c>
      <c r="W255" s="603">
        <v>0</v>
      </c>
      <c r="X255" s="603">
        <v>0</v>
      </c>
      <c r="Y255" s="603">
        <v>0</v>
      </c>
      <c r="Z255" s="603">
        <v>0</v>
      </c>
    </row>
    <row r="256" spans="1:26" x14ac:dyDescent="0.2">
      <c r="A256" s="605" t="s">
        <v>482</v>
      </c>
      <c r="B256" s="665">
        <v>0</v>
      </c>
      <c r="C256" s="665">
        <v>0</v>
      </c>
      <c r="D256" s="665">
        <v>0</v>
      </c>
      <c r="E256" s="665">
        <v>0</v>
      </c>
      <c r="F256" s="665">
        <v>0</v>
      </c>
      <c r="G256" s="665">
        <v>0</v>
      </c>
      <c r="H256" s="665">
        <v>0</v>
      </c>
      <c r="I256" s="665">
        <v>0</v>
      </c>
      <c r="J256" s="665">
        <v>0</v>
      </c>
      <c r="K256" s="665">
        <v>0</v>
      </c>
      <c r="L256" s="665">
        <v>0</v>
      </c>
      <c r="M256" s="665">
        <v>0</v>
      </c>
      <c r="N256" s="665">
        <v>0</v>
      </c>
      <c r="O256" s="665">
        <v>0</v>
      </c>
      <c r="P256" s="665">
        <v>0</v>
      </c>
      <c r="Q256" s="665">
        <v>0</v>
      </c>
      <c r="R256" s="665">
        <v>0</v>
      </c>
      <c r="S256" s="665">
        <v>0</v>
      </c>
      <c r="T256" s="604" t="e">
        <v>#DIV/0!</v>
      </c>
      <c r="U256" s="603">
        <v>0</v>
      </c>
      <c r="V256" s="603">
        <v>0</v>
      </c>
      <c r="W256" s="603">
        <v>0</v>
      </c>
      <c r="X256" s="603">
        <v>0</v>
      </c>
      <c r="Y256" s="603">
        <v>0</v>
      </c>
      <c r="Z256" s="603">
        <v>0</v>
      </c>
    </row>
    <row r="257" spans="1:26" x14ac:dyDescent="0.2">
      <c r="A257" s="605" t="s">
        <v>483</v>
      </c>
      <c r="B257" s="665">
        <v>0</v>
      </c>
      <c r="C257" s="665">
        <v>0</v>
      </c>
      <c r="D257" s="665">
        <v>0</v>
      </c>
      <c r="E257" s="665">
        <v>0</v>
      </c>
      <c r="F257" s="665">
        <v>0</v>
      </c>
      <c r="G257" s="665">
        <v>0</v>
      </c>
      <c r="H257" s="665">
        <v>0</v>
      </c>
      <c r="I257" s="665">
        <v>0</v>
      </c>
      <c r="J257" s="665">
        <v>0</v>
      </c>
      <c r="K257" s="665">
        <v>0</v>
      </c>
      <c r="L257" s="665">
        <v>0</v>
      </c>
      <c r="M257" s="665">
        <v>0</v>
      </c>
      <c r="N257" s="665">
        <v>0</v>
      </c>
      <c r="O257" s="665">
        <v>0</v>
      </c>
      <c r="P257" s="665">
        <v>0</v>
      </c>
      <c r="Q257" s="665">
        <v>0</v>
      </c>
      <c r="R257" s="665">
        <v>0</v>
      </c>
      <c r="S257" s="665">
        <v>0</v>
      </c>
      <c r="T257" s="604" t="e">
        <v>#DIV/0!</v>
      </c>
      <c r="U257" s="603">
        <v>0</v>
      </c>
      <c r="V257" s="603">
        <v>0</v>
      </c>
      <c r="W257" s="603">
        <v>0</v>
      </c>
      <c r="X257" s="603">
        <v>0</v>
      </c>
      <c r="Y257" s="603">
        <v>0</v>
      </c>
      <c r="Z257" s="603">
        <v>0</v>
      </c>
    </row>
    <row r="258" spans="1:26" x14ac:dyDescent="0.2">
      <c r="A258" s="605" t="s">
        <v>484</v>
      </c>
      <c r="B258" s="665">
        <v>0</v>
      </c>
      <c r="C258" s="665">
        <v>0</v>
      </c>
      <c r="D258" s="665">
        <v>0</v>
      </c>
      <c r="E258" s="665">
        <v>0</v>
      </c>
      <c r="F258" s="665">
        <v>0</v>
      </c>
      <c r="G258" s="665">
        <v>0</v>
      </c>
      <c r="H258" s="665">
        <v>0</v>
      </c>
      <c r="I258" s="665">
        <v>0</v>
      </c>
      <c r="J258" s="665">
        <v>0</v>
      </c>
      <c r="K258" s="665">
        <v>0</v>
      </c>
      <c r="L258" s="665">
        <v>0</v>
      </c>
      <c r="M258" s="665">
        <v>0</v>
      </c>
      <c r="N258" s="665">
        <v>0</v>
      </c>
      <c r="O258" s="665">
        <v>0</v>
      </c>
      <c r="P258" s="665">
        <v>0</v>
      </c>
      <c r="Q258" s="665">
        <v>0</v>
      </c>
      <c r="R258" s="665">
        <v>0</v>
      </c>
      <c r="S258" s="665">
        <v>0</v>
      </c>
      <c r="T258" s="604" t="e">
        <v>#DIV/0!</v>
      </c>
      <c r="U258" s="603">
        <v>0</v>
      </c>
      <c r="V258" s="603">
        <v>0</v>
      </c>
      <c r="W258" s="603">
        <v>0</v>
      </c>
      <c r="X258" s="603">
        <v>0</v>
      </c>
      <c r="Y258" s="603">
        <v>0</v>
      </c>
      <c r="Z258" s="603">
        <v>0</v>
      </c>
    </row>
    <row r="259" spans="1:26" x14ac:dyDescent="0.2">
      <c r="A259" s="605" t="s">
        <v>485</v>
      </c>
      <c r="B259" s="665">
        <v>0</v>
      </c>
      <c r="C259" s="665">
        <v>0</v>
      </c>
      <c r="D259" s="665">
        <v>0</v>
      </c>
      <c r="E259" s="665">
        <v>0</v>
      </c>
      <c r="F259" s="665">
        <v>0</v>
      </c>
      <c r="G259" s="665">
        <v>0</v>
      </c>
      <c r="H259" s="665">
        <v>0</v>
      </c>
      <c r="I259" s="665">
        <v>0</v>
      </c>
      <c r="J259" s="665">
        <v>0</v>
      </c>
      <c r="K259" s="665">
        <v>0</v>
      </c>
      <c r="L259" s="665">
        <v>0</v>
      </c>
      <c r="M259" s="665">
        <v>0</v>
      </c>
      <c r="N259" s="665">
        <v>0</v>
      </c>
      <c r="O259" s="665">
        <v>0</v>
      </c>
      <c r="P259" s="665">
        <v>0</v>
      </c>
      <c r="Q259" s="665">
        <v>0</v>
      </c>
      <c r="R259" s="665">
        <v>0</v>
      </c>
      <c r="S259" s="665">
        <v>0</v>
      </c>
      <c r="T259" s="604" t="e">
        <v>#DIV/0!</v>
      </c>
      <c r="U259" s="603">
        <v>0</v>
      </c>
      <c r="V259" s="603">
        <v>0</v>
      </c>
      <c r="W259" s="603">
        <v>0</v>
      </c>
      <c r="X259" s="603">
        <v>0</v>
      </c>
      <c r="Y259" s="603">
        <v>0</v>
      </c>
      <c r="Z259" s="603">
        <v>0</v>
      </c>
    </row>
    <row r="260" spans="1:26" x14ac:dyDescent="0.2">
      <c r="A260" s="605" t="s">
        <v>486</v>
      </c>
      <c r="B260" s="665">
        <v>0</v>
      </c>
      <c r="C260" s="665">
        <v>0</v>
      </c>
      <c r="D260" s="665">
        <v>0</v>
      </c>
      <c r="E260" s="665">
        <v>0</v>
      </c>
      <c r="F260" s="665">
        <v>0</v>
      </c>
      <c r="G260" s="665">
        <v>0</v>
      </c>
      <c r="H260" s="665">
        <v>0</v>
      </c>
      <c r="I260" s="665">
        <v>0</v>
      </c>
      <c r="J260" s="665">
        <v>0</v>
      </c>
      <c r="K260" s="665">
        <v>0</v>
      </c>
      <c r="L260" s="665">
        <v>0</v>
      </c>
      <c r="M260" s="665">
        <v>0</v>
      </c>
      <c r="N260" s="665">
        <v>0</v>
      </c>
      <c r="O260" s="665">
        <v>0</v>
      </c>
      <c r="P260" s="665">
        <v>0</v>
      </c>
      <c r="Q260" s="665">
        <v>0</v>
      </c>
      <c r="R260" s="665">
        <v>0</v>
      </c>
      <c r="S260" s="665">
        <v>0</v>
      </c>
      <c r="T260" s="604" t="e">
        <v>#DIV/0!</v>
      </c>
      <c r="U260" s="603">
        <v>0</v>
      </c>
      <c r="V260" s="603">
        <v>0</v>
      </c>
      <c r="W260" s="603">
        <v>0</v>
      </c>
      <c r="X260" s="603">
        <v>0</v>
      </c>
      <c r="Y260" s="603">
        <v>0</v>
      </c>
      <c r="Z260" s="603">
        <v>0</v>
      </c>
    </row>
    <row r="261" spans="1:26" x14ac:dyDescent="0.2">
      <c r="A261" s="605" t="s">
        <v>487</v>
      </c>
      <c r="B261" s="665">
        <v>0</v>
      </c>
      <c r="C261" s="665">
        <v>0</v>
      </c>
      <c r="D261" s="665">
        <v>0</v>
      </c>
      <c r="E261" s="665">
        <v>0</v>
      </c>
      <c r="F261" s="665">
        <v>0</v>
      </c>
      <c r="G261" s="665">
        <v>0</v>
      </c>
      <c r="H261" s="665">
        <v>0</v>
      </c>
      <c r="I261" s="665">
        <v>0</v>
      </c>
      <c r="J261" s="665">
        <v>0</v>
      </c>
      <c r="K261" s="665">
        <v>0</v>
      </c>
      <c r="L261" s="665">
        <v>0</v>
      </c>
      <c r="M261" s="665">
        <v>0</v>
      </c>
      <c r="N261" s="665">
        <v>0</v>
      </c>
      <c r="O261" s="665">
        <v>0</v>
      </c>
      <c r="P261" s="665">
        <v>0</v>
      </c>
      <c r="Q261" s="665">
        <v>0</v>
      </c>
      <c r="R261" s="665">
        <v>0</v>
      </c>
      <c r="S261" s="665">
        <v>0</v>
      </c>
      <c r="T261" s="604" t="e">
        <v>#DIV/0!</v>
      </c>
      <c r="U261" s="603">
        <v>0</v>
      </c>
      <c r="V261" s="603">
        <v>0</v>
      </c>
      <c r="W261" s="603">
        <v>0</v>
      </c>
      <c r="X261" s="603">
        <v>0</v>
      </c>
      <c r="Y261" s="603">
        <v>0</v>
      </c>
      <c r="Z261" s="603">
        <v>0</v>
      </c>
    </row>
    <row r="262" spans="1:26" x14ac:dyDescent="0.2">
      <c r="A262" s="605" t="s">
        <v>488</v>
      </c>
      <c r="B262" s="665">
        <v>0</v>
      </c>
      <c r="C262" s="665">
        <v>0</v>
      </c>
      <c r="D262" s="665">
        <v>0</v>
      </c>
      <c r="E262" s="665">
        <v>0</v>
      </c>
      <c r="F262" s="665">
        <v>0</v>
      </c>
      <c r="G262" s="665">
        <v>0</v>
      </c>
      <c r="H262" s="665">
        <v>0</v>
      </c>
      <c r="I262" s="665">
        <v>0</v>
      </c>
      <c r="J262" s="665">
        <v>0</v>
      </c>
      <c r="K262" s="665">
        <v>0</v>
      </c>
      <c r="L262" s="665">
        <v>0</v>
      </c>
      <c r="M262" s="665">
        <v>0</v>
      </c>
      <c r="N262" s="665">
        <v>0</v>
      </c>
      <c r="O262" s="665">
        <v>0</v>
      </c>
      <c r="P262" s="665">
        <v>0</v>
      </c>
      <c r="Q262" s="665">
        <v>0</v>
      </c>
      <c r="R262" s="665">
        <v>0</v>
      </c>
      <c r="S262" s="665">
        <v>0</v>
      </c>
      <c r="T262" s="604" t="e">
        <v>#DIV/0!</v>
      </c>
      <c r="U262" s="603">
        <v>0</v>
      </c>
      <c r="V262" s="603">
        <v>0</v>
      </c>
      <c r="W262" s="603">
        <v>0</v>
      </c>
      <c r="X262" s="603">
        <v>0</v>
      </c>
      <c r="Y262" s="603">
        <v>0</v>
      </c>
      <c r="Z262" s="603">
        <v>0</v>
      </c>
    </row>
    <row r="263" spans="1:26" x14ac:dyDescent="0.2">
      <c r="A263" s="605" t="s">
        <v>489</v>
      </c>
      <c r="B263" s="665">
        <v>0</v>
      </c>
      <c r="C263" s="665">
        <v>0</v>
      </c>
      <c r="D263" s="665">
        <v>0</v>
      </c>
      <c r="E263" s="665">
        <v>0</v>
      </c>
      <c r="F263" s="665">
        <v>0</v>
      </c>
      <c r="G263" s="665">
        <v>0</v>
      </c>
      <c r="H263" s="665">
        <v>0</v>
      </c>
      <c r="I263" s="665">
        <v>0</v>
      </c>
      <c r="J263" s="665">
        <v>0</v>
      </c>
      <c r="K263" s="665">
        <v>0</v>
      </c>
      <c r="L263" s="665">
        <v>0</v>
      </c>
      <c r="M263" s="665">
        <v>0</v>
      </c>
      <c r="N263" s="665">
        <v>0</v>
      </c>
      <c r="O263" s="665">
        <v>0</v>
      </c>
      <c r="P263" s="665">
        <v>0</v>
      </c>
      <c r="Q263" s="665">
        <v>0</v>
      </c>
      <c r="R263" s="665">
        <v>0</v>
      </c>
      <c r="S263" s="665">
        <v>0</v>
      </c>
      <c r="T263" s="604" t="e">
        <v>#DIV/0!</v>
      </c>
      <c r="U263" s="603">
        <v>0</v>
      </c>
      <c r="V263" s="603">
        <v>0</v>
      </c>
      <c r="W263" s="603">
        <v>0</v>
      </c>
      <c r="X263" s="603">
        <v>0</v>
      </c>
      <c r="Y263" s="603">
        <v>0</v>
      </c>
      <c r="Z263" s="603">
        <v>0</v>
      </c>
    </row>
    <row r="264" spans="1:26" x14ac:dyDescent="0.2">
      <c r="A264" s="605" t="s">
        <v>490</v>
      </c>
      <c r="B264" s="665">
        <v>0</v>
      </c>
      <c r="C264" s="665">
        <v>0</v>
      </c>
      <c r="D264" s="665">
        <v>0</v>
      </c>
      <c r="E264" s="665">
        <v>0</v>
      </c>
      <c r="F264" s="665">
        <v>0</v>
      </c>
      <c r="G264" s="665">
        <v>0</v>
      </c>
      <c r="H264" s="665">
        <v>0</v>
      </c>
      <c r="I264" s="665">
        <v>0</v>
      </c>
      <c r="J264" s="665">
        <v>0</v>
      </c>
      <c r="K264" s="665">
        <v>0</v>
      </c>
      <c r="L264" s="665">
        <v>0</v>
      </c>
      <c r="M264" s="665">
        <v>0</v>
      </c>
      <c r="N264" s="665">
        <v>0</v>
      </c>
      <c r="O264" s="665">
        <v>0</v>
      </c>
      <c r="P264" s="665">
        <v>0</v>
      </c>
      <c r="Q264" s="665">
        <v>0</v>
      </c>
      <c r="R264" s="665">
        <v>0</v>
      </c>
      <c r="S264" s="665">
        <v>0</v>
      </c>
      <c r="T264" s="604" t="e">
        <v>#DIV/0!</v>
      </c>
      <c r="U264" s="603">
        <v>0</v>
      </c>
      <c r="V264" s="603">
        <v>0</v>
      </c>
      <c r="W264" s="603">
        <v>0</v>
      </c>
      <c r="X264" s="603">
        <v>0</v>
      </c>
      <c r="Y264" s="603">
        <v>0</v>
      </c>
      <c r="Z264" s="603">
        <v>0</v>
      </c>
    </row>
    <row r="265" spans="1:26" ht="24" x14ac:dyDescent="0.2">
      <c r="A265" s="605" t="s">
        <v>491</v>
      </c>
      <c r="B265" s="665">
        <v>0</v>
      </c>
      <c r="C265" s="665">
        <v>0</v>
      </c>
      <c r="D265" s="665">
        <v>0</v>
      </c>
      <c r="E265" s="665">
        <v>0</v>
      </c>
      <c r="F265" s="665">
        <v>0</v>
      </c>
      <c r="G265" s="665">
        <v>0</v>
      </c>
      <c r="H265" s="665">
        <v>0</v>
      </c>
      <c r="I265" s="665">
        <v>0</v>
      </c>
      <c r="J265" s="665">
        <v>0</v>
      </c>
      <c r="K265" s="665">
        <v>0</v>
      </c>
      <c r="L265" s="665">
        <v>0</v>
      </c>
      <c r="M265" s="665">
        <v>0</v>
      </c>
      <c r="N265" s="665">
        <v>0</v>
      </c>
      <c r="O265" s="665">
        <v>0</v>
      </c>
      <c r="P265" s="665">
        <v>0</v>
      </c>
      <c r="Q265" s="665">
        <v>0</v>
      </c>
      <c r="R265" s="665">
        <v>0</v>
      </c>
      <c r="S265" s="665">
        <v>0</v>
      </c>
      <c r="T265" s="604" t="e">
        <v>#DIV/0!</v>
      </c>
      <c r="U265" s="603">
        <v>0</v>
      </c>
      <c r="V265" s="603">
        <v>0</v>
      </c>
      <c r="W265" s="603">
        <v>0</v>
      </c>
      <c r="X265" s="603">
        <v>0</v>
      </c>
      <c r="Y265" s="603">
        <v>0</v>
      </c>
      <c r="Z265" s="603">
        <v>0</v>
      </c>
    </row>
    <row r="266" spans="1:26" x14ac:dyDescent="0.2">
      <c r="A266" s="605" t="s">
        <v>492</v>
      </c>
      <c r="B266" s="665">
        <v>0</v>
      </c>
      <c r="C266" s="665">
        <v>0</v>
      </c>
      <c r="D266" s="665">
        <v>0</v>
      </c>
      <c r="E266" s="665">
        <v>0</v>
      </c>
      <c r="F266" s="665">
        <v>0</v>
      </c>
      <c r="G266" s="665">
        <v>0</v>
      </c>
      <c r="H266" s="665">
        <v>0</v>
      </c>
      <c r="I266" s="665">
        <v>0</v>
      </c>
      <c r="J266" s="665">
        <v>0</v>
      </c>
      <c r="K266" s="665">
        <v>0</v>
      </c>
      <c r="L266" s="665">
        <v>0</v>
      </c>
      <c r="M266" s="665">
        <v>0</v>
      </c>
      <c r="N266" s="665">
        <v>0</v>
      </c>
      <c r="O266" s="665">
        <v>0</v>
      </c>
      <c r="P266" s="665">
        <v>0</v>
      </c>
      <c r="Q266" s="665">
        <v>0</v>
      </c>
      <c r="R266" s="665">
        <v>0</v>
      </c>
      <c r="S266" s="665">
        <v>0</v>
      </c>
      <c r="T266" s="604" t="e">
        <v>#DIV/0!</v>
      </c>
      <c r="U266" s="603">
        <v>0</v>
      </c>
      <c r="V266" s="603">
        <v>0</v>
      </c>
      <c r="W266" s="603">
        <v>0</v>
      </c>
      <c r="X266" s="603">
        <v>0</v>
      </c>
      <c r="Y266" s="603">
        <v>0</v>
      </c>
      <c r="Z266" s="603">
        <v>0</v>
      </c>
    </row>
    <row r="267" spans="1:26" x14ac:dyDescent="0.2">
      <c r="A267" s="605" t="s">
        <v>493</v>
      </c>
      <c r="B267" s="665">
        <v>0</v>
      </c>
      <c r="C267" s="665">
        <v>0</v>
      </c>
      <c r="D267" s="665">
        <v>0</v>
      </c>
      <c r="E267" s="665">
        <v>0</v>
      </c>
      <c r="F267" s="665">
        <v>0</v>
      </c>
      <c r="G267" s="665">
        <v>0</v>
      </c>
      <c r="H267" s="665">
        <v>0</v>
      </c>
      <c r="I267" s="665">
        <v>0</v>
      </c>
      <c r="J267" s="665">
        <v>0</v>
      </c>
      <c r="K267" s="665">
        <v>0</v>
      </c>
      <c r="L267" s="665">
        <v>0</v>
      </c>
      <c r="M267" s="665">
        <v>0</v>
      </c>
      <c r="N267" s="665">
        <v>0</v>
      </c>
      <c r="O267" s="665">
        <v>0</v>
      </c>
      <c r="P267" s="665">
        <v>0</v>
      </c>
      <c r="Q267" s="665">
        <v>0</v>
      </c>
      <c r="R267" s="665">
        <v>0</v>
      </c>
      <c r="S267" s="665">
        <v>0</v>
      </c>
      <c r="T267" s="604" t="e">
        <v>#DIV/0!</v>
      </c>
      <c r="U267" s="603">
        <v>0</v>
      </c>
      <c r="V267" s="603">
        <v>0</v>
      </c>
      <c r="W267" s="603">
        <v>0</v>
      </c>
      <c r="X267" s="603">
        <v>0</v>
      </c>
      <c r="Y267" s="603">
        <v>0</v>
      </c>
      <c r="Z267" s="603">
        <v>0</v>
      </c>
    </row>
    <row r="268" spans="1:26" ht="24" x14ac:dyDescent="0.2">
      <c r="A268" s="605" t="s">
        <v>494</v>
      </c>
      <c r="B268" s="665">
        <v>0</v>
      </c>
      <c r="C268" s="665">
        <v>0</v>
      </c>
      <c r="D268" s="665">
        <v>0</v>
      </c>
      <c r="E268" s="665">
        <v>0</v>
      </c>
      <c r="F268" s="665">
        <v>0</v>
      </c>
      <c r="G268" s="665">
        <v>0</v>
      </c>
      <c r="H268" s="665">
        <v>0</v>
      </c>
      <c r="I268" s="665">
        <v>0</v>
      </c>
      <c r="J268" s="665">
        <v>0</v>
      </c>
      <c r="K268" s="665">
        <v>0</v>
      </c>
      <c r="L268" s="665">
        <v>0</v>
      </c>
      <c r="M268" s="665">
        <v>0</v>
      </c>
      <c r="N268" s="665">
        <v>0</v>
      </c>
      <c r="O268" s="665">
        <v>0</v>
      </c>
      <c r="P268" s="665">
        <v>0</v>
      </c>
      <c r="Q268" s="665">
        <v>0</v>
      </c>
      <c r="R268" s="665">
        <v>0</v>
      </c>
      <c r="S268" s="665">
        <v>0</v>
      </c>
      <c r="T268" s="604" t="e">
        <v>#DIV/0!</v>
      </c>
      <c r="U268" s="603">
        <v>0</v>
      </c>
      <c r="V268" s="603">
        <v>0</v>
      </c>
      <c r="W268" s="603">
        <v>0</v>
      </c>
      <c r="X268" s="603">
        <v>0</v>
      </c>
      <c r="Y268" s="603">
        <v>0</v>
      </c>
      <c r="Z268" s="603">
        <v>0</v>
      </c>
    </row>
    <row r="269" spans="1:26" ht="24" x14ac:dyDescent="0.2">
      <c r="A269" s="605" t="s">
        <v>495</v>
      </c>
      <c r="B269" s="665">
        <v>0</v>
      </c>
      <c r="C269" s="665">
        <v>0</v>
      </c>
      <c r="D269" s="665">
        <v>0</v>
      </c>
      <c r="E269" s="665">
        <v>0</v>
      </c>
      <c r="F269" s="665">
        <v>0</v>
      </c>
      <c r="G269" s="665">
        <v>0</v>
      </c>
      <c r="H269" s="665">
        <v>0</v>
      </c>
      <c r="I269" s="665">
        <v>0</v>
      </c>
      <c r="J269" s="665">
        <v>0</v>
      </c>
      <c r="K269" s="665">
        <v>0</v>
      </c>
      <c r="L269" s="665">
        <v>0</v>
      </c>
      <c r="M269" s="665">
        <v>0</v>
      </c>
      <c r="N269" s="665">
        <v>0</v>
      </c>
      <c r="O269" s="665">
        <v>0</v>
      </c>
      <c r="P269" s="665">
        <v>0</v>
      </c>
      <c r="Q269" s="665">
        <v>0</v>
      </c>
      <c r="R269" s="665">
        <v>0</v>
      </c>
      <c r="S269" s="665">
        <v>0</v>
      </c>
      <c r="T269" s="604" t="e">
        <v>#DIV/0!</v>
      </c>
      <c r="U269" s="603">
        <v>0</v>
      </c>
      <c r="V269" s="603">
        <v>0</v>
      </c>
      <c r="W269" s="603">
        <v>0</v>
      </c>
      <c r="X269" s="603">
        <v>0</v>
      </c>
      <c r="Y269" s="603">
        <v>0</v>
      </c>
      <c r="Z269" s="603">
        <v>0</v>
      </c>
    </row>
    <row r="270" spans="1:26" x14ac:dyDescent="0.2">
      <c r="A270" s="605" t="s">
        <v>496</v>
      </c>
      <c r="B270" s="665">
        <v>0</v>
      </c>
      <c r="C270" s="665">
        <v>0</v>
      </c>
      <c r="D270" s="665">
        <v>0</v>
      </c>
      <c r="E270" s="665">
        <v>0</v>
      </c>
      <c r="F270" s="665">
        <v>0</v>
      </c>
      <c r="G270" s="665">
        <v>0</v>
      </c>
      <c r="H270" s="665">
        <v>0</v>
      </c>
      <c r="I270" s="665">
        <v>0</v>
      </c>
      <c r="J270" s="665">
        <v>0</v>
      </c>
      <c r="K270" s="665">
        <v>0</v>
      </c>
      <c r="L270" s="665">
        <v>0</v>
      </c>
      <c r="M270" s="665">
        <v>0</v>
      </c>
      <c r="N270" s="665">
        <v>0</v>
      </c>
      <c r="O270" s="665">
        <v>0</v>
      </c>
      <c r="P270" s="665">
        <v>0</v>
      </c>
      <c r="Q270" s="665">
        <v>0</v>
      </c>
      <c r="R270" s="665">
        <v>0</v>
      </c>
      <c r="S270" s="665">
        <v>0</v>
      </c>
      <c r="T270" s="604" t="e">
        <v>#DIV/0!</v>
      </c>
      <c r="U270" s="603">
        <v>0</v>
      </c>
      <c r="V270" s="603">
        <v>0</v>
      </c>
      <c r="W270" s="603">
        <v>0</v>
      </c>
      <c r="X270" s="603">
        <v>0</v>
      </c>
      <c r="Y270" s="603">
        <v>0</v>
      </c>
      <c r="Z270" s="603">
        <v>0</v>
      </c>
    </row>
    <row r="271" spans="1:26" x14ac:dyDescent="0.2">
      <c r="A271" s="605" t="s">
        <v>497</v>
      </c>
      <c r="B271" s="665">
        <v>0</v>
      </c>
      <c r="C271" s="665">
        <v>0</v>
      </c>
      <c r="D271" s="665">
        <v>0</v>
      </c>
      <c r="E271" s="665">
        <v>0</v>
      </c>
      <c r="F271" s="665">
        <v>0</v>
      </c>
      <c r="G271" s="665">
        <v>0</v>
      </c>
      <c r="H271" s="665">
        <v>0</v>
      </c>
      <c r="I271" s="665">
        <v>0</v>
      </c>
      <c r="J271" s="665">
        <v>0</v>
      </c>
      <c r="K271" s="665">
        <v>0</v>
      </c>
      <c r="L271" s="665">
        <v>0</v>
      </c>
      <c r="M271" s="665">
        <v>0</v>
      </c>
      <c r="N271" s="665">
        <v>0</v>
      </c>
      <c r="O271" s="665">
        <v>0</v>
      </c>
      <c r="P271" s="665">
        <v>0</v>
      </c>
      <c r="Q271" s="665">
        <v>0</v>
      </c>
      <c r="R271" s="665">
        <v>0</v>
      </c>
      <c r="S271" s="665">
        <v>0</v>
      </c>
      <c r="T271" s="604" t="e">
        <v>#DIV/0!</v>
      </c>
      <c r="U271" s="603">
        <v>0</v>
      </c>
      <c r="V271" s="603">
        <v>0</v>
      </c>
      <c r="W271" s="603">
        <v>0</v>
      </c>
      <c r="X271" s="603">
        <v>0</v>
      </c>
      <c r="Y271" s="603">
        <v>0</v>
      </c>
      <c r="Z271" s="603">
        <v>0</v>
      </c>
    </row>
    <row r="272" spans="1:26" x14ac:dyDescent="0.2">
      <c r="A272" s="605" t="s">
        <v>498</v>
      </c>
      <c r="B272" s="665">
        <v>0</v>
      </c>
      <c r="C272" s="665">
        <v>0</v>
      </c>
      <c r="D272" s="665">
        <v>0</v>
      </c>
      <c r="E272" s="665">
        <v>0</v>
      </c>
      <c r="F272" s="665">
        <v>0</v>
      </c>
      <c r="G272" s="665">
        <v>0</v>
      </c>
      <c r="H272" s="665">
        <v>0</v>
      </c>
      <c r="I272" s="665">
        <v>0</v>
      </c>
      <c r="J272" s="665">
        <v>0</v>
      </c>
      <c r="K272" s="665">
        <v>0</v>
      </c>
      <c r="L272" s="665">
        <v>0</v>
      </c>
      <c r="M272" s="665">
        <v>0</v>
      </c>
      <c r="N272" s="665">
        <v>0</v>
      </c>
      <c r="O272" s="665">
        <v>0</v>
      </c>
      <c r="P272" s="665">
        <v>0</v>
      </c>
      <c r="Q272" s="665">
        <v>0</v>
      </c>
      <c r="R272" s="665">
        <v>0</v>
      </c>
      <c r="S272" s="665">
        <v>0</v>
      </c>
      <c r="T272" s="604" t="e">
        <v>#DIV/0!</v>
      </c>
      <c r="U272" s="603">
        <v>0</v>
      </c>
      <c r="V272" s="603">
        <v>0</v>
      </c>
      <c r="W272" s="603">
        <v>0</v>
      </c>
      <c r="X272" s="603">
        <v>0</v>
      </c>
      <c r="Y272" s="603">
        <v>0</v>
      </c>
      <c r="Z272" s="603">
        <v>0</v>
      </c>
    </row>
    <row r="273" spans="1:26" x14ac:dyDescent="0.2">
      <c r="A273" s="597" t="s">
        <v>499</v>
      </c>
      <c r="B273" s="655">
        <v>9600</v>
      </c>
      <c r="C273" s="655">
        <v>2922</v>
      </c>
      <c r="D273" s="655">
        <v>2922</v>
      </c>
      <c r="E273" s="655">
        <v>1811.28</v>
      </c>
      <c r="F273" s="655">
        <v>1811.28</v>
      </c>
      <c r="G273" s="655">
        <v>0</v>
      </c>
      <c r="H273" s="655">
        <v>441.36</v>
      </c>
      <c r="I273" s="655">
        <v>302.88</v>
      </c>
      <c r="J273" s="655">
        <v>218.16</v>
      </c>
      <c r="K273" s="655">
        <v>263.76</v>
      </c>
      <c r="L273" s="655">
        <v>223.68</v>
      </c>
      <c r="M273" s="655">
        <v>193.92</v>
      </c>
      <c r="N273" s="655">
        <v>167.52</v>
      </c>
      <c r="O273" s="655">
        <v>0</v>
      </c>
      <c r="P273" s="655">
        <v>0</v>
      </c>
      <c r="Q273" s="655">
        <v>0</v>
      </c>
      <c r="R273" s="655">
        <v>0</v>
      </c>
      <c r="S273" s="655">
        <v>1811.28</v>
      </c>
      <c r="T273" s="600">
        <v>0.61987679671457907</v>
      </c>
      <c r="U273" s="599">
        <v>1110.72</v>
      </c>
      <c r="V273" s="599">
        <v>0</v>
      </c>
      <c r="W273" s="599">
        <v>1110.72</v>
      </c>
      <c r="X273" s="599">
        <v>1110.72</v>
      </c>
      <c r="Y273" s="599">
        <v>0</v>
      </c>
      <c r="Z273" s="599">
        <v>0</v>
      </c>
    </row>
    <row r="274" spans="1:26" x14ac:dyDescent="0.2">
      <c r="A274" s="605" t="s">
        <v>500</v>
      </c>
      <c r="B274" s="665">
        <v>0</v>
      </c>
      <c r="C274" s="665">
        <v>0</v>
      </c>
      <c r="D274" s="665">
        <v>0</v>
      </c>
      <c r="E274" s="665">
        <v>0</v>
      </c>
      <c r="F274" s="665">
        <v>0</v>
      </c>
      <c r="G274" s="665">
        <v>0</v>
      </c>
      <c r="H274" s="665">
        <v>0</v>
      </c>
      <c r="I274" s="665">
        <v>0</v>
      </c>
      <c r="J274" s="665">
        <v>0</v>
      </c>
      <c r="K274" s="665">
        <v>0</v>
      </c>
      <c r="L274" s="665">
        <v>0</v>
      </c>
      <c r="M274" s="665">
        <v>0</v>
      </c>
      <c r="N274" s="665">
        <v>0</v>
      </c>
      <c r="O274" s="665">
        <v>0</v>
      </c>
      <c r="P274" s="665">
        <v>0</v>
      </c>
      <c r="Q274" s="665">
        <v>0</v>
      </c>
      <c r="R274" s="665">
        <v>0</v>
      </c>
      <c r="S274" s="665">
        <v>0</v>
      </c>
      <c r="T274" s="604" t="e">
        <v>#DIV/0!</v>
      </c>
      <c r="U274" s="603">
        <v>0</v>
      </c>
      <c r="V274" s="603">
        <v>0</v>
      </c>
      <c r="W274" s="603">
        <v>0</v>
      </c>
      <c r="X274" s="603">
        <v>0</v>
      </c>
      <c r="Y274" s="603">
        <v>0</v>
      </c>
      <c r="Z274" s="603">
        <v>0</v>
      </c>
    </row>
    <row r="275" spans="1:26" x14ac:dyDescent="0.2">
      <c r="A275" s="605" t="s">
        <v>501</v>
      </c>
      <c r="B275" s="665">
        <v>9600</v>
      </c>
      <c r="C275" s="665">
        <v>2922</v>
      </c>
      <c r="D275" s="665">
        <v>2922</v>
      </c>
      <c r="E275" s="665">
        <v>1811.28</v>
      </c>
      <c r="F275" s="665">
        <v>1811.28</v>
      </c>
      <c r="G275" s="665">
        <v>0</v>
      </c>
      <c r="H275" s="665">
        <v>441.36</v>
      </c>
      <c r="I275" s="665">
        <v>302.88</v>
      </c>
      <c r="J275" s="665">
        <v>218.16</v>
      </c>
      <c r="K275" s="665">
        <v>263.76</v>
      </c>
      <c r="L275" s="665">
        <v>223.68</v>
      </c>
      <c r="M275" s="665">
        <v>193.92</v>
      </c>
      <c r="N275" s="665">
        <v>167.52</v>
      </c>
      <c r="O275" s="665">
        <v>0</v>
      </c>
      <c r="P275" s="665">
        <v>0</v>
      </c>
      <c r="Q275" s="665">
        <v>0</v>
      </c>
      <c r="R275" s="665">
        <v>0</v>
      </c>
      <c r="S275" s="665">
        <v>1811.28</v>
      </c>
      <c r="T275" s="604">
        <v>0.61987679671457907</v>
      </c>
      <c r="U275" s="603">
        <v>1110.72</v>
      </c>
      <c r="V275" s="603">
        <v>0</v>
      </c>
      <c r="W275" s="603">
        <v>1110.72</v>
      </c>
      <c r="X275" s="603">
        <v>1110.72</v>
      </c>
      <c r="Y275" s="603">
        <v>0</v>
      </c>
      <c r="Z275" s="603">
        <v>0</v>
      </c>
    </row>
    <row r="276" spans="1:26" x14ac:dyDescent="0.2">
      <c r="A276" s="605" t="s">
        <v>502</v>
      </c>
      <c r="B276" s="665">
        <v>0</v>
      </c>
      <c r="C276" s="665">
        <v>0</v>
      </c>
      <c r="D276" s="665">
        <v>0</v>
      </c>
      <c r="E276" s="665">
        <v>0</v>
      </c>
      <c r="F276" s="665">
        <v>0</v>
      </c>
      <c r="G276" s="665">
        <v>0</v>
      </c>
      <c r="H276" s="665">
        <v>0</v>
      </c>
      <c r="I276" s="665">
        <v>0</v>
      </c>
      <c r="J276" s="665">
        <v>0</v>
      </c>
      <c r="K276" s="665">
        <v>0</v>
      </c>
      <c r="L276" s="665">
        <v>0</v>
      </c>
      <c r="M276" s="665">
        <v>0</v>
      </c>
      <c r="N276" s="665">
        <v>0</v>
      </c>
      <c r="O276" s="665">
        <v>0</v>
      </c>
      <c r="P276" s="665">
        <v>0</v>
      </c>
      <c r="Q276" s="665">
        <v>0</v>
      </c>
      <c r="R276" s="665">
        <v>0</v>
      </c>
      <c r="S276" s="665">
        <v>0</v>
      </c>
      <c r="T276" s="604" t="e">
        <v>#DIV/0!</v>
      </c>
      <c r="U276" s="603">
        <v>0</v>
      </c>
      <c r="V276" s="603">
        <v>0</v>
      </c>
      <c r="W276" s="603">
        <v>0</v>
      </c>
      <c r="X276" s="603">
        <v>0</v>
      </c>
      <c r="Y276" s="603">
        <v>0</v>
      </c>
      <c r="Z276" s="603">
        <v>0</v>
      </c>
    </row>
    <row r="277" spans="1:26" x14ac:dyDescent="0.2">
      <c r="A277" s="605" t="s">
        <v>503</v>
      </c>
      <c r="B277" s="665">
        <v>0</v>
      </c>
      <c r="C277" s="665">
        <v>0</v>
      </c>
      <c r="D277" s="665">
        <v>0</v>
      </c>
      <c r="E277" s="665">
        <v>0</v>
      </c>
      <c r="F277" s="665">
        <v>0</v>
      </c>
      <c r="G277" s="665">
        <v>0</v>
      </c>
      <c r="H277" s="665">
        <v>0</v>
      </c>
      <c r="I277" s="665">
        <v>0</v>
      </c>
      <c r="J277" s="665">
        <v>0</v>
      </c>
      <c r="K277" s="665">
        <v>0</v>
      </c>
      <c r="L277" s="665">
        <v>0</v>
      </c>
      <c r="M277" s="665">
        <v>0</v>
      </c>
      <c r="N277" s="665">
        <v>0</v>
      </c>
      <c r="O277" s="665">
        <v>0</v>
      </c>
      <c r="P277" s="665">
        <v>0</v>
      </c>
      <c r="Q277" s="665">
        <v>0</v>
      </c>
      <c r="R277" s="665">
        <v>0</v>
      </c>
      <c r="S277" s="665">
        <v>0</v>
      </c>
      <c r="T277" s="604" t="e">
        <v>#DIV/0!</v>
      </c>
      <c r="U277" s="603">
        <v>0</v>
      </c>
      <c r="V277" s="603">
        <v>0</v>
      </c>
      <c r="W277" s="603">
        <v>0</v>
      </c>
      <c r="X277" s="603">
        <v>0</v>
      </c>
      <c r="Y277" s="603">
        <v>0</v>
      </c>
      <c r="Z277" s="603">
        <v>0</v>
      </c>
    </row>
    <row r="278" spans="1:26" x14ac:dyDescent="0.2">
      <c r="A278" s="597" t="s">
        <v>504</v>
      </c>
      <c r="B278" s="655">
        <v>3600</v>
      </c>
      <c r="C278" s="655">
        <v>6960</v>
      </c>
      <c r="D278" s="655">
        <v>6960</v>
      </c>
      <c r="E278" s="655">
        <v>2400</v>
      </c>
      <c r="F278" s="655">
        <v>2400</v>
      </c>
      <c r="G278" s="655">
        <v>0</v>
      </c>
      <c r="H278" s="655">
        <v>0</v>
      </c>
      <c r="I278" s="655">
        <v>0</v>
      </c>
      <c r="J278" s="655">
        <v>2400</v>
      </c>
      <c r="K278" s="655">
        <v>0</v>
      </c>
      <c r="L278" s="655">
        <v>0</v>
      </c>
      <c r="M278" s="655">
        <v>0</v>
      </c>
      <c r="N278" s="655">
        <v>0</v>
      </c>
      <c r="O278" s="655">
        <v>0</v>
      </c>
      <c r="P278" s="655">
        <v>0</v>
      </c>
      <c r="Q278" s="655">
        <v>0</v>
      </c>
      <c r="R278" s="655">
        <v>0</v>
      </c>
      <c r="S278" s="655">
        <v>2400</v>
      </c>
      <c r="T278" s="600">
        <v>0.34482758620689657</v>
      </c>
      <c r="U278" s="599">
        <v>4560</v>
      </c>
      <c r="V278" s="599">
        <v>0</v>
      </c>
      <c r="W278" s="599">
        <v>4560</v>
      </c>
      <c r="X278" s="599">
        <v>4560</v>
      </c>
      <c r="Y278" s="599">
        <v>0</v>
      </c>
      <c r="Z278" s="599">
        <v>0</v>
      </c>
    </row>
    <row r="279" spans="1:26" x14ac:dyDescent="0.2">
      <c r="A279" s="605" t="s">
        <v>505</v>
      </c>
      <c r="B279" s="665">
        <v>0</v>
      </c>
      <c r="C279" s="665">
        <v>0</v>
      </c>
      <c r="D279" s="665">
        <v>0</v>
      </c>
      <c r="E279" s="665">
        <v>0</v>
      </c>
      <c r="F279" s="665">
        <v>0</v>
      </c>
      <c r="G279" s="665">
        <v>0</v>
      </c>
      <c r="H279" s="665">
        <v>0</v>
      </c>
      <c r="I279" s="665">
        <v>0</v>
      </c>
      <c r="J279" s="665">
        <v>0</v>
      </c>
      <c r="K279" s="665">
        <v>0</v>
      </c>
      <c r="L279" s="665">
        <v>0</v>
      </c>
      <c r="M279" s="665">
        <v>0</v>
      </c>
      <c r="N279" s="665">
        <v>0</v>
      </c>
      <c r="O279" s="665">
        <v>0</v>
      </c>
      <c r="P279" s="665">
        <v>0</v>
      </c>
      <c r="Q279" s="665">
        <v>0</v>
      </c>
      <c r="R279" s="665">
        <v>0</v>
      </c>
      <c r="S279" s="665">
        <v>0</v>
      </c>
      <c r="T279" s="604" t="e">
        <v>#DIV/0!</v>
      </c>
      <c r="U279" s="603">
        <v>0</v>
      </c>
      <c r="V279" s="603">
        <v>0</v>
      </c>
      <c r="W279" s="603">
        <v>0</v>
      </c>
      <c r="X279" s="603">
        <v>0</v>
      </c>
      <c r="Y279" s="603">
        <v>0</v>
      </c>
      <c r="Z279" s="603">
        <v>0</v>
      </c>
    </row>
    <row r="280" spans="1:26" x14ac:dyDescent="0.2">
      <c r="A280" s="605" t="s">
        <v>506</v>
      </c>
      <c r="B280" s="665">
        <v>2400</v>
      </c>
      <c r="C280" s="665">
        <v>2400</v>
      </c>
      <c r="D280" s="665">
        <v>2400</v>
      </c>
      <c r="E280" s="665">
        <v>2400</v>
      </c>
      <c r="F280" s="665">
        <v>2400</v>
      </c>
      <c r="G280" s="665">
        <v>0</v>
      </c>
      <c r="H280" s="665">
        <v>0</v>
      </c>
      <c r="I280" s="665">
        <v>0</v>
      </c>
      <c r="J280" s="665">
        <v>2400</v>
      </c>
      <c r="K280" s="665">
        <v>0</v>
      </c>
      <c r="L280" s="665">
        <v>0</v>
      </c>
      <c r="M280" s="665">
        <v>0</v>
      </c>
      <c r="N280" s="665">
        <v>0</v>
      </c>
      <c r="O280" s="665">
        <v>0</v>
      </c>
      <c r="P280" s="665">
        <v>0</v>
      </c>
      <c r="Q280" s="665">
        <v>0</v>
      </c>
      <c r="R280" s="665">
        <v>0</v>
      </c>
      <c r="S280" s="665">
        <v>2400</v>
      </c>
      <c r="T280" s="604">
        <v>1</v>
      </c>
      <c r="U280" s="603">
        <v>0</v>
      </c>
      <c r="V280" s="603">
        <v>0</v>
      </c>
      <c r="W280" s="603">
        <v>0</v>
      </c>
      <c r="X280" s="603">
        <v>0</v>
      </c>
      <c r="Y280" s="603">
        <v>0</v>
      </c>
      <c r="Z280" s="603">
        <v>0</v>
      </c>
    </row>
    <row r="281" spans="1:26" x14ac:dyDescent="0.2">
      <c r="A281" s="605" t="s">
        <v>507</v>
      </c>
      <c r="B281" s="665">
        <v>1200</v>
      </c>
      <c r="C281" s="665">
        <v>4560</v>
      </c>
      <c r="D281" s="665">
        <v>4560</v>
      </c>
      <c r="E281" s="665">
        <v>0</v>
      </c>
      <c r="F281" s="665">
        <v>0</v>
      </c>
      <c r="G281" s="665">
        <v>0</v>
      </c>
      <c r="H281" s="665">
        <v>0</v>
      </c>
      <c r="I281" s="665">
        <v>0</v>
      </c>
      <c r="J281" s="665">
        <v>0</v>
      </c>
      <c r="K281" s="665">
        <v>0</v>
      </c>
      <c r="L281" s="665">
        <v>0</v>
      </c>
      <c r="M281" s="665">
        <v>0</v>
      </c>
      <c r="N281" s="665">
        <v>0</v>
      </c>
      <c r="O281" s="665">
        <v>0</v>
      </c>
      <c r="P281" s="665">
        <v>0</v>
      </c>
      <c r="Q281" s="665">
        <v>0</v>
      </c>
      <c r="R281" s="665">
        <v>0</v>
      </c>
      <c r="S281" s="665">
        <v>0</v>
      </c>
      <c r="T281" s="604">
        <v>0</v>
      </c>
      <c r="U281" s="603">
        <v>4560</v>
      </c>
      <c r="V281" s="603">
        <v>0</v>
      </c>
      <c r="W281" s="603">
        <v>4560</v>
      </c>
      <c r="X281" s="603">
        <v>4560</v>
      </c>
      <c r="Y281" s="603">
        <v>0</v>
      </c>
      <c r="Z281" s="603">
        <v>0</v>
      </c>
    </row>
    <row r="282" spans="1:26" x14ac:dyDescent="0.2">
      <c r="A282" s="605" t="s">
        <v>508</v>
      </c>
      <c r="B282" s="665">
        <v>0</v>
      </c>
      <c r="C282" s="665">
        <v>0</v>
      </c>
      <c r="D282" s="665">
        <v>0</v>
      </c>
      <c r="E282" s="665">
        <v>0</v>
      </c>
      <c r="F282" s="665">
        <v>0</v>
      </c>
      <c r="G282" s="665">
        <v>0</v>
      </c>
      <c r="H282" s="665">
        <v>0</v>
      </c>
      <c r="I282" s="665">
        <v>0</v>
      </c>
      <c r="J282" s="665">
        <v>0</v>
      </c>
      <c r="K282" s="665">
        <v>0</v>
      </c>
      <c r="L282" s="665">
        <v>0</v>
      </c>
      <c r="M282" s="665">
        <v>0</v>
      </c>
      <c r="N282" s="665">
        <v>0</v>
      </c>
      <c r="O282" s="665">
        <v>0</v>
      </c>
      <c r="P282" s="665">
        <v>0</v>
      </c>
      <c r="Q282" s="665">
        <v>0</v>
      </c>
      <c r="R282" s="665">
        <v>0</v>
      </c>
      <c r="S282" s="665">
        <v>0</v>
      </c>
      <c r="T282" s="604" t="e">
        <v>#DIV/0!</v>
      </c>
      <c r="U282" s="603">
        <v>0</v>
      </c>
      <c r="V282" s="603">
        <v>0</v>
      </c>
      <c r="W282" s="603">
        <v>0</v>
      </c>
      <c r="X282" s="603">
        <v>0</v>
      </c>
      <c r="Y282" s="603">
        <v>0</v>
      </c>
      <c r="Z282" s="603">
        <v>0</v>
      </c>
    </row>
    <row r="283" spans="1:26" x14ac:dyDescent="0.2">
      <c r="A283" s="605" t="s">
        <v>509</v>
      </c>
      <c r="B283" s="665">
        <v>0</v>
      </c>
      <c r="C283" s="665">
        <v>0</v>
      </c>
      <c r="D283" s="665">
        <v>0</v>
      </c>
      <c r="E283" s="665">
        <v>0</v>
      </c>
      <c r="F283" s="665">
        <v>0</v>
      </c>
      <c r="G283" s="665">
        <v>0</v>
      </c>
      <c r="H283" s="665">
        <v>0</v>
      </c>
      <c r="I283" s="665">
        <v>0</v>
      </c>
      <c r="J283" s="665">
        <v>0</v>
      </c>
      <c r="K283" s="665">
        <v>0</v>
      </c>
      <c r="L283" s="665">
        <v>0</v>
      </c>
      <c r="M283" s="665">
        <v>0</v>
      </c>
      <c r="N283" s="665">
        <v>0</v>
      </c>
      <c r="O283" s="665">
        <v>0</v>
      </c>
      <c r="P283" s="665">
        <v>0</v>
      </c>
      <c r="Q283" s="665">
        <v>0</v>
      </c>
      <c r="R283" s="665">
        <v>0</v>
      </c>
      <c r="S283" s="665">
        <v>0</v>
      </c>
      <c r="T283" s="604" t="e">
        <v>#DIV/0!</v>
      </c>
      <c r="U283" s="603">
        <v>0</v>
      </c>
      <c r="V283" s="603">
        <v>0</v>
      </c>
      <c r="W283" s="603">
        <v>0</v>
      </c>
      <c r="X283" s="603">
        <v>0</v>
      </c>
      <c r="Y283" s="603">
        <v>0</v>
      </c>
      <c r="Z283" s="603">
        <v>0</v>
      </c>
    </row>
    <row r="284" spans="1:26" x14ac:dyDescent="0.2">
      <c r="A284" s="605" t="s">
        <v>510</v>
      </c>
      <c r="B284" s="665">
        <v>0</v>
      </c>
      <c r="C284" s="665">
        <v>0</v>
      </c>
      <c r="D284" s="665">
        <v>0</v>
      </c>
      <c r="E284" s="665">
        <v>0</v>
      </c>
      <c r="F284" s="665">
        <v>0</v>
      </c>
      <c r="G284" s="665">
        <v>0</v>
      </c>
      <c r="H284" s="665">
        <v>0</v>
      </c>
      <c r="I284" s="665">
        <v>0</v>
      </c>
      <c r="J284" s="665">
        <v>0</v>
      </c>
      <c r="K284" s="665">
        <v>0</v>
      </c>
      <c r="L284" s="665">
        <v>0</v>
      </c>
      <c r="M284" s="665">
        <v>0</v>
      </c>
      <c r="N284" s="665">
        <v>0</v>
      </c>
      <c r="O284" s="665">
        <v>0</v>
      </c>
      <c r="P284" s="665">
        <v>0</v>
      </c>
      <c r="Q284" s="665">
        <v>0</v>
      </c>
      <c r="R284" s="665">
        <v>0</v>
      </c>
      <c r="S284" s="665">
        <v>0</v>
      </c>
      <c r="T284" s="604" t="e">
        <v>#DIV/0!</v>
      </c>
      <c r="U284" s="603">
        <v>0</v>
      </c>
      <c r="V284" s="603">
        <v>0</v>
      </c>
      <c r="W284" s="603">
        <v>0</v>
      </c>
      <c r="X284" s="603">
        <v>0</v>
      </c>
      <c r="Y284" s="603">
        <v>0</v>
      </c>
      <c r="Z284" s="603">
        <v>0</v>
      </c>
    </row>
    <row r="285" spans="1:26" x14ac:dyDescent="0.2">
      <c r="A285" s="597" t="s">
        <v>511</v>
      </c>
      <c r="B285" s="655">
        <v>65000</v>
      </c>
      <c r="C285" s="655">
        <v>65000</v>
      </c>
      <c r="D285" s="655">
        <v>65000</v>
      </c>
      <c r="E285" s="655">
        <v>10739.98</v>
      </c>
      <c r="F285" s="655">
        <v>10739.98</v>
      </c>
      <c r="G285" s="655">
        <v>0</v>
      </c>
      <c r="H285" s="655">
        <v>4321.9799999999996</v>
      </c>
      <c r="I285" s="655">
        <v>458</v>
      </c>
      <c r="J285" s="655">
        <v>0</v>
      </c>
      <c r="K285" s="655">
        <v>0</v>
      </c>
      <c r="L285" s="655">
        <v>0</v>
      </c>
      <c r="M285" s="655">
        <v>0</v>
      </c>
      <c r="N285" s="655">
        <v>0</v>
      </c>
      <c r="O285" s="655">
        <v>5960</v>
      </c>
      <c r="P285" s="655">
        <v>0</v>
      </c>
      <c r="Q285" s="655">
        <v>0</v>
      </c>
      <c r="R285" s="655">
        <v>0</v>
      </c>
      <c r="S285" s="655">
        <v>10739.98</v>
      </c>
      <c r="T285" s="600">
        <v>0.16523046153846152</v>
      </c>
      <c r="U285" s="599">
        <v>54260.020000000004</v>
      </c>
      <c r="V285" s="599">
        <v>0</v>
      </c>
      <c r="W285" s="599">
        <v>54260.020000000004</v>
      </c>
      <c r="X285" s="599">
        <v>54260.020000000004</v>
      </c>
      <c r="Y285" s="599">
        <v>0</v>
      </c>
      <c r="Z285" s="599">
        <v>0</v>
      </c>
    </row>
    <row r="286" spans="1:26" x14ac:dyDescent="0.2">
      <c r="A286" s="605" t="s">
        <v>512</v>
      </c>
      <c r="B286" s="665">
        <v>0</v>
      </c>
      <c r="C286" s="665">
        <v>0</v>
      </c>
      <c r="D286" s="665">
        <v>0</v>
      </c>
      <c r="E286" s="665">
        <v>0</v>
      </c>
      <c r="F286" s="665">
        <v>0</v>
      </c>
      <c r="G286" s="665">
        <v>0</v>
      </c>
      <c r="H286" s="665">
        <v>0</v>
      </c>
      <c r="I286" s="665">
        <v>0</v>
      </c>
      <c r="J286" s="665">
        <v>0</v>
      </c>
      <c r="K286" s="665">
        <v>0</v>
      </c>
      <c r="L286" s="665">
        <v>0</v>
      </c>
      <c r="M286" s="665">
        <v>0</v>
      </c>
      <c r="N286" s="665">
        <v>0</v>
      </c>
      <c r="O286" s="665">
        <v>0</v>
      </c>
      <c r="P286" s="665">
        <v>0</v>
      </c>
      <c r="Q286" s="665">
        <v>0</v>
      </c>
      <c r="R286" s="665">
        <v>0</v>
      </c>
      <c r="S286" s="665">
        <v>0</v>
      </c>
      <c r="T286" s="604" t="e">
        <v>#DIV/0!</v>
      </c>
      <c r="U286" s="603">
        <v>0</v>
      </c>
      <c r="V286" s="603">
        <v>0</v>
      </c>
      <c r="W286" s="603">
        <v>0</v>
      </c>
      <c r="X286" s="603">
        <v>0</v>
      </c>
      <c r="Y286" s="603">
        <v>0</v>
      </c>
      <c r="Z286" s="603">
        <v>0</v>
      </c>
    </row>
    <row r="287" spans="1:26" x14ac:dyDescent="0.2">
      <c r="A287" s="605" t="s">
        <v>513</v>
      </c>
      <c r="B287" s="665">
        <v>65000</v>
      </c>
      <c r="C287" s="665">
        <v>65000</v>
      </c>
      <c r="D287" s="665">
        <v>65000</v>
      </c>
      <c r="E287" s="665">
        <v>10739.98</v>
      </c>
      <c r="F287" s="665">
        <v>10739.98</v>
      </c>
      <c r="G287" s="665">
        <v>0</v>
      </c>
      <c r="H287" s="665">
        <v>4321.9799999999996</v>
      </c>
      <c r="I287" s="665">
        <v>458</v>
      </c>
      <c r="J287" s="665">
        <v>0</v>
      </c>
      <c r="K287" s="665">
        <v>0</v>
      </c>
      <c r="L287" s="665">
        <v>0</v>
      </c>
      <c r="M287" s="665">
        <v>0</v>
      </c>
      <c r="N287" s="665">
        <v>0</v>
      </c>
      <c r="O287" s="665">
        <v>5960</v>
      </c>
      <c r="P287" s="665">
        <v>0</v>
      </c>
      <c r="Q287" s="665">
        <v>0</v>
      </c>
      <c r="R287" s="665">
        <v>0</v>
      </c>
      <c r="S287" s="665">
        <v>10739.98</v>
      </c>
      <c r="T287" s="604">
        <v>0.16523046153846152</v>
      </c>
      <c r="U287" s="603">
        <v>54260.020000000004</v>
      </c>
      <c r="V287" s="603">
        <v>0</v>
      </c>
      <c r="W287" s="603">
        <v>54260.020000000004</v>
      </c>
      <c r="X287" s="603">
        <v>54260.020000000004</v>
      </c>
      <c r="Y287" s="603">
        <v>0</v>
      </c>
      <c r="Z287" s="603">
        <v>0</v>
      </c>
    </row>
    <row r="288" spans="1:26" x14ac:dyDescent="0.2">
      <c r="A288" s="597" t="s">
        <v>514</v>
      </c>
      <c r="B288" s="685">
        <v>1380</v>
      </c>
      <c r="C288" s="685">
        <v>19890</v>
      </c>
      <c r="D288" s="685">
        <v>19890</v>
      </c>
      <c r="E288" s="685">
        <v>19890</v>
      </c>
      <c r="F288" s="685">
        <v>19390</v>
      </c>
      <c r="G288" s="685">
        <v>0</v>
      </c>
      <c r="H288" s="685">
        <v>18510</v>
      </c>
      <c r="I288" s="685">
        <v>0</v>
      </c>
      <c r="J288" s="685">
        <v>0</v>
      </c>
      <c r="K288" s="685">
        <v>760</v>
      </c>
      <c r="L288" s="685">
        <v>0</v>
      </c>
      <c r="M288" s="685">
        <v>120</v>
      </c>
      <c r="N288" s="685">
        <v>0</v>
      </c>
      <c r="O288" s="685">
        <v>0</v>
      </c>
      <c r="P288" s="685">
        <v>0</v>
      </c>
      <c r="Q288" s="685">
        <v>0</v>
      </c>
      <c r="R288" s="685">
        <v>0</v>
      </c>
      <c r="S288" s="685">
        <v>19390</v>
      </c>
      <c r="T288" s="600">
        <v>0.9748617395676219</v>
      </c>
      <c r="U288" s="599">
        <v>500</v>
      </c>
      <c r="V288" s="599">
        <v>0</v>
      </c>
      <c r="W288" s="599">
        <v>0</v>
      </c>
      <c r="X288" s="599">
        <v>0</v>
      </c>
      <c r="Y288" s="599">
        <v>500</v>
      </c>
      <c r="Z288" s="599">
        <v>0</v>
      </c>
    </row>
    <row r="289" spans="1:26" x14ac:dyDescent="0.2">
      <c r="A289" s="597" t="s">
        <v>515</v>
      </c>
      <c r="B289" s="655">
        <v>4735</v>
      </c>
      <c r="C289" s="655">
        <v>3985</v>
      </c>
      <c r="D289" s="655">
        <v>3985</v>
      </c>
      <c r="E289" s="655">
        <v>660</v>
      </c>
      <c r="F289" s="655">
        <v>140</v>
      </c>
      <c r="G289" s="655">
        <v>0</v>
      </c>
      <c r="H289" s="655">
        <v>0</v>
      </c>
      <c r="I289" s="655">
        <v>0</v>
      </c>
      <c r="J289" s="655">
        <v>0</v>
      </c>
      <c r="K289" s="655">
        <v>0</v>
      </c>
      <c r="L289" s="655">
        <v>0</v>
      </c>
      <c r="M289" s="655">
        <v>120</v>
      </c>
      <c r="N289" s="655">
        <v>0</v>
      </c>
      <c r="O289" s="655">
        <v>20</v>
      </c>
      <c r="P289" s="655">
        <v>0</v>
      </c>
      <c r="Q289" s="655">
        <v>0</v>
      </c>
      <c r="R289" s="655">
        <v>0</v>
      </c>
      <c r="S289" s="655">
        <v>140</v>
      </c>
      <c r="T289" s="600">
        <v>3.5131744040150563E-2</v>
      </c>
      <c r="U289" s="599">
        <v>3845</v>
      </c>
      <c r="V289" s="599">
        <v>0</v>
      </c>
      <c r="W289" s="599">
        <v>3325</v>
      </c>
      <c r="X289" s="599">
        <v>3325</v>
      </c>
      <c r="Y289" s="599">
        <v>520</v>
      </c>
      <c r="Z289" s="599">
        <v>0</v>
      </c>
    </row>
    <row r="290" spans="1:26" x14ac:dyDescent="0.2">
      <c r="A290" s="605" t="s">
        <v>516</v>
      </c>
      <c r="B290" s="665">
        <v>0</v>
      </c>
      <c r="C290" s="665">
        <v>0</v>
      </c>
      <c r="D290" s="665">
        <v>0</v>
      </c>
      <c r="E290" s="665">
        <v>0</v>
      </c>
      <c r="F290" s="665">
        <v>0</v>
      </c>
      <c r="G290" s="665">
        <v>0</v>
      </c>
      <c r="H290" s="665">
        <v>0</v>
      </c>
      <c r="I290" s="665">
        <v>0</v>
      </c>
      <c r="J290" s="665">
        <v>0</v>
      </c>
      <c r="K290" s="665">
        <v>0</v>
      </c>
      <c r="L290" s="665">
        <v>0</v>
      </c>
      <c r="M290" s="665">
        <v>0</v>
      </c>
      <c r="N290" s="665">
        <v>0</v>
      </c>
      <c r="O290" s="665">
        <v>0</v>
      </c>
      <c r="P290" s="665">
        <v>0</v>
      </c>
      <c r="Q290" s="665">
        <v>0</v>
      </c>
      <c r="R290" s="665">
        <v>0</v>
      </c>
      <c r="S290" s="665">
        <v>0</v>
      </c>
      <c r="T290" s="604" t="e">
        <v>#DIV/0!</v>
      </c>
      <c r="U290" s="603">
        <v>0</v>
      </c>
      <c r="V290" s="603">
        <v>0</v>
      </c>
      <c r="W290" s="603">
        <v>0</v>
      </c>
      <c r="X290" s="603">
        <v>0</v>
      </c>
      <c r="Y290" s="603">
        <v>0</v>
      </c>
      <c r="Z290" s="603">
        <v>0</v>
      </c>
    </row>
    <row r="291" spans="1:26" x14ac:dyDescent="0.2">
      <c r="A291" s="605" t="s">
        <v>517</v>
      </c>
      <c r="B291" s="665">
        <v>4735</v>
      </c>
      <c r="C291" s="665">
        <v>3985</v>
      </c>
      <c r="D291" s="665">
        <v>3985</v>
      </c>
      <c r="E291" s="665">
        <v>660</v>
      </c>
      <c r="F291" s="665">
        <v>140</v>
      </c>
      <c r="G291" s="665">
        <v>0</v>
      </c>
      <c r="H291" s="665">
        <v>0</v>
      </c>
      <c r="I291" s="665">
        <v>0</v>
      </c>
      <c r="J291" s="665">
        <v>0</v>
      </c>
      <c r="K291" s="665">
        <v>0</v>
      </c>
      <c r="L291" s="665">
        <v>0</v>
      </c>
      <c r="M291" s="665">
        <v>120</v>
      </c>
      <c r="N291" s="665">
        <v>0</v>
      </c>
      <c r="O291" s="665">
        <v>20</v>
      </c>
      <c r="P291" s="665">
        <v>0</v>
      </c>
      <c r="Q291" s="665">
        <v>0</v>
      </c>
      <c r="R291" s="665">
        <v>0</v>
      </c>
      <c r="S291" s="665">
        <v>140</v>
      </c>
      <c r="T291" s="604">
        <v>3.5131744040150563E-2</v>
      </c>
      <c r="U291" s="603">
        <v>3845</v>
      </c>
      <c r="V291" s="603">
        <v>0</v>
      </c>
      <c r="W291" s="603">
        <v>3325</v>
      </c>
      <c r="X291" s="603">
        <v>3325</v>
      </c>
      <c r="Y291" s="603">
        <v>520</v>
      </c>
      <c r="Z291" s="603">
        <v>0</v>
      </c>
    </row>
    <row r="292" spans="1:26" x14ac:dyDescent="0.2">
      <c r="A292" s="597" t="s">
        <v>518</v>
      </c>
      <c r="B292" s="655">
        <v>106630</v>
      </c>
      <c r="C292" s="655">
        <v>76565</v>
      </c>
      <c r="D292" s="655">
        <v>69214.399999999994</v>
      </c>
      <c r="E292" s="655">
        <v>5191.0599999999995</v>
      </c>
      <c r="F292" s="655">
        <v>5191.0599999999995</v>
      </c>
      <c r="G292" s="655">
        <v>0</v>
      </c>
      <c r="H292" s="655">
        <v>3610</v>
      </c>
      <c r="I292" s="655">
        <v>0</v>
      </c>
      <c r="J292" s="655">
        <v>0</v>
      </c>
      <c r="K292" s="655">
        <v>0</v>
      </c>
      <c r="L292" s="655">
        <v>0</v>
      </c>
      <c r="M292" s="655">
        <v>0</v>
      </c>
      <c r="N292" s="655">
        <v>0</v>
      </c>
      <c r="O292" s="655">
        <v>1581.06</v>
      </c>
      <c r="P292" s="655">
        <v>0</v>
      </c>
      <c r="Q292" s="655">
        <v>0</v>
      </c>
      <c r="R292" s="655">
        <v>0</v>
      </c>
      <c r="S292" s="655">
        <v>5191.0599999999995</v>
      </c>
      <c r="T292" s="600">
        <v>6.7799386142493298E-2</v>
      </c>
      <c r="U292" s="599">
        <v>71373.94</v>
      </c>
      <c r="V292" s="599">
        <v>7350.6000000000058</v>
      </c>
      <c r="W292" s="599">
        <v>71373.94</v>
      </c>
      <c r="X292" s="599">
        <v>64023.34</v>
      </c>
      <c r="Y292" s="599">
        <v>0</v>
      </c>
      <c r="Z292" s="599">
        <v>0</v>
      </c>
    </row>
    <row r="293" spans="1:26" x14ac:dyDescent="0.2">
      <c r="A293" s="605" t="s">
        <v>519</v>
      </c>
      <c r="B293" s="665">
        <v>0</v>
      </c>
      <c r="C293" s="665">
        <v>0</v>
      </c>
      <c r="D293" s="665">
        <v>0</v>
      </c>
      <c r="E293" s="665">
        <v>0</v>
      </c>
      <c r="F293" s="665">
        <v>0</v>
      </c>
      <c r="G293" s="665">
        <v>0</v>
      </c>
      <c r="H293" s="665">
        <v>0</v>
      </c>
      <c r="I293" s="665">
        <v>0</v>
      </c>
      <c r="J293" s="665">
        <v>0</v>
      </c>
      <c r="K293" s="665">
        <v>0</v>
      </c>
      <c r="L293" s="665">
        <v>0</v>
      </c>
      <c r="M293" s="665">
        <v>0</v>
      </c>
      <c r="N293" s="665">
        <v>0</v>
      </c>
      <c r="O293" s="665">
        <v>0</v>
      </c>
      <c r="P293" s="665">
        <v>0</v>
      </c>
      <c r="Q293" s="665">
        <v>0</v>
      </c>
      <c r="R293" s="665">
        <v>0</v>
      </c>
      <c r="S293" s="665">
        <v>0</v>
      </c>
      <c r="T293" s="604" t="e">
        <v>#DIV/0!</v>
      </c>
      <c r="U293" s="603">
        <v>0</v>
      </c>
      <c r="V293" s="603">
        <v>0</v>
      </c>
      <c r="W293" s="603">
        <v>0</v>
      </c>
      <c r="X293" s="603">
        <v>0</v>
      </c>
      <c r="Y293" s="603">
        <v>0</v>
      </c>
      <c r="Z293" s="603">
        <v>0</v>
      </c>
    </row>
    <row r="294" spans="1:26" x14ac:dyDescent="0.2">
      <c r="A294" s="605" t="s">
        <v>520</v>
      </c>
      <c r="B294" s="665">
        <v>106630</v>
      </c>
      <c r="C294" s="665">
        <v>76565</v>
      </c>
      <c r="D294" s="665">
        <v>69214.399999999994</v>
      </c>
      <c r="E294" s="665">
        <v>5191.0599999999995</v>
      </c>
      <c r="F294" s="665">
        <v>5191.0599999999995</v>
      </c>
      <c r="G294" s="665">
        <v>0</v>
      </c>
      <c r="H294" s="665">
        <v>3610</v>
      </c>
      <c r="I294" s="665">
        <v>0</v>
      </c>
      <c r="J294" s="665">
        <v>0</v>
      </c>
      <c r="K294" s="665">
        <v>0</v>
      </c>
      <c r="L294" s="665">
        <v>0</v>
      </c>
      <c r="M294" s="665">
        <v>0</v>
      </c>
      <c r="N294" s="665">
        <v>0</v>
      </c>
      <c r="O294" s="665">
        <v>1581.06</v>
      </c>
      <c r="P294" s="665">
        <v>0</v>
      </c>
      <c r="Q294" s="665">
        <v>0</v>
      </c>
      <c r="R294" s="665">
        <v>0</v>
      </c>
      <c r="S294" s="665">
        <v>5191.0599999999995</v>
      </c>
      <c r="T294" s="604">
        <v>6.7799386142493298E-2</v>
      </c>
      <c r="U294" s="603">
        <v>71373.94</v>
      </c>
      <c r="V294" s="603">
        <v>7350.6000000000058</v>
      </c>
      <c r="W294" s="603">
        <v>71373.94</v>
      </c>
      <c r="X294" s="603">
        <v>64023.34</v>
      </c>
      <c r="Y294" s="603">
        <v>0</v>
      </c>
      <c r="Z294" s="603">
        <v>0</v>
      </c>
    </row>
    <row r="295" spans="1:26" x14ac:dyDescent="0.2">
      <c r="A295" s="597" t="s">
        <v>521</v>
      </c>
      <c r="B295" s="655">
        <v>71087</v>
      </c>
      <c r="C295" s="655">
        <v>58187</v>
      </c>
      <c r="D295" s="655">
        <v>51187</v>
      </c>
      <c r="E295" s="655">
        <v>1403.6</v>
      </c>
      <c r="F295" s="655">
        <v>1403.6</v>
      </c>
      <c r="G295" s="655">
        <v>0</v>
      </c>
      <c r="H295" s="655">
        <v>0</v>
      </c>
      <c r="I295" s="655">
        <v>0</v>
      </c>
      <c r="J295" s="655">
        <v>0</v>
      </c>
      <c r="K295" s="655">
        <v>0</v>
      </c>
      <c r="L295" s="655">
        <v>0</v>
      </c>
      <c r="M295" s="655">
        <v>0</v>
      </c>
      <c r="N295" s="655">
        <v>0</v>
      </c>
      <c r="O295" s="655">
        <v>1403.6</v>
      </c>
      <c r="P295" s="655">
        <v>0</v>
      </c>
      <c r="Q295" s="655">
        <v>0</v>
      </c>
      <c r="R295" s="655">
        <v>0</v>
      </c>
      <c r="S295" s="655">
        <v>1403.6</v>
      </c>
      <c r="T295" s="600">
        <v>2.4122226614192173E-2</v>
      </c>
      <c r="U295" s="599">
        <v>56783.4</v>
      </c>
      <c r="V295" s="599">
        <v>7000</v>
      </c>
      <c r="W295" s="599">
        <v>56783.4</v>
      </c>
      <c r="X295" s="599">
        <v>49783.4</v>
      </c>
      <c r="Y295" s="599">
        <v>0</v>
      </c>
      <c r="Z295" s="599">
        <v>0</v>
      </c>
    </row>
    <row r="296" spans="1:26" x14ac:dyDescent="0.2">
      <c r="A296" s="602" t="s">
        <v>522</v>
      </c>
      <c r="B296" s="665">
        <v>0</v>
      </c>
      <c r="C296" s="665">
        <v>0</v>
      </c>
      <c r="D296" s="665">
        <v>0</v>
      </c>
      <c r="E296" s="665">
        <v>0</v>
      </c>
      <c r="F296" s="665">
        <v>0</v>
      </c>
      <c r="G296" s="665">
        <v>0</v>
      </c>
      <c r="H296" s="665">
        <v>0</v>
      </c>
      <c r="I296" s="665">
        <v>0</v>
      </c>
      <c r="J296" s="665">
        <v>0</v>
      </c>
      <c r="K296" s="665">
        <v>0</v>
      </c>
      <c r="L296" s="665">
        <v>0</v>
      </c>
      <c r="M296" s="665">
        <v>0</v>
      </c>
      <c r="N296" s="665">
        <v>0</v>
      </c>
      <c r="O296" s="665">
        <v>0</v>
      </c>
      <c r="P296" s="665">
        <v>0</v>
      </c>
      <c r="Q296" s="665">
        <v>0</v>
      </c>
      <c r="R296" s="665">
        <v>0</v>
      </c>
      <c r="S296" s="665">
        <v>0</v>
      </c>
      <c r="T296" s="604" t="e">
        <v>#DIV/0!</v>
      </c>
      <c r="U296" s="603">
        <v>0</v>
      </c>
      <c r="V296" s="603">
        <v>0</v>
      </c>
      <c r="W296" s="603">
        <v>0</v>
      </c>
      <c r="X296" s="603">
        <v>0</v>
      </c>
      <c r="Y296" s="603">
        <v>0</v>
      </c>
      <c r="Z296" s="603">
        <v>0</v>
      </c>
    </row>
    <row r="297" spans="1:26" ht="24" x14ac:dyDescent="0.2">
      <c r="A297" s="602" t="s">
        <v>523</v>
      </c>
      <c r="B297" s="665">
        <v>71087</v>
      </c>
      <c r="C297" s="665">
        <v>58187</v>
      </c>
      <c r="D297" s="665">
        <v>51187</v>
      </c>
      <c r="E297" s="665">
        <v>1403.6</v>
      </c>
      <c r="F297" s="665">
        <v>1403.6</v>
      </c>
      <c r="G297" s="665">
        <v>0</v>
      </c>
      <c r="H297" s="665">
        <v>0</v>
      </c>
      <c r="I297" s="665">
        <v>0</v>
      </c>
      <c r="J297" s="665">
        <v>0</v>
      </c>
      <c r="K297" s="665">
        <v>0</v>
      </c>
      <c r="L297" s="665">
        <v>0</v>
      </c>
      <c r="M297" s="665">
        <v>0</v>
      </c>
      <c r="N297" s="665">
        <v>0</v>
      </c>
      <c r="O297" s="665">
        <v>1403.6</v>
      </c>
      <c r="P297" s="665">
        <v>0</v>
      </c>
      <c r="Q297" s="665">
        <v>0</v>
      </c>
      <c r="R297" s="665">
        <v>0</v>
      </c>
      <c r="S297" s="665">
        <v>1403.6</v>
      </c>
      <c r="T297" s="604">
        <v>2.4122226614192173E-2</v>
      </c>
      <c r="U297" s="603">
        <v>56783.4</v>
      </c>
      <c r="V297" s="603">
        <v>7000</v>
      </c>
      <c r="W297" s="603">
        <v>56783.4</v>
      </c>
      <c r="X297" s="603">
        <v>49783.4</v>
      </c>
      <c r="Y297" s="603">
        <v>0</v>
      </c>
      <c r="Z297" s="603">
        <v>0</v>
      </c>
    </row>
    <row r="298" spans="1:26" ht="24" x14ac:dyDescent="0.2">
      <c r="A298" s="602" t="s">
        <v>524</v>
      </c>
      <c r="B298" s="665">
        <v>0</v>
      </c>
      <c r="C298" s="665">
        <v>0</v>
      </c>
      <c r="D298" s="665">
        <v>0</v>
      </c>
      <c r="E298" s="665">
        <v>0</v>
      </c>
      <c r="F298" s="665">
        <v>0</v>
      </c>
      <c r="G298" s="665">
        <v>0</v>
      </c>
      <c r="H298" s="665">
        <v>0</v>
      </c>
      <c r="I298" s="665">
        <v>0</v>
      </c>
      <c r="J298" s="665">
        <v>0</v>
      </c>
      <c r="K298" s="665">
        <v>0</v>
      </c>
      <c r="L298" s="665">
        <v>0</v>
      </c>
      <c r="M298" s="665">
        <v>0</v>
      </c>
      <c r="N298" s="665">
        <v>0</v>
      </c>
      <c r="O298" s="665">
        <v>0</v>
      </c>
      <c r="P298" s="665">
        <v>0</v>
      </c>
      <c r="Q298" s="665">
        <v>0</v>
      </c>
      <c r="R298" s="665">
        <v>0</v>
      </c>
      <c r="S298" s="665">
        <v>0</v>
      </c>
      <c r="T298" s="604" t="e">
        <v>#DIV/0!</v>
      </c>
      <c r="U298" s="603">
        <v>0</v>
      </c>
      <c r="V298" s="603">
        <v>0</v>
      </c>
      <c r="W298" s="603">
        <v>0</v>
      </c>
      <c r="X298" s="603">
        <v>0</v>
      </c>
      <c r="Y298" s="603">
        <v>0</v>
      </c>
      <c r="Z298" s="603">
        <v>0</v>
      </c>
    </row>
    <row r="299" spans="1:26" x14ac:dyDescent="0.2">
      <c r="A299" s="597" t="s">
        <v>525</v>
      </c>
      <c r="B299" s="655">
        <v>6000</v>
      </c>
      <c r="C299" s="655">
        <v>10570</v>
      </c>
      <c r="D299" s="655">
        <v>10570</v>
      </c>
      <c r="E299" s="655">
        <v>3981.35</v>
      </c>
      <c r="F299" s="655">
        <v>3981.35</v>
      </c>
      <c r="G299" s="655">
        <v>0</v>
      </c>
      <c r="H299" s="655">
        <v>3981.35</v>
      </c>
      <c r="I299" s="655">
        <v>0</v>
      </c>
      <c r="J299" s="655">
        <v>0</v>
      </c>
      <c r="K299" s="655">
        <v>0</v>
      </c>
      <c r="L299" s="655">
        <v>0</v>
      </c>
      <c r="M299" s="655">
        <v>0</v>
      </c>
      <c r="N299" s="655">
        <v>0</v>
      </c>
      <c r="O299" s="655">
        <v>0</v>
      </c>
      <c r="P299" s="655">
        <v>0</v>
      </c>
      <c r="Q299" s="655">
        <v>0</v>
      </c>
      <c r="R299" s="655">
        <v>0</v>
      </c>
      <c r="S299" s="655">
        <v>3981.35</v>
      </c>
      <c r="T299" s="600">
        <v>0.37666508987701042</v>
      </c>
      <c r="U299" s="599">
        <v>6588.65</v>
      </c>
      <c r="V299" s="599">
        <v>0</v>
      </c>
      <c r="W299" s="599">
        <v>6588.65</v>
      </c>
      <c r="X299" s="599">
        <v>6588.65</v>
      </c>
      <c r="Y299" s="599">
        <v>0</v>
      </c>
      <c r="Z299" s="599">
        <v>0</v>
      </c>
    </row>
    <row r="300" spans="1:26" x14ac:dyDescent="0.2">
      <c r="A300" s="605" t="s">
        <v>526</v>
      </c>
      <c r="B300" s="665">
        <v>0</v>
      </c>
      <c r="C300" s="665">
        <v>0</v>
      </c>
      <c r="D300" s="665">
        <v>0</v>
      </c>
      <c r="E300" s="665">
        <v>0</v>
      </c>
      <c r="F300" s="665">
        <v>0</v>
      </c>
      <c r="G300" s="665">
        <v>0</v>
      </c>
      <c r="H300" s="665">
        <v>0</v>
      </c>
      <c r="I300" s="665">
        <v>0</v>
      </c>
      <c r="J300" s="665">
        <v>0</v>
      </c>
      <c r="K300" s="665">
        <v>0</v>
      </c>
      <c r="L300" s="665">
        <v>0</v>
      </c>
      <c r="M300" s="665">
        <v>0</v>
      </c>
      <c r="N300" s="665">
        <v>0</v>
      </c>
      <c r="O300" s="665">
        <v>0</v>
      </c>
      <c r="P300" s="665">
        <v>0</v>
      </c>
      <c r="Q300" s="665">
        <v>0</v>
      </c>
      <c r="R300" s="665">
        <v>0</v>
      </c>
      <c r="S300" s="665">
        <v>0</v>
      </c>
      <c r="T300" s="604" t="e">
        <v>#DIV/0!</v>
      </c>
      <c r="U300" s="603">
        <v>0</v>
      </c>
      <c r="V300" s="603">
        <v>0</v>
      </c>
      <c r="W300" s="603">
        <v>0</v>
      </c>
      <c r="X300" s="603">
        <v>0</v>
      </c>
      <c r="Y300" s="603">
        <v>0</v>
      </c>
      <c r="Z300" s="603">
        <v>0</v>
      </c>
    </row>
    <row r="301" spans="1:26" x14ac:dyDescent="0.2">
      <c r="A301" s="605" t="s">
        <v>527</v>
      </c>
      <c r="B301" s="665">
        <v>6000</v>
      </c>
      <c r="C301" s="665">
        <v>6000</v>
      </c>
      <c r="D301" s="665">
        <v>6000</v>
      </c>
      <c r="E301" s="665">
        <v>0</v>
      </c>
      <c r="F301" s="665">
        <v>0</v>
      </c>
      <c r="G301" s="665">
        <v>0</v>
      </c>
      <c r="H301" s="665">
        <v>0</v>
      </c>
      <c r="I301" s="665">
        <v>0</v>
      </c>
      <c r="J301" s="665">
        <v>0</v>
      </c>
      <c r="K301" s="665">
        <v>0</v>
      </c>
      <c r="L301" s="665">
        <v>0</v>
      </c>
      <c r="M301" s="665">
        <v>0</v>
      </c>
      <c r="N301" s="665">
        <v>0</v>
      </c>
      <c r="O301" s="665">
        <v>0</v>
      </c>
      <c r="P301" s="665">
        <v>0</v>
      </c>
      <c r="Q301" s="665">
        <v>0</v>
      </c>
      <c r="R301" s="665">
        <v>0</v>
      </c>
      <c r="S301" s="665">
        <v>0</v>
      </c>
      <c r="T301" s="604">
        <v>0</v>
      </c>
      <c r="U301" s="603">
        <v>6000</v>
      </c>
      <c r="V301" s="603">
        <v>0</v>
      </c>
      <c r="W301" s="603">
        <v>6000</v>
      </c>
      <c r="X301" s="603">
        <v>6000</v>
      </c>
      <c r="Y301" s="603">
        <v>0</v>
      </c>
      <c r="Z301" s="603">
        <v>0</v>
      </c>
    </row>
    <row r="302" spans="1:26" x14ac:dyDescent="0.2">
      <c r="A302" s="605" t="s">
        <v>528</v>
      </c>
      <c r="B302" s="665">
        <v>0</v>
      </c>
      <c r="C302" s="665">
        <v>2350</v>
      </c>
      <c r="D302" s="665">
        <v>2350</v>
      </c>
      <c r="E302" s="665">
        <v>2315</v>
      </c>
      <c r="F302" s="665">
        <v>2315</v>
      </c>
      <c r="G302" s="665">
        <v>0</v>
      </c>
      <c r="H302" s="665">
        <v>2315</v>
      </c>
      <c r="I302" s="665">
        <v>0</v>
      </c>
      <c r="J302" s="665">
        <v>0</v>
      </c>
      <c r="K302" s="665">
        <v>0</v>
      </c>
      <c r="L302" s="665">
        <v>0</v>
      </c>
      <c r="M302" s="665">
        <v>0</v>
      </c>
      <c r="N302" s="665">
        <v>0</v>
      </c>
      <c r="O302" s="665">
        <v>0</v>
      </c>
      <c r="P302" s="665">
        <v>0</v>
      </c>
      <c r="Q302" s="665">
        <v>0</v>
      </c>
      <c r="R302" s="665">
        <v>0</v>
      </c>
      <c r="S302" s="665">
        <v>2315</v>
      </c>
      <c r="T302" s="604">
        <v>0.98510638297872344</v>
      </c>
      <c r="U302" s="603">
        <v>35</v>
      </c>
      <c r="V302" s="603">
        <v>0</v>
      </c>
      <c r="W302" s="603">
        <v>35</v>
      </c>
      <c r="X302" s="603">
        <v>35</v>
      </c>
      <c r="Y302" s="603">
        <v>0</v>
      </c>
      <c r="Z302" s="603">
        <v>0</v>
      </c>
    </row>
    <row r="303" spans="1:26" x14ac:dyDescent="0.2">
      <c r="A303" s="605" t="s">
        <v>529</v>
      </c>
      <c r="B303" s="665">
        <v>0</v>
      </c>
      <c r="C303" s="665">
        <v>0</v>
      </c>
      <c r="D303" s="665">
        <v>0</v>
      </c>
      <c r="E303" s="665">
        <v>0</v>
      </c>
      <c r="F303" s="665">
        <v>0</v>
      </c>
      <c r="G303" s="665">
        <v>0</v>
      </c>
      <c r="H303" s="665">
        <v>0</v>
      </c>
      <c r="I303" s="665">
        <v>0</v>
      </c>
      <c r="J303" s="665">
        <v>0</v>
      </c>
      <c r="K303" s="665">
        <v>0</v>
      </c>
      <c r="L303" s="665">
        <v>0</v>
      </c>
      <c r="M303" s="665">
        <v>0</v>
      </c>
      <c r="N303" s="665">
        <v>0</v>
      </c>
      <c r="O303" s="665">
        <v>0</v>
      </c>
      <c r="P303" s="665">
        <v>0</v>
      </c>
      <c r="Q303" s="665">
        <v>0</v>
      </c>
      <c r="R303" s="665">
        <v>0</v>
      </c>
      <c r="S303" s="665">
        <v>0</v>
      </c>
      <c r="T303" s="604" t="e">
        <v>#DIV/0!</v>
      </c>
      <c r="U303" s="603">
        <v>0</v>
      </c>
      <c r="V303" s="603">
        <v>0</v>
      </c>
      <c r="W303" s="603">
        <v>0</v>
      </c>
      <c r="X303" s="603">
        <v>0</v>
      </c>
      <c r="Y303" s="603">
        <v>0</v>
      </c>
      <c r="Z303" s="603">
        <v>0</v>
      </c>
    </row>
    <row r="304" spans="1:26" x14ac:dyDescent="0.2">
      <c r="A304" s="605" t="s">
        <v>530</v>
      </c>
      <c r="B304" s="665">
        <v>0</v>
      </c>
      <c r="C304" s="665">
        <v>0</v>
      </c>
      <c r="D304" s="665">
        <v>0</v>
      </c>
      <c r="E304" s="665">
        <v>0</v>
      </c>
      <c r="F304" s="665">
        <v>0</v>
      </c>
      <c r="G304" s="665">
        <v>0</v>
      </c>
      <c r="H304" s="665">
        <v>0</v>
      </c>
      <c r="I304" s="665">
        <v>0</v>
      </c>
      <c r="J304" s="665">
        <v>0</v>
      </c>
      <c r="K304" s="665">
        <v>0</v>
      </c>
      <c r="L304" s="665">
        <v>0</v>
      </c>
      <c r="M304" s="665">
        <v>0</v>
      </c>
      <c r="N304" s="665">
        <v>0</v>
      </c>
      <c r="O304" s="665">
        <v>0</v>
      </c>
      <c r="P304" s="665">
        <v>0</v>
      </c>
      <c r="Q304" s="665">
        <v>0</v>
      </c>
      <c r="R304" s="665">
        <v>0</v>
      </c>
      <c r="S304" s="665">
        <v>0</v>
      </c>
      <c r="T304" s="604" t="e">
        <v>#DIV/0!</v>
      </c>
      <c r="U304" s="603">
        <v>0</v>
      </c>
      <c r="V304" s="603">
        <v>0</v>
      </c>
      <c r="W304" s="603">
        <v>0</v>
      </c>
      <c r="X304" s="603">
        <v>0</v>
      </c>
      <c r="Y304" s="603">
        <v>0</v>
      </c>
      <c r="Z304" s="603">
        <v>0</v>
      </c>
    </row>
    <row r="305" spans="1:26" x14ac:dyDescent="0.2">
      <c r="A305" s="605" t="s">
        <v>531</v>
      </c>
      <c r="B305" s="665">
        <v>0</v>
      </c>
      <c r="C305" s="665">
        <v>0</v>
      </c>
      <c r="D305" s="665">
        <v>0</v>
      </c>
      <c r="E305" s="665">
        <v>0</v>
      </c>
      <c r="F305" s="665">
        <v>0</v>
      </c>
      <c r="G305" s="665">
        <v>0</v>
      </c>
      <c r="H305" s="665">
        <v>0</v>
      </c>
      <c r="I305" s="665">
        <v>0</v>
      </c>
      <c r="J305" s="665">
        <v>0</v>
      </c>
      <c r="K305" s="665">
        <v>0</v>
      </c>
      <c r="L305" s="665">
        <v>0</v>
      </c>
      <c r="M305" s="665">
        <v>0</v>
      </c>
      <c r="N305" s="665">
        <v>0</v>
      </c>
      <c r="O305" s="665">
        <v>0</v>
      </c>
      <c r="P305" s="665">
        <v>0</v>
      </c>
      <c r="Q305" s="665">
        <v>0</v>
      </c>
      <c r="R305" s="665">
        <v>0</v>
      </c>
      <c r="S305" s="665">
        <v>0</v>
      </c>
      <c r="T305" s="604" t="e">
        <v>#DIV/0!</v>
      </c>
      <c r="U305" s="603">
        <v>0</v>
      </c>
      <c r="V305" s="603">
        <v>0</v>
      </c>
      <c r="W305" s="603">
        <v>0</v>
      </c>
      <c r="X305" s="603">
        <v>0</v>
      </c>
      <c r="Y305" s="603">
        <v>0</v>
      </c>
      <c r="Z305" s="603">
        <v>0</v>
      </c>
    </row>
    <row r="306" spans="1:26" x14ac:dyDescent="0.2">
      <c r="A306" s="605" t="s">
        <v>532</v>
      </c>
      <c r="B306" s="665">
        <v>0</v>
      </c>
      <c r="C306" s="665">
        <v>2220</v>
      </c>
      <c r="D306" s="665">
        <v>2220</v>
      </c>
      <c r="E306" s="665">
        <v>1666.35</v>
      </c>
      <c r="F306" s="665">
        <v>1666.35</v>
      </c>
      <c r="G306" s="665">
        <v>0</v>
      </c>
      <c r="H306" s="665">
        <v>1666.35</v>
      </c>
      <c r="I306" s="665">
        <v>0</v>
      </c>
      <c r="J306" s="665">
        <v>0</v>
      </c>
      <c r="K306" s="665">
        <v>0</v>
      </c>
      <c r="L306" s="665">
        <v>0</v>
      </c>
      <c r="M306" s="665">
        <v>0</v>
      </c>
      <c r="N306" s="665">
        <v>0</v>
      </c>
      <c r="O306" s="665">
        <v>0</v>
      </c>
      <c r="P306" s="665">
        <v>0</v>
      </c>
      <c r="Q306" s="665">
        <v>0</v>
      </c>
      <c r="R306" s="665">
        <v>0</v>
      </c>
      <c r="S306" s="665">
        <v>1666.35</v>
      </c>
      <c r="T306" s="604">
        <v>0.75060810810810807</v>
      </c>
      <c r="U306" s="603">
        <v>553.65000000000009</v>
      </c>
      <c r="V306" s="603">
        <v>0</v>
      </c>
      <c r="W306" s="603">
        <v>553.65000000000009</v>
      </c>
      <c r="X306" s="603">
        <v>553.65000000000009</v>
      </c>
      <c r="Y306" s="603">
        <v>0</v>
      </c>
      <c r="Z306" s="603">
        <v>0</v>
      </c>
    </row>
    <row r="307" spans="1:26" x14ac:dyDescent="0.2">
      <c r="A307" s="597" t="s">
        <v>533</v>
      </c>
      <c r="B307" s="685">
        <v>0</v>
      </c>
      <c r="C307" s="685">
        <v>0</v>
      </c>
      <c r="D307" s="685">
        <v>0</v>
      </c>
      <c r="E307" s="685">
        <v>0</v>
      </c>
      <c r="F307" s="685">
        <v>0</v>
      </c>
      <c r="G307" s="685">
        <v>0</v>
      </c>
      <c r="H307" s="685">
        <v>0</v>
      </c>
      <c r="I307" s="685">
        <v>0</v>
      </c>
      <c r="J307" s="685">
        <v>0</v>
      </c>
      <c r="K307" s="685">
        <v>0</v>
      </c>
      <c r="L307" s="685">
        <v>0</v>
      </c>
      <c r="M307" s="685">
        <v>0</v>
      </c>
      <c r="N307" s="685">
        <v>0</v>
      </c>
      <c r="O307" s="685">
        <v>0</v>
      </c>
      <c r="P307" s="685">
        <v>0</v>
      </c>
      <c r="Q307" s="685">
        <v>0</v>
      </c>
      <c r="R307" s="685">
        <v>0</v>
      </c>
      <c r="S307" s="685">
        <v>0</v>
      </c>
      <c r="T307" s="600" t="e">
        <v>#DIV/0!</v>
      </c>
      <c r="U307" s="599">
        <v>0</v>
      </c>
      <c r="V307" s="599">
        <v>0</v>
      </c>
      <c r="W307" s="599">
        <v>0</v>
      </c>
      <c r="X307" s="599">
        <v>0</v>
      </c>
      <c r="Y307" s="599">
        <v>0</v>
      </c>
      <c r="Z307" s="599">
        <v>0</v>
      </c>
    </row>
    <row r="308" spans="1:26" x14ac:dyDescent="0.2">
      <c r="A308" s="597" t="s">
        <v>534</v>
      </c>
      <c r="B308" s="685">
        <v>2585</v>
      </c>
      <c r="C308" s="685">
        <v>1085</v>
      </c>
      <c r="D308" s="685">
        <v>1085</v>
      </c>
      <c r="E308" s="685">
        <v>376.5</v>
      </c>
      <c r="F308" s="685">
        <v>376.5</v>
      </c>
      <c r="G308" s="685">
        <v>0</v>
      </c>
      <c r="H308" s="685">
        <v>269.5</v>
      </c>
      <c r="I308" s="685">
        <v>0</v>
      </c>
      <c r="J308" s="685">
        <v>0</v>
      </c>
      <c r="K308" s="685">
        <v>20</v>
      </c>
      <c r="L308" s="685">
        <v>0</v>
      </c>
      <c r="M308" s="685">
        <v>87</v>
      </c>
      <c r="N308" s="685">
        <v>0</v>
      </c>
      <c r="O308" s="685">
        <v>0</v>
      </c>
      <c r="P308" s="685">
        <v>0</v>
      </c>
      <c r="Q308" s="685">
        <v>0</v>
      </c>
      <c r="R308" s="685">
        <v>0</v>
      </c>
      <c r="S308" s="685">
        <v>376.5</v>
      </c>
      <c r="T308" s="600">
        <v>0.34700460829493085</v>
      </c>
      <c r="U308" s="599">
        <v>708.5</v>
      </c>
      <c r="V308" s="599">
        <v>0</v>
      </c>
      <c r="W308" s="599">
        <v>708.5</v>
      </c>
      <c r="X308" s="599">
        <v>708.5</v>
      </c>
      <c r="Y308" s="599">
        <v>0</v>
      </c>
      <c r="Z308" s="599">
        <v>0</v>
      </c>
    </row>
    <row r="309" spans="1:26" x14ac:dyDescent="0.2">
      <c r="A309" s="597" t="s">
        <v>535</v>
      </c>
      <c r="B309" s="655">
        <v>5000</v>
      </c>
      <c r="C309" s="655">
        <v>2000</v>
      </c>
      <c r="D309" s="655">
        <v>2000</v>
      </c>
      <c r="E309" s="655">
        <v>48.45</v>
      </c>
      <c r="F309" s="655">
        <v>48.45</v>
      </c>
      <c r="G309" s="655">
        <v>0.5</v>
      </c>
      <c r="H309" s="655">
        <v>0.5</v>
      </c>
      <c r="I309" s="655">
        <v>0.5</v>
      </c>
      <c r="J309" s="655">
        <v>0.5</v>
      </c>
      <c r="K309" s="655">
        <v>0.5</v>
      </c>
      <c r="L309" s="655">
        <v>2.4500000000000002</v>
      </c>
      <c r="M309" s="655">
        <v>5.5</v>
      </c>
      <c r="N309" s="655">
        <v>5.5</v>
      </c>
      <c r="O309" s="655">
        <v>32.5</v>
      </c>
      <c r="P309" s="655">
        <v>0</v>
      </c>
      <c r="Q309" s="655">
        <v>0</v>
      </c>
      <c r="R309" s="655">
        <v>0</v>
      </c>
      <c r="S309" s="655">
        <v>48.45</v>
      </c>
      <c r="T309" s="600">
        <v>2.4225E-2</v>
      </c>
      <c r="U309" s="599">
        <v>1951.55</v>
      </c>
      <c r="V309" s="599">
        <v>0</v>
      </c>
      <c r="W309" s="599">
        <v>1951.55</v>
      </c>
      <c r="X309" s="599">
        <v>1951.55</v>
      </c>
      <c r="Y309" s="599">
        <v>0</v>
      </c>
      <c r="Z309" s="599">
        <v>0</v>
      </c>
    </row>
    <row r="310" spans="1:26" x14ac:dyDescent="0.2">
      <c r="A310" s="605" t="s">
        <v>536</v>
      </c>
      <c r="B310" s="665">
        <v>5000</v>
      </c>
      <c r="C310" s="665">
        <v>2000</v>
      </c>
      <c r="D310" s="665">
        <v>2000</v>
      </c>
      <c r="E310" s="665">
        <v>48.45</v>
      </c>
      <c r="F310" s="665">
        <v>48.45</v>
      </c>
      <c r="G310" s="665">
        <v>0.5</v>
      </c>
      <c r="H310" s="665">
        <v>0.5</v>
      </c>
      <c r="I310" s="665">
        <v>0.5</v>
      </c>
      <c r="J310" s="665">
        <v>0.5</v>
      </c>
      <c r="K310" s="665">
        <v>0.5</v>
      </c>
      <c r="L310" s="665">
        <v>2.4500000000000002</v>
      </c>
      <c r="M310" s="665">
        <v>5.5</v>
      </c>
      <c r="N310" s="665">
        <v>5.5</v>
      </c>
      <c r="O310" s="665">
        <v>32.5</v>
      </c>
      <c r="P310" s="665">
        <v>0</v>
      </c>
      <c r="Q310" s="665">
        <v>0</v>
      </c>
      <c r="R310" s="665">
        <v>0</v>
      </c>
      <c r="S310" s="665">
        <v>48.45</v>
      </c>
      <c r="T310" s="604">
        <v>2.4225E-2</v>
      </c>
      <c r="U310" s="603">
        <v>1951.55</v>
      </c>
      <c r="V310" s="603">
        <v>0</v>
      </c>
      <c r="W310" s="603">
        <v>1951.55</v>
      </c>
      <c r="X310" s="603">
        <v>1951.55</v>
      </c>
      <c r="Y310" s="603">
        <v>0</v>
      </c>
      <c r="Z310" s="603">
        <v>0</v>
      </c>
    </row>
    <row r="311" spans="1:26" x14ac:dyDescent="0.2">
      <c r="A311" s="605" t="s">
        <v>537</v>
      </c>
      <c r="B311" s="665">
        <v>0</v>
      </c>
      <c r="C311" s="665">
        <v>0</v>
      </c>
      <c r="D311" s="665">
        <v>0</v>
      </c>
      <c r="E311" s="665">
        <v>0</v>
      </c>
      <c r="F311" s="665">
        <v>0</v>
      </c>
      <c r="G311" s="665">
        <v>0</v>
      </c>
      <c r="H311" s="665">
        <v>0</v>
      </c>
      <c r="I311" s="665">
        <v>0</v>
      </c>
      <c r="J311" s="665">
        <v>0</v>
      </c>
      <c r="K311" s="665">
        <v>0</v>
      </c>
      <c r="L311" s="665">
        <v>0</v>
      </c>
      <c r="M311" s="665">
        <v>0</v>
      </c>
      <c r="N311" s="665">
        <v>0</v>
      </c>
      <c r="O311" s="665">
        <v>0</v>
      </c>
      <c r="P311" s="665">
        <v>0</v>
      </c>
      <c r="Q311" s="665">
        <v>0</v>
      </c>
      <c r="R311" s="665">
        <v>0</v>
      </c>
      <c r="S311" s="665">
        <v>0</v>
      </c>
      <c r="T311" s="604" t="e">
        <v>#DIV/0!</v>
      </c>
      <c r="U311" s="603">
        <v>0</v>
      </c>
      <c r="V311" s="603">
        <v>0</v>
      </c>
      <c r="W311" s="603">
        <v>0</v>
      </c>
      <c r="X311" s="603">
        <v>0</v>
      </c>
      <c r="Y311" s="603">
        <v>0</v>
      </c>
      <c r="Z311" s="603">
        <v>0</v>
      </c>
    </row>
    <row r="312" spans="1:26" x14ac:dyDescent="0.2">
      <c r="A312" s="605" t="s">
        <v>538</v>
      </c>
      <c r="B312" s="665">
        <v>0</v>
      </c>
      <c r="C312" s="665">
        <v>0</v>
      </c>
      <c r="D312" s="665">
        <v>0</v>
      </c>
      <c r="E312" s="665">
        <v>0</v>
      </c>
      <c r="F312" s="665">
        <v>0</v>
      </c>
      <c r="G312" s="665">
        <v>0</v>
      </c>
      <c r="H312" s="665">
        <v>0</v>
      </c>
      <c r="I312" s="665">
        <v>0</v>
      </c>
      <c r="J312" s="665">
        <v>0</v>
      </c>
      <c r="K312" s="665">
        <v>0</v>
      </c>
      <c r="L312" s="665">
        <v>0</v>
      </c>
      <c r="M312" s="665">
        <v>0</v>
      </c>
      <c r="N312" s="665">
        <v>0</v>
      </c>
      <c r="O312" s="665">
        <v>0</v>
      </c>
      <c r="P312" s="665">
        <v>0</v>
      </c>
      <c r="Q312" s="665">
        <v>0</v>
      </c>
      <c r="R312" s="665">
        <v>0</v>
      </c>
      <c r="S312" s="665">
        <v>0</v>
      </c>
      <c r="T312" s="604" t="e">
        <v>#DIV/0!</v>
      </c>
      <c r="U312" s="603">
        <v>0</v>
      </c>
      <c r="V312" s="603">
        <v>0</v>
      </c>
      <c r="W312" s="603">
        <v>0</v>
      </c>
      <c r="X312" s="603">
        <v>0</v>
      </c>
      <c r="Y312" s="603">
        <v>0</v>
      </c>
      <c r="Z312" s="603">
        <v>0</v>
      </c>
    </row>
    <row r="313" spans="1:26" x14ac:dyDescent="0.2">
      <c r="A313" s="605" t="s">
        <v>539</v>
      </c>
      <c r="B313" s="665">
        <v>0</v>
      </c>
      <c r="C313" s="665">
        <v>0</v>
      </c>
      <c r="D313" s="665">
        <v>0</v>
      </c>
      <c r="E313" s="665">
        <v>0</v>
      </c>
      <c r="F313" s="665">
        <v>0</v>
      </c>
      <c r="G313" s="665">
        <v>0</v>
      </c>
      <c r="H313" s="665">
        <v>0</v>
      </c>
      <c r="I313" s="665">
        <v>0</v>
      </c>
      <c r="J313" s="665">
        <v>0</v>
      </c>
      <c r="K313" s="665">
        <v>0</v>
      </c>
      <c r="L313" s="665">
        <v>0</v>
      </c>
      <c r="M313" s="665">
        <v>0</v>
      </c>
      <c r="N313" s="665">
        <v>0</v>
      </c>
      <c r="O313" s="665">
        <v>0</v>
      </c>
      <c r="P313" s="665">
        <v>0</v>
      </c>
      <c r="Q313" s="665">
        <v>0</v>
      </c>
      <c r="R313" s="665">
        <v>0</v>
      </c>
      <c r="S313" s="665">
        <v>0</v>
      </c>
      <c r="T313" s="604" t="e">
        <v>#DIV/0!</v>
      </c>
      <c r="U313" s="603">
        <v>0</v>
      </c>
      <c r="V313" s="603">
        <v>0</v>
      </c>
      <c r="W313" s="603">
        <v>0</v>
      </c>
      <c r="X313" s="603">
        <v>0</v>
      </c>
      <c r="Y313" s="603">
        <v>0</v>
      </c>
      <c r="Z313" s="603">
        <v>0</v>
      </c>
    </row>
    <row r="314" spans="1:26" x14ac:dyDescent="0.2">
      <c r="A314" s="605" t="s">
        <v>540</v>
      </c>
      <c r="B314" s="665">
        <v>0</v>
      </c>
      <c r="C314" s="665">
        <v>0</v>
      </c>
      <c r="D314" s="665">
        <v>0</v>
      </c>
      <c r="E314" s="665">
        <v>0</v>
      </c>
      <c r="F314" s="665">
        <v>0</v>
      </c>
      <c r="G314" s="665">
        <v>0</v>
      </c>
      <c r="H314" s="665">
        <v>0</v>
      </c>
      <c r="I314" s="665">
        <v>0</v>
      </c>
      <c r="J314" s="665">
        <v>0</v>
      </c>
      <c r="K314" s="665">
        <v>0</v>
      </c>
      <c r="L314" s="665">
        <v>0</v>
      </c>
      <c r="M314" s="665">
        <v>0</v>
      </c>
      <c r="N314" s="665">
        <v>0</v>
      </c>
      <c r="O314" s="665">
        <v>0</v>
      </c>
      <c r="P314" s="665">
        <v>0</v>
      </c>
      <c r="Q314" s="665">
        <v>0</v>
      </c>
      <c r="R314" s="665">
        <v>0</v>
      </c>
      <c r="S314" s="665">
        <v>0</v>
      </c>
      <c r="T314" s="604" t="e">
        <v>#DIV/0!</v>
      </c>
      <c r="U314" s="603">
        <v>0</v>
      </c>
      <c r="V314" s="603">
        <v>0</v>
      </c>
      <c r="W314" s="603">
        <v>0</v>
      </c>
      <c r="X314" s="603">
        <v>0</v>
      </c>
      <c r="Y314" s="603">
        <v>0</v>
      </c>
      <c r="Z314" s="603">
        <v>0</v>
      </c>
    </row>
    <row r="315" spans="1:26" x14ac:dyDescent="0.2">
      <c r="A315" s="605" t="s">
        <v>541</v>
      </c>
      <c r="B315" s="665">
        <v>0</v>
      </c>
      <c r="C315" s="665">
        <v>0</v>
      </c>
      <c r="D315" s="665">
        <v>0</v>
      </c>
      <c r="E315" s="665">
        <v>0</v>
      </c>
      <c r="F315" s="665">
        <v>0</v>
      </c>
      <c r="G315" s="665">
        <v>0</v>
      </c>
      <c r="H315" s="665">
        <v>0</v>
      </c>
      <c r="I315" s="665">
        <v>0</v>
      </c>
      <c r="J315" s="665">
        <v>0</v>
      </c>
      <c r="K315" s="665">
        <v>0</v>
      </c>
      <c r="L315" s="665">
        <v>0</v>
      </c>
      <c r="M315" s="665">
        <v>0</v>
      </c>
      <c r="N315" s="665">
        <v>0</v>
      </c>
      <c r="O315" s="665">
        <v>0</v>
      </c>
      <c r="P315" s="665">
        <v>0</v>
      </c>
      <c r="Q315" s="665">
        <v>0</v>
      </c>
      <c r="R315" s="665">
        <v>0</v>
      </c>
      <c r="S315" s="665">
        <v>0</v>
      </c>
      <c r="T315" s="604" t="e">
        <v>#DIV/0!</v>
      </c>
      <c r="U315" s="603">
        <v>0</v>
      </c>
      <c r="V315" s="603">
        <v>0</v>
      </c>
      <c r="W315" s="603">
        <v>0</v>
      </c>
      <c r="X315" s="603">
        <v>0</v>
      </c>
      <c r="Y315" s="603">
        <v>0</v>
      </c>
      <c r="Z315" s="603">
        <v>0</v>
      </c>
    </row>
    <row r="316" spans="1:26" x14ac:dyDescent="0.2">
      <c r="A316" s="597" t="s">
        <v>542</v>
      </c>
      <c r="B316" s="685">
        <v>0</v>
      </c>
      <c r="C316" s="685">
        <v>0</v>
      </c>
      <c r="D316" s="685">
        <v>0</v>
      </c>
      <c r="E316" s="685">
        <v>0</v>
      </c>
      <c r="F316" s="685">
        <v>0</v>
      </c>
      <c r="G316" s="685">
        <v>0</v>
      </c>
      <c r="H316" s="685">
        <v>0</v>
      </c>
      <c r="I316" s="685">
        <v>0</v>
      </c>
      <c r="J316" s="685">
        <v>0</v>
      </c>
      <c r="K316" s="685">
        <v>0</v>
      </c>
      <c r="L316" s="685">
        <v>0</v>
      </c>
      <c r="M316" s="685">
        <v>0</v>
      </c>
      <c r="N316" s="685">
        <v>0</v>
      </c>
      <c r="O316" s="685">
        <v>0</v>
      </c>
      <c r="P316" s="685">
        <v>0</v>
      </c>
      <c r="Q316" s="685">
        <v>0</v>
      </c>
      <c r="R316" s="685">
        <v>0</v>
      </c>
      <c r="S316" s="685">
        <v>0</v>
      </c>
      <c r="T316" s="600" t="e">
        <v>#DIV/0!</v>
      </c>
      <c r="U316" s="599">
        <v>0</v>
      </c>
      <c r="V316" s="599">
        <v>0</v>
      </c>
      <c r="W316" s="599">
        <v>0</v>
      </c>
      <c r="X316" s="599">
        <v>0</v>
      </c>
      <c r="Y316" s="599">
        <v>0</v>
      </c>
      <c r="Z316" s="599">
        <v>0</v>
      </c>
    </row>
    <row r="317" spans="1:26" x14ac:dyDescent="0.2">
      <c r="A317" s="597" t="s">
        <v>543</v>
      </c>
      <c r="B317" s="685">
        <v>0</v>
      </c>
      <c r="C317" s="685">
        <v>4400</v>
      </c>
      <c r="D317" s="685">
        <v>4400</v>
      </c>
      <c r="E317" s="685">
        <v>4390.79</v>
      </c>
      <c r="F317" s="685">
        <v>4390.79</v>
      </c>
      <c r="G317" s="685">
        <v>0</v>
      </c>
      <c r="H317" s="685">
        <v>2890</v>
      </c>
      <c r="I317" s="685">
        <v>0</v>
      </c>
      <c r="J317" s="685">
        <v>232.77</v>
      </c>
      <c r="K317" s="685">
        <v>0</v>
      </c>
      <c r="L317" s="685">
        <v>0</v>
      </c>
      <c r="M317" s="685">
        <v>0</v>
      </c>
      <c r="N317" s="685">
        <v>0</v>
      </c>
      <c r="O317" s="685">
        <v>1268.02</v>
      </c>
      <c r="P317" s="685">
        <v>0</v>
      </c>
      <c r="Q317" s="685">
        <v>0</v>
      </c>
      <c r="R317" s="685">
        <v>0</v>
      </c>
      <c r="S317" s="685">
        <v>4390.79</v>
      </c>
      <c r="T317" s="600">
        <v>0.99790681818181814</v>
      </c>
      <c r="U317" s="599">
        <v>9.2100000000000364</v>
      </c>
      <c r="V317" s="599">
        <v>0</v>
      </c>
      <c r="W317" s="599">
        <v>9.2100000000000364</v>
      </c>
      <c r="X317" s="599">
        <v>9.2100000000000364</v>
      </c>
      <c r="Y317" s="599">
        <v>0</v>
      </c>
      <c r="Z317" s="599">
        <v>0</v>
      </c>
    </row>
    <row r="318" spans="1:26" x14ac:dyDescent="0.2">
      <c r="A318" s="597" t="s">
        <v>544</v>
      </c>
      <c r="B318" s="655">
        <v>42000</v>
      </c>
      <c r="C318" s="655">
        <v>51515</v>
      </c>
      <c r="D318" s="655">
        <v>51515</v>
      </c>
      <c r="E318" s="655">
        <v>50648.3</v>
      </c>
      <c r="F318" s="655">
        <v>39648.320000000007</v>
      </c>
      <c r="G318" s="655">
        <v>0</v>
      </c>
      <c r="H318" s="655">
        <v>9915</v>
      </c>
      <c r="I318" s="655">
        <v>333.33</v>
      </c>
      <c r="J318" s="655">
        <v>9000</v>
      </c>
      <c r="K318" s="655">
        <v>0</v>
      </c>
      <c r="L318" s="655">
        <v>10400</v>
      </c>
      <c r="M318" s="655">
        <v>3333.33</v>
      </c>
      <c r="N318" s="655">
        <v>3333.33</v>
      </c>
      <c r="O318" s="655">
        <v>3333.33</v>
      </c>
      <c r="P318" s="655">
        <v>0</v>
      </c>
      <c r="Q318" s="655">
        <v>0</v>
      </c>
      <c r="R318" s="655">
        <v>0</v>
      </c>
      <c r="S318" s="655">
        <v>39648.320000000007</v>
      </c>
      <c r="T318" s="600">
        <v>0.76964612248859565</v>
      </c>
      <c r="U318" s="599">
        <v>11866.679999999993</v>
      </c>
      <c r="V318" s="599">
        <v>0</v>
      </c>
      <c r="W318" s="599">
        <v>866.69999999999709</v>
      </c>
      <c r="X318" s="599">
        <v>866.69999999999709</v>
      </c>
      <c r="Y318" s="599">
        <v>10999.979999999996</v>
      </c>
      <c r="Z318" s="599">
        <v>0</v>
      </c>
    </row>
    <row r="319" spans="1:26" ht="24" x14ac:dyDescent="0.2">
      <c r="A319" s="605" t="s">
        <v>545</v>
      </c>
      <c r="B319" s="665">
        <v>42000</v>
      </c>
      <c r="C319" s="665">
        <v>42000</v>
      </c>
      <c r="D319" s="665">
        <v>42000</v>
      </c>
      <c r="E319" s="665">
        <v>41133.300000000003</v>
      </c>
      <c r="F319" s="665">
        <v>30133.320000000007</v>
      </c>
      <c r="G319" s="665">
        <v>0</v>
      </c>
      <c r="H319" s="665">
        <v>800</v>
      </c>
      <c r="I319" s="665">
        <v>333.33</v>
      </c>
      <c r="J319" s="665">
        <v>9000</v>
      </c>
      <c r="K319" s="665">
        <v>0</v>
      </c>
      <c r="L319" s="665">
        <v>10000</v>
      </c>
      <c r="M319" s="665">
        <v>3333.33</v>
      </c>
      <c r="N319" s="665">
        <v>3333.33</v>
      </c>
      <c r="O319" s="665">
        <v>3333.33</v>
      </c>
      <c r="P319" s="665">
        <v>0</v>
      </c>
      <c r="Q319" s="665">
        <v>0</v>
      </c>
      <c r="R319" s="665">
        <v>0</v>
      </c>
      <c r="S319" s="665">
        <v>30133.320000000007</v>
      </c>
      <c r="T319" s="604">
        <v>0.71746000000000021</v>
      </c>
      <c r="U319" s="603">
        <v>11866.679999999993</v>
      </c>
      <c r="V319" s="603">
        <v>0</v>
      </c>
      <c r="W319" s="603">
        <v>866.69999999999709</v>
      </c>
      <c r="X319" s="603">
        <v>866.69999999999709</v>
      </c>
      <c r="Y319" s="603">
        <v>10999.979999999996</v>
      </c>
      <c r="Z319" s="603">
        <v>0</v>
      </c>
    </row>
    <row r="320" spans="1:26" x14ac:dyDescent="0.2">
      <c r="A320" s="605" t="s">
        <v>546</v>
      </c>
      <c r="B320" s="665">
        <v>0</v>
      </c>
      <c r="C320" s="665">
        <v>7000</v>
      </c>
      <c r="D320" s="665">
        <v>7000</v>
      </c>
      <c r="E320" s="665">
        <v>7000</v>
      </c>
      <c r="F320" s="665">
        <v>7000</v>
      </c>
      <c r="G320" s="665">
        <v>0</v>
      </c>
      <c r="H320" s="665">
        <v>7000</v>
      </c>
      <c r="I320" s="665">
        <v>0</v>
      </c>
      <c r="J320" s="665">
        <v>0</v>
      </c>
      <c r="K320" s="665">
        <v>0</v>
      </c>
      <c r="L320" s="665">
        <v>0</v>
      </c>
      <c r="M320" s="665">
        <v>0</v>
      </c>
      <c r="N320" s="665">
        <v>0</v>
      </c>
      <c r="O320" s="665">
        <v>0</v>
      </c>
      <c r="P320" s="665">
        <v>0</v>
      </c>
      <c r="Q320" s="665">
        <v>0</v>
      </c>
      <c r="R320" s="665">
        <v>0</v>
      </c>
      <c r="S320" s="665">
        <v>7000</v>
      </c>
      <c r="T320" s="604">
        <v>1</v>
      </c>
      <c r="U320" s="603">
        <v>0</v>
      </c>
      <c r="V320" s="603">
        <v>0</v>
      </c>
      <c r="W320" s="603">
        <v>0</v>
      </c>
      <c r="X320" s="603">
        <v>0</v>
      </c>
      <c r="Y320" s="603">
        <v>0</v>
      </c>
      <c r="Z320" s="603">
        <v>0</v>
      </c>
    </row>
    <row r="321" spans="1:26" x14ac:dyDescent="0.2">
      <c r="A321" s="605" t="s">
        <v>547</v>
      </c>
      <c r="B321" s="665">
        <v>0</v>
      </c>
      <c r="C321" s="665">
        <v>1115</v>
      </c>
      <c r="D321" s="665">
        <v>1115</v>
      </c>
      <c r="E321" s="665">
        <v>1115</v>
      </c>
      <c r="F321" s="665">
        <v>1115</v>
      </c>
      <c r="G321" s="665">
        <v>0</v>
      </c>
      <c r="H321" s="665">
        <v>715</v>
      </c>
      <c r="I321" s="665">
        <v>0</v>
      </c>
      <c r="J321" s="665">
        <v>0</v>
      </c>
      <c r="K321" s="665">
        <v>0</v>
      </c>
      <c r="L321" s="665">
        <v>400</v>
      </c>
      <c r="M321" s="665">
        <v>0</v>
      </c>
      <c r="N321" s="665">
        <v>0</v>
      </c>
      <c r="O321" s="665">
        <v>0</v>
      </c>
      <c r="P321" s="665">
        <v>0</v>
      </c>
      <c r="Q321" s="665">
        <v>0</v>
      </c>
      <c r="R321" s="665">
        <v>0</v>
      </c>
      <c r="S321" s="665">
        <v>1115</v>
      </c>
      <c r="T321" s="604">
        <v>1</v>
      </c>
      <c r="U321" s="603">
        <v>0</v>
      </c>
      <c r="V321" s="603">
        <v>0</v>
      </c>
      <c r="W321" s="603">
        <v>0</v>
      </c>
      <c r="X321" s="603">
        <v>0</v>
      </c>
      <c r="Y321" s="603">
        <v>0</v>
      </c>
      <c r="Z321" s="603">
        <v>0</v>
      </c>
    </row>
    <row r="322" spans="1:26" x14ac:dyDescent="0.2">
      <c r="A322" s="605" t="s">
        <v>548</v>
      </c>
      <c r="B322" s="665">
        <v>0</v>
      </c>
      <c r="C322" s="665">
        <v>0</v>
      </c>
      <c r="D322" s="665">
        <v>0</v>
      </c>
      <c r="E322" s="665">
        <v>0</v>
      </c>
      <c r="F322" s="665">
        <v>0</v>
      </c>
      <c r="G322" s="665">
        <v>0</v>
      </c>
      <c r="H322" s="665">
        <v>0</v>
      </c>
      <c r="I322" s="665">
        <v>0</v>
      </c>
      <c r="J322" s="665">
        <v>0</v>
      </c>
      <c r="K322" s="665">
        <v>0</v>
      </c>
      <c r="L322" s="665">
        <v>0</v>
      </c>
      <c r="M322" s="665">
        <v>0</v>
      </c>
      <c r="N322" s="665">
        <v>0</v>
      </c>
      <c r="O322" s="665">
        <v>0</v>
      </c>
      <c r="P322" s="665">
        <v>0</v>
      </c>
      <c r="Q322" s="665">
        <v>0</v>
      </c>
      <c r="R322" s="665">
        <v>0</v>
      </c>
      <c r="S322" s="665">
        <v>0</v>
      </c>
      <c r="T322" s="604" t="e">
        <v>#DIV/0!</v>
      </c>
      <c r="U322" s="603">
        <v>0</v>
      </c>
      <c r="V322" s="603">
        <v>0</v>
      </c>
      <c r="W322" s="603">
        <v>0</v>
      </c>
      <c r="X322" s="603">
        <v>0</v>
      </c>
      <c r="Y322" s="603">
        <v>0</v>
      </c>
      <c r="Z322" s="603">
        <v>0</v>
      </c>
    </row>
    <row r="323" spans="1:26" x14ac:dyDescent="0.2">
      <c r="A323" s="605" t="s">
        <v>549</v>
      </c>
      <c r="B323" s="665">
        <v>0</v>
      </c>
      <c r="C323" s="665">
        <v>0</v>
      </c>
      <c r="D323" s="665">
        <v>0</v>
      </c>
      <c r="E323" s="665">
        <v>0</v>
      </c>
      <c r="F323" s="665">
        <v>0</v>
      </c>
      <c r="G323" s="665">
        <v>0</v>
      </c>
      <c r="H323" s="665">
        <v>0</v>
      </c>
      <c r="I323" s="665">
        <v>0</v>
      </c>
      <c r="J323" s="665">
        <v>0</v>
      </c>
      <c r="K323" s="665">
        <v>0</v>
      </c>
      <c r="L323" s="665">
        <v>0</v>
      </c>
      <c r="M323" s="665">
        <v>0</v>
      </c>
      <c r="N323" s="665">
        <v>0</v>
      </c>
      <c r="O323" s="665">
        <v>0</v>
      </c>
      <c r="P323" s="665">
        <v>0</v>
      </c>
      <c r="Q323" s="665">
        <v>0</v>
      </c>
      <c r="R323" s="665">
        <v>0</v>
      </c>
      <c r="S323" s="665">
        <v>0</v>
      </c>
      <c r="T323" s="604" t="e">
        <v>#DIV/0!</v>
      </c>
      <c r="U323" s="603">
        <v>0</v>
      </c>
      <c r="V323" s="603">
        <v>0</v>
      </c>
      <c r="W323" s="603">
        <v>0</v>
      </c>
      <c r="X323" s="603">
        <v>0</v>
      </c>
      <c r="Y323" s="603">
        <v>0</v>
      </c>
      <c r="Z323" s="603">
        <v>0</v>
      </c>
    </row>
    <row r="324" spans="1:26" x14ac:dyDescent="0.2">
      <c r="A324" s="605" t="s">
        <v>550</v>
      </c>
      <c r="B324" s="665">
        <v>0</v>
      </c>
      <c r="C324" s="665">
        <v>0</v>
      </c>
      <c r="D324" s="665">
        <v>0</v>
      </c>
      <c r="E324" s="665">
        <v>0</v>
      </c>
      <c r="F324" s="665">
        <v>0</v>
      </c>
      <c r="G324" s="665">
        <v>0</v>
      </c>
      <c r="H324" s="665">
        <v>0</v>
      </c>
      <c r="I324" s="665">
        <v>0</v>
      </c>
      <c r="J324" s="665">
        <v>0</v>
      </c>
      <c r="K324" s="665">
        <v>0</v>
      </c>
      <c r="L324" s="665">
        <v>0</v>
      </c>
      <c r="M324" s="665">
        <v>0</v>
      </c>
      <c r="N324" s="665">
        <v>0</v>
      </c>
      <c r="O324" s="665">
        <v>0</v>
      </c>
      <c r="P324" s="665">
        <v>0</v>
      </c>
      <c r="Q324" s="665">
        <v>0</v>
      </c>
      <c r="R324" s="665">
        <v>0</v>
      </c>
      <c r="S324" s="665">
        <v>0</v>
      </c>
      <c r="T324" s="604" t="e">
        <v>#DIV/0!</v>
      </c>
      <c r="U324" s="603">
        <v>0</v>
      </c>
      <c r="V324" s="603">
        <v>0</v>
      </c>
      <c r="W324" s="603">
        <v>0</v>
      </c>
      <c r="X324" s="603">
        <v>0</v>
      </c>
      <c r="Y324" s="603">
        <v>0</v>
      </c>
      <c r="Z324" s="603">
        <v>0</v>
      </c>
    </row>
    <row r="325" spans="1:26" x14ac:dyDescent="0.2">
      <c r="A325" s="605" t="s">
        <v>551</v>
      </c>
      <c r="B325" s="665">
        <v>0</v>
      </c>
      <c r="C325" s="665">
        <v>0</v>
      </c>
      <c r="D325" s="665">
        <v>0</v>
      </c>
      <c r="E325" s="665">
        <v>0</v>
      </c>
      <c r="F325" s="665">
        <v>0</v>
      </c>
      <c r="G325" s="665">
        <v>0</v>
      </c>
      <c r="H325" s="665">
        <v>0</v>
      </c>
      <c r="I325" s="665">
        <v>0</v>
      </c>
      <c r="J325" s="665">
        <v>0</v>
      </c>
      <c r="K325" s="665">
        <v>0</v>
      </c>
      <c r="L325" s="665">
        <v>0</v>
      </c>
      <c r="M325" s="665">
        <v>0</v>
      </c>
      <c r="N325" s="665">
        <v>0</v>
      </c>
      <c r="O325" s="665">
        <v>0</v>
      </c>
      <c r="P325" s="665">
        <v>0</v>
      </c>
      <c r="Q325" s="665">
        <v>0</v>
      </c>
      <c r="R325" s="665">
        <v>0</v>
      </c>
      <c r="S325" s="665">
        <v>0</v>
      </c>
      <c r="T325" s="604" t="e">
        <v>#DIV/0!</v>
      </c>
      <c r="U325" s="603">
        <v>0</v>
      </c>
      <c r="V325" s="603">
        <v>0</v>
      </c>
      <c r="W325" s="603">
        <v>0</v>
      </c>
      <c r="X325" s="603">
        <v>0</v>
      </c>
      <c r="Y325" s="603">
        <v>0</v>
      </c>
      <c r="Z325" s="603">
        <v>0</v>
      </c>
    </row>
    <row r="326" spans="1:26" x14ac:dyDescent="0.2">
      <c r="A326" s="605" t="s">
        <v>552</v>
      </c>
      <c r="B326" s="665">
        <v>0</v>
      </c>
      <c r="C326" s="665">
        <v>0</v>
      </c>
      <c r="D326" s="665">
        <v>0</v>
      </c>
      <c r="E326" s="665">
        <v>0</v>
      </c>
      <c r="F326" s="665">
        <v>0</v>
      </c>
      <c r="G326" s="665">
        <v>0</v>
      </c>
      <c r="H326" s="665">
        <v>0</v>
      </c>
      <c r="I326" s="665">
        <v>0</v>
      </c>
      <c r="J326" s="665">
        <v>0</v>
      </c>
      <c r="K326" s="665">
        <v>0</v>
      </c>
      <c r="L326" s="665">
        <v>0</v>
      </c>
      <c r="M326" s="665">
        <v>0</v>
      </c>
      <c r="N326" s="665">
        <v>0</v>
      </c>
      <c r="O326" s="665">
        <v>0</v>
      </c>
      <c r="P326" s="665">
        <v>0</v>
      </c>
      <c r="Q326" s="665">
        <v>0</v>
      </c>
      <c r="R326" s="665">
        <v>0</v>
      </c>
      <c r="S326" s="665">
        <v>0</v>
      </c>
      <c r="T326" s="604" t="e">
        <v>#DIV/0!</v>
      </c>
      <c r="U326" s="603">
        <v>0</v>
      </c>
      <c r="V326" s="603">
        <v>0</v>
      </c>
      <c r="W326" s="603">
        <v>0</v>
      </c>
      <c r="X326" s="603">
        <v>0</v>
      </c>
      <c r="Y326" s="603">
        <v>0</v>
      </c>
      <c r="Z326" s="603">
        <v>0</v>
      </c>
    </row>
    <row r="327" spans="1:26" x14ac:dyDescent="0.2">
      <c r="A327" s="605" t="s">
        <v>553</v>
      </c>
      <c r="B327" s="665">
        <v>0</v>
      </c>
      <c r="C327" s="665">
        <v>0</v>
      </c>
      <c r="D327" s="665">
        <v>0</v>
      </c>
      <c r="E327" s="665">
        <v>0</v>
      </c>
      <c r="F327" s="665">
        <v>0</v>
      </c>
      <c r="G327" s="665">
        <v>0</v>
      </c>
      <c r="H327" s="665">
        <v>0</v>
      </c>
      <c r="I327" s="665">
        <v>0</v>
      </c>
      <c r="J327" s="665">
        <v>0</v>
      </c>
      <c r="K327" s="665">
        <v>0</v>
      </c>
      <c r="L327" s="665">
        <v>0</v>
      </c>
      <c r="M327" s="665">
        <v>0</v>
      </c>
      <c r="N327" s="665">
        <v>0</v>
      </c>
      <c r="O327" s="665">
        <v>0</v>
      </c>
      <c r="P327" s="665">
        <v>0</v>
      </c>
      <c r="Q327" s="665">
        <v>0</v>
      </c>
      <c r="R327" s="665">
        <v>0</v>
      </c>
      <c r="S327" s="665">
        <v>0</v>
      </c>
      <c r="T327" s="604" t="e">
        <v>#DIV/0!</v>
      </c>
      <c r="U327" s="603">
        <v>0</v>
      </c>
      <c r="V327" s="603">
        <v>0</v>
      </c>
      <c r="W327" s="603">
        <v>0</v>
      </c>
      <c r="X327" s="603">
        <v>0</v>
      </c>
      <c r="Y327" s="603">
        <v>0</v>
      </c>
      <c r="Z327" s="603">
        <v>0</v>
      </c>
    </row>
    <row r="328" spans="1:26" x14ac:dyDescent="0.2">
      <c r="A328" s="605" t="s">
        <v>554</v>
      </c>
      <c r="B328" s="665">
        <v>0</v>
      </c>
      <c r="C328" s="665">
        <v>1400</v>
      </c>
      <c r="D328" s="665">
        <v>1400</v>
      </c>
      <c r="E328" s="665">
        <v>1400</v>
      </c>
      <c r="F328" s="665">
        <v>1400</v>
      </c>
      <c r="G328" s="665">
        <v>0</v>
      </c>
      <c r="H328" s="665">
        <v>1400</v>
      </c>
      <c r="I328" s="665">
        <v>0</v>
      </c>
      <c r="J328" s="665">
        <v>0</v>
      </c>
      <c r="K328" s="665">
        <v>0</v>
      </c>
      <c r="L328" s="665">
        <v>0</v>
      </c>
      <c r="M328" s="665">
        <v>0</v>
      </c>
      <c r="N328" s="665">
        <v>0</v>
      </c>
      <c r="O328" s="665">
        <v>0</v>
      </c>
      <c r="P328" s="665">
        <v>0</v>
      </c>
      <c r="Q328" s="665">
        <v>0</v>
      </c>
      <c r="R328" s="665">
        <v>0</v>
      </c>
      <c r="S328" s="665">
        <v>1400</v>
      </c>
      <c r="T328" s="604">
        <v>1</v>
      </c>
      <c r="U328" s="603">
        <v>0</v>
      </c>
      <c r="V328" s="603">
        <v>0</v>
      </c>
      <c r="W328" s="603">
        <v>0</v>
      </c>
      <c r="X328" s="603">
        <v>0</v>
      </c>
      <c r="Y328" s="603">
        <v>0</v>
      </c>
      <c r="Z328" s="603">
        <v>0</v>
      </c>
    </row>
    <row r="329" spans="1:26" x14ac:dyDescent="0.2">
      <c r="A329" s="605" t="s">
        <v>555</v>
      </c>
      <c r="B329" s="665">
        <v>0</v>
      </c>
      <c r="C329" s="665">
        <v>0</v>
      </c>
      <c r="D329" s="665">
        <v>0</v>
      </c>
      <c r="E329" s="665">
        <v>0</v>
      </c>
      <c r="F329" s="665">
        <v>0</v>
      </c>
      <c r="G329" s="665">
        <v>0</v>
      </c>
      <c r="H329" s="665">
        <v>0</v>
      </c>
      <c r="I329" s="665">
        <v>0</v>
      </c>
      <c r="J329" s="665">
        <v>0</v>
      </c>
      <c r="K329" s="665">
        <v>0</v>
      </c>
      <c r="L329" s="665">
        <v>0</v>
      </c>
      <c r="M329" s="665">
        <v>0</v>
      </c>
      <c r="N329" s="665">
        <v>0</v>
      </c>
      <c r="O329" s="665">
        <v>0</v>
      </c>
      <c r="P329" s="665">
        <v>0</v>
      </c>
      <c r="Q329" s="665">
        <v>0</v>
      </c>
      <c r="R329" s="665">
        <v>0</v>
      </c>
      <c r="S329" s="665">
        <v>0</v>
      </c>
      <c r="T329" s="604" t="e">
        <v>#DIV/0!</v>
      </c>
      <c r="U329" s="603">
        <v>0</v>
      </c>
      <c r="V329" s="603">
        <v>0</v>
      </c>
      <c r="W329" s="603">
        <v>0</v>
      </c>
      <c r="X329" s="603">
        <v>0</v>
      </c>
      <c r="Y329" s="603">
        <v>0</v>
      </c>
      <c r="Z329" s="603">
        <v>0</v>
      </c>
    </row>
    <row r="330" spans="1:26" x14ac:dyDescent="0.2">
      <c r="A330" s="605" t="s">
        <v>556</v>
      </c>
      <c r="B330" s="665">
        <v>0</v>
      </c>
      <c r="C330" s="665">
        <v>0</v>
      </c>
      <c r="D330" s="665">
        <v>0</v>
      </c>
      <c r="E330" s="665">
        <v>0</v>
      </c>
      <c r="F330" s="665">
        <v>0</v>
      </c>
      <c r="G330" s="665">
        <v>0</v>
      </c>
      <c r="H330" s="665">
        <v>0</v>
      </c>
      <c r="I330" s="665">
        <v>0</v>
      </c>
      <c r="J330" s="665">
        <v>0</v>
      </c>
      <c r="K330" s="665">
        <v>0</v>
      </c>
      <c r="L330" s="665">
        <v>0</v>
      </c>
      <c r="M330" s="665">
        <v>0</v>
      </c>
      <c r="N330" s="665">
        <v>0</v>
      </c>
      <c r="O330" s="665">
        <v>0</v>
      </c>
      <c r="P330" s="665">
        <v>0</v>
      </c>
      <c r="Q330" s="665">
        <v>0</v>
      </c>
      <c r="R330" s="665">
        <v>0</v>
      </c>
      <c r="S330" s="665">
        <v>0</v>
      </c>
      <c r="T330" s="604" t="e">
        <v>#DIV/0!</v>
      </c>
      <c r="U330" s="603">
        <v>0</v>
      </c>
      <c r="V330" s="603">
        <v>0</v>
      </c>
      <c r="W330" s="603">
        <v>0</v>
      </c>
      <c r="X330" s="603">
        <v>0</v>
      </c>
      <c r="Y330" s="603">
        <v>0</v>
      </c>
      <c r="Z330" s="603">
        <v>0</v>
      </c>
    </row>
    <row r="331" spans="1:26" x14ac:dyDescent="0.2">
      <c r="A331" s="597" t="s">
        <v>557</v>
      </c>
      <c r="B331" s="655">
        <v>0</v>
      </c>
      <c r="C331" s="655">
        <v>0</v>
      </c>
      <c r="D331" s="655">
        <v>0</v>
      </c>
      <c r="E331" s="655">
        <v>0</v>
      </c>
      <c r="F331" s="655">
        <v>0</v>
      </c>
      <c r="G331" s="655">
        <v>0</v>
      </c>
      <c r="H331" s="655">
        <v>0</v>
      </c>
      <c r="I331" s="655">
        <v>0</v>
      </c>
      <c r="J331" s="655">
        <v>0</v>
      </c>
      <c r="K331" s="655">
        <v>0</v>
      </c>
      <c r="L331" s="655">
        <v>0</v>
      </c>
      <c r="M331" s="655">
        <v>0</v>
      </c>
      <c r="N331" s="655">
        <v>0</v>
      </c>
      <c r="O331" s="655">
        <v>0</v>
      </c>
      <c r="P331" s="655">
        <v>0</v>
      </c>
      <c r="Q331" s="655">
        <v>0</v>
      </c>
      <c r="R331" s="655">
        <v>0</v>
      </c>
      <c r="S331" s="655">
        <v>0</v>
      </c>
      <c r="T331" s="600" t="e">
        <v>#DIV/0!</v>
      </c>
      <c r="U331" s="599">
        <v>0</v>
      </c>
      <c r="V331" s="599">
        <v>0</v>
      </c>
      <c r="W331" s="599">
        <v>0</v>
      </c>
      <c r="X331" s="599">
        <v>0</v>
      </c>
      <c r="Y331" s="599">
        <v>0</v>
      </c>
      <c r="Z331" s="599">
        <v>0</v>
      </c>
    </row>
    <row r="332" spans="1:26" x14ac:dyDescent="0.2">
      <c r="A332" s="605" t="s">
        <v>558</v>
      </c>
      <c r="B332" s="665">
        <v>0</v>
      </c>
      <c r="C332" s="665">
        <v>0</v>
      </c>
      <c r="D332" s="665">
        <v>0</v>
      </c>
      <c r="E332" s="665">
        <v>0</v>
      </c>
      <c r="F332" s="665">
        <v>0</v>
      </c>
      <c r="G332" s="665">
        <v>0</v>
      </c>
      <c r="H332" s="665">
        <v>0</v>
      </c>
      <c r="I332" s="665">
        <v>0</v>
      </c>
      <c r="J332" s="665">
        <v>0</v>
      </c>
      <c r="K332" s="665">
        <v>0</v>
      </c>
      <c r="L332" s="665">
        <v>0</v>
      </c>
      <c r="M332" s="665">
        <v>0</v>
      </c>
      <c r="N332" s="665">
        <v>0</v>
      </c>
      <c r="O332" s="665">
        <v>0</v>
      </c>
      <c r="P332" s="665">
        <v>0</v>
      </c>
      <c r="Q332" s="665">
        <v>0</v>
      </c>
      <c r="R332" s="665">
        <v>0</v>
      </c>
      <c r="S332" s="665">
        <v>0</v>
      </c>
      <c r="T332" s="604" t="e">
        <v>#DIV/0!</v>
      </c>
      <c r="U332" s="603">
        <v>0</v>
      </c>
      <c r="V332" s="603">
        <v>0</v>
      </c>
      <c r="W332" s="603">
        <v>0</v>
      </c>
      <c r="X332" s="603">
        <v>0</v>
      </c>
      <c r="Y332" s="603">
        <v>0</v>
      </c>
      <c r="Z332" s="603">
        <v>0</v>
      </c>
    </row>
    <row r="333" spans="1:26" x14ac:dyDescent="0.2">
      <c r="A333" s="605" t="s">
        <v>559</v>
      </c>
      <c r="B333" s="665">
        <v>0</v>
      </c>
      <c r="C333" s="665">
        <v>0</v>
      </c>
      <c r="D333" s="665">
        <v>0</v>
      </c>
      <c r="E333" s="665">
        <v>0</v>
      </c>
      <c r="F333" s="665">
        <v>0</v>
      </c>
      <c r="G333" s="665">
        <v>0</v>
      </c>
      <c r="H333" s="665">
        <v>0</v>
      </c>
      <c r="I333" s="665">
        <v>0</v>
      </c>
      <c r="J333" s="665">
        <v>0</v>
      </c>
      <c r="K333" s="665">
        <v>0</v>
      </c>
      <c r="L333" s="665">
        <v>0</v>
      </c>
      <c r="M333" s="665">
        <v>0</v>
      </c>
      <c r="N333" s="665">
        <v>0</v>
      </c>
      <c r="O333" s="665">
        <v>0</v>
      </c>
      <c r="P333" s="665">
        <v>0</v>
      </c>
      <c r="Q333" s="665">
        <v>0</v>
      </c>
      <c r="R333" s="665">
        <v>0</v>
      </c>
      <c r="S333" s="665">
        <v>0</v>
      </c>
      <c r="T333" s="604" t="e">
        <v>#DIV/0!</v>
      </c>
      <c r="U333" s="603">
        <v>0</v>
      </c>
      <c r="V333" s="603">
        <v>0</v>
      </c>
      <c r="W333" s="603">
        <v>0</v>
      </c>
      <c r="X333" s="603">
        <v>0</v>
      </c>
      <c r="Y333" s="603">
        <v>0</v>
      </c>
      <c r="Z333" s="603">
        <v>0</v>
      </c>
    </row>
    <row r="334" spans="1:26" x14ac:dyDescent="0.2">
      <c r="A334" s="605" t="s">
        <v>560</v>
      </c>
      <c r="B334" s="665">
        <v>0</v>
      </c>
      <c r="C334" s="665">
        <v>0</v>
      </c>
      <c r="D334" s="665">
        <v>0</v>
      </c>
      <c r="E334" s="665">
        <v>0</v>
      </c>
      <c r="F334" s="665">
        <v>0</v>
      </c>
      <c r="G334" s="665">
        <v>0</v>
      </c>
      <c r="H334" s="665">
        <v>0</v>
      </c>
      <c r="I334" s="665">
        <v>0</v>
      </c>
      <c r="J334" s="665">
        <v>0</v>
      </c>
      <c r="K334" s="665">
        <v>0</v>
      </c>
      <c r="L334" s="665">
        <v>0</v>
      </c>
      <c r="M334" s="665">
        <v>0</v>
      </c>
      <c r="N334" s="665">
        <v>0</v>
      </c>
      <c r="O334" s="665">
        <v>0</v>
      </c>
      <c r="P334" s="665">
        <v>0</v>
      </c>
      <c r="Q334" s="665">
        <v>0</v>
      </c>
      <c r="R334" s="665">
        <v>0</v>
      </c>
      <c r="S334" s="665">
        <v>0</v>
      </c>
      <c r="T334" s="604" t="e">
        <v>#DIV/0!</v>
      </c>
      <c r="U334" s="603">
        <v>0</v>
      </c>
      <c r="V334" s="603">
        <v>0</v>
      </c>
      <c r="W334" s="603">
        <v>0</v>
      </c>
      <c r="X334" s="603">
        <v>0</v>
      </c>
      <c r="Y334" s="603">
        <v>0</v>
      </c>
      <c r="Z334" s="603">
        <v>0</v>
      </c>
    </row>
    <row r="335" spans="1:26" x14ac:dyDescent="0.2">
      <c r="A335" s="592" t="s">
        <v>561</v>
      </c>
      <c r="B335" s="683">
        <v>0</v>
      </c>
      <c r="C335" s="683">
        <v>0</v>
      </c>
      <c r="D335" s="683">
        <v>0</v>
      </c>
      <c r="E335" s="683">
        <v>0</v>
      </c>
      <c r="F335" s="683">
        <v>0</v>
      </c>
      <c r="G335" s="683">
        <v>0</v>
      </c>
      <c r="H335" s="683">
        <v>0</v>
      </c>
      <c r="I335" s="683">
        <v>0</v>
      </c>
      <c r="J335" s="683">
        <v>0</v>
      </c>
      <c r="K335" s="683">
        <v>0</v>
      </c>
      <c r="L335" s="683">
        <v>0</v>
      </c>
      <c r="M335" s="683">
        <v>0</v>
      </c>
      <c r="N335" s="683">
        <v>0</v>
      </c>
      <c r="O335" s="683">
        <v>0</v>
      </c>
      <c r="P335" s="683">
        <v>0</v>
      </c>
      <c r="Q335" s="683">
        <v>0</v>
      </c>
      <c r="R335" s="683">
        <v>0</v>
      </c>
      <c r="S335" s="683">
        <v>0</v>
      </c>
      <c r="T335" s="595" t="e">
        <v>#DIV/0!</v>
      </c>
      <c r="U335" s="594">
        <v>0</v>
      </c>
      <c r="V335" s="594">
        <v>0</v>
      </c>
      <c r="W335" s="594">
        <v>0</v>
      </c>
      <c r="X335" s="594">
        <v>0</v>
      </c>
      <c r="Y335" s="594">
        <v>0</v>
      </c>
      <c r="Z335" s="594">
        <v>0</v>
      </c>
    </row>
    <row r="336" spans="1:26" x14ac:dyDescent="0.2">
      <c r="A336" s="597" t="s">
        <v>562</v>
      </c>
      <c r="B336" s="655">
        <v>0</v>
      </c>
      <c r="C336" s="655">
        <v>0</v>
      </c>
      <c r="D336" s="655">
        <v>0</v>
      </c>
      <c r="E336" s="655">
        <v>0</v>
      </c>
      <c r="F336" s="655">
        <v>0</v>
      </c>
      <c r="G336" s="655">
        <v>0</v>
      </c>
      <c r="H336" s="655">
        <v>0</v>
      </c>
      <c r="I336" s="655">
        <v>0</v>
      </c>
      <c r="J336" s="655">
        <v>0</v>
      </c>
      <c r="K336" s="655">
        <v>0</v>
      </c>
      <c r="L336" s="655">
        <v>0</v>
      </c>
      <c r="M336" s="655">
        <v>0</v>
      </c>
      <c r="N336" s="655">
        <v>0</v>
      </c>
      <c r="O336" s="655">
        <v>0</v>
      </c>
      <c r="P336" s="655">
        <v>0</v>
      </c>
      <c r="Q336" s="655">
        <v>0</v>
      </c>
      <c r="R336" s="655">
        <v>0</v>
      </c>
      <c r="S336" s="655">
        <v>0</v>
      </c>
      <c r="T336" s="600" t="e">
        <v>#DIV/0!</v>
      </c>
      <c r="U336" s="599">
        <v>0</v>
      </c>
      <c r="V336" s="599">
        <v>0</v>
      </c>
      <c r="W336" s="599">
        <v>0</v>
      </c>
      <c r="X336" s="599">
        <v>0</v>
      </c>
      <c r="Y336" s="599">
        <v>0</v>
      </c>
      <c r="Z336" s="599">
        <v>0</v>
      </c>
    </row>
    <row r="337" spans="1:26" ht="24" x14ac:dyDescent="0.2">
      <c r="A337" s="605" t="s">
        <v>563</v>
      </c>
      <c r="B337" s="663">
        <v>0</v>
      </c>
      <c r="C337" s="663">
        <v>0</v>
      </c>
      <c r="D337" s="663">
        <v>0</v>
      </c>
      <c r="E337" s="663">
        <v>0</v>
      </c>
      <c r="F337" s="663">
        <v>0</v>
      </c>
      <c r="G337" s="663">
        <v>0</v>
      </c>
      <c r="H337" s="663">
        <v>0</v>
      </c>
      <c r="I337" s="663">
        <v>0</v>
      </c>
      <c r="J337" s="663">
        <v>0</v>
      </c>
      <c r="K337" s="663">
        <v>0</v>
      </c>
      <c r="L337" s="663">
        <v>0</v>
      </c>
      <c r="M337" s="663">
        <v>0</v>
      </c>
      <c r="N337" s="663">
        <v>0</v>
      </c>
      <c r="O337" s="663">
        <v>0</v>
      </c>
      <c r="P337" s="663">
        <v>0</v>
      </c>
      <c r="Q337" s="663">
        <v>0</v>
      </c>
      <c r="R337" s="663">
        <v>0</v>
      </c>
      <c r="S337" s="663">
        <v>0</v>
      </c>
      <c r="T337" s="604" t="e">
        <v>#DIV/0!</v>
      </c>
      <c r="U337" s="603">
        <v>0</v>
      </c>
      <c r="V337" s="603">
        <v>0</v>
      </c>
      <c r="W337" s="603">
        <v>0</v>
      </c>
      <c r="X337" s="603">
        <v>0</v>
      </c>
      <c r="Y337" s="603">
        <v>0</v>
      </c>
      <c r="Z337" s="603">
        <v>0</v>
      </c>
    </row>
    <row r="338" spans="1:26" x14ac:dyDescent="0.2">
      <c r="A338" s="607" t="s">
        <v>564</v>
      </c>
      <c r="B338" s="665">
        <v>0</v>
      </c>
      <c r="C338" s="665">
        <v>0</v>
      </c>
      <c r="D338" s="665">
        <v>0</v>
      </c>
      <c r="E338" s="665">
        <v>0</v>
      </c>
      <c r="F338" s="665">
        <v>0</v>
      </c>
      <c r="G338" s="665">
        <v>0</v>
      </c>
      <c r="H338" s="665">
        <v>0</v>
      </c>
      <c r="I338" s="665">
        <v>0</v>
      </c>
      <c r="J338" s="665">
        <v>0</v>
      </c>
      <c r="K338" s="665">
        <v>0</v>
      </c>
      <c r="L338" s="665">
        <v>0</v>
      </c>
      <c r="M338" s="665">
        <v>0</v>
      </c>
      <c r="N338" s="665">
        <v>0</v>
      </c>
      <c r="O338" s="665">
        <v>0</v>
      </c>
      <c r="P338" s="665">
        <v>0</v>
      </c>
      <c r="Q338" s="665">
        <v>0</v>
      </c>
      <c r="R338" s="665">
        <v>0</v>
      </c>
      <c r="S338" s="665">
        <v>0</v>
      </c>
      <c r="T338" s="604" t="e">
        <v>#DIV/0!</v>
      </c>
      <c r="U338" s="603">
        <v>0</v>
      </c>
      <c r="V338" s="603">
        <v>0</v>
      </c>
      <c r="W338" s="603">
        <v>0</v>
      </c>
      <c r="X338" s="603">
        <v>0</v>
      </c>
      <c r="Y338" s="603">
        <v>0</v>
      </c>
      <c r="Z338" s="603">
        <v>0</v>
      </c>
    </row>
    <row r="339" spans="1:26" x14ac:dyDescent="0.2">
      <c r="A339" s="607" t="s">
        <v>565</v>
      </c>
      <c r="B339" s="665">
        <v>0</v>
      </c>
      <c r="C339" s="665">
        <v>0</v>
      </c>
      <c r="D339" s="665">
        <v>0</v>
      </c>
      <c r="E339" s="665">
        <v>0</v>
      </c>
      <c r="F339" s="665">
        <v>0</v>
      </c>
      <c r="G339" s="665">
        <v>0</v>
      </c>
      <c r="H339" s="665">
        <v>0</v>
      </c>
      <c r="I339" s="665">
        <v>0</v>
      </c>
      <c r="J339" s="665">
        <v>0</v>
      </c>
      <c r="K339" s="665">
        <v>0</v>
      </c>
      <c r="L339" s="665">
        <v>0</v>
      </c>
      <c r="M339" s="665">
        <v>0</v>
      </c>
      <c r="N339" s="665">
        <v>0</v>
      </c>
      <c r="O339" s="665">
        <v>0</v>
      </c>
      <c r="P339" s="665">
        <v>0</v>
      </c>
      <c r="Q339" s="665">
        <v>0</v>
      </c>
      <c r="R339" s="665">
        <v>0</v>
      </c>
      <c r="S339" s="665">
        <v>0</v>
      </c>
      <c r="T339" s="604" t="e">
        <v>#DIV/0!</v>
      </c>
      <c r="U339" s="603">
        <v>0</v>
      </c>
      <c r="V339" s="603">
        <v>0</v>
      </c>
      <c r="W339" s="603">
        <v>0</v>
      </c>
      <c r="X339" s="603">
        <v>0</v>
      </c>
      <c r="Y339" s="603">
        <v>0</v>
      </c>
      <c r="Z339" s="603">
        <v>0</v>
      </c>
    </row>
    <row r="340" spans="1:26" x14ac:dyDescent="0.2">
      <c r="A340" s="605" t="s">
        <v>1257</v>
      </c>
      <c r="B340" s="665">
        <v>0</v>
      </c>
      <c r="C340" s="665">
        <v>0</v>
      </c>
      <c r="D340" s="665">
        <v>0</v>
      </c>
      <c r="E340" s="665">
        <v>0</v>
      </c>
      <c r="F340" s="665">
        <v>0</v>
      </c>
      <c r="G340" s="665">
        <v>0</v>
      </c>
      <c r="H340" s="665">
        <v>0</v>
      </c>
      <c r="I340" s="665">
        <v>0</v>
      </c>
      <c r="J340" s="665">
        <v>0</v>
      </c>
      <c r="K340" s="665">
        <v>0</v>
      </c>
      <c r="L340" s="665">
        <v>0</v>
      </c>
      <c r="M340" s="665">
        <v>0</v>
      </c>
      <c r="N340" s="665">
        <v>0</v>
      </c>
      <c r="O340" s="665">
        <v>0</v>
      </c>
      <c r="P340" s="665">
        <v>0</v>
      </c>
      <c r="Q340" s="665">
        <v>0</v>
      </c>
      <c r="R340" s="665">
        <v>0</v>
      </c>
      <c r="S340" s="665">
        <v>0</v>
      </c>
      <c r="T340" s="604" t="e">
        <v>#DIV/0!</v>
      </c>
      <c r="U340" s="603">
        <v>0</v>
      </c>
      <c r="V340" s="603">
        <v>0</v>
      </c>
      <c r="W340" s="603">
        <v>0</v>
      </c>
      <c r="X340" s="603">
        <v>0</v>
      </c>
      <c r="Y340" s="603">
        <v>0</v>
      </c>
      <c r="Z340" s="603">
        <v>0</v>
      </c>
    </row>
    <row r="341" spans="1:26" x14ac:dyDescent="0.2">
      <c r="A341" s="607" t="s">
        <v>1259</v>
      </c>
      <c r="B341" s="665">
        <v>0</v>
      </c>
      <c r="C341" s="665">
        <v>0</v>
      </c>
      <c r="D341" s="665">
        <v>0</v>
      </c>
      <c r="E341" s="665">
        <v>0</v>
      </c>
      <c r="F341" s="665">
        <v>0</v>
      </c>
      <c r="G341" s="665">
        <v>0</v>
      </c>
      <c r="H341" s="665">
        <v>0</v>
      </c>
      <c r="I341" s="665">
        <v>0</v>
      </c>
      <c r="J341" s="665">
        <v>0</v>
      </c>
      <c r="K341" s="665">
        <v>0</v>
      </c>
      <c r="L341" s="665">
        <v>0</v>
      </c>
      <c r="M341" s="665">
        <v>0</v>
      </c>
      <c r="N341" s="665">
        <v>0</v>
      </c>
      <c r="O341" s="665">
        <v>0</v>
      </c>
      <c r="P341" s="665">
        <v>0</v>
      </c>
      <c r="Q341" s="665">
        <v>0</v>
      </c>
      <c r="R341" s="665">
        <v>0</v>
      </c>
      <c r="S341" s="665">
        <v>0</v>
      </c>
      <c r="T341" s="604" t="e">
        <v>#DIV/0!</v>
      </c>
      <c r="U341" s="603">
        <v>0</v>
      </c>
      <c r="V341" s="603">
        <v>0</v>
      </c>
      <c r="W341" s="603">
        <v>0</v>
      </c>
      <c r="X341" s="603">
        <v>0</v>
      </c>
      <c r="Y341" s="603">
        <v>0</v>
      </c>
      <c r="Z341" s="603">
        <v>0</v>
      </c>
    </row>
    <row r="342" spans="1:26" x14ac:dyDescent="0.2">
      <c r="A342" s="607" t="s">
        <v>1261</v>
      </c>
      <c r="B342" s="665">
        <v>0</v>
      </c>
      <c r="C342" s="665">
        <v>0</v>
      </c>
      <c r="D342" s="665">
        <v>0</v>
      </c>
      <c r="E342" s="665">
        <v>0</v>
      </c>
      <c r="F342" s="665">
        <v>0</v>
      </c>
      <c r="G342" s="665">
        <v>0</v>
      </c>
      <c r="H342" s="665">
        <v>0</v>
      </c>
      <c r="I342" s="665">
        <v>0</v>
      </c>
      <c r="J342" s="665">
        <v>0</v>
      </c>
      <c r="K342" s="665">
        <v>0</v>
      </c>
      <c r="L342" s="665">
        <v>0</v>
      </c>
      <c r="M342" s="665">
        <v>0</v>
      </c>
      <c r="N342" s="665">
        <v>0</v>
      </c>
      <c r="O342" s="665">
        <v>0</v>
      </c>
      <c r="P342" s="665">
        <v>0</v>
      </c>
      <c r="Q342" s="665">
        <v>0</v>
      </c>
      <c r="R342" s="665">
        <v>0</v>
      </c>
      <c r="S342" s="665">
        <v>0</v>
      </c>
      <c r="T342" s="604" t="e">
        <v>#DIV/0!</v>
      </c>
      <c r="U342" s="603">
        <v>0</v>
      </c>
      <c r="V342" s="603">
        <v>0</v>
      </c>
      <c r="W342" s="603">
        <v>0</v>
      </c>
      <c r="X342" s="603">
        <v>0</v>
      </c>
      <c r="Y342" s="603">
        <v>0</v>
      </c>
      <c r="Z342" s="603">
        <v>0</v>
      </c>
    </row>
    <row r="343" spans="1:26" x14ac:dyDescent="0.2">
      <c r="A343" s="605" t="s">
        <v>566</v>
      </c>
      <c r="B343" s="665">
        <v>0</v>
      </c>
      <c r="C343" s="665">
        <v>0</v>
      </c>
      <c r="D343" s="665">
        <v>0</v>
      </c>
      <c r="E343" s="665">
        <v>0</v>
      </c>
      <c r="F343" s="665">
        <v>0</v>
      </c>
      <c r="G343" s="665">
        <v>0</v>
      </c>
      <c r="H343" s="665">
        <v>0</v>
      </c>
      <c r="I343" s="665">
        <v>0</v>
      </c>
      <c r="J343" s="665">
        <v>0</v>
      </c>
      <c r="K343" s="665">
        <v>0</v>
      </c>
      <c r="L343" s="665">
        <v>0</v>
      </c>
      <c r="M343" s="665">
        <v>0</v>
      </c>
      <c r="N343" s="665">
        <v>0</v>
      </c>
      <c r="O343" s="665">
        <v>0</v>
      </c>
      <c r="P343" s="665">
        <v>0</v>
      </c>
      <c r="Q343" s="665">
        <v>0</v>
      </c>
      <c r="R343" s="665">
        <v>0</v>
      </c>
      <c r="S343" s="665">
        <v>0</v>
      </c>
      <c r="T343" s="604" t="e">
        <v>#DIV/0!</v>
      </c>
      <c r="U343" s="603">
        <v>0</v>
      </c>
      <c r="V343" s="603">
        <v>0</v>
      </c>
      <c r="W343" s="603">
        <v>0</v>
      </c>
      <c r="X343" s="603">
        <v>0</v>
      </c>
      <c r="Y343" s="603">
        <v>0</v>
      </c>
      <c r="Z343" s="603">
        <v>0</v>
      </c>
    </row>
    <row r="344" spans="1:26" x14ac:dyDescent="0.2">
      <c r="A344" s="605" t="s">
        <v>567</v>
      </c>
      <c r="B344" s="665">
        <v>0</v>
      </c>
      <c r="C344" s="665">
        <v>0</v>
      </c>
      <c r="D344" s="665">
        <v>0</v>
      </c>
      <c r="E344" s="665">
        <v>0</v>
      </c>
      <c r="F344" s="665">
        <v>0</v>
      </c>
      <c r="G344" s="665">
        <v>0</v>
      </c>
      <c r="H344" s="665">
        <v>0</v>
      </c>
      <c r="I344" s="665">
        <v>0</v>
      </c>
      <c r="J344" s="665">
        <v>0</v>
      </c>
      <c r="K344" s="665">
        <v>0</v>
      </c>
      <c r="L344" s="665">
        <v>0</v>
      </c>
      <c r="M344" s="665">
        <v>0</v>
      </c>
      <c r="N344" s="665">
        <v>0</v>
      </c>
      <c r="O344" s="665">
        <v>0</v>
      </c>
      <c r="P344" s="665">
        <v>0</v>
      </c>
      <c r="Q344" s="665">
        <v>0</v>
      </c>
      <c r="R344" s="665">
        <v>0</v>
      </c>
      <c r="S344" s="665">
        <v>0</v>
      </c>
      <c r="T344" s="604" t="e">
        <v>#DIV/0!</v>
      </c>
      <c r="U344" s="603">
        <v>0</v>
      </c>
      <c r="V344" s="603">
        <v>0</v>
      </c>
      <c r="W344" s="603">
        <v>0</v>
      </c>
      <c r="X344" s="603">
        <v>0</v>
      </c>
      <c r="Y344" s="603">
        <v>0</v>
      </c>
      <c r="Z344" s="603">
        <v>0</v>
      </c>
    </row>
    <row r="345" spans="1:26" x14ac:dyDescent="0.2">
      <c r="A345" s="597" t="s">
        <v>568</v>
      </c>
      <c r="B345" s="655">
        <v>0</v>
      </c>
      <c r="C345" s="655">
        <v>0</v>
      </c>
      <c r="D345" s="655">
        <v>0</v>
      </c>
      <c r="E345" s="655">
        <v>0</v>
      </c>
      <c r="F345" s="655">
        <v>0</v>
      </c>
      <c r="G345" s="655">
        <v>0</v>
      </c>
      <c r="H345" s="655">
        <v>0</v>
      </c>
      <c r="I345" s="655">
        <v>0</v>
      </c>
      <c r="J345" s="655">
        <v>0</v>
      </c>
      <c r="K345" s="655">
        <v>0</v>
      </c>
      <c r="L345" s="655">
        <v>0</v>
      </c>
      <c r="M345" s="655">
        <v>0</v>
      </c>
      <c r="N345" s="655">
        <v>0</v>
      </c>
      <c r="O345" s="655">
        <v>0</v>
      </c>
      <c r="P345" s="655">
        <v>0</v>
      </c>
      <c r="Q345" s="655">
        <v>0</v>
      </c>
      <c r="R345" s="655">
        <v>0</v>
      </c>
      <c r="S345" s="655">
        <v>0</v>
      </c>
      <c r="T345" s="600" t="e">
        <v>#DIV/0!</v>
      </c>
      <c r="U345" s="599">
        <v>0</v>
      </c>
      <c r="V345" s="599">
        <v>0</v>
      </c>
      <c r="W345" s="599">
        <v>0</v>
      </c>
      <c r="X345" s="599">
        <v>0</v>
      </c>
      <c r="Y345" s="599">
        <v>0</v>
      </c>
      <c r="Z345" s="599">
        <v>0</v>
      </c>
    </row>
    <row r="346" spans="1:26" x14ac:dyDescent="0.2">
      <c r="A346" s="605" t="s">
        <v>569</v>
      </c>
      <c r="B346" s="665">
        <v>0</v>
      </c>
      <c r="C346" s="665">
        <v>0</v>
      </c>
      <c r="D346" s="665">
        <v>0</v>
      </c>
      <c r="E346" s="665">
        <v>0</v>
      </c>
      <c r="F346" s="665">
        <v>0</v>
      </c>
      <c r="G346" s="665">
        <v>0</v>
      </c>
      <c r="H346" s="665">
        <v>0</v>
      </c>
      <c r="I346" s="665">
        <v>0</v>
      </c>
      <c r="J346" s="665">
        <v>0</v>
      </c>
      <c r="K346" s="665">
        <v>0</v>
      </c>
      <c r="L346" s="665">
        <v>0</v>
      </c>
      <c r="M346" s="665">
        <v>0</v>
      </c>
      <c r="N346" s="665">
        <v>0</v>
      </c>
      <c r="O346" s="665">
        <v>0</v>
      </c>
      <c r="P346" s="665">
        <v>0</v>
      </c>
      <c r="Q346" s="665">
        <v>0</v>
      </c>
      <c r="R346" s="665">
        <v>0</v>
      </c>
      <c r="S346" s="665">
        <v>0</v>
      </c>
      <c r="T346" s="604" t="e">
        <v>#DIV/0!</v>
      </c>
      <c r="U346" s="603">
        <v>0</v>
      </c>
      <c r="V346" s="603">
        <v>0</v>
      </c>
      <c r="W346" s="603">
        <v>0</v>
      </c>
      <c r="X346" s="603">
        <v>0</v>
      </c>
      <c r="Y346" s="603">
        <v>0</v>
      </c>
      <c r="Z346" s="603">
        <v>0</v>
      </c>
    </row>
    <row r="347" spans="1:26" ht="24" x14ac:dyDescent="0.2">
      <c r="A347" s="605" t="s">
        <v>570</v>
      </c>
      <c r="B347" s="665">
        <v>0</v>
      </c>
      <c r="C347" s="665">
        <v>0</v>
      </c>
      <c r="D347" s="665">
        <v>0</v>
      </c>
      <c r="E347" s="665">
        <v>0</v>
      </c>
      <c r="F347" s="665">
        <v>0</v>
      </c>
      <c r="G347" s="665">
        <v>0</v>
      </c>
      <c r="H347" s="665">
        <v>0</v>
      </c>
      <c r="I347" s="665">
        <v>0</v>
      </c>
      <c r="J347" s="665">
        <v>0</v>
      </c>
      <c r="K347" s="665">
        <v>0</v>
      </c>
      <c r="L347" s="665">
        <v>0</v>
      </c>
      <c r="M347" s="665">
        <v>0</v>
      </c>
      <c r="N347" s="665">
        <v>0</v>
      </c>
      <c r="O347" s="665">
        <v>0</v>
      </c>
      <c r="P347" s="665">
        <v>0</v>
      </c>
      <c r="Q347" s="665">
        <v>0</v>
      </c>
      <c r="R347" s="665">
        <v>0</v>
      </c>
      <c r="S347" s="665">
        <v>0</v>
      </c>
      <c r="T347" s="604" t="e">
        <v>#DIV/0!</v>
      </c>
      <c r="U347" s="603">
        <v>0</v>
      </c>
      <c r="V347" s="603">
        <v>0</v>
      </c>
      <c r="W347" s="603">
        <v>0</v>
      </c>
      <c r="X347" s="603">
        <v>0</v>
      </c>
      <c r="Y347" s="603">
        <v>0</v>
      </c>
      <c r="Z347" s="603">
        <v>0</v>
      </c>
    </row>
    <row r="348" spans="1:26" ht="24" x14ac:dyDescent="0.2">
      <c r="A348" s="605" t="s">
        <v>571</v>
      </c>
      <c r="B348" s="665">
        <v>0</v>
      </c>
      <c r="C348" s="665">
        <v>0</v>
      </c>
      <c r="D348" s="665">
        <v>0</v>
      </c>
      <c r="E348" s="665">
        <v>0</v>
      </c>
      <c r="F348" s="665">
        <v>0</v>
      </c>
      <c r="G348" s="665">
        <v>0</v>
      </c>
      <c r="H348" s="665">
        <v>0</v>
      </c>
      <c r="I348" s="665">
        <v>0</v>
      </c>
      <c r="J348" s="665">
        <v>0</v>
      </c>
      <c r="K348" s="665">
        <v>0</v>
      </c>
      <c r="L348" s="665">
        <v>0</v>
      </c>
      <c r="M348" s="665">
        <v>0</v>
      </c>
      <c r="N348" s="665">
        <v>0</v>
      </c>
      <c r="O348" s="665">
        <v>0</v>
      </c>
      <c r="P348" s="665">
        <v>0</v>
      </c>
      <c r="Q348" s="665">
        <v>0</v>
      </c>
      <c r="R348" s="665">
        <v>0</v>
      </c>
      <c r="S348" s="665">
        <v>0</v>
      </c>
      <c r="T348" s="604" t="e">
        <v>#DIV/0!</v>
      </c>
      <c r="U348" s="603">
        <v>0</v>
      </c>
      <c r="V348" s="603">
        <v>0</v>
      </c>
      <c r="W348" s="603">
        <v>0</v>
      </c>
      <c r="X348" s="603">
        <v>0</v>
      </c>
      <c r="Y348" s="603">
        <v>0</v>
      </c>
      <c r="Z348" s="603">
        <v>0</v>
      </c>
    </row>
    <row r="349" spans="1:26" x14ac:dyDescent="0.2">
      <c r="A349" s="597" t="s">
        <v>572</v>
      </c>
      <c r="B349" s="655">
        <v>0</v>
      </c>
      <c r="C349" s="655">
        <v>0</v>
      </c>
      <c r="D349" s="655">
        <v>0</v>
      </c>
      <c r="E349" s="655">
        <v>0</v>
      </c>
      <c r="F349" s="655">
        <v>0</v>
      </c>
      <c r="G349" s="655">
        <v>0</v>
      </c>
      <c r="H349" s="655">
        <v>0</v>
      </c>
      <c r="I349" s="655">
        <v>0</v>
      </c>
      <c r="J349" s="655">
        <v>0</v>
      </c>
      <c r="K349" s="655">
        <v>0</v>
      </c>
      <c r="L349" s="655">
        <v>0</v>
      </c>
      <c r="M349" s="655">
        <v>0</v>
      </c>
      <c r="N349" s="655">
        <v>0</v>
      </c>
      <c r="O349" s="655">
        <v>0</v>
      </c>
      <c r="P349" s="655">
        <v>0</v>
      </c>
      <c r="Q349" s="655">
        <v>0</v>
      </c>
      <c r="R349" s="655">
        <v>0</v>
      </c>
      <c r="S349" s="655">
        <v>0</v>
      </c>
      <c r="T349" s="600" t="e">
        <v>#DIV/0!</v>
      </c>
      <c r="U349" s="599">
        <v>0</v>
      </c>
      <c r="V349" s="599">
        <v>0</v>
      </c>
      <c r="W349" s="599">
        <v>0</v>
      </c>
      <c r="X349" s="599">
        <v>0</v>
      </c>
      <c r="Y349" s="599">
        <v>0</v>
      </c>
      <c r="Z349" s="599">
        <v>0</v>
      </c>
    </row>
    <row r="350" spans="1:26" ht="24" x14ac:dyDescent="0.2">
      <c r="A350" s="605" t="s">
        <v>573</v>
      </c>
      <c r="B350" s="665">
        <v>0</v>
      </c>
      <c r="C350" s="665">
        <v>0</v>
      </c>
      <c r="D350" s="665">
        <v>0</v>
      </c>
      <c r="E350" s="665">
        <v>0</v>
      </c>
      <c r="F350" s="665">
        <v>0</v>
      </c>
      <c r="G350" s="665">
        <v>0</v>
      </c>
      <c r="H350" s="665">
        <v>0</v>
      </c>
      <c r="I350" s="665">
        <v>0</v>
      </c>
      <c r="J350" s="665">
        <v>0</v>
      </c>
      <c r="K350" s="665">
        <v>0</v>
      </c>
      <c r="L350" s="665">
        <v>0</v>
      </c>
      <c r="M350" s="665">
        <v>0</v>
      </c>
      <c r="N350" s="665">
        <v>0</v>
      </c>
      <c r="O350" s="665">
        <v>0</v>
      </c>
      <c r="P350" s="665">
        <v>0</v>
      </c>
      <c r="Q350" s="665">
        <v>0</v>
      </c>
      <c r="R350" s="665">
        <v>0</v>
      </c>
      <c r="S350" s="665">
        <v>0</v>
      </c>
      <c r="T350" s="604" t="e">
        <v>#DIV/0!</v>
      </c>
      <c r="U350" s="603">
        <v>0</v>
      </c>
      <c r="V350" s="603">
        <v>0</v>
      </c>
      <c r="W350" s="603">
        <v>0</v>
      </c>
      <c r="X350" s="603">
        <v>0</v>
      </c>
      <c r="Y350" s="603">
        <v>0</v>
      </c>
      <c r="Z350" s="603">
        <v>0</v>
      </c>
    </row>
    <row r="351" spans="1:26" x14ac:dyDescent="0.2">
      <c r="A351" s="605" t="s">
        <v>574</v>
      </c>
      <c r="B351" s="665">
        <v>0</v>
      </c>
      <c r="C351" s="665">
        <v>0</v>
      </c>
      <c r="D351" s="665">
        <v>0</v>
      </c>
      <c r="E351" s="665">
        <v>0</v>
      </c>
      <c r="F351" s="665">
        <v>0</v>
      </c>
      <c r="G351" s="665">
        <v>0</v>
      </c>
      <c r="H351" s="665">
        <v>0</v>
      </c>
      <c r="I351" s="665">
        <v>0</v>
      </c>
      <c r="J351" s="665">
        <v>0</v>
      </c>
      <c r="K351" s="665">
        <v>0</v>
      </c>
      <c r="L351" s="665">
        <v>0</v>
      </c>
      <c r="M351" s="665">
        <v>0</v>
      </c>
      <c r="N351" s="665">
        <v>0</v>
      </c>
      <c r="O351" s="665">
        <v>0</v>
      </c>
      <c r="P351" s="665">
        <v>0</v>
      </c>
      <c r="Q351" s="665">
        <v>0</v>
      </c>
      <c r="R351" s="665">
        <v>0</v>
      </c>
      <c r="S351" s="665">
        <v>0</v>
      </c>
      <c r="T351" s="604" t="e">
        <v>#DIV/0!</v>
      </c>
      <c r="U351" s="603">
        <v>0</v>
      </c>
      <c r="V351" s="603">
        <v>0</v>
      </c>
      <c r="W351" s="603">
        <v>0</v>
      </c>
      <c r="X351" s="603">
        <v>0</v>
      </c>
      <c r="Y351" s="603">
        <v>0</v>
      </c>
      <c r="Z351" s="603">
        <v>0</v>
      </c>
    </row>
    <row r="352" spans="1:26" x14ac:dyDescent="0.2">
      <c r="A352" s="605" t="s">
        <v>575</v>
      </c>
      <c r="B352" s="665">
        <v>0</v>
      </c>
      <c r="C352" s="665">
        <v>0</v>
      </c>
      <c r="D352" s="665">
        <v>0</v>
      </c>
      <c r="E352" s="665">
        <v>0</v>
      </c>
      <c r="F352" s="665">
        <v>0</v>
      </c>
      <c r="G352" s="665">
        <v>0</v>
      </c>
      <c r="H352" s="665">
        <v>0</v>
      </c>
      <c r="I352" s="665">
        <v>0</v>
      </c>
      <c r="J352" s="665">
        <v>0</v>
      </c>
      <c r="K352" s="665">
        <v>0</v>
      </c>
      <c r="L352" s="665">
        <v>0</v>
      </c>
      <c r="M352" s="665">
        <v>0</v>
      </c>
      <c r="N352" s="665">
        <v>0</v>
      </c>
      <c r="O352" s="665">
        <v>0</v>
      </c>
      <c r="P352" s="665">
        <v>0</v>
      </c>
      <c r="Q352" s="665">
        <v>0</v>
      </c>
      <c r="R352" s="665">
        <v>0</v>
      </c>
      <c r="S352" s="665">
        <v>0</v>
      </c>
      <c r="T352" s="604" t="e">
        <v>#DIV/0!</v>
      </c>
      <c r="U352" s="603">
        <v>0</v>
      </c>
      <c r="V352" s="603">
        <v>0</v>
      </c>
      <c r="W352" s="603">
        <v>0</v>
      </c>
      <c r="X352" s="603">
        <v>0</v>
      </c>
      <c r="Y352" s="603">
        <v>0</v>
      </c>
      <c r="Z352" s="603">
        <v>0</v>
      </c>
    </row>
    <row r="353" spans="1:26" x14ac:dyDescent="0.2">
      <c r="A353" s="605" t="s">
        <v>576</v>
      </c>
      <c r="B353" s="665">
        <v>0</v>
      </c>
      <c r="C353" s="665">
        <v>0</v>
      </c>
      <c r="D353" s="665">
        <v>0</v>
      </c>
      <c r="E353" s="665">
        <v>0</v>
      </c>
      <c r="F353" s="665">
        <v>0</v>
      </c>
      <c r="G353" s="665">
        <v>0</v>
      </c>
      <c r="H353" s="665">
        <v>0</v>
      </c>
      <c r="I353" s="665">
        <v>0</v>
      </c>
      <c r="J353" s="665">
        <v>0</v>
      </c>
      <c r="K353" s="665">
        <v>0</v>
      </c>
      <c r="L353" s="665">
        <v>0</v>
      </c>
      <c r="M353" s="665">
        <v>0</v>
      </c>
      <c r="N353" s="665">
        <v>0</v>
      </c>
      <c r="O353" s="665">
        <v>0</v>
      </c>
      <c r="P353" s="665">
        <v>0</v>
      </c>
      <c r="Q353" s="665">
        <v>0</v>
      </c>
      <c r="R353" s="665">
        <v>0</v>
      </c>
      <c r="S353" s="665">
        <v>0</v>
      </c>
      <c r="T353" s="604" t="e">
        <v>#DIV/0!</v>
      </c>
      <c r="U353" s="603">
        <v>0</v>
      </c>
      <c r="V353" s="603">
        <v>0</v>
      </c>
      <c r="W353" s="603">
        <v>0</v>
      </c>
      <c r="X353" s="603">
        <v>0</v>
      </c>
      <c r="Y353" s="603">
        <v>0</v>
      </c>
      <c r="Z353" s="603">
        <v>0</v>
      </c>
    </row>
    <row r="354" spans="1:26" x14ac:dyDescent="0.2">
      <c r="A354" s="605" t="s">
        <v>577</v>
      </c>
      <c r="B354" s="665">
        <v>0</v>
      </c>
      <c r="C354" s="665">
        <v>0</v>
      </c>
      <c r="D354" s="665">
        <v>0</v>
      </c>
      <c r="E354" s="665">
        <v>0</v>
      </c>
      <c r="F354" s="665">
        <v>0</v>
      </c>
      <c r="G354" s="665">
        <v>0</v>
      </c>
      <c r="H354" s="665">
        <v>0</v>
      </c>
      <c r="I354" s="665">
        <v>0</v>
      </c>
      <c r="J354" s="665">
        <v>0</v>
      </c>
      <c r="K354" s="665">
        <v>0</v>
      </c>
      <c r="L354" s="665">
        <v>0</v>
      </c>
      <c r="M354" s="665">
        <v>0</v>
      </c>
      <c r="N354" s="665">
        <v>0</v>
      </c>
      <c r="O354" s="665">
        <v>0</v>
      </c>
      <c r="P354" s="665">
        <v>0</v>
      </c>
      <c r="Q354" s="665">
        <v>0</v>
      </c>
      <c r="R354" s="665">
        <v>0</v>
      </c>
      <c r="S354" s="665">
        <v>0</v>
      </c>
      <c r="T354" s="604" t="e">
        <v>#DIV/0!</v>
      </c>
      <c r="U354" s="603">
        <v>0</v>
      </c>
      <c r="V354" s="603">
        <v>0</v>
      </c>
      <c r="W354" s="603">
        <v>0</v>
      </c>
      <c r="X354" s="603">
        <v>0</v>
      </c>
      <c r="Y354" s="603">
        <v>0</v>
      </c>
      <c r="Z354" s="603">
        <v>0</v>
      </c>
    </row>
    <row r="355" spans="1:26" ht="24" x14ac:dyDescent="0.2">
      <c r="A355" s="605" t="s">
        <v>578</v>
      </c>
      <c r="B355" s="665">
        <v>0</v>
      </c>
      <c r="C355" s="665">
        <v>0</v>
      </c>
      <c r="D355" s="665">
        <v>0</v>
      </c>
      <c r="E355" s="665">
        <v>0</v>
      </c>
      <c r="F355" s="665">
        <v>0</v>
      </c>
      <c r="G355" s="665">
        <v>0</v>
      </c>
      <c r="H355" s="665">
        <v>0</v>
      </c>
      <c r="I355" s="665">
        <v>0</v>
      </c>
      <c r="J355" s="665">
        <v>0</v>
      </c>
      <c r="K355" s="665">
        <v>0</v>
      </c>
      <c r="L355" s="665">
        <v>0</v>
      </c>
      <c r="M355" s="665">
        <v>0</v>
      </c>
      <c r="N355" s="665">
        <v>0</v>
      </c>
      <c r="O355" s="665">
        <v>0</v>
      </c>
      <c r="P355" s="665">
        <v>0</v>
      </c>
      <c r="Q355" s="665">
        <v>0</v>
      </c>
      <c r="R355" s="665">
        <v>0</v>
      </c>
      <c r="S355" s="665">
        <v>0</v>
      </c>
      <c r="T355" s="604" t="e">
        <v>#DIV/0!</v>
      </c>
      <c r="U355" s="603">
        <v>0</v>
      </c>
      <c r="V355" s="603">
        <v>0</v>
      </c>
      <c r="W355" s="603">
        <v>0</v>
      </c>
      <c r="X355" s="603">
        <v>0</v>
      </c>
      <c r="Y355" s="603">
        <v>0</v>
      </c>
      <c r="Z355" s="603">
        <v>0</v>
      </c>
    </row>
    <row r="356" spans="1:26" x14ac:dyDescent="0.2">
      <c r="A356" s="605" t="s">
        <v>579</v>
      </c>
      <c r="B356" s="665">
        <v>0</v>
      </c>
      <c r="C356" s="665">
        <v>0</v>
      </c>
      <c r="D356" s="665">
        <v>0</v>
      </c>
      <c r="E356" s="665">
        <v>0</v>
      </c>
      <c r="F356" s="665">
        <v>0</v>
      </c>
      <c r="G356" s="665">
        <v>0</v>
      </c>
      <c r="H356" s="665">
        <v>0</v>
      </c>
      <c r="I356" s="665">
        <v>0</v>
      </c>
      <c r="J356" s="665">
        <v>0</v>
      </c>
      <c r="K356" s="665">
        <v>0</v>
      </c>
      <c r="L356" s="665">
        <v>0</v>
      </c>
      <c r="M356" s="665">
        <v>0</v>
      </c>
      <c r="N356" s="665">
        <v>0</v>
      </c>
      <c r="O356" s="665">
        <v>0</v>
      </c>
      <c r="P356" s="665">
        <v>0</v>
      </c>
      <c r="Q356" s="665">
        <v>0</v>
      </c>
      <c r="R356" s="665">
        <v>0</v>
      </c>
      <c r="S356" s="665">
        <v>0</v>
      </c>
      <c r="T356" s="604" t="e">
        <v>#DIV/0!</v>
      </c>
      <c r="U356" s="603">
        <v>0</v>
      </c>
      <c r="V356" s="603">
        <v>0</v>
      </c>
      <c r="W356" s="603">
        <v>0</v>
      </c>
      <c r="X356" s="603">
        <v>0</v>
      </c>
      <c r="Y356" s="603">
        <v>0</v>
      </c>
      <c r="Z356" s="603">
        <v>0</v>
      </c>
    </row>
    <row r="357" spans="1:26" x14ac:dyDescent="0.2">
      <c r="A357" s="605" t="s">
        <v>580</v>
      </c>
      <c r="B357" s="665">
        <v>0</v>
      </c>
      <c r="C357" s="665">
        <v>0</v>
      </c>
      <c r="D357" s="665">
        <v>0</v>
      </c>
      <c r="E357" s="665">
        <v>0</v>
      </c>
      <c r="F357" s="665">
        <v>0</v>
      </c>
      <c r="G357" s="665">
        <v>0</v>
      </c>
      <c r="H357" s="665">
        <v>0</v>
      </c>
      <c r="I357" s="665">
        <v>0</v>
      </c>
      <c r="J357" s="665">
        <v>0</v>
      </c>
      <c r="K357" s="665">
        <v>0</v>
      </c>
      <c r="L357" s="665">
        <v>0</v>
      </c>
      <c r="M357" s="665">
        <v>0</v>
      </c>
      <c r="N357" s="665">
        <v>0</v>
      </c>
      <c r="O357" s="665">
        <v>0</v>
      </c>
      <c r="P357" s="665">
        <v>0</v>
      </c>
      <c r="Q357" s="665">
        <v>0</v>
      </c>
      <c r="R357" s="665">
        <v>0</v>
      </c>
      <c r="S357" s="665">
        <v>0</v>
      </c>
      <c r="T357" s="604" t="e">
        <v>#DIV/0!</v>
      </c>
      <c r="U357" s="603">
        <v>0</v>
      </c>
      <c r="V357" s="603">
        <v>0</v>
      </c>
      <c r="W357" s="603">
        <v>0</v>
      </c>
      <c r="X357" s="603">
        <v>0</v>
      </c>
      <c r="Y357" s="603">
        <v>0</v>
      </c>
      <c r="Z357" s="603">
        <v>0</v>
      </c>
    </row>
    <row r="358" spans="1:26" x14ac:dyDescent="0.2">
      <c r="A358" s="605" t="s">
        <v>581</v>
      </c>
      <c r="B358" s="665">
        <v>0</v>
      </c>
      <c r="C358" s="665">
        <v>0</v>
      </c>
      <c r="D358" s="665">
        <v>0</v>
      </c>
      <c r="E358" s="665">
        <v>0</v>
      </c>
      <c r="F358" s="665">
        <v>0</v>
      </c>
      <c r="G358" s="665">
        <v>0</v>
      </c>
      <c r="H358" s="665">
        <v>0</v>
      </c>
      <c r="I358" s="665">
        <v>0</v>
      </c>
      <c r="J358" s="665">
        <v>0</v>
      </c>
      <c r="K358" s="665">
        <v>0</v>
      </c>
      <c r="L358" s="665">
        <v>0</v>
      </c>
      <c r="M358" s="665">
        <v>0</v>
      </c>
      <c r="N358" s="665">
        <v>0</v>
      </c>
      <c r="O358" s="665">
        <v>0</v>
      </c>
      <c r="P358" s="665">
        <v>0</v>
      </c>
      <c r="Q358" s="665">
        <v>0</v>
      </c>
      <c r="R358" s="665">
        <v>0</v>
      </c>
      <c r="S358" s="665">
        <v>0</v>
      </c>
      <c r="T358" s="604" t="e">
        <v>#DIV/0!</v>
      </c>
      <c r="U358" s="603">
        <v>0</v>
      </c>
      <c r="V358" s="603">
        <v>0</v>
      </c>
      <c r="W358" s="603">
        <v>0</v>
      </c>
      <c r="X358" s="603">
        <v>0</v>
      </c>
      <c r="Y358" s="603">
        <v>0</v>
      </c>
      <c r="Z358" s="603">
        <v>0</v>
      </c>
    </row>
    <row r="359" spans="1:26" x14ac:dyDescent="0.2">
      <c r="A359" s="605" t="s">
        <v>582</v>
      </c>
      <c r="B359" s="665">
        <v>0</v>
      </c>
      <c r="C359" s="665">
        <v>0</v>
      </c>
      <c r="D359" s="665">
        <v>0</v>
      </c>
      <c r="E359" s="665">
        <v>0</v>
      </c>
      <c r="F359" s="665">
        <v>0</v>
      </c>
      <c r="G359" s="665">
        <v>0</v>
      </c>
      <c r="H359" s="665">
        <v>0</v>
      </c>
      <c r="I359" s="665">
        <v>0</v>
      </c>
      <c r="J359" s="665">
        <v>0</v>
      </c>
      <c r="K359" s="665">
        <v>0</v>
      </c>
      <c r="L359" s="665">
        <v>0</v>
      </c>
      <c r="M359" s="665">
        <v>0</v>
      </c>
      <c r="N359" s="665">
        <v>0</v>
      </c>
      <c r="O359" s="665">
        <v>0</v>
      </c>
      <c r="P359" s="665">
        <v>0</v>
      </c>
      <c r="Q359" s="665">
        <v>0</v>
      </c>
      <c r="R359" s="665">
        <v>0</v>
      </c>
      <c r="S359" s="665">
        <v>0</v>
      </c>
      <c r="T359" s="604" t="e">
        <v>#DIV/0!</v>
      </c>
      <c r="U359" s="603">
        <v>0</v>
      </c>
      <c r="V359" s="603">
        <v>0</v>
      </c>
      <c r="W359" s="603">
        <v>0</v>
      </c>
      <c r="X359" s="603">
        <v>0</v>
      </c>
      <c r="Y359" s="603">
        <v>0</v>
      </c>
      <c r="Z359" s="603">
        <v>0</v>
      </c>
    </row>
    <row r="360" spans="1:26" x14ac:dyDescent="0.2">
      <c r="A360" s="605" t="s">
        <v>583</v>
      </c>
      <c r="B360" s="665">
        <v>0</v>
      </c>
      <c r="C360" s="665">
        <v>0</v>
      </c>
      <c r="D360" s="665">
        <v>0</v>
      </c>
      <c r="E360" s="665">
        <v>0</v>
      </c>
      <c r="F360" s="665">
        <v>0</v>
      </c>
      <c r="G360" s="665">
        <v>0</v>
      </c>
      <c r="H360" s="665">
        <v>0</v>
      </c>
      <c r="I360" s="665">
        <v>0</v>
      </c>
      <c r="J360" s="665">
        <v>0</v>
      </c>
      <c r="K360" s="665">
        <v>0</v>
      </c>
      <c r="L360" s="665">
        <v>0</v>
      </c>
      <c r="M360" s="665">
        <v>0</v>
      </c>
      <c r="N360" s="665">
        <v>0</v>
      </c>
      <c r="O360" s="665">
        <v>0</v>
      </c>
      <c r="P360" s="665">
        <v>0</v>
      </c>
      <c r="Q360" s="665">
        <v>0</v>
      </c>
      <c r="R360" s="665">
        <v>0</v>
      </c>
      <c r="S360" s="665">
        <v>0</v>
      </c>
      <c r="T360" s="604" t="e">
        <v>#DIV/0!</v>
      </c>
      <c r="U360" s="603">
        <v>0</v>
      </c>
      <c r="V360" s="603">
        <v>0</v>
      </c>
      <c r="W360" s="603">
        <v>0</v>
      </c>
      <c r="X360" s="603">
        <v>0</v>
      </c>
      <c r="Y360" s="603">
        <v>0</v>
      </c>
      <c r="Z360" s="603">
        <v>0</v>
      </c>
    </row>
    <row r="361" spans="1:26" x14ac:dyDescent="0.2">
      <c r="A361" s="605" t="s">
        <v>584</v>
      </c>
      <c r="B361" s="665">
        <v>0</v>
      </c>
      <c r="C361" s="665">
        <v>0</v>
      </c>
      <c r="D361" s="665">
        <v>0</v>
      </c>
      <c r="E361" s="665">
        <v>0</v>
      </c>
      <c r="F361" s="665">
        <v>0</v>
      </c>
      <c r="G361" s="665">
        <v>0</v>
      </c>
      <c r="H361" s="665">
        <v>0</v>
      </c>
      <c r="I361" s="665">
        <v>0</v>
      </c>
      <c r="J361" s="665">
        <v>0</v>
      </c>
      <c r="K361" s="665">
        <v>0</v>
      </c>
      <c r="L361" s="665">
        <v>0</v>
      </c>
      <c r="M361" s="665">
        <v>0</v>
      </c>
      <c r="N361" s="665">
        <v>0</v>
      </c>
      <c r="O361" s="665">
        <v>0</v>
      </c>
      <c r="P361" s="665">
        <v>0</v>
      </c>
      <c r="Q361" s="665">
        <v>0</v>
      </c>
      <c r="R361" s="665">
        <v>0</v>
      </c>
      <c r="S361" s="665">
        <v>0</v>
      </c>
      <c r="T361" s="604" t="e">
        <v>#DIV/0!</v>
      </c>
      <c r="U361" s="603">
        <v>0</v>
      </c>
      <c r="V361" s="603">
        <v>0</v>
      </c>
      <c r="W361" s="603">
        <v>0</v>
      </c>
      <c r="X361" s="603">
        <v>0</v>
      </c>
      <c r="Y361" s="603">
        <v>0</v>
      </c>
      <c r="Z361" s="603">
        <v>0</v>
      </c>
    </row>
    <row r="362" spans="1:26" x14ac:dyDescent="0.2">
      <c r="A362" s="605" t="s">
        <v>585</v>
      </c>
      <c r="B362" s="665">
        <v>0</v>
      </c>
      <c r="C362" s="665">
        <v>0</v>
      </c>
      <c r="D362" s="665">
        <v>0</v>
      </c>
      <c r="E362" s="665">
        <v>0</v>
      </c>
      <c r="F362" s="665">
        <v>0</v>
      </c>
      <c r="G362" s="665">
        <v>0</v>
      </c>
      <c r="H362" s="665">
        <v>0</v>
      </c>
      <c r="I362" s="665">
        <v>0</v>
      </c>
      <c r="J362" s="665">
        <v>0</v>
      </c>
      <c r="K362" s="665">
        <v>0</v>
      </c>
      <c r="L362" s="665">
        <v>0</v>
      </c>
      <c r="M362" s="665">
        <v>0</v>
      </c>
      <c r="N362" s="665">
        <v>0</v>
      </c>
      <c r="O362" s="665">
        <v>0</v>
      </c>
      <c r="P362" s="665">
        <v>0</v>
      </c>
      <c r="Q362" s="665">
        <v>0</v>
      </c>
      <c r="R362" s="665">
        <v>0</v>
      </c>
      <c r="S362" s="665">
        <v>0</v>
      </c>
      <c r="T362" s="604" t="e">
        <v>#DIV/0!</v>
      </c>
      <c r="U362" s="603">
        <v>0</v>
      </c>
      <c r="V362" s="603">
        <v>0</v>
      </c>
      <c r="W362" s="603">
        <v>0</v>
      </c>
      <c r="X362" s="603">
        <v>0</v>
      </c>
      <c r="Y362" s="603">
        <v>0</v>
      </c>
      <c r="Z362" s="603">
        <v>0</v>
      </c>
    </row>
    <row r="363" spans="1:26" x14ac:dyDescent="0.2">
      <c r="A363" s="605" t="s">
        <v>586</v>
      </c>
      <c r="B363" s="665">
        <v>0</v>
      </c>
      <c r="C363" s="665">
        <v>0</v>
      </c>
      <c r="D363" s="665">
        <v>0</v>
      </c>
      <c r="E363" s="665">
        <v>0</v>
      </c>
      <c r="F363" s="665">
        <v>0</v>
      </c>
      <c r="G363" s="665">
        <v>0</v>
      </c>
      <c r="H363" s="665">
        <v>0</v>
      </c>
      <c r="I363" s="665">
        <v>0</v>
      </c>
      <c r="J363" s="665">
        <v>0</v>
      </c>
      <c r="K363" s="665">
        <v>0</v>
      </c>
      <c r="L363" s="665">
        <v>0</v>
      </c>
      <c r="M363" s="665">
        <v>0</v>
      </c>
      <c r="N363" s="665">
        <v>0</v>
      </c>
      <c r="O363" s="665">
        <v>0</v>
      </c>
      <c r="P363" s="665">
        <v>0</v>
      </c>
      <c r="Q363" s="665">
        <v>0</v>
      </c>
      <c r="R363" s="665">
        <v>0</v>
      </c>
      <c r="S363" s="665">
        <v>0</v>
      </c>
      <c r="T363" s="604" t="e">
        <v>#DIV/0!</v>
      </c>
      <c r="U363" s="603">
        <v>0</v>
      </c>
      <c r="V363" s="603">
        <v>0</v>
      </c>
      <c r="W363" s="603">
        <v>0</v>
      </c>
      <c r="X363" s="603">
        <v>0</v>
      </c>
      <c r="Y363" s="603">
        <v>0</v>
      </c>
      <c r="Z363" s="603">
        <v>0</v>
      </c>
    </row>
    <row r="364" spans="1:26" x14ac:dyDescent="0.2">
      <c r="A364" s="605" t="s">
        <v>587</v>
      </c>
      <c r="B364" s="665">
        <v>0</v>
      </c>
      <c r="C364" s="665">
        <v>0</v>
      </c>
      <c r="D364" s="665">
        <v>0</v>
      </c>
      <c r="E364" s="665">
        <v>0</v>
      </c>
      <c r="F364" s="665">
        <v>0</v>
      </c>
      <c r="G364" s="665">
        <v>0</v>
      </c>
      <c r="H364" s="665">
        <v>0</v>
      </c>
      <c r="I364" s="665">
        <v>0</v>
      </c>
      <c r="J364" s="665">
        <v>0</v>
      </c>
      <c r="K364" s="665">
        <v>0</v>
      </c>
      <c r="L364" s="665">
        <v>0</v>
      </c>
      <c r="M364" s="665">
        <v>0</v>
      </c>
      <c r="N364" s="665">
        <v>0</v>
      </c>
      <c r="O364" s="665">
        <v>0</v>
      </c>
      <c r="P364" s="665">
        <v>0</v>
      </c>
      <c r="Q364" s="665">
        <v>0</v>
      </c>
      <c r="R364" s="665">
        <v>0</v>
      </c>
      <c r="S364" s="665">
        <v>0</v>
      </c>
      <c r="T364" s="604" t="e">
        <v>#DIV/0!</v>
      </c>
      <c r="U364" s="603">
        <v>0</v>
      </c>
      <c r="V364" s="603">
        <v>0</v>
      </c>
      <c r="W364" s="603">
        <v>0</v>
      </c>
      <c r="X364" s="603">
        <v>0</v>
      </c>
      <c r="Y364" s="603">
        <v>0</v>
      </c>
      <c r="Z364" s="603">
        <v>0</v>
      </c>
    </row>
    <row r="365" spans="1:26" x14ac:dyDescent="0.2">
      <c r="A365" s="605" t="s">
        <v>588</v>
      </c>
      <c r="B365" s="665">
        <v>0</v>
      </c>
      <c r="C365" s="665">
        <v>0</v>
      </c>
      <c r="D365" s="665">
        <v>0</v>
      </c>
      <c r="E365" s="665">
        <v>0</v>
      </c>
      <c r="F365" s="665">
        <v>0</v>
      </c>
      <c r="G365" s="665">
        <v>0</v>
      </c>
      <c r="H365" s="665">
        <v>0</v>
      </c>
      <c r="I365" s="665">
        <v>0</v>
      </c>
      <c r="J365" s="665">
        <v>0</v>
      </c>
      <c r="K365" s="665">
        <v>0</v>
      </c>
      <c r="L365" s="665">
        <v>0</v>
      </c>
      <c r="M365" s="665">
        <v>0</v>
      </c>
      <c r="N365" s="665">
        <v>0</v>
      </c>
      <c r="O365" s="665">
        <v>0</v>
      </c>
      <c r="P365" s="665">
        <v>0</v>
      </c>
      <c r="Q365" s="665">
        <v>0</v>
      </c>
      <c r="R365" s="665">
        <v>0</v>
      </c>
      <c r="S365" s="665">
        <v>0</v>
      </c>
      <c r="T365" s="604" t="e">
        <v>#DIV/0!</v>
      </c>
      <c r="U365" s="603">
        <v>0</v>
      </c>
      <c r="V365" s="603">
        <v>0</v>
      </c>
      <c r="W365" s="603">
        <v>0</v>
      </c>
      <c r="X365" s="603">
        <v>0</v>
      </c>
      <c r="Y365" s="603">
        <v>0</v>
      </c>
      <c r="Z365" s="603">
        <v>0</v>
      </c>
    </row>
    <row r="366" spans="1:26" x14ac:dyDescent="0.2">
      <c r="A366" s="605" t="s">
        <v>589</v>
      </c>
      <c r="B366" s="665">
        <v>0</v>
      </c>
      <c r="C366" s="665">
        <v>0</v>
      </c>
      <c r="D366" s="665">
        <v>0</v>
      </c>
      <c r="E366" s="665">
        <v>0</v>
      </c>
      <c r="F366" s="665">
        <v>0</v>
      </c>
      <c r="G366" s="665">
        <v>0</v>
      </c>
      <c r="H366" s="665">
        <v>0</v>
      </c>
      <c r="I366" s="665">
        <v>0</v>
      </c>
      <c r="J366" s="665">
        <v>0</v>
      </c>
      <c r="K366" s="665">
        <v>0</v>
      </c>
      <c r="L366" s="665">
        <v>0</v>
      </c>
      <c r="M366" s="665">
        <v>0</v>
      </c>
      <c r="N366" s="665">
        <v>0</v>
      </c>
      <c r="O366" s="665">
        <v>0</v>
      </c>
      <c r="P366" s="665">
        <v>0</v>
      </c>
      <c r="Q366" s="665">
        <v>0</v>
      </c>
      <c r="R366" s="665">
        <v>0</v>
      </c>
      <c r="S366" s="665">
        <v>0</v>
      </c>
      <c r="T366" s="604" t="e">
        <v>#DIV/0!</v>
      </c>
      <c r="U366" s="603">
        <v>0</v>
      </c>
      <c r="V366" s="603">
        <v>0</v>
      </c>
      <c r="W366" s="603">
        <v>0</v>
      </c>
      <c r="X366" s="603">
        <v>0</v>
      </c>
      <c r="Y366" s="603">
        <v>0</v>
      </c>
      <c r="Z366" s="603">
        <v>0</v>
      </c>
    </row>
    <row r="367" spans="1:26" x14ac:dyDescent="0.2">
      <c r="A367" s="605" t="s">
        <v>590</v>
      </c>
      <c r="B367" s="665">
        <v>0</v>
      </c>
      <c r="C367" s="665">
        <v>0</v>
      </c>
      <c r="D367" s="665">
        <v>0</v>
      </c>
      <c r="E367" s="665">
        <v>0</v>
      </c>
      <c r="F367" s="665">
        <v>0</v>
      </c>
      <c r="G367" s="665">
        <v>0</v>
      </c>
      <c r="H367" s="665">
        <v>0</v>
      </c>
      <c r="I367" s="665">
        <v>0</v>
      </c>
      <c r="J367" s="665">
        <v>0</v>
      </c>
      <c r="K367" s="665">
        <v>0</v>
      </c>
      <c r="L367" s="665">
        <v>0</v>
      </c>
      <c r="M367" s="665">
        <v>0</v>
      </c>
      <c r="N367" s="665">
        <v>0</v>
      </c>
      <c r="O367" s="665">
        <v>0</v>
      </c>
      <c r="P367" s="665">
        <v>0</v>
      </c>
      <c r="Q367" s="665">
        <v>0</v>
      </c>
      <c r="R367" s="665">
        <v>0</v>
      </c>
      <c r="S367" s="665">
        <v>0</v>
      </c>
      <c r="T367" s="604" t="e">
        <v>#DIV/0!</v>
      </c>
      <c r="U367" s="603">
        <v>0</v>
      </c>
      <c r="V367" s="603">
        <v>0</v>
      </c>
      <c r="W367" s="603">
        <v>0</v>
      </c>
      <c r="X367" s="603">
        <v>0</v>
      </c>
      <c r="Y367" s="603">
        <v>0</v>
      </c>
      <c r="Z367" s="603">
        <v>0</v>
      </c>
    </row>
    <row r="368" spans="1:26" x14ac:dyDescent="0.2">
      <c r="A368" s="605" t="s">
        <v>591</v>
      </c>
      <c r="B368" s="665">
        <v>0</v>
      </c>
      <c r="C368" s="665">
        <v>0</v>
      </c>
      <c r="D368" s="665">
        <v>0</v>
      </c>
      <c r="E368" s="665">
        <v>0</v>
      </c>
      <c r="F368" s="665">
        <v>0</v>
      </c>
      <c r="G368" s="665">
        <v>0</v>
      </c>
      <c r="H368" s="665">
        <v>0</v>
      </c>
      <c r="I368" s="665">
        <v>0</v>
      </c>
      <c r="J368" s="665">
        <v>0</v>
      </c>
      <c r="K368" s="665">
        <v>0</v>
      </c>
      <c r="L368" s="665">
        <v>0</v>
      </c>
      <c r="M368" s="665">
        <v>0</v>
      </c>
      <c r="N368" s="665">
        <v>0</v>
      </c>
      <c r="O368" s="665">
        <v>0</v>
      </c>
      <c r="P368" s="665">
        <v>0</v>
      </c>
      <c r="Q368" s="665">
        <v>0</v>
      </c>
      <c r="R368" s="665">
        <v>0</v>
      </c>
      <c r="S368" s="665">
        <v>0</v>
      </c>
      <c r="T368" s="604" t="e">
        <v>#DIV/0!</v>
      </c>
      <c r="U368" s="603">
        <v>0</v>
      </c>
      <c r="V368" s="603">
        <v>0</v>
      </c>
      <c r="W368" s="603">
        <v>0</v>
      </c>
      <c r="X368" s="603">
        <v>0</v>
      </c>
      <c r="Y368" s="603">
        <v>0</v>
      </c>
      <c r="Z368" s="603">
        <v>0</v>
      </c>
    </row>
    <row r="369" spans="1:26" x14ac:dyDescent="0.2">
      <c r="A369" s="605" t="s">
        <v>592</v>
      </c>
      <c r="B369" s="665">
        <v>0</v>
      </c>
      <c r="C369" s="665">
        <v>0</v>
      </c>
      <c r="D369" s="665">
        <v>0</v>
      </c>
      <c r="E369" s="665">
        <v>0</v>
      </c>
      <c r="F369" s="665">
        <v>0</v>
      </c>
      <c r="G369" s="665">
        <v>0</v>
      </c>
      <c r="H369" s="665">
        <v>0</v>
      </c>
      <c r="I369" s="665">
        <v>0</v>
      </c>
      <c r="J369" s="665">
        <v>0</v>
      </c>
      <c r="K369" s="665">
        <v>0</v>
      </c>
      <c r="L369" s="665">
        <v>0</v>
      </c>
      <c r="M369" s="665">
        <v>0</v>
      </c>
      <c r="N369" s="665">
        <v>0</v>
      </c>
      <c r="O369" s="665">
        <v>0</v>
      </c>
      <c r="P369" s="665">
        <v>0</v>
      </c>
      <c r="Q369" s="665">
        <v>0</v>
      </c>
      <c r="R369" s="665">
        <v>0</v>
      </c>
      <c r="S369" s="665">
        <v>0</v>
      </c>
      <c r="T369" s="604" t="e">
        <v>#DIV/0!</v>
      </c>
      <c r="U369" s="603">
        <v>0</v>
      </c>
      <c r="V369" s="603">
        <v>0</v>
      </c>
      <c r="W369" s="603">
        <v>0</v>
      </c>
      <c r="X369" s="603">
        <v>0</v>
      </c>
      <c r="Y369" s="603">
        <v>0</v>
      </c>
      <c r="Z369" s="603">
        <v>0</v>
      </c>
    </row>
    <row r="370" spans="1:26" x14ac:dyDescent="0.2">
      <c r="A370" s="605" t="s">
        <v>593</v>
      </c>
      <c r="B370" s="665">
        <v>0</v>
      </c>
      <c r="C370" s="665">
        <v>0</v>
      </c>
      <c r="D370" s="665">
        <v>0</v>
      </c>
      <c r="E370" s="665">
        <v>0</v>
      </c>
      <c r="F370" s="665">
        <v>0</v>
      </c>
      <c r="G370" s="665">
        <v>0</v>
      </c>
      <c r="H370" s="665">
        <v>0</v>
      </c>
      <c r="I370" s="665">
        <v>0</v>
      </c>
      <c r="J370" s="665">
        <v>0</v>
      </c>
      <c r="K370" s="665">
        <v>0</v>
      </c>
      <c r="L370" s="665">
        <v>0</v>
      </c>
      <c r="M370" s="665">
        <v>0</v>
      </c>
      <c r="N370" s="665">
        <v>0</v>
      </c>
      <c r="O370" s="665">
        <v>0</v>
      </c>
      <c r="P370" s="665">
        <v>0</v>
      </c>
      <c r="Q370" s="665">
        <v>0</v>
      </c>
      <c r="R370" s="665">
        <v>0</v>
      </c>
      <c r="S370" s="665">
        <v>0</v>
      </c>
      <c r="T370" s="604" t="e">
        <v>#DIV/0!</v>
      </c>
      <c r="U370" s="603">
        <v>0</v>
      </c>
      <c r="V370" s="603">
        <v>0</v>
      </c>
      <c r="W370" s="603">
        <v>0</v>
      </c>
      <c r="X370" s="603">
        <v>0</v>
      </c>
      <c r="Y370" s="603">
        <v>0</v>
      </c>
      <c r="Z370" s="603">
        <v>0</v>
      </c>
    </row>
    <row r="371" spans="1:26" x14ac:dyDescent="0.2">
      <c r="A371" s="605" t="s">
        <v>594</v>
      </c>
      <c r="B371" s="665">
        <v>0</v>
      </c>
      <c r="C371" s="665">
        <v>0</v>
      </c>
      <c r="D371" s="665">
        <v>0</v>
      </c>
      <c r="E371" s="665">
        <v>0</v>
      </c>
      <c r="F371" s="665">
        <v>0</v>
      </c>
      <c r="G371" s="665">
        <v>0</v>
      </c>
      <c r="H371" s="665">
        <v>0</v>
      </c>
      <c r="I371" s="665">
        <v>0</v>
      </c>
      <c r="J371" s="665">
        <v>0</v>
      </c>
      <c r="K371" s="665">
        <v>0</v>
      </c>
      <c r="L371" s="665">
        <v>0</v>
      </c>
      <c r="M371" s="665">
        <v>0</v>
      </c>
      <c r="N371" s="665">
        <v>0</v>
      </c>
      <c r="O371" s="665">
        <v>0</v>
      </c>
      <c r="P371" s="665">
        <v>0</v>
      </c>
      <c r="Q371" s="665">
        <v>0</v>
      </c>
      <c r="R371" s="665">
        <v>0</v>
      </c>
      <c r="S371" s="665">
        <v>0</v>
      </c>
      <c r="T371" s="604" t="e">
        <v>#DIV/0!</v>
      </c>
      <c r="U371" s="603">
        <v>0</v>
      </c>
      <c r="V371" s="603">
        <v>0</v>
      </c>
      <c r="W371" s="603">
        <v>0</v>
      </c>
      <c r="X371" s="603">
        <v>0</v>
      </c>
      <c r="Y371" s="603">
        <v>0</v>
      </c>
      <c r="Z371" s="603">
        <v>0</v>
      </c>
    </row>
    <row r="372" spans="1:26" ht="24" x14ac:dyDescent="0.2">
      <c r="A372" s="605" t="s">
        <v>595</v>
      </c>
      <c r="B372" s="665">
        <v>0</v>
      </c>
      <c r="C372" s="665">
        <v>0</v>
      </c>
      <c r="D372" s="665">
        <v>0</v>
      </c>
      <c r="E372" s="665">
        <v>0</v>
      </c>
      <c r="F372" s="665">
        <v>0</v>
      </c>
      <c r="G372" s="665">
        <v>0</v>
      </c>
      <c r="H372" s="665">
        <v>0</v>
      </c>
      <c r="I372" s="665">
        <v>0</v>
      </c>
      <c r="J372" s="665">
        <v>0</v>
      </c>
      <c r="K372" s="665">
        <v>0</v>
      </c>
      <c r="L372" s="665">
        <v>0</v>
      </c>
      <c r="M372" s="665">
        <v>0</v>
      </c>
      <c r="N372" s="665">
        <v>0</v>
      </c>
      <c r="O372" s="665">
        <v>0</v>
      </c>
      <c r="P372" s="665">
        <v>0</v>
      </c>
      <c r="Q372" s="665">
        <v>0</v>
      </c>
      <c r="R372" s="665">
        <v>0</v>
      </c>
      <c r="S372" s="665">
        <v>0</v>
      </c>
      <c r="T372" s="604" t="e">
        <v>#DIV/0!</v>
      </c>
      <c r="U372" s="603">
        <v>0</v>
      </c>
      <c r="V372" s="603">
        <v>0</v>
      </c>
      <c r="W372" s="603">
        <v>0</v>
      </c>
      <c r="X372" s="603">
        <v>0</v>
      </c>
      <c r="Y372" s="603">
        <v>0</v>
      </c>
      <c r="Z372" s="603">
        <v>0</v>
      </c>
    </row>
    <row r="373" spans="1:26" x14ac:dyDescent="0.2">
      <c r="A373" s="605" t="s">
        <v>596</v>
      </c>
      <c r="B373" s="665">
        <v>0</v>
      </c>
      <c r="C373" s="665">
        <v>0</v>
      </c>
      <c r="D373" s="665">
        <v>0</v>
      </c>
      <c r="E373" s="665">
        <v>0</v>
      </c>
      <c r="F373" s="665">
        <v>0</v>
      </c>
      <c r="G373" s="665">
        <v>0</v>
      </c>
      <c r="H373" s="665">
        <v>0</v>
      </c>
      <c r="I373" s="665">
        <v>0</v>
      </c>
      <c r="J373" s="665">
        <v>0</v>
      </c>
      <c r="K373" s="665">
        <v>0</v>
      </c>
      <c r="L373" s="665">
        <v>0</v>
      </c>
      <c r="M373" s="665">
        <v>0</v>
      </c>
      <c r="N373" s="665">
        <v>0</v>
      </c>
      <c r="O373" s="665">
        <v>0</v>
      </c>
      <c r="P373" s="665">
        <v>0</v>
      </c>
      <c r="Q373" s="665">
        <v>0</v>
      </c>
      <c r="R373" s="665">
        <v>0</v>
      </c>
      <c r="S373" s="665">
        <v>0</v>
      </c>
      <c r="T373" s="604" t="e">
        <v>#DIV/0!</v>
      </c>
      <c r="U373" s="603">
        <v>0</v>
      </c>
      <c r="V373" s="603">
        <v>0</v>
      </c>
      <c r="W373" s="603">
        <v>0</v>
      </c>
      <c r="X373" s="603">
        <v>0</v>
      </c>
      <c r="Y373" s="603">
        <v>0</v>
      </c>
      <c r="Z373" s="603">
        <v>0</v>
      </c>
    </row>
    <row r="374" spans="1:26" ht="24" x14ac:dyDescent="0.2">
      <c r="A374" s="605" t="s">
        <v>597</v>
      </c>
      <c r="B374" s="665">
        <v>0</v>
      </c>
      <c r="C374" s="665">
        <v>0</v>
      </c>
      <c r="D374" s="665">
        <v>0</v>
      </c>
      <c r="E374" s="665">
        <v>0</v>
      </c>
      <c r="F374" s="665">
        <v>0</v>
      </c>
      <c r="G374" s="665">
        <v>0</v>
      </c>
      <c r="H374" s="665">
        <v>0</v>
      </c>
      <c r="I374" s="665">
        <v>0</v>
      </c>
      <c r="J374" s="665">
        <v>0</v>
      </c>
      <c r="K374" s="665">
        <v>0</v>
      </c>
      <c r="L374" s="665">
        <v>0</v>
      </c>
      <c r="M374" s="665">
        <v>0</v>
      </c>
      <c r="N374" s="665">
        <v>0</v>
      </c>
      <c r="O374" s="665">
        <v>0</v>
      </c>
      <c r="P374" s="665">
        <v>0</v>
      </c>
      <c r="Q374" s="665">
        <v>0</v>
      </c>
      <c r="R374" s="665">
        <v>0</v>
      </c>
      <c r="S374" s="665">
        <v>0</v>
      </c>
      <c r="T374" s="604" t="e">
        <v>#DIV/0!</v>
      </c>
      <c r="U374" s="603">
        <v>0</v>
      </c>
      <c r="V374" s="603">
        <v>0</v>
      </c>
      <c r="W374" s="603">
        <v>0</v>
      </c>
      <c r="X374" s="603">
        <v>0</v>
      </c>
      <c r="Y374" s="603">
        <v>0</v>
      </c>
      <c r="Z374" s="603">
        <v>0</v>
      </c>
    </row>
    <row r="375" spans="1:26" x14ac:dyDescent="0.2">
      <c r="A375" s="605" t="s">
        <v>598</v>
      </c>
      <c r="B375" s="665">
        <v>0</v>
      </c>
      <c r="C375" s="665">
        <v>0</v>
      </c>
      <c r="D375" s="665">
        <v>0</v>
      </c>
      <c r="E375" s="665">
        <v>0</v>
      </c>
      <c r="F375" s="665">
        <v>0</v>
      </c>
      <c r="G375" s="665">
        <v>0</v>
      </c>
      <c r="H375" s="665">
        <v>0</v>
      </c>
      <c r="I375" s="665">
        <v>0</v>
      </c>
      <c r="J375" s="665">
        <v>0</v>
      </c>
      <c r="K375" s="665">
        <v>0</v>
      </c>
      <c r="L375" s="665">
        <v>0</v>
      </c>
      <c r="M375" s="665">
        <v>0</v>
      </c>
      <c r="N375" s="665">
        <v>0</v>
      </c>
      <c r="O375" s="665">
        <v>0</v>
      </c>
      <c r="P375" s="665">
        <v>0</v>
      </c>
      <c r="Q375" s="665">
        <v>0</v>
      </c>
      <c r="R375" s="665">
        <v>0</v>
      </c>
      <c r="S375" s="665">
        <v>0</v>
      </c>
      <c r="T375" s="604" t="e">
        <v>#DIV/0!</v>
      </c>
      <c r="U375" s="603">
        <v>0</v>
      </c>
      <c r="V375" s="603">
        <v>0</v>
      </c>
      <c r="W375" s="603">
        <v>0</v>
      </c>
      <c r="X375" s="603">
        <v>0</v>
      </c>
      <c r="Y375" s="603">
        <v>0</v>
      </c>
      <c r="Z375" s="603">
        <v>0</v>
      </c>
    </row>
    <row r="376" spans="1:26" ht="24" x14ac:dyDescent="0.2">
      <c r="A376" s="605" t="s">
        <v>599</v>
      </c>
      <c r="B376" s="665">
        <v>0</v>
      </c>
      <c r="C376" s="665">
        <v>0</v>
      </c>
      <c r="D376" s="665">
        <v>0</v>
      </c>
      <c r="E376" s="665">
        <v>0</v>
      </c>
      <c r="F376" s="665">
        <v>0</v>
      </c>
      <c r="G376" s="665">
        <v>0</v>
      </c>
      <c r="H376" s="665">
        <v>0</v>
      </c>
      <c r="I376" s="665">
        <v>0</v>
      </c>
      <c r="J376" s="665">
        <v>0</v>
      </c>
      <c r="K376" s="665">
        <v>0</v>
      </c>
      <c r="L376" s="665">
        <v>0</v>
      </c>
      <c r="M376" s="665">
        <v>0</v>
      </c>
      <c r="N376" s="665">
        <v>0</v>
      </c>
      <c r="O376" s="665">
        <v>0</v>
      </c>
      <c r="P376" s="665">
        <v>0</v>
      </c>
      <c r="Q376" s="665">
        <v>0</v>
      </c>
      <c r="R376" s="665">
        <v>0</v>
      </c>
      <c r="S376" s="665">
        <v>0</v>
      </c>
      <c r="T376" s="604" t="e">
        <v>#DIV/0!</v>
      </c>
      <c r="U376" s="603">
        <v>0</v>
      </c>
      <c r="V376" s="603">
        <v>0</v>
      </c>
      <c r="W376" s="603">
        <v>0</v>
      </c>
      <c r="X376" s="603">
        <v>0</v>
      </c>
      <c r="Y376" s="603">
        <v>0</v>
      </c>
      <c r="Z376" s="603">
        <v>0</v>
      </c>
    </row>
    <row r="377" spans="1:26" x14ac:dyDescent="0.2">
      <c r="A377" s="605" t="s">
        <v>600</v>
      </c>
      <c r="B377" s="665">
        <v>0</v>
      </c>
      <c r="C377" s="665">
        <v>0</v>
      </c>
      <c r="D377" s="665">
        <v>0</v>
      </c>
      <c r="E377" s="665">
        <v>0</v>
      </c>
      <c r="F377" s="665">
        <v>0</v>
      </c>
      <c r="G377" s="665">
        <v>0</v>
      </c>
      <c r="H377" s="665">
        <v>0</v>
      </c>
      <c r="I377" s="665">
        <v>0</v>
      </c>
      <c r="J377" s="665">
        <v>0</v>
      </c>
      <c r="K377" s="665">
        <v>0</v>
      </c>
      <c r="L377" s="665">
        <v>0</v>
      </c>
      <c r="M377" s="665">
        <v>0</v>
      </c>
      <c r="N377" s="665">
        <v>0</v>
      </c>
      <c r="O377" s="665">
        <v>0</v>
      </c>
      <c r="P377" s="665">
        <v>0</v>
      </c>
      <c r="Q377" s="665">
        <v>0</v>
      </c>
      <c r="R377" s="665">
        <v>0</v>
      </c>
      <c r="S377" s="665">
        <v>0</v>
      </c>
      <c r="T377" s="604" t="e">
        <v>#DIV/0!</v>
      </c>
      <c r="U377" s="603">
        <v>0</v>
      </c>
      <c r="V377" s="603">
        <v>0</v>
      </c>
      <c r="W377" s="603">
        <v>0</v>
      </c>
      <c r="X377" s="603">
        <v>0</v>
      </c>
      <c r="Y377" s="603">
        <v>0</v>
      </c>
      <c r="Z377" s="603">
        <v>0</v>
      </c>
    </row>
    <row r="378" spans="1:26" x14ac:dyDescent="0.2">
      <c r="A378" s="605" t="s">
        <v>601</v>
      </c>
      <c r="B378" s="665">
        <v>0</v>
      </c>
      <c r="C378" s="665">
        <v>0</v>
      </c>
      <c r="D378" s="665">
        <v>0</v>
      </c>
      <c r="E378" s="665">
        <v>0</v>
      </c>
      <c r="F378" s="665">
        <v>0</v>
      </c>
      <c r="G378" s="665">
        <v>0</v>
      </c>
      <c r="H378" s="665">
        <v>0</v>
      </c>
      <c r="I378" s="665">
        <v>0</v>
      </c>
      <c r="J378" s="665">
        <v>0</v>
      </c>
      <c r="K378" s="665">
        <v>0</v>
      </c>
      <c r="L378" s="665">
        <v>0</v>
      </c>
      <c r="M378" s="665">
        <v>0</v>
      </c>
      <c r="N378" s="665">
        <v>0</v>
      </c>
      <c r="O378" s="665">
        <v>0</v>
      </c>
      <c r="P378" s="665">
        <v>0</v>
      </c>
      <c r="Q378" s="665">
        <v>0</v>
      </c>
      <c r="R378" s="665">
        <v>0</v>
      </c>
      <c r="S378" s="665">
        <v>0</v>
      </c>
      <c r="T378" s="604" t="e">
        <v>#DIV/0!</v>
      </c>
      <c r="U378" s="603">
        <v>0</v>
      </c>
      <c r="V378" s="603">
        <v>0</v>
      </c>
      <c r="W378" s="603">
        <v>0</v>
      </c>
      <c r="X378" s="603">
        <v>0</v>
      </c>
      <c r="Y378" s="603">
        <v>0</v>
      </c>
      <c r="Z378" s="603">
        <v>0</v>
      </c>
    </row>
    <row r="379" spans="1:26" x14ac:dyDescent="0.2">
      <c r="A379" s="605" t="s">
        <v>602</v>
      </c>
      <c r="B379" s="665">
        <v>0</v>
      </c>
      <c r="C379" s="665">
        <v>0</v>
      </c>
      <c r="D379" s="665">
        <v>0</v>
      </c>
      <c r="E379" s="665">
        <v>0</v>
      </c>
      <c r="F379" s="665">
        <v>0</v>
      </c>
      <c r="G379" s="665">
        <v>0</v>
      </c>
      <c r="H379" s="665">
        <v>0</v>
      </c>
      <c r="I379" s="665">
        <v>0</v>
      </c>
      <c r="J379" s="665">
        <v>0</v>
      </c>
      <c r="K379" s="665">
        <v>0</v>
      </c>
      <c r="L379" s="665">
        <v>0</v>
      </c>
      <c r="M379" s="665">
        <v>0</v>
      </c>
      <c r="N379" s="665">
        <v>0</v>
      </c>
      <c r="O379" s="665">
        <v>0</v>
      </c>
      <c r="P379" s="665">
        <v>0</v>
      </c>
      <c r="Q379" s="665">
        <v>0</v>
      </c>
      <c r="R379" s="665">
        <v>0</v>
      </c>
      <c r="S379" s="665">
        <v>0</v>
      </c>
      <c r="T379" s="604" t="e">
        <v>#DIV/0!</v>
      </c>
      <c r="U379" s="603">
        <v>0</v>
      </c>
      <c r="V379" s="603">
        <v>0</v>
      </c>
      <c r="W379" s="603">
        <v>0</v>
      </c>
      <c r="X379" s="603">
        <v>0</v>
      </c>
      <c r="Y379" s="603">
        <v>0</v>
      </c>
      <c r="Z379" s="603">
        <v>0</v>
      </c>
    </row>
    <row r="380" spans="1:26" x14ac:dyDescent="0.2">
      <c r="A380" s="605" t="s">
        <v>603</v>
      </c>
      <c r="B380" s="665">
        <v>0</v>
      </c>
      <c r="C380" s="665">
        <v>0</v>
      </c>
      <c r="D380" s="665">
        <v>0</v>
      </c>
      <c r="E380" s="665">
        <v>0</v>
      </c>
      <c r="F380" s="665">
        <v>0</v>
      </c>
      <c r="G380" s="665">
        <v>0</v>
      </c>
      <c r="H380" s="665">
        <v>0</v>
      </c>
      <c r="I380" s="665">
        <v>0</v>
      </c>
      <c r="J380" s="665">
        <v>0</v>
      </c>
      <c r="K380" s="665">
        <v>0</v>
      </c>
      <c r="L380" s="665">
        <v>0</v>
      </c>
      <c r="M380" s="665">
        <v>0</v>
      </c>
      <c r="N380" s="665">
        <v>0</v>
      </c>
      <c r="O380" s="665">
        <v>0</v>
      </c>
      <c r="P380" s="665">
        <v>0</v>
      </c>
      <c r="Q380" s="665">
        <v>0</v>
      </c>
      <c r="R380" s="665">
        <v>0</v>
      </c>
      <c r="S380" s="665">
        <v>0</v>
      </c>
      <c r="T380" s="604" t="e">
        <v>#DIV/0!</v>
      </c>
      <c r="U380" s="603">
        <v>0</v>
      </c>
      <c r="V380" s="603">
        <v>0</v>
      </c>
      <c r="W380" s="603">
        <v>0</v>
      </c>
      <c r="X380" s="603">
        <v>0</v>
      </c>
      <c r="Y380" s="603">
        <v>0</v>
      </c>
      <c r="Z380" s="603">
        <v>0</v>
      </c>
    </row>
    <row r="381" spans="1:26" x14ac:dyDescent="0.2">
      <c r="A381" s="597" t="s">
        <v>604</v>
      </c>
      <c r="B381" s="655">
        <v>0</v>
      </c>
      <c r="C381" s="655">
        <v>0</v>
      </c>
      <c r="D381" s="655">
        <v>0</v>
      </c>
      <c r="E381" s="655">
        <v>0</v>
      </c>
      <c r="F381" s="655">
        <v>0</v>
      </c>
      <c r="G381" s="655">
        <v>0</v>
      </c>
      <c r="H381" s="655">
        <v>0</v>
      </c>
      <c r="I381" s="655">
        <v>0</v>
      </c>
      <c r="J381" s="655">
        <v>0</v>
      </c>
      <c r="K381" s="655">
        <v>0</v>
      </c>
      <c r="L381" s="655">
        <v>0</v>
      </c>
      <c r="M381" s="655">
        <v>0</v>
      </c>
      <c r="N381" s="655">
        <v>0</v>
      </c>
      <c r="O381" s="655">
        <v>0</v>
      </c>
      <c r="P381" s="655">
        <v>0</v>
      </c>
      <c r="Q381" s="655">
        <v>0</v>
      </c>
      <c r="R381" s="655">
        <v>0</v>
      </c>
      <c r="S381" s="655">
        <v>0</v>
      </c>
      <c r="T381" s="600" t="e">
        <v>#DIV/0!</v>
      </c>
      <c r="U381" s="599">
        <v>0</v>
      </c>
      <c r="V381" s="599">
        <v>0</v>
      </c>
      <c r="W381" s="599">
        <v>0</v>
      </c>
      <c r="X381" s="599">
        <v>0</v>
      </c>
      <c r="Y381" s="599">
        <v>0</v>
      </c>
      <c r="Z381" s="599">
        <v>0</v>
      </c>
    </row>
    <row r="382" spans="1:26" x14ac:dyDescent="0.2">
      <c r="A382" s="605" t="s">
        <v>605</v>
      </c>
      <c r="B382" s="665">
        <v>0</v>
      </c>
      <c r="C382" s="665">
        <v>0</v>
      </c>
      <c r="D382" s="665">
        <v>0</v>
      </c>
      <c r="E382" s="665">
        <v>0</v>
      </c>
      <c r="F382" s="665">
        <v>0</v>
      </c>
      <c r="G382" s="665">
        <v>0</v>
      </c>
      <c r="H382" s="665">
        <v>0</v>
      </c>
      <c r="I382" s="665">
        <v>0</v>
      </c>
      <c r="J382" s="665">
        <v>0</v>
      </c>
      <c r="K382" s="665">
        <v>0</v>
      </c>
      <c r="L382" s="665">
        <v>0</v>
      </c>
      <c r="M382" s="665">
        <v>0</v>
      </c>
      <c r="N382" s="665">
        <v>0</v>
      </c>
      <c r="O382" s="665">
        <v>0</v>
      </c>
      <c r="P382" s="665">
        <v>0</v>
      </c>
      <c r="Q382" s="665">
        <v>0</v>
      </c>
      <c r="R382" s="665">
        <v>0</v>
      </c>
      <c r="S382" s="665">
        <v>0</v>
      </c>
      <c r="T382" s="604" t="e">
        <v>#DIV/0!</v>
      </c>
      <c r="U382" s="603">
        <v>0</v>
      </c>
      <c r="V382" s="603">
        <v>0</v>
      </c>
      <c r="W382" s="603">
        <v>0</v>
      </c>
      <c r="X382" s="603">
        <v>0</v>
      </c>
      <c r="Y382" s="603">
        <v>0</v>
      </c>
      <c r="Z382" s="603">
        <v>0</v>
      </c>
    </row>
    <row r="383" spans="1:26" x14ac:dyDescent="0.2">
      <c r="A383" s="605" t="s">
        <v>606</v>
      </c>
      <c r="B383" s="665">
        <v>0</v>
      </c>
      <c r="C383" s="665">
        <v>0</v>
      </c>
      <c r="D383" s="665">
        <v>0</v>
      </c>
      <c r="E383" s="665">
        <v>0</v>
      </c>
      <c r="F383" s="665">
        <v>0</v>
      </c>
      <c r="G383" s="665">
        <v>0</v>
      </c>
      <c r="H383" s="665">
        <v>0</v>
      </c>
      <c r="I383" s="665">
        <v>0</v>
      </c>
      <c r="J383" s="665">
        <v>0</v>
      </c>
      <c r="K383" s="665">
        <v>0</v>
      </c>
      <c r="L383" s="665">
        <v>0</v>
      </c>
      <c r="M383" s="665">
        <v>0</v>
      </c>
      <c r="N383" s="665">
        <v>0</v>
      </c>
      <c r="O383" s="665">
        <v>0</v>
      </c>
      <c r="P383" s="665">
        <v>0</v>
      </c>
      <c r="Q383" s="665">
        <v>0</v>
      </c>
      <c r="R383" s="665">
        <v>0</v>
      </c>
      <c r="S383" s="665">
        <v>0</v>
      </c>
      <c r="T383" s="604" t="e">
        <v>#DIV/0!</v>
      </c>
      <c r="U383" s="603">
        <v>0</v>
      </c>
      <c r="V383" s="603">
        <v>0</v>
      </c>
      <c r="W383" s="603">
        <v>0</v>
      </c>
      <c r="X383" s="603">
        <v>0</v>
      </c>
      <c r="Y383" s="603">
        <v>0</v>
      </c>
      <c r="Z383" s="603">
        <v>0</v>
      </c>
    </row>
    <row r="384" spans="1:26" ht="24" x14ac:dyDescent="0.2">
      <c r="A384" s="605" t="s">
        <v>607</v>
      </c>
      <c r="B384" s="665">
        <v>0</v>
      </c>
      <c r="C384" s="665">
        <v>0</v>
      </c>
      <c r="D384" s="665">
        <v>0</v>
      </c>
      <c r="E384" s="665">
        <v>0</v>
      </c>
      <c r="F384" s="665">
        <v>0</v>
      </c>
      <c r="G384" s="665">
        <v>0</v>
      </c>
      <c r="H384" s="665">
        <v>0</v>
      </c>
      <c r="I384" s="665">
        <v>0</v>
      </c>
      <c r="J384" s="665">
        <v>0</v>
      </c>
      <c r="K384" s="665">
        <v>0</v>
      </c>
      <c r="L384" s="665">
        <v>0</v>
      </c>
      <c r="M384" s="665">
        <v>0</v>
      </c>
      <c r="N384" s="665">
        <v>0</v>
      </c>
      <c r="O384" s="665">
        <v>0</v>
      </c>
      <c r="P384" s="665">
        <v>0</v>
      </c>
      <c r="Q384" s="665">
        <v>0</v>
      </c>
      <c r="R384" s="665">
        <v>0</v>
      </c>
      <c r="S384" s="665">
        <v>0</v>
      </c>
      <c r="T384" s="604" t="e">
        <v>#DIV/0!</v>
      </c>
      <c r="U384" s="603">
        <v>0</v>
      </c>
      <c r="V384" s="603">
        <v>0</v>
      </c>
      <c r="W384" s="603">
        <v>0</v>
      </c>
      <c r="X384" s="603">
        <v>0</v>
      </c>
      <c r="Y384" s="603">
        <v>0</v>
      </c>
      <c r="Z384" s="603">
        <v>0</v>
      </c>
    </row>
    <row r="385" spans="1:26" x14ac:dyDescent="0.2">
      <c r="A385" s="597" t="s">
        <v>608</v>
      </c>
      <c r="B385" s="655">
        <v>0</v>
      </c>
      <c r="C385" s="655">
        <v>0</v>
      </c>
      <c r="D385" s="655">
        <v>0</v>
      </c>
      <c r="E385" s="655">
        <v>0</v>
      </c>
      <c r="F385" s="655">
        <v>0</v>
      </c>
      <c r="G385" s="655">
        <v>0</v>
      </c>
      <c r="H385" s="655">
        <v>0</v>
      </c>
      <c r="I385" s="655">
        <v>0</v>
      </c>
      <c r="J385" s="655">
        <v>0</v>
      </c>
      <c r="K385" s="655">
        <v>0</v>
      </c>
      <c r="L385" s="655">
        <v>0</v>
      </c>
      <c r="M385" s="655">
        <v>0</v>
      </c>
      <c r="N385" s="655">
        <v>0</v>
      </c>
      <c r="O385" s="655">
        <v>0</v>
      </c>
      <c r="P385" s="655">
        <v>0</v>
      </c>
      <c r="Q385" s="655">
        <v>0</v>
      </c>
      <c r="R385" s="655">
        <v>0</v>
      </c>
      <c r="S385" s="655">
        <v>0</v>
      </c>
      <c r="T385" s="600" t="e">
        <v>#DIV/0!</v>
      </c>
      <c r="U385" s="599">
        <v>0</v>
      </c>
      <c r="V385" s="599">
        <v>0</v>
      </c>
      <c r="W385" s="599">
        <v>0</v>
      </c>
      <c r="X385" s="599">
        <v>0</v>
      </c>
      <c r="Y385" s="599">
        <v>0</v>
      </c>
      <c r="Z385" s="599">
        <v>0</v>
      </c>
    </row>
    <row r="386" spans="1:26" x14ac:dyDescent="0.2">
      <c r="A386" s="605" t="s">
        <v>609</v>
      </c>
      <c r="B386" s="665">
        <v>0</v>
      </c>
      <c r="C386" s="665">
        <v>0</v>
      </c>
      <c r="D386" s="665">
        <v>0</v>
      </c>
      <c r="E386" s="665">
        <v>0</v>
      </c>
      <c r="F386" s="665">
        <v>0</v>
      </c>
      <c r="G386" s="665">
        <v>0</v>
      </c>
      <c r="H386" s="665">
        <v>0</v>
      </c>
      <c r="I386" s="665">
        <v>0</v>
      </c>
      <c r="J386" s="665">
        <v>0</v>
      </c>
      <c r="K386" s="665">
        <v>0</v>
      </c>
      <c r="L386" s="665">
        <v>0</v>
      </c>
      <c r="M386" s="665">
        <v>0</v>
      </c>
      <c r="N386" s="665">
        <v>0</v>
      </c>
      <c r="O386" s="665">
        <v>0</v>
      </c>
      <c r="P386" s="665">
        <v>0</v>
      </c>
      <c r="Q386" s="665">
        <v>0</v>
      </c>
      <c r="R386" s="665">
        <v>0</v>
      </c>
      <c r="S386" s="665">
        <v>0</v>
      </c>
      <c r="T386" s="604" t="e">
        <v>#DIV/0!</v>
      </c>
      <c r="U386" s="603">
        <v>0</v>
      </c>
      <c r="V386" s="603">
        <v>0</v>
      </c>
      <c r="W386" s="603">
        <v>0</v>
      </c>
      <c r="X386" s="603">
        <v>0</v>
      </c>
      <c r="Y386" s="603">
        <v>0</v>
      </c>
      <c r="Z386" s="603">
        <v>0</v>
      </c>
    </row>
    <row r="387" spans="1:26" ht="24" x14ac:dyDescent="0.2">
      <c r="A387" s="605" t="s">
        <v>610</v>
      </c>
      <c r="B387" s="665">
        <v>0</v>
      </c>
      <c r="C387" s="665">
        <v>0</v>
      </c>
      <c r="D387" s="665">
        <v>0</v>
      </c>
      <c r="E387" s="665">
        <v>0</v>
      </c>
      <c r="F387" s="665">
        <v>0</v>
      </c>
      <c r="G387" s="665">
        <v>0</v>
      </c>
      <c r="H387" s="665">
        <v>0</v>
      </c>
      <c r="I387" s="665">
        <v>0</v>
      </c>
      <c r="J387" s="665">
        <v>0</v>
      </c>
      <c r="K387" s="665">
        <v>0</v>
      </c>
      <c r="L387" s="665">
        <v>0</v>
      </c>
      <c r="M387" s="665">
        <v>0</v>
      </c>
      <c r="N387" s="665">
        <v>0</v>
      </c>
      <c r="O387" s="665">
        <v>0</v>
      </c>
      <c r="P387" s="665">
        <v>0</v>
      </c>
      <c r="Q387" s="665">
        <v>0</v>
      </c>
      <c r="R387" s="665">
        <v>0</v>
      </c>
      <c r="S387" s="665">
        <v>0</v>
      </c>
      <c r="T387" s="604" t="e">
        <v>#DIV/0!</v>
      </c>
      <c r="U387" s="603">
        <v>0</v>
      </c>
      <c r="V387" s="603">
        <v>0</v>
      </c>
      <c r="W387" s="603">
        <v>0</v>
      </c>
      <c r="X387" s="603">
        <v>0</v>
      </c>
      <c r="Y387" s="603">
        <v>0</v>
      </c>
      <c r="Z387" s="603">
        <v>0</v>
      </c>
    </row>
    <row r="388" spans="1:26" x14ac:dyDescent="0.2">
      <c r="A388" s="605" t="s">
        <v>611</v>
      </c>
      <c r="B388" s="665">
        <v>0</v>
      </c>
      <c r="C388" s="665">
        <v>0</v>
      </c>
      <c r="D388" s="665">
        <v>0</v>
      </c>
      <c r="E388" s="665">
        <v>0</v>
      </c>
      <c r="F388" s="665">
        <v>0</v>
      </c>
      <c r="G388" s="665">
        <v>0</v>
      </c>
      <c r="H388" s="665">
        <v>0</v>
      </c>
      <c r="I388" s="665">
        <v>0</v>
      </c>
      <c r="J388" s="665">
        <v>0</v>
      </c>
      <c r="K388" s="665">
        <v>0</v>
      </c>
      <c r="L388" s="665">
        <v>0</v>
      </c>
      <c r="M388" s="665">
        <v>0</v>
      </c>
      <c r="N388" s="665">
        <v>0</v>
      </c>
      <c r="O388" s="665">
        <v>0</v>
      </c>
      <c r="P388" s="665">
        <v>0</v>
      </c>
      <c r="Q388" s="665">
        <v>0</v>
      </c>
      <c r="R388" s="665">
        <v>0</v>
      </c>
      <c r="S388" s="665">
        <v>0</v>
      </c>
      <c r="T388" s="604" t="e">
        <v>#DIV/0!</v>
      </c>
      <c r="U388" s="603">
        <v>0</v>
      </c>
      <c r="V388" s="603">
        <v>0</v>
      </c>
      <c r="W388" s="603">
        <v>0</v>
      </c>
      <c r="X388" s="603">
        <v>0</v>
      </c>
      <c r="Y388" s="603">
        <v>0</v>
      </c>
      <c r="Z388" s="603">
        <v>0</v>
      </c>
    </row>
    <row r="389" spans="1:26" x14ac:dyDescent="0.2">
      <c r="A389" s="597" t="s">
        <v>612</v>
      </c>
      <c r="B389" s="655">
        <v>0</v>
      </c>
      <c r="C389" s="655">
        <v>0</v>
      </c>
      <c r="D389" s="655">
        <v>0</v>
      </c>
      <c r="E389" s="655">
        <v>0</v>
      </c>
      <c r="F389" s="655">
        <v>0</v>
      </c>
      <c r="G389" s="655">
        <v>0</v>
      </c>
      <c r="H389" s="655">
        <v>0</v>
      </c>
      <c r="I389" s="655">
        <v>0</v>
      </c>
      <c r="J389" s="655">
        <v>0</v>
      </c>
      <c r="K389" s="655">
        <v>0</v>
      </c>
      <c r="L389" s="655">
        <v>0</v>
      </c>
      <c r="M389" s="655">
        <v>0</v>
      </c>
      <c r="N389" s="655">
        <v>0</v>
      </c>
      <c r="O389" s="655">
        <v>0</v>
      </c>
      <c r="P389" s="655">
        <v>0</v>
      </c>
      <c r="Q389" s="655">
        <v>0</v>
      </c>
      <c r="R389" s="655">
        <v>0</v>
      </c>
      <c r="S389" s="655">
        <v>0</v>
      </c>
      <c r="T389" s="600" t="e">
        <v>#DIV/0!</v>
      </c>
      <c r="U389" s="599">
        <v>0</v>
      </c>
      <c r="V389" s="599">
        <v>0</v>
      </c>
      <c r="W389" s="599">
        <v>0</v>
      </c>
      <c r="X389" s="599">
        <v>0</v>
      </c>
      <c r="Y389" s="599">
        <v>0</v>
      </c>
      <c r="Z389" s="599">
        <v>0</v>
      </c>
    </row>
    <row r="390" spans="1:26" x14ac:dyDescent="0.2">
      <c r="A390" s="605" t="s">
        <v>613</v>
      </c>
      <c r="B390" s="665">
        <v>0</v>
      </c>
      <c r="C390" s="665">
        <v>0</v>
      </c>
      <c r="D390" s="665">
        <v>0</v>
      </c>
      <c r="E390" s="665">
        <v>0</v>
      </c>
      <c r="F390" s="665">
        <v>0</v>
      </c>
      <c r="G390" s="665">
        <v>0</v>
      </c>
      <c r="H390" s="665">
        <v>0</v>
      </c>
      <c r="I390" s="665">
        <v>0</v>
      </c>
      <c r="J390" s="665">
        <v>0</v>
      </c>
      <c r="K390" s="665">
        <v>0</v>
      </c>
      <c r="L390" s="665">
        <v>0</v>
      </c>
      <c r="M390" s="665">
        <v>0</v>
      </c>
      <c r="N390" s="665">
        <v>0</v>
      </c>
      <c r="O390" s="665">
        <v>0</v>
      </c>
      <c r="P390" s="665">
        <v>0</v>
      </c>
      <c r="Q390" s="665">
        <v>0</v>
      </c>
      <c r="R390" s="665">
        <v>0</v>
      </c>
      <c r="S390" s="665">
        <v>0</v>
      </c>
      <c r="T390" s="604" t="e">
        <v>#DIV/0!</v>
      </c>
      <c r="U390" s="603">
        <v>0</v>
      </c>
      <c r="V390" s="603">
        <v>0</v>
      </c>
      <c r="W390" s="603">
        <v>0</v>
      </c>
      <c r="X390" s="603">
        <v>0</v>
      </c>
      <c r="Y390" s="603">
        <v>0</v>
      </c>
      <c r="Z390" s="603">
        <v>0</v>
      </c>
    </row>
    <row r="391" spans="1:26" x14ac:dyDescent="0.2">
      <c r="A391" s="605" t="s">
        <v>614</v>
      </c>
      <c r="B391" s="665">
        <v>0</v>
      </c>
      <c r="C391" s="665">
        <v>0</v>
      </c>
      <c r="D391" s="665">
        <v>0</v>
      </c>
      <c r="E391" s="665">
        <v>0</v>
      </c>
      <c r="F391" s="665">
        <v>0</v>
      </c>
      <c r="G391" s="665">
        <v>0</v>
      </c>
      <c r="H391" s="665">
        <v>0</v>
      </c>
      <c r="I391" s="665">
        <v>0</v>
      </c>
      <c r="J391" s="665">
        <v>0</v>
      </c>
      <c r="K391" s="665">
        <v>0</v>
      </c>
      <c r="L391" s="665">
        <v>0</v>
      </c>
      <c r="M391" s="665">
        <v>0</v>
      </c>
      <c r="N391" s="665">
        <v>0</v>
      </c>
      <c r="O391" s="665">
        <v>0</v>
      </c>
      <c r="P391" s="665">
        <v>0</v>
      </c>
      <c r="Q391" s="665">
        <v>0</v>
      </c>
      <c r="R391" s="665">
        <v>0</v>
      </c>
      <c r="S391" s="665">
        <v>0</v>
      </c>
      <c r="T391" s="604" t="e">
        <v>#DIV/0!</v>
      </c>
      <c r="U391" s="603">
        <v>0</v>
      </c>
      <c r="V391" s="603">
        <v>0</v>
      </c>
      <c r="W391" s="603">
        <v>0</v>
      </c>
      <c r="X391" s="603">
        <v>0</v>
      </c>
      <c r="Y391" s="603">
        <v>0</v>
      </c>
      <c r="Z391" s="603">
        <v>0</v>
      </c>
    </row>
    <row r="392" spans="1:26" x14ac:dyDescent="0.2">
      <c r="A392" s="605" t="s">
        <v>615</v>
      </c>
      <c r="B392" s="665">
        <v>0</v>
      </c>
      <c r="C392" s="665">
        <v>0</v>
      </c>
      <c r="D392" s="665">
        <v>0</v>
      </c>
      <c r="E392" s="665">
        <v>0</v>
      </c>
      <c r="F392" s="665">
        <v>0</v>
      </c>
      <c r="G392" s="665">
        <v>0</v>
      </c>
      <c r="H392" s="665">
        <v>0</v>
      </c>
      <c r="I392" s="665">
        <v>0</v>
      </c>
      <c r="J392" s="665">
        <v>0</v>
      </c>
      <c r="K392" s="665">
        <v>0</v>
      </c>
      <c r="L392" s="665">
        <v>0</v>
      </c>
      <c r="M392" s="665">
        <v>0</v>
      </c>
      <c r="N392" s="665">
        <v>0</v>
      </c>
      <c r="O392" s="665">
        <v>0</v>
      </c>
      <c r="P392" s="665">
        <v>0</v>
      </c>
      <c r="Q392" s="665">
        <v>0</v>
      </c>
      <c r="R392" s="665">
        <v>0</v>
      </c>
      <c r="S392" s="665">
        <v>0</v>
      </c>
      <c r="T392" s="604" t="e">
        <v>#DIV/0!</v>
      </c>
      <c r="U392" s="603">
        <v>0</v>
      </c>
      <c r="V392" s="603">
        <v>0</v>
      </c>
      <c r="W392" s="603">
        <v>0</v>
      </c>
      <c r="X392" s="603">
        <v>0</v>
      </c>
      <c r="Y392" s="603">
        <v>0</v>
      </c>
      <c r="Z392" s="603">
        <v>0</v>
      </c>
    </row>
    <row r="393" spans="1:26" x14ac:dyDescent="0.2">
      <c r="A393" s="605" t="s">
        <v>616</v>
      </c>
      <c r="B393" s="665">
        <v>0</v>
      </c>
      <c r="C393" s="665">
        <v>0</v>
      </c>
      <c r="D393" s="665">
        <v>0</v>
      </c>
      <c r="E393" s="665">
        <v>0</v>
      </c>
      <c r="F393" s="665">
        <v>0</v>
      </c>
      <c r="G393" s="665">
        <v>0</v>
      </c>
      <c r="H393" s="665">
        <v>0</v>
      </c>
      <c r="I393" s="665">
        <v>0</v>
      </c>
      <c r="J393" s="665">
        <v>0</v>
      </c>
      <c r="K393" s="665">
        <v>0</v>
      </c>
      <c r="L393" s="665">
        <v>0</v>
      </c>
      <c r="M393" s="665">
        <v>0</v>
      </c>
      <c r="N393" s="665">
        <v>0</v>
      </c>
      <c r="O393" s="665">
        <v>0</v>
      </c>
      <c r="P393" s="665">
        <v>0</v>
      </c>
      <c r="Q393" s="665">
        <v>0</v>
      </c>
      <c r="R393" s="665">
        <v>0</v>
      </c>
      <c r="S393" s="665">
        <v>0</v>
      </c>
      <c r="T393" s="604" t="e">
        <v>#DIV/0!</v>
      </c>
      <c r="U393" s="603">
        <v>0</v>
      </c>
      <c r="V393" s="603">
        <v>0</v>
      </c>
      <c r="W393" s="603">
        <v>0</v>
      </c>
      <c r="X393" s="603">
        <v>0</v>
      </c>
      <c r="Y393" s="603">
        <v>0</v>
      </c>
      <c r="Z393" s="603">
        <v>0</v>
      </c>
    </row>
    <row r="394" spans="1:26" x14ac:dyDescent="0.2">
      <c r="A394" s="605" t="s">
        <v>617</v>
      </c>
      <c r="B394" s="665">
        <v>0</v>
      </c>
      <c r="C394" s="665">
        <v>0</v>
      </c>
      <c r="D394" s="665">
        <v>0</v>
      </c>
      <c r="E394" s="665">
        <v>0</v>
      </c>
      <c r="F394" s="665">
        <v>0</v>
      </c>
      <c r="G394" s="665">
        <v>0</v>
      </c>
      <c r="H394" s="665">
        <v>0</v>
      </c>
      <c r="I394" s="665">
        <v>0</v>
      </c>
      <c r="J394" s="665">
        <v>0</v>
      </c>
      <c r="K394" s="665">
        <v>0</v>
      </c>
      <c r="L394" s="665">
        <v>0</v>
      </c>
      <c r="M394" s="665">
        <v>0</v>
      </c>
      <c r="N394" s="665">
        <v>0</v>
      </c>
      <c r="O394" s="665">
        <v>0</v>
      </c>
      <c r="P394" s="665">
        <v>0</v>
      </c>
      <c r="Q394" s="665">
        <v>0</v>
      </c>
      <c r="R394" s="665">
        <v>0</v>
      </c>
      <c r="S394" s="665">
        <v>0</v>
      </c>
      <c r="T394" s="604" t="e">
        <v>#DIV/0!</v>
      </c>
      <c r="U394" s="603">
        <v>0</v>
      </c>
      <c r="V394" s="603">
        <v>0</v>
      </c>
      <c r="W394" s="603">
        <v>0</v>
      </c>
      <c r="X394" s="603">
        <v>0</v>
      </c>
      <c r="Y394" s="603">
        <v>0</v>
      </c>
      <c r="Z394" s="603">
        <v>0</v>
      </c>
    </row>
    <row r="395" spans="1:26" x14ac:dyDescent="0.2">
      <c r="A395" s="605" t="s">
        <v>618</v>
      </c>
      <c r="B395" s="665">
        <v>0</v>
      </c>
      <c r="C395" s="665">
        <v>0</v>
      </c>
      <c r="D395" s="665">
        <v>0</v>
      </c>
      <c r="E395" s="665">
        <v>0</v>
      </c>
      <c r="F395" s="665">
        <v>0</v>
      </c>
      <c r="G395" s="665">
        <v>0</v>
      </c>
      <c r="H395" s="665">
        <v>0</v>
      </c>
      <c r="I395" s="665">
        <v>0</v>
      </c>
      <c r="J395" s="665">
        <v>0</v>
      </c>
      <c r="K395" s="665">
        <v>0</v>
      </c>
      <c r="L395" s="665">
        <v>0</v>
      </c>
      <c r="M395" s="665">
        <v>0</v>
      </c>
      <c r="N395" s="665">
        <v>0</v>
      </c>
      <c r="O395" s="665">
        <v>0</v>
      </c>
      <c r="P395" s="665">
        <v>0</v>
      </c>
      <c r="Q395" s="665">
        <v>0</v>
      </c>
      <c r="R395" s="665">
        <v>0</v>
      </c>
      <c r="S395" s="665">
        <v>0</v>
      </c>
      <c r="T395" s="604" t="e">
        <v>#DIV/0!</v>
      </c>
      <c r="U395" s="603">
        <v>0</v>
      </c>
      <c r="V395" s="603">
        <v>0</v>
      </c>
      <c r="W395" s="603">
        <v>0</v>
      </c>
      <c r="X395" s="603">
        <v>0</v>
      </c>
      <c r="Y395" s="603">
        <v>0</v>
      </c>
      <c r="Z395" s="603">
        <v>0</v>
      </c>
    </row>
    <row r="396" spans="1:26" x14ac:dyDescent="0.2">
      <c r="A396" s="605" t="s">
        <v>619</v>
      </c>
      <c r="B396" s="665">
        <v>0</v>
      </c>
      <c r="C396" s="665">
        <v>0</v>
      </c>
      <c r="D396" s="665">
        <v>0</v>
      </c>
      <c r="E396" s="665">
        <v>0</v>
      </c>
      <c r="F396" s="665">
        <v>0</v>
      </c>
      <c r="G396" s="665">
        <v>0</v>
      </c>
      <c r="H396" s="665">
        <v>0</v>
      </c>
      <c r="I396" s="665">
        <v>0</v>
      </c>
      <c r="J396" s="665">
        <v>0</v>
      </c>
      <c r="K396" s="665">
        <v>0</v>
      </c>
      <c r="L396" s="665">
        <v>0</v>
      </c>
      <c r="M396" s="665">
        <v>0</v>
      </c>
      <c r="N396" s="665">
        <v>0</v>
      </c>
      <c r="O396" s="665">
        <v>0</v>
      </c>
      <c r="P396" s="665">
        <v>0</v>
      </c>
      <c r="Q396" s="665">
        <v>0</v>
      </c>
      <c r="R396" s="665">
        <v>0</v>
      </c>
      <c r="S396" s="665">
        <v>0</v>
      </c>
      <c r="T396" s="604" t="e">
        <v>#DIV/0!</v>
      </c>
      <c r="U396" s="603">
        <v>0</v>
      </c>
      <c r="V396" s="603">
        <v>0</v>
      </c>
      <c r="W396" s="603">
        <v>0</v>
      </c>
      <c r="X396" s="603">
        <v>0</v>
      </c>
      <c r="Y396" s="603">
        <v>0</v>
      </c>
      <c r="Z396" s="603">
        <v>0</v>
      </c>
    </row>
    <row r="397" spans="1:26" x14ac:dyDescent="0.2">
      <c r="A397" s="597" t="s">
        <v>620</v>
      </c>
      <c r="B397" s="685">
        <v>0</v>
      </c>
      <c r="C397" s="685">
        <v>0</v>
      </c>
      <c r="D397" s="685">
        <v>0</v>
      </c>
      <c r="E397" s="685">
        <v>0</v>
      </c>
      <c r="F397" s="685">
        <v>0</v>
      </c>
      <c r="G397" s="685">
        <v>0</v>
      </c>
      <c r="H397" s="685">
        <v>0</v>
      </c>
      <c r="I397" s="685">
        <v>0</v>
      </c>
      <c r="J397" s="685">
        <v>0</v>
      </c>
      <c r="K397" s="685">
        <v>0</v>
      </c>
      <c r="L397" s="685">
        <v>0</v>
      </c>
      <c r="M397" s="685">
        <v>0</v>
      </c>
      <c r="N397" s="685">
        <v>0</v>
      </c>
      <c r="O397" s="685">
        <v>0</v>
      </c>
      <c r="P397" s="685">
        <v>0</v>
      </c>
      <c r="Q397" s="685">
        <v>0</v>
      </c>
      <c r="R397" s="685">
        <v>0</v>
      </c>
      <c r="S397" s="685">
        <v>0</v>
      </c>
      <c r="T397" s="600" t="e">
        <v>#DIV/0!</v>
      </c>
      <c r="U397" s="599">
        <v>0</v>
      </c>
      <c r="V397" s="599">
        <v>0</v>
      </c>
      <c r="W397" s="599">
        <v>0</v>
      </c>
      <c r="X397" s="599">
        <v>0</v>
      </c>
      <c r="Y397" s="599">
        <v>0</v>
      </c>
      <c r="Z397" s="599">
        <v>0</v>
      </c>
    </row>
    <row r="398" spans="1:26" x14ac:dyDescent="0.2">
      <c r="A398" s="597" t="s">
        <v>621</v>
      </c>
      <c r="B398" s="685">
        <v>0</v>
      </c>
      <c r="C398" s="685">
        <v>0</v>
      </c>
      <c r="D398" s="685">
        <v>0</v>
      </c>
      <c r="E398" s="685">
        <v>0</v>
      </c>
      <c r="F398" s="685">
        <v>0</v>
      </c>
      <c r="G398" s="685">
        <v>0</v>
      </c>
      <c r="H398" s="685">
        <v>0</v>
      </c>
      <c r="I398" s="685">
        <v>0</v>
      </c>
      <c r="J398" s="685">
        <v>0</v>
      </c>
      <c r="K398" s="685">
        <v>0</v>
      </c>
      <c r="L398" s="685">
        <v>0</v>
      </c>
      <c r="M398" s="685">
        <v>0</v>
      </c>
      <c r="N398" s="685">
        <v>0</v>
      </c>
      <c r="O398" s="685">
        <v>0</v>
      </c>
      <c r="P398" s="685">
        <v>0</v>
      </c>
      <c r="Q398" s="685">
        <v>0</v>
      </c>
      <c r="R398" s="685">
        <v>0</v>
      </c>
      <c r="S398" s="685">
        <v>0</v>
      </c>
      <c r="T398" s="600" t="e">
        <v>#DIV/0!</v>
      </c>
      <c r="U398" s="599">
        <v>0</v>
      </c>
      <c r="V398" s="599">
        <v>0</v>
      </c>
      <c r="W398" s="599">
        <v>0</v>
      </c>
      <c r="X398" s="599">
        <v>0</v>
      </c>
      <c r="Y398" s="599">
        <v>0</v>
      </c>
      <c r="Z398" s="599">
        <v>0</v>
      </c>
    </row>
    <row r="399" spans="1:26" x14ac:dyDescent="0.2">
      <c r="A399" s="597" t="s">
        <v>622</v>
      </c>
      <c r="B399" s="685">
        <v>0</v>
      </c>
      <c r="C399" s="685">
        <v>0</v>
      </c>
      <c r="D399" s="685">
        <v>0</v>
      </c>
      <c r="E399" s="685">
        <v>0</v>
      </c>
      <c r="F399" s="685">
        <v>0</v>
      </c>
      <c r="G399" s="685">
        <v>0</v>
      </c>
      <c r="H399" s="685">
        <v>0</v>
      </c>
      <c r="I399" s="685">
        <v>0</v>
      </c>
      <c r="J399" s="685">
        <v>0</v>
      </c>
      <c r="K399" s="685">
        <v>0</v>
      </c>
      <c r="L399" s="685">
        <v>0</v>
      </c>
      <c r="M399" s="685">
        <v>0</v>
      </c>
      <c r="N399" s="685">
        <v>0</v>
      </c>
      <c r="O399" s="685">
        <v>0</v>
      </c>
      <c r="P399" s="685">
        <v>0</v>
      </c>
      <c r="Q399" s="685">
        <v>0</v>
      </c>
      <c r="R399" s="685">
        <v>0</v>
      </c>
      <c r="S399" s="685">
        <v>0</v>
      </c>
      <c r="T399" s="600" t="e">
        <v>#DIV/0!</v>
      </c>
      <c r="U399" s="599">
        <v>0</v>
      </c>
      <c r="V399" s="599">
        <v>0</v>
      </c>
      <c r="W399" s="599">
        <v>0</v>
      </c>
      <c r="X399" s="599">
        <v>0</v>
      </c>
      <c r="Y399" s="599">
        <v>0</v>
      </c>
      <c r="Z399" s="599">
        <v>0</v>
      </c>
    </row>
    <row r="400" spans="1:26" x14ac:dyDescent="0.2">
      <c r="A400" s="597" t="s">
        <v>623</v>
      </c>
      <c r="B400" s="685">
        <v>0</v>
      </c>
      <c r="C400" s="685">
        <v>0</v>
      </c>
      <c r="D400" s="685">
        <v>0</v>
      </c>
      <c r="E400" s="685">
        <v>0</v>
      </c>
      <c r="F400" s="685">
        <v>0</v>
      </c>
      <c r="G400" s="685">
        <v>0</v>
      </c>
      <c r="H400" s="685">
        <v>0</v>
      </c>
      <c r="I400" s="685">
        <v>0</v>
      </c>
      <c r="J400" s="685">
        <v>0</v>
      </c>
      <c r="K400" s="685">
        <v>0</v>
      </c>
      <c r="L400" s="685">
        <v>0</v>
      </c>
      <c r="M400" s="685">
        <v>0</v>
      </c>
      <c r="N400" s="685">
        <v>0</v>
      </c>
      <c r="O400" s="685">
        <v>0</v>
      </c>
      <c r="P400" s="685">
        <v>0</v>
      </c>
      <c r="Q400" s="685">
        <v>0</v>
      </c>
      <c r="R400" s="685">
        <v>0</v>
      </c>
      <c r="S400" s="685">
        <v>0</v>
      </c>
      <c r="T400" s="600" t="e">
        <v>#DIV/0!</v>
      </c>
      <c r="U400" s="599">
        <v>0</v>
      </c>
      <c r="V400" s="599">
        <v>0</v>
      </c>
      <c r="W400" s="599">
        <v>0</v>
      </c>
      <c r="X400" s="599">
        <v>0</v>
      </c>
      <c r="Y400" s="599">
        <v>0</v>
      </c>
      <c r="Z400" s="599">
        <v>0</v>
      </c>
    </row>
    <row r="401" spans="1:26" x14ac:dyDescent="0.2">
      <c r="A401" s="597" t="s">
        <v>624</v>
      </c>
      <c r="B401" s="655">
        <v>0</v>
      </c>
      <c r="C401" s="655">
        <v>0</v>
      </c>
      <c r="D401" s="655">
        <v>0</v>
      </c>
      <c r="E401" s="655">
        <v>0</v>
      </c>
      <c r="F401" s="655">
        <v>0</v>
      </c>
      <c r="G401" s="655">
        <v>0</v>
      </c>
      <c r="H401" s="655">
        <v>0</v>
      </c>
      <c r="I401" s="655">
        <v>0</v>
      </c>
      <c r="J401" s="655">
        <v>0</v>
      </c>
      <c r="K401" s="655">
        <v>0</v>
      </c>
      <c r="L401" s="655">
        <v>0</v>
      </c>
      <c r="M401" s="655">
        <v>0</v>
      </c>
      <c r="N401" s="655">
        <v>0</v>
      </c>
      <c r="O401" s="655">
        <v>0</v>
      </c>
      <c r="P401" s="655">
        <v>0</v>
      </c>
      <c r="Q401" s="655">
        <v>0</v>
      </c>
      <c r="R401" s="655">
        <v>0</v>
      </c>
      <c r="S401" s="655">
        <v>0</v>
      </c>
      <c r="T401" s="600" t="e">
        <v>#DIV/0!</v>
      </c>
      <c r="U401" s="599">
        <v>0</v>
      </c>
      <c r="V401" s="599">
        <v>0</v>
      </c>
      <c r="W401" s="599">
        <v>0</v>
      </c>
      <c r="X401" s="599">
        <v>0</v>
      </c>
      <c r="Y401" s="599">
        <v>0</v>
      </c>
      <c r="Z401" s="599">
        <v>0</v>
      </c>
    </row>
    <row r="402" spans="1:26" x14ac:dyDescent="0.2">
      <c r="A402" s="605" t="s">
        <v>625</v>
      </c>
      <c r="B402" s="663">
        <v>0</v>
      </c>
      <c r="C402" s="663">
        <v>0</v>
      </c>
      <c r="D402" s="663">
        <v>0</v>
      </c>
      <c r="E402" s="663">
        <v>0</v>
      </c>
      <c r="F402" s="663">
        <v>0</v>
      </c>
      <c r="G402" s="663">
        <v>0</v>
      </c>
      <c r="H402" s="663">
        <v>0</v>
      </c>
      <c r="I402" s="663">
        <v>0</v>
      </c>
      <c r="J402" s="663">
        <v>0</v>
      </c>
      <c r="K402" s="663">
        <v>0</v>
      </c>
      <c r="L402" s="663">
        <v>0</v>
      </c>
      <c r="M402" s="663">
        <v>0</v>
      </c>
      <c r="N402" s="663">
        <v>0</v>
      </c>
      <c r="O402" s="663">
        <v>0</v>
      </c>
      <c r="P402" s="663">
        <v>0</v>
      </c>
      <c r="Q402" s="663">
        <v>0</v>
      </c>
      <c r="R402" s="663">
        <v>0</v>
      </c>
      <c r="S402" s="663">
        <v>0</v>
      </c>
      <c r="T402" s="604" t="e">
        <v>#DIV/0!</v>
      </c>
      <c r="U402" s="603">
        <v>0</v>
      </c>
      <c r="V402" s="603">
        <v>0</v>
      </c>
      <c r="W402" s="603">
        <v>0</v>
      </c>
      <c r="X402" s="603">
        <v>0</v>
      </c>
      <c r="Y402" s="603">
        <v>0</v>
      </c>
      <c r="Z402" s="603">
        <v>0</v>
      </c>
    </row>
    <row r="403" spans="1:26" x14ac:dyDescent="0.2">
      <c r="A403" s="607" t="s">
        <v>626</v>
      </c>
      <c r="B403" s="663">
        <v>0</v>
      </c>
      <c r="C403" s="663">
        <v>0</v>
      </c>
      <c r="D403" s="663">
        <v>0</v>
      </c>
      <c r="E403" s="663">
        <v>0</v>
      </c>
      <c r="F403" s="663">
        <v>0</v>
      </c>
      <c r="G403" s="663">
        <v>0</v>
      </c>
      <c r="H403" s="663">
        <v>0</v>
      </c>
      <c r="I403" s="663">
        <v>0</v>
      </c>
      <c r="J403" s="663">
        <v>0</v>
      </c>
      <c r="K403" s="663">
        <v>0</v>
      </c>
      <c r="L403" s="663">
        <v>0</v>
      </c>
      <c r="M403" s="663">
        <v>0</v>
      </c>
      <c r="N403" s="663">
        <v>0</v>
      </c>
      <c r="O403" s="663">
        <v>0</v>
      </c>
      <c r="P403" s="663">
        <v>0</v>
      </c>
      <c r="Q403" s="663">
        <v>0</v>
      </c>
      <c r="R403" s="663">
        <v>0</v>
      </c>
      <c r="S403" s="663">
        <v>0</v>
      </c>
      <c r="T403" s="604" t="e">
        <v>#DIV/0!</v>
      </c>
      <c r="U403" s="603">
        <v>0</v>
      </c>
      <c r="V403" s="603">
        <v>0</v>
      </c>
      <c r="W403" s="603">
        <v>0</v>
      </c>
      <c r="X403" s="603">
        <v>0</v>
      </c>
      <c r="Y403" s="603">
        <v>0</v>
      </c>
      <c r="Z403" s="603">
        <v>0</v>
      </c>
    </row>
    <row r="404" spans="1:26" x14ac:dyDescent="0.2">
      <c r="A404" s="608" t="s">
        <v>627</v>
      </c>
      <c r="B404" s="665">
        <v>0</v>
      </c>
      <c r="C404" s="665">
        <v>0</v>
      </c>
      <c r="D404" s="665">
        <v>0</v>
      </c>
      <c r="E404" s="665">
        <v>0</v>
      </c>
      <c r="F404" s="665">
        <v>0</v>
      </c>
      <c r="G404" s="665">
        <v>0</v>
      </c>
      <c r="H404" s="665">
        <v>0</v>
      </c>
      <c r="I404" s="665">
        <v>0</v>
      </c>
      <c r="J404" s="665">
        <v>0</v>
      </c>
      <c r="K404" s="665">
        <v>0</v>
      </c>
      <c r="L404" s="665">
        <v>0</v>
      </c>
      <c r="M404" s="665">
        <v>0</v>
      </c>
      <c r="N404" s="665">
        <v>0</v>
      </c>
      <c r="O404" s="665">
        <v>0</v>
      </c>
      <c r="P404" s="665">
        <v>0</v>
      </c>
      <c r="Q404" s="665">
        <v>0</v>
      </c>
      <c r="R404" s="665">
        <v>0</v>
      </c>
      <c r="S404" s="665">
        <v>0</v>
      </c>
      <c r="T404" s="604" t="e">
        <v>#DIV/0!</v>
      </c>
      <c r="U404" s="603">
        <v>0</v>
      </c>
      <c r="V404" s="603">
        <v>0</v>
      </c>
      <c r="W404" s="603">
        <v>0</v>
      </c>
      <c r="X404" s="603">
        <v>0</v>
      </c>
      <c r="Y404" s="603">
        <v>0</v>
      </c>
      <c r="Z404" s="603">
        <v>0</v>
      </c>
    </row>
    <row r="405" spans="1:26" x14ac:dyDescent="0.2">
      <c r="A405" s="608" t="s">
        <v>628</v>
      </c>
      <c r="B405" s="665">
        <v>0</v>
      </c>
      <c r="C405" s="665">
        <v>0</v>
      </c>
      <c r="D405" s="665">
        <v>0</v>
      </c>
      <c r="E405" s="665">
        <v>0</v>
      </c>
      <c r="F405" s="665">
        <v>0</v>
      </c>
      <c r="G405" s="665">
        <v>0</v>
      </c>
      <c r="H405" s="665">
        <v>0</v>
      </c>
      <c r="I405" s="665">
        <v>0</v>
      </c>
      <c r="J405" s="665">
        <v>0</v>
      </c>
      <c r="K405" s="665">
        <v>0</v>
      </c>
      <c r="L405" s="665">
        <v>0</v>
      </c>
      <c r="M405" s="665">
        <v>0</v>
      </c>
      <c r="N405" s="665">
        <v>0</v>
      </c>
      <c r="O405" s="665">
        <v>0</v>
      </c>
      <c r="P405" s="665">
        <v>0</v>
      </c>
      <c r="Q405" s="665">
        <v>0</v>
      </c>
      <c r="R405" s="665">
        <v>0</v>
      </c>
      <c r="S405" s="665">
        <v>0</v>
      </c>
      <c r="T405" s="604" t="e">
        <v>#DIV/0!</v>
      </c>
      <c r="U405" s="603">
        <v>0</v>
      </c>
      <c r="V405" s="603">
        <v>0</v>
      </c>
      <c r="W405" s="603">
        <v>0</v>
      </c>
      <c r="X405" s="603">
        <v>0</v>
      </c>
      <c r="Y405" s="603">
        <v>0</v>
      </c>
      <c r="Z405" s="603">
        <v>0</v>
      </c>
    </row>
    <row r="406" spans="1:26" x14ac:dyDescent="0.2">
      <c r="A406" s="607" t="s">
        <v>1317</v>
      </c>
      <c r="B406" s="665">
        <v>0</v>
      </c>
      <c r="C406" s="665">
        <v>0</v>
      </c>
      <c r="D406" s="665">
        <v>0</v>
      </c>
      <c r="E406" s="665">
        <v>0</v>
      </c>
      <c r="F406" s="665">
        <v>0</v>
      </c>
      <c r="G406" s="665">
        <v>0</v>
      </c>
      <c r="H406" s="665">
        <v>0</v>
      </c>
      <c r="I406" s="665">
        <v>0</v>
      </c>
      <c r="J406" s="665">
        <v>0</v>
      </c>
      <c r="K406" s="665">
        <v>0</v>
      </c>
      <c r="L406" s="665">
        <v>0</v>
      </c>
      <c r="M406" s="665">
        <v>0</v>
      </c>
      <c r="N406" s="665">
        <v>0</v>
      </c>
      <c r="O406" s="665">
        <v>0</v>
      </c>
      <c r="P406" s="665">
        <v>0</v>
      </c>
      <c r="Q406" s="665">
        <v>0</v>
      </c>
      <c r="R406" s="665">
        <v>0</v>
      </c>
      <c r="S406" s="665">
        <v>0</v>
      </c>
      <c r="T406" s="604" t="e">
        <v>#DIV/0!</v>
      </c>
      <c r="U406" s="603">
        <v>0</v>
      </c>
      <c r="V406" s="603">
        <v>0</v>
      </c>
      <c r="W406" s="603">
        <v>0</v>
      </c>
      <c r="X406" s="603">
        <v>0</v>
      </c>
      <c r="Y406" s="603">
        <v>0</v>
      </c>
      <c r="Z406" s="603">
        <v>0</v>
      </c>
    </row>
    <row r="407" spans="1:26" x14ac:dyDescent="0.2">
      <c r="A407" s="608" t="s">
        <v>1319</v>
      </c>
      <c r="B407" s="665">
        <v>0</v>
      </c>
      <c r="C407" s="665">
        <v>0</v>
      </c>
      <c r="D407" s="665">
        <v>0</v>
      </c>
      <c r="E407" s="665">
        <v>0</v>
      </c>
      <c r="F407" s="665">
        <v>0</v>
      </c>
      <c r="G407" s="665">
        <v>0</v>
      </c>
      <c r="H407" s="665">
        <v>0</v>
      </c>
      <c r="I407" s="665">
        <v>0</v>
      </c>
      <c r="J407" s="665">
        <v>0</v>
      </c>
      <c r="K407" s="665">
        <v>0</v>
      </c>
      <c r="L407" s="665">
        <v>0</v>
      </c>
      <c r="M407" s="665">
        <v>0</v>
      </c>
      <c r="N407" s="665">
        <v>0</v>
      </c>
      <c r="O407" s="665">
        <v>0</v>
      </c>
      <c r="P407" s="665">
        <v>0</v>
      </c>
      <c r="Q407" s="665">
        <v>0</v>
      </c>
      <c r="R407" s="665">
        <v>0</v>
      </c>
      <c r="S407" s="665">
        <v>0</v>
      </c>
      <c r="T407" s="604" t="e">
        <v>#DIV/0!</v>
      </c>
      <c r="U407" s="603">
        <v>0</v>
      </c>
      <c r="V407" s="603">
        <v>0</v>
      </c>
      <c r="W407" s="603">
        <v>0</v>
      </c>
      <c r="X407" s="603">
        <v>0</v>
      </c>
      <c r="Y407" s="603">
        <v>0</v>
      </c>
      <c r="Z407" s="603">
        <v>0</v>
      </c>
    </row>
    <row r="408" spans="1:26" x14ac:dyDescent="0.2">
      <c r="A408" s="608" t="s">
        <v>1321</v>
      </c>
      <c r="B408" s="665">
        <v>0</v>
      </c>
      <c r="C408" s="665">
        <v>0</v>
      </c>
      <c r="D408" s="665">
        <v>0</v>
      </c>
      <c r="E408" s="665">
        <v>0</v>
      </c>
      <c r="F408" s="665">
        <v>0</v>
      </c>
      <c r="G408" s="665">
        <v>0</v>
      </c>
      <c r="H408" s="665">
        <v>0</v>
      </c>
      <c r="I408" s="665">
        <v>0</v>
      </c>
      <c r="J408" s="665">
        <v>0</v>
      </c>
      <c r="K408" s="665">
        <v>0</v>
      </c>
      <c r="L408" s="665">
        <v>0</v>
      </c>
      <c r="M408" s="665">
        <v>0</v>
      </c>
      <c r="N408" s="665">
        <v>0</v>
      </c>
      <c r="O408" s="665">
        <v>0</v>
      </c>
      <c r="P408" s="665">
        <v>0</v>
      </c>
      <c r="Q408" s="665">
        <v>0</v>
      </c>
      <c r="R408" s="665">
        <v>0</v>
      </c>
      <c r="S408" s="665">
        <v>0</v>
      </c>
      <c r="T408" s="604" t="e">
        <v>#DIV/0!</v>
      </c>
      <c r="U408" s="603">
        <v>0</v>
      </c>
      <c r="V408" s="603">
        <v>0</v>
      </c>
      <c r="W408" s="603">
        <v>0</v>
      </c>
      <c r="X408" s="603">
        <v>0</v>
      </c>
      <c r="Y408" s="603">
        <v>0</v>
      </c>
      <c r="Z408" s="603">
        <v>0</v>
      </c>
    </row>
    <row r="409" spans="1:26" x14ac:dyDescent="0.2">
      <c r="A409" s="607" t="s">
        <v>629</v>
      </c>
      <c r="B409" s="665">
        <v>0</v>
      </c>
      <c r="C409" s="665">
        <v>0</v>
      </c>
      <c r="D409" s="665">
        <v>0</v>
      </c>
      <c r="E409" s="665">
        <v>0</v>
      </c>
      <c r="F409" s="665">
        <v>0</v>
      </c>
      <c r="G409" s="665">
        <v>0</v>
      </c>
      <c r="H409" s="665">
        <v>0</v>
      </c>
      <c r="I409" s="665">
        <v>0</v>
      </c>
      <c r="J409" s="665">
        <v>0</v>
      </c>
      <c r="K409" s="665">
        <v>0</v>
      </c>
      <c r="L409" s="665">
        <v>0</v>
      </c>
      <c r="M409" s="665">
        <v>0</v>
      </c>
      <c r="N409" s="665">
        <v>0</v>
      </c>
      <c r="O409" s="665">
        <v>0</v>
      </c>
      <c r="P409" s="665">
        <v>0</v>
      </c>
      <c r="Q409" s="665">
        <v>0</v>
      </c>
      <c r="R409" s="665">
        <v>0</v>
      </c>
      <c r="S409" s="665">
        <v>0</v>
      </c>
      <c r="T409" s="604" t="e">
        <v>#DIV/0!</v>
      </c>
      <c r="U409" s="603">
        <v>0</v>
      </c>
      <c r="V409" s="603">
        <v>0</v>
      </c>
      <c r="W409" s="603">
        <v>0</v>
      </c>
      <c r="X409" s="603">
        <v>0</v>
      </c>
      <c r="Y409" s="603">
        <v>0</v>
      </c>
      <c r="Z409" s="603">
        <v>0</v>
      </c>
    </row>
    <row r="410" spans="1:26" x14ac:dyDescent="0.2">
      <c r="A410" s="607" t="s">
        <v>630</v>
      </c>
      <c r="B410" s="665">
        <v>0</v>
      </c>
      <c r="C410" s="665">
        <v>0</v>
      </c>
      <c r="D410" s="665">
        <v>0</v>
      </c>
      <c r="E410" s="665">
        <v>0</v>
      </c>
      <c r="F410" s="665">
        <v>0</v>
      </c>
      <c r="G410" s="665">
        <v>0</v>
      </c>
      <c r="H410" s="665">
        <v>0</v>
      </c>
      <c r="I410" s="665">
        <v>0</v>
      </c>
      <c r="J410" s="665">
        <v>0</v>
      </c>
      <c r="K410" s="665">
        <v>0</v>
      </c>
      <c r="L410" s="665">
        <v>0</v>
      </c>
      <c r="M410" s="665">
        <v>0</v>
      </c>
      <c r="N410" s="665">
        <v>0</v>
      </c>
      <c r="O410" s="665">
        <v>0</v>
      </c>
      <c r="P410" s="665">
        <v>0</v>
      </c>
      <c r="Q410" s="665">
        <v>0</v>
      </c>
      <c r="R410" s="665">
        <v>0</v>
      </c>
      <c r="S410" s="665">
        <v>0</v>
      </c>
      <c r="T410" s="604" t="e">
        <v>#DIV/0!</v>
      </c>
      <c r="U410" s="603">
        <v>0</v>
      </c>
      <c r="V410" s="603">
        <v>0</v>
      </c>
      <c r="W410" s="603">
        <v>0</v>
      </c>
      <c r="X410" s="603">
        <v>0</v>
      </c>
      <c r="Y410" s="603">
        <v>0</v>
      </c>
      <c r="Z410" s="603">
        <v>0</v>
      </c>
    </row>
    <row r="411" spans="1:26" x14ac:dyDescent="0.2">
      <c r="A411" s="605" t="s">
        <v>631</v>
      </c>
      <c r="B411" s="665">
        <v>0</v>
      </c>
      <c r="C411" s="665">
        <v>0</v>
      </c>
      <c r="D411" s="665">
        <v>0</v>
      </c>
      <c r="E411" s="665">
        <v>0</v>
      </c>
      <c r="F411" s="665">
        <v>0</v>
      </c>
      <c r="G411" s="665">
        <v>0</v>
      </c>
      <c r="H411" s="665">
        <v>0</v>
      </c>
      <c r="I411" s="665">
        <v>0</v>
      </c>
      <c r="J411" s="665">
        <v>0</v>
      </c>
      <c r="K411" s="665">
        <v>0</v>
      </c>
      <c r="L411" s="665">
        <v>0</v>
      </c>
      <c r="M411" s="665">
        <v>0</v>
      </c>
      <c r="N411" s="665">
        <v>0</v>
      </c>
      <c r="O411" s="665">
        <v>0</v>
      </c>
      <c r="P411" s="665">
        <v>0</v>
      </c>
      <c r="Q411" s="665">
        <v>0</v>
      </c>
      <c r="R411" s="665">
        <v>0</v>
      </c>
      <c r="S411" s="665">
        <v>0</v>
      </c>
      <c r="T411" s="604" t="e">
        <v>#DIV/0!</v>
      </c>
      <c r="U411" s="603">
        <v>0</v>
      </c>
      <c r="V411" s="603">
        <v>0</v>
      </c>
      <c r="W411" s="603">
        <v>0</v>
      </c>
      <c r="X411" s="603">
        <v>0</v>
      </c>
      <c r="Y411" s="603">
        <v>0</v>
      </c>
      <c r="Z411" s="603">
        <v>0</v>
      </c>
    </row>
    <row r="412" spans="1:26" x14ac:dyDescent="0.2">
      <c r="A412" s="605" t="s">
        <v>632</v>
      </c>
      <c r="B412" s="665">
        <v>0</v>
      </c>
      <c r="C412" s="665">
        <v>0</v>
      </c>
      <c r="D412" s="665">
        <v>0</v>
      </c>
      <c r="E412" s="665">
        <v>0</v>
      </c>
      <c r="F412" s="665">
        <v>0</v>
      </c>
      <c r="G412" s="665">
        <v>0</v>
      </c>
      <c r="H412" s="665">
        <v>0</v>
      </c>
      <c r="I412" s="665">
        <v>0</v>
      </c>
      <c r="J412" s="665">
        <v>0</v>
      </c>
      <c r="K412" s="665">
        <v>0</v>
      </c>
      <c r="L412" s="665">
        <v>0</v>
      </c>
      <c r="M412" s="665">
        <v>0</v>
      </c>
      <c r="N412" s="665">
        <v>0</v>
      </c>
      <c r="O412" s="665">
        <v>0</v>
      </c>
      <c r="P412" s="665">
        <v>0</v>
      </c>
      <c r="Q412" s="665">
        <v>0</v>
      </c>
      <c r="R412" s="665">
        <v>0</v>
      </c>
      <c r="S412" s="665">
        <v>0</v>
      </c>
      <c r="T412" s="604" t="e">
        <v>#DIV/0!</v>
      </c>
      <c r="U412" s="603">
        <v>0</v>
      </c>
      <c r="V412" s="603">
        <v>0</v>
      </c>
      <c r="W412" s="603">
        <v>0</v>
      </c>
      <c r="X412" s="603">
        <v>0</v>
      </c>
      <c r="Y412" s="603">
        <v>0</v>
      </c>
      <c r="Z412" s="603">
        <v>0</v>
      </c>
    </row>
    <row r="413" spans="1:26" x14ac:dyDescent="0.2">
      <c r="A413" s="605" t="s">
        <v>633</v>
      </c>
      <c r="B413" s="665">
        <v>0</v>
      </c>
      <c r="C413" s="665">
        <v>0</v>
      </c>
      <c r="D413" s="665">
        <v>0</v>
      </c>
      <c r="E413" s="665">
        <v>0</v>
      </c>
      <c r="F413" s="665">
        <v>0</v>
      </c>
      <c r="G413" s="665">
        <v>0</v>
      </c>
      <c r="H413" s="665">
        <v>0</v>
      </c>
      <c r="I413" s="665">
        <v>0</v>
      </c>
      <c r="J413" s="665">
        <v>0</v>
      </c>
      <c r="K413" s="665">
        <v>0</v>
      </c>
      <c r="L413" s="665">
        <v>0</v>
      </c>
      <c r="M413" s="665">
        <v>0</v>
      </c>
      <c r="N413" s="665">
        <v>0</v>
      </c>
      <c r="O413" s="665">
        <v>0</v>
      </c>
      <c r="P413" s="665">
        <v>0</v>
      </c>
      <c r="Q413" s="665">
        <v>0</v>
      </c>
      <c r="R413" s="665">
        <v>0</v>
      </c>
      <c r="S413" s="665">
        <v>0</v>
      </c>
      <c r="T413" s="604" t="e">
        <v>#DIV/0!</v>
      </c>
      <c r="U413" s="603">
        <v>0</v>
      </c>
      <c r="V413" s="603">
        <v>0</v>
      </c>
      <c r="W413" s="603">
        <v>0</v>
      </c>
      <c r="X413" s="603">
        <v>0</v>
      </c>
      <c r="Y413" s="603">
        <v>0</v>
      </c>
      <c r="Z413" s="603">
        <v>0</v>
      </c>
    </row>
    <row r="414" spans="1:26" x14ac:dyDescent="0.2">
      <c r="A414" s="605" t="s">
        <v>634</v>
      </c>
      <c r="B414" s="665">
        <v>0</v>
      </c>
      <c r="C414" s="665">
        <v>0</v>
      </c>
      <c r="D414" s="665">
        <v>0</v>
      </c>
      <c r="E414" s="665">
        <v>0</v>
      </c>
      <c r="F414" s="665">
        <v>0</v>
      </c>
      <c r="G414" s="665">
        <v>0</v>
      </c>
      <c r="H414" s="665">
        <v>0</v>
      </c>
      <c r="I414" s="665">
        <v>0</v>
      </c>
      <c r="J414" s="665">
        <v>0</v>
      </c>
      <c r="K414" s="665">
        <v>0</v>
      </c>
      <c r="L414" s="665">
        <v>0</v>
      </c>
      <c r="M414" s="665">
        <v>0</v>
      </c>
      <c r="N414" s="665">
        <v>0</v>
      </c>
      <c r="O414" s="665">
        <v>0</v>
      </c>
      <c r="P414" s="665">
        <v>0</v>
      </c>
      <c r="Q414" s="665">
        <v>0</v>
      </c>
      <c r="R414" s="665">
        <v>0</v>
      </c>
      <c r="S414" s="665">
        <v>0</v>
      </c>
      <c r="T414" s="604" t="e">
        <v>#DIV/0!</v>
      </c>
      <c r="U414" s="603">
        <v>0</v>
      </c>
      <c r="V414" s="603">
        <v>0</v>
      </c>
      <c r="W414" s="603">
        <v>0</v>
      </c>
      <c r="X414" s="603">
        <v>0</v>
      </c>
      <c r="Y414" s="603">
        <v>0</v>
      </c>
      <c r="Z414" s="603">
        <v>0</v>
      </c>
    </row>
    <row r="415" spans="1:26" x14ac:dyDescent="0.2">
      <c r="A415" s="605" t="s">
        <v>635</v>
      </c>
      <c r="B415" s="665">
        <v>0</v>
      </c>
      <c r="C415" s="665">
        <v>0</v>
      </c>
      <c r="D415" s="665">
        <v>0</v>
      </c>
      <c r="E415" s="665">
        <v>0</v>
      </c>
      <c r="F415" s="665">
        <v>0</v>
      </c>
      <c r="G415" s="665">
        <v>0</v>
      </c>
      <c r="H415" s="665">
        <v>0</v>
      </c>
      <c r="I415" s="665">
        <v>0</v>
      </c>
      <c r="J415" s="665">
        <v>0</v>
      </c>
      <c r="K415" s="665">
        <v>0</v>
      </c>
      <c r="L415" s="665">
        <v>0</v>
      </c>
      <c r="M415" s="665">
        <v>0</v>
      </c>
      <c r="N415" s="665">
        <v>0</v>
      </c>
      <c r="O415" s="665">
        <v>0</v>
      </c>
      <c r="P415" s="665">
        <v>0</v>
      </c>
      <c r="Q415" s="665">
        <v>0</v>
      </c>
      <c r="R415" s="665">
        <v>0</v>
      </c>
      <c r="S415" s="665">
        <v>0</v>
      </c>
      <c r="T415" s="604" t="e">
        <v>#DIV/0!</v>
      </c>
      <c r="U415" s="603">
        <v>0</v>
      </c>
      <c r="V415" s="603">
        <v>0</v>
      </c>
      <c r="W415" s="603">
        <v>0</v>
      </c>
      <c r="X415" s="603">
        <v>0</v>
      </c>
      <c r="Y415" s="603">
        <v>0</v>
      </c>
      <c r="Z415" s="603">
        <v>0</v>
      </c>
    </row>
    <row r="416" spans="1:26" x14ac:dyDescent="0.2">
      <c r="A416" s="597" t="s">
        <v>636</v>
      </c>
      <c r="B416" s="655">
        <v>0</v>
      </c>
      <c r="C416" s="655">
        <v>0</v>
      </c>
      <c r="D416" s="655">
        <v>0</v>
      </c>
      <c r="E416" s="655">
        <v>0</v>
      </c>
      <c r="F416" s="655">
        <v>0</v>
      </c>
      <c r="G416" s="655">
        <v>0</v>
      </c>
      <c r="H416" s="655">
        <v>0</v>
      </c>
      <c r="I416" s="655">
        <v>0</v>
      </c>
      <c r="J416" s="655">
        <v>0</v>
      </c>
      <c r="K416" s="655">
        <v>0</v>
      </c>
      <c r="L416" s="655">
        <v>0</v>
      </c>
      <c r="M416" s="655">
        <v>0</v>
      </c>
      <c r="N416" s="655">
        <v>0</v>
      </c>
      <c r="O416" s="655">
        <v>0</v>
      </c>
      <c r="P416" s="655">
        <v>0</v>
      </c>
      <c r="Q416" s="655">
        <v>0</v>
      </c>
      <c r="R416" s="655">
        <v>0</v>
      </c>
      <c r="S416" s="655">
        <v>0</v>
      </c>
      <c r="T416" s="600" t="e">
        <v>#DIV/0!</v>
      </c>
      <c r="U416" s="599">
        <v>0</v>
      </c>
      <c r="V416" s="599">
        <v>0</v>
      </c>
      <c r="W416" s="599">
        <v>0</v>
      </c>
      <c r="X416" s="599">
        <v>0</v>
      </c>
      <c r="Y416" s="599">
        <v>0</v>
      </c>
      <c r="Z416" s="599">
        <v>0</v>
      </c>
    </row>
    <row r="417" spans="1:26" x14ac:dyDescent="0.2">
      <c r="A417" s="605" t="s">
        <v>637</v>
      </c>
      <c r="B417" s="665">
        <v>0</v>
      </c>
      <c r="C417" s="665">
        <v>0</v>
      </c>
      <c r="D417" s="665">
        <v>0</v>
      </c>
      <c r="E417" s="665">
        <v>0</v>
      </c>
      <c r="F417" s="665">
        <v>0</v>
      </c>
      <c r="G417" s="665">
        <v>0</v>
      </c>
      <c r="H417" s="665">
        <v>0</v>
      </c>
      <c r="I417" s="665">
        <v>0</v>
      </c>
      <c r="J417" s="665">
        <v>0</v>
      </c>
      <c r="K417" s="665">
        <v>0</v>
      </c>
      <c r="L417" s="665">
        <v>0</v>
      </c>
      <c r="M417" s="665">
        <v>0</v>
      </c>
      <c r="N417" s="665">
        <v>0</v>
      </c>
      <c r="O417" s="665">
        <v>0</v>
      </c>
      <c r="P417" s="665">
        <v>0</v>
      </c>
      <c r="Q417" s="665">
        <v>0</v>
      </c>
      <c r="R417" s="665">
        <v>0</v>
      </c>
      <c r="S417" s="665">
        <v>0</v>
      </c>
      <c r="T417" s="604" t="e">
        <v>#DIV/0!</v>
      </c>
      <c r="U417" s="603">
        <v>0</v>
      </c>
      <c r="V417" s="603">
        <v>0</v>
      </c>
      <c r="W417" s="603">
        <v>0</v>
      </c>
      <c r="X417" s="603">
        <v>0</v>
      </c>
      <c r="Y417" s="603">
        <v>0</v>
      </c>
      <c r="Z417" s="603">
        <v>0</v>
      </c>
    </row>
    <row r="418" spans="1:26" x14ac:dyDescent="0.2">
      <c r="A418" s="605" t="s">
        <v>638</v>
      </c>
      <c r="B418" s="665">
        <v>0</v>
      </c>
      <c r="C418" s="665">
        <v>0</v>
      </c>
      <c r="D418" s="665">
        <v>0</v>
      </c>
      <c r="E418" s="665">
        <v>0</v>
      </c>
      <c r="F418" s="665">
        <v>0</v>
      </c>
      <c r="G418" s="665">
        <v>0</v>
      </c>
      <c r="H418" s="665">
        <v>0</v>
      </c>
      <c r="I418" s="665">
        <v>0</v>
      </c>
      <c r="J418" s="665">
        <v>0</v>
      </c>
      <c r="K418" s="665">
        <v>0</v>
      </c>
      <c r="L418" s="665">
        <v>0</v>
      </c>
      <c r="M418" s="665">
        <v>0</v>
      </c>
      <c r="N418" s="665">
        <v>0</v>
      </c>
      <c r="O418" s="665">
        <v>0</v>
      </c>
      <c r="P418" s="665">
        <v>0</v>
      </c>
      <c r="Q418" s="665">
        <v>0</v>
      </c>
      <c r="R418" s="665">
        <v>0</v>
      </c>
      <c r="S418" s="665">
        <v>0</v>
      </c>
      <c r="T418" s="604" t="e">
        <v>#DIV/0!</v>
      </c>
      <c r="U418" s="603">
        <v>0</v>
      </c>
      <c r="V418" s="603">
        <v>0</v>
      </c>
      <c r="W418" s="603">
        <v>0</v>
      </c>
      <c r="X418" s="603">
        <v>0</v>
      </c>
      <c r="Y418" s="603">
        <v>0</v>
      </c>
      <c r="Z418" s="603">
        <v>0</v>
      </c>
    </row>
    <row r="419" spans="1:26" x14ac:dyDescent="0.2">
      <c r="A419" s="605" t="s">
        <v>639</v>
      </c>
      <c r="B419" s="665">
        <v>0</v>
      </c>
      <c r="C419" s="665">
        <v>0</v>
      </c>
      <c r="D419" s="665">
        <v>0</v>
      </c>
      <c r="E419" s="665">
        <v>0</v>
      </c>
      <c r="F419" s="665">
        <v>0</v>
      </c>
      <c r="G419" s="665">
        <v>0</v>
      </c>
      <c r="H419" s="665">
        <v>0</v>
      </c>
      <c r="I419" s="665">
        <v>0</v>
      </c>
      <c r="J419" s="665">
        <v>0</v>
      </c>
      <c r="K419" s="665">
        <v>0</v>
      </c>
      <c r="L419" s="665">
        <v>0</v>
      </c>
      <c r="M419" s="665">
        <v>0</v>
      </c>
      <c r="N419" s="665">
        <v>0</v>
      </c>
      <c r="O419" s="665">
        <v>0</v>
      </c>
      <c r="P419" s="665">
        <v>0</v>
      </c>
      <c r="Q419" s="665">
        <v>0</v>
      </c>
      <c r="R419" s="665">
        <v>0</v>
      </c>
      <c r="S419" s="665">
        <v>0</v>
      </c>
      <c r="T419" s="604" t="e">
        <v>#DIV/0!</v>
      </c>
      <c r="U419" s="603">
        <v>0</v>
      </c>
      <c r="V419" s="603">
        <v>0</v>
      </c>
      <c r="W419" s="603">
        <v>0</v>
      </c>
      <c r="X419" s="603">
        <v>0</v>
      </c>
      <c r="Y419" s="603">
        <v>0</v>
      </c>
      <c r="Z419" s="603">
        <v>0</v>
      </c>
    </row>
    <row r="420" spans="1:26" x14ac:dyDescent="0.2">
      <c r="A420" s="597" t="s">
        <v>640</v>
      </c>
      <c r="B420" s="655">
        <v>0</v>
      </c>
      <c r="C420" s="655">
        <v>0</v>
      </c>
      <c r="D420" s="655">
        <v>0</v>
      </c>
      <c r="E420" s="655">
        <v>0</v>
      </c>
      <c r="F420" s="655">
        <v>0</v>
      </c>
      <c r="G420" s="655">
        <v>0</v>
      </c>
      <c r="H420" s="655">
        <v>0</v>
      </c>
      <c r="I420" s="655">
        <v>0</v>
      </c>
      <c r="J420" s="655">
        <v>0</v>
      </c>
      <c r="K420" s="655">
        <v>0</v>
      </c>
      <c r="L420" s="655">
        <v>0</v>
      </c>
      <c r="M420" s="655">
        <v>0</v>
      </c>
      <c r="N420" s="655">
        <v>0</v>
      </c>
      <c r="O420" s="655">
        <v>0</v>
      </c>
      <c r="P420" s="655">
        <v>0</v>
      </c>
      <c r="Q420" s="655">
        <v>0</v>
      </c>
      <c r="R420" s="655">
        <v>0</v>
      </c>
      <c r="S420" s="655">
        <v>0</v>
      </c>
      <c r="T420" s="600" t="e">
        <v>#DIV/0!</v>
      </c>
      <c r="U420" s="599">
        <v>0</v>
      </c>
      <c r="V420" s="599">
        <v>0</v>
      </c>
      <c r="W420" s="599">
        <v>0</v>
      </c>
      <c r="X420" s="599">
        <v>0</v>
      </c>
      <c r="Y420" s="599">
        <v>0</v>
      </c>
      <c r="Z420" s="599">
        <v>0</v>
      </c>
    </row>
    <row r="421" spans="1:26" x14ac:dyDescent="0.2">
      <c r="A421" s="605" t="s">
        <v>641</v>
      </c>
      <c r="B421" s="665">
        <v>0</v>
      </c>
      <c r="C421" s="665">
        <v>0</v>
      </c>
      <c r="D421" s="665">
        <v>0</v>
      </c>
      <c r="E421" s="665">
        <v>0</v>
      </c>
      <c r="F421" s="665">
        <v>0</v>
      </c>
      <c r="G421" s="665">
        <v>0</v>
      </c>
      <c r="H421" s="665">
        <v>0</v>
      </c>
      <c r="I421" s="665">
        <v>0</v>
      </c>
      <c r="J421" s="665">
        <v>0</v>
      </c>
      <c r="K421" s="665">
        <v>0</v>
      </c>
      <c r="L421" s="665">
        <v>0</v>
      </c>
      <c r="M421" s="665">
        <v>0</v>
      </c>
      <c r="N421" s="665">
        <v>0</v>
      </c>
      <c r="O421" s="665">
        <v>0</v>
      </c>
      <c r="P421" s="665">
        <v>0</v>
      </c>
      <c r="Q421" s="665">
        <v>0</v>
      </c>
      <c r="R421" s="665">
        <v>0</v>
      </c>
      <c r="S421" s="665">
        <v>0</v>
      </c>
      <c r="T421" s="604" t="e">
        <v>#DIV/0!</v>
      </c>
      <c r="U421" s="603">
        <v>0</v>
      </c>
      <c r="V421" s="603">
        <v>0</v>
      </c>
      <c r="W421" s="603">
        <v>0</v>
      </c>
      <c r="X421" s="603">
        <v>0</v>
      </c>
      <c r="Y421" s="603">
        <v>0</v>
      </c>
      <c r="Z421" s="603">
        <v>0</v>
      </c>
    </row>
    <row r="422" spans="1:26" x14ac:dyDescent="0.2">
      <c r="A422" s="605" t="s">
        <v>642</v>
      </c>
      <c r="B422" s="665">
        <v>0</v>
      </c>
      <c r="C422" s="665">
        <v>0</v>
      </c>
      <c r="D422" s="665">
        <v>0</v>
      </c>
      <c r="E422" s="665">
        <v>0</v>
      </c>
      <c r="F422" s="665">
        <v>0</v>
      </c>
      <c r="G422" s="665">
        <v>0</v>
      </c>
      <c r="H422" s="665">
        <v>0</v>
      </c>
      <c r="I422" s="665">
        <v>0</v>
      </c>
      <c r="J422" s="665">
        <v>0</v>
      </c>
      <c r="K422" s="665">
        <v>0</v>
      </c>
      <c r="L422" s="665">
        <v>0</v>
      </c>
      <c r="M422" s="665">
        <v>0</v>
      </c>
      <c r="N422" s="665">
        <v>0</v>
      </c>
      <c r="O422" s="665">
        <v>0</v>
      </c>
      <c r="P422" s="665">
        <v>0</v>
      </c>
      <c r="Q422" s="665">
        <v>0</v>
      </c>
      <c r="R422" s="665">
        <v>0</v>
      </c>
      <c r="S422" s="665">
        <v>0</v>
      </c>
      <c r="T422" s="604" t="e">
        <v>#DIV/0!</v>
      </c>
      <c r="U422" s="603">
        <v>0</v>
      </c>
      <c r="V422" s="603">
        <v>0</v>
      </c>
      <c r="W422" s="603">
        <v>0</v>
      </c>
      <c r="X422" s="603">
        <v>0</v>
      </c>
      <c r="Y422" s="603">
        <v>0</v>
      </c>
      <c r="Z422" s="603">
        <v>0</v>
      </c>
    </row>
    <row r="423" spans="1:26" x14ac:dyDescent="0.2">
      <c r="A423" s="605" t="s">
        <v>643</v>
      </c>
      <c r="B423" s="665">
        <v>0</v>
      </c>
      <c r="C423" s="665">
        <v>0</v>
      </c>
      <c r="D423" s="665">
        <v>0</v>
      </c>
      <c r="E423" s="665">
        <v>0</v>
      </c>
      <c r="F423" s="665">
        <v>0</v>
      </c>
      <c r="G423" s="665">
        <v>0</v>
      </c>
      <c r="H423" s="665">
        <v>0</v>
      </c>
      <c r="I423" s="665">
        <v>0</v>
      </c>
      <c r="J423" s="665">
        <v>0</v>
      </c>
      <c r="K423" s="665">
        <v>0</v>
      </c>
      <c r="L423" s="665">
        <v>0</v>
      </c>
      <c r="M423" s="665">
        <v>0</v>
      </c>
      <c r="N423" s="665">
        <v>0</v>
      </c>
      <c r="O423" s="665">
        <v>0</v>
      </c>
      <c r="P423" s="665">
        <v>0</v>
      </c>
      <c r="Q423" s="665">
        <v>0</v>
      </c>
      <c r="R423" s="665">
        <v>0</v>
      </c>
      <c r="S423" s="665">
        <v>0</v>
      </c>
      <c r="T423" s="604" t="e">
        <v>#DIV/0!</v>
      </c>
      <c r="U423" s="603">
        <v>0</v>
      </c>
      <c r="V423" s="603">
        <v>0</v>
      </c>
      <c r="W423" s="603">
        <v>0</v>
      </c>
      <c r="X423" s="603">
        <v>0</v>
      </c>
      <c r="Y423" s="603">
        <v>0</v>
      </c>
      <c r="Z423" s="603">
        <v>0</v>
      </c>
    </row>
    <row r="424" spans="1:26" x14ac:dyDescent="0.2">
      <c r="A424" s="605" t="s">
        <v>644</v>
      </c>
      <c r="B424" s="665">
        <v>0</v>
      </c>
      <c r="C424" s="665">
        <v>0</v>
      </c>
      <c r="D424" s="665">
        <v>0</v>
      </c>
      <c r="E424" s="665">
        <v>0</v>
      </c>
      <c r="F424" s="665">
        <v>0</v>
      </c>
      <c r="G424" s="665">
        <v>0</v>
      </c>
      <c r="H424" s="665">
        <v>0</v>
      </c>
      <c r="I424" s="665">
        <v>0</v>
      </c>
      <c r="J424" s="665">
        <v>0</v>
      </c>
      <c r="K424" s="665">
        <v>0</v>
      </c>
      <c r="L424" s="665">
        <v>0</v>
      </c>
      <c r="M424" s="665">
        <v>0</v>
      </c>
      <c r="N424" s="665">
        <v>0</v>
      </c>
      <c r="O424" s="665">
        <v>0</v>
      </c>
      <c r="P424" s="665">
        <v>0</v>
      </c>
      <c r="Q424" s="665">
        <v>0</v>
      </c>
      <c r="R424" s="665">
        <v>0</v>
      </c>
      <c r="S424" s="665">
        <v>0</v>
      </c>
      <c r="T424" s="604" t="e">
        <v>#DIV/0!</v>
      </c>
      <c r="U424" s="603">
        <v>0</v>
      </c>
      <c r="V424" s="603">
        <v>0</v>
      </c>
      <c r="W424" s="603">
        <v>0</v>
      </c>
      <c r="X424" s="603">
        <v>0</v>
      </c>
      <c r="Y424" s="603">
        <v>0</v>
      </c>
      <c r="Z424" s="603">
        <v>0</v>
      </c>
    </row>
    <row r="425" spans="1:26" x14ac:dyDescent="0.2">
      <c r="A425" s="605" t="s">
        <v>645</v>
      </c>
      <c r="B425" s="665">
        <v>0</v>
      </c>
      <c r="C425" s="665">
        <v>0</v>
      </c>
      <c r="D425" s="665">
        <v>0</v>
      </c>
      <c r="E425" s="665">
        <v>0</v>
      </c>
      <c r="F425" s="665">
        <v>0</v>
      </c>
      <c r="G425" s="665">
        <v>0</v>
      </c>
      <c r="H425" s="665">
        <v>0</v>
      </c>
      <c r="I425" s="665">
        <v>0</v>
      </c>
      <c r="J425" s="665">
        <v>0</v>
      </c>
      <c r="K425" s="665">
        <v>0</v>
      </c>
      <c r="L425" s="665">
        <v>0</v>
      </c>
      <c r="M425" s="665">
        <v>0</v>
      </c>
      <c r="N425" s="665">
        <v>0</v>
      </c>
      <c r="O425" s="665">
        <v>0</v>
      </c>
      <c r="P425" s="665">
        <v>0</v>
      </c>
      <c r="Q425" s="665">
        <v>0</v>
      </c>
      <c r="R425" s="665">
        <v>0</v>
      </c>
      <c r="S425" s="665">
        <v>0</v>
      </c>
      <c r="T425" s="604" t="e">
        <v>#DIV/0!</v>
      </c>
      <c r="U425" s="603">
        <v>0</v>
      </c>
      <c r="V425" s="603">
        <v>0</v>
      </c>
      <c r="W425" s="603">
        <v>0</v>
      </c>
      <c r="X425" s="603">
        <v>0</v>
      </c>
      <c r="Y425" s="603">
        <v>0</v>
      </c>
      <c r="Z425" s="603">
        <v>0</v>
      </c>
    </row>
    <row r="426" spans="1:26" x14ac:dyDescent="0.2">
      <c r="A426" s="605" t="s">
        <v>646</v>
      </c>
      <c r="B426" s="665">
        <v>0</v>
      </c>
      <c r="C426" s="665">
        <v>0</v>
      </c>
      <c r="D426" s="665">
        <v>0</v>
      </c>
      <c r="E426" s="665">
        <v>0</v>
      </c>
      <c r="F426" s="665">
        <v>0</v>
      </c>
      <c r="G426" s="665">
        <v>0</v>
      </c>
      <c r="H426" s="665">
        <v>0</v>
      </c>
      <c r="I426" s="665">
        <v>0</v>
      </c>
      <c r="J426" s="665">
        <v>0</v>
      </c>
      <c r="K426" s="665">
        <v>0</v>
      </c>
      <c r="L426" s="665">
        <v>0</v>
      </c>
      <c r="M426" s="665">
        <v>0</v>
      </c>
      <c r="N426" s="665">
        <v>0</v>
      </c>
      <c r="O426" s="665">
        <v>0</v>
      </c>
      <c r="P426" s="665">
        <v>0</v>
      </c>
      <c r="Q426" s="665">
        <v>0</v>
      </c>
      <c r="R426" s="665">
        <v>0</v>
      </c>
      <c r="S426" s="665">
        <v>0</v>
      </c>
      <c r="T426" s="604" t="e">
        <v>#DIV/0!</v>
      </c>
      <c r="U426" s="603">
        <v>0</v>
      </c>
      <c r="V426" s="603">
        <v>0</v>
      </c>
      <c r="W426" s="603">
        <v>0</v>
      </c>
      <c r="X426" s="603">
        <v>0</v>
      </c>
      <c r="Y426" s="603">
        <v>0</v>
      </c>
      <c r="Z426" s="603">
        <v>0</v>
      </c>
    </row>
    <row r="427" spans="1:26" x14ac:dyDescent="0.2">
      <c r="A427" s="592" t="s">
        <v>647</v>
      </c>
      <c r="B427" s="683">
        <v>0</v>
      </c>
      <c r="C427" s="683">
        <v>800</v>
      </c>
      <c r="D427" s="683">
        <v>500</v>
      </c>
      <c r="E427" s="683">
        <v>0</v>
      </c>
      <c r="F427" s="683">
        <v>0</v>
      </c>
      <c r="G427" s="683">
        <v>0</v>
      </c>
      <c r="H427" s="683">
        <v>0</v>
      </c>
      <c r="I427" s="683">
        <v>0</v>
      </c>
      <c r="J427" s="683">
        <v>0</v>
      </c>
      <c r="K427" s="683">
        <v>0</v>
      </c>
      <c r="L427" s="683">
        <v>0</v>
      </c>
      <c r="M427" s="683">
        <v>0</v>
      </c>
      <c r="N427" s="683">
        <v>0</v>
      </c>
      <c r="O427" s="683">
        <v>0</v>
      </c>
      <c r="P427" s="683">
        <v>0</v>
      </c>
      <c r="Q427" s="683">
        <v>0</v>
      </c>
      <c r="R427" s="683">
        <v>0</v>
      </c>
      <c r="S427" s="683">
        <v>0</v>
      </c>
      <c r="T427" s="595">
        <v>0</v>
      </c>
      <c r="U427" s="594">
        <v>800</v>
      </c>
      <c r="V427" s="594">
        <v>300</v>
      </c>
      <c r="W427" s="594">
        <v>800</v>
      </c>
      <c r="X427" s="594">
        <v>500</v>
      </c>
      <c r="Y427" s="594">
        <v>0</v>
      </c>
      <c r="Z427" s="594">
        <v>0</v>
      </c>
    </row>
    <row r="428" spans="1:26" x14ac:dyDescent="0.2">
      <c r="A428" s="597" t="s">
        <v>648</v>
      </c>
      <c r="B428" s="655">
        <v>0</v>
      </c>
      <c r="C428" s="655">
        <v>800</v>
      </c>
      <c r="D428" s="655">
        <v>500</v>
      </c>
      <c r="E428" s="655">
        <v>0</v>
      </c>
      <c r="F428" s="655">
        <v>0</v>
      </c>
      <c r="G428" s="655">
        <v>0</v>
      </c>
      <c r="H428" s="655">
        <v>0</v>
      </c>
      <c r="I428" s="655">
        <v>0</v>
      </c>
      <c r="J428" s="655">
        <v>0</v>
      </c>
      <c r="K428" s="655">
        <v>0</v>
      </c>
      <c r="L428" s="655">
        <v>0</v>
      </c>
      <c r="M428" s="655">
        <v>0</v>
      </c>
      <c r="N428" s="655">
        <v>0</v>
      </c>
      <c r="O428" s="655">
        <v>0</v>
      </c>
      <c r="P428" s="655">
        <v>0</v>
      </c>
      <c r="Q428" s="655">
        <v>0</v>
      </c>
      <c r="R428" s="655">
        <v>0</v>
      </c>
      <c r="S428" s="655">
        <v>0</v>
      </c>
      <c r="T428" s="600">
        <v>0</v>
      </c>
      <c r="U428" s="599">
        <v>800</v>
      </c>
      <c r="V428" s="599">
        <v>300</v>
      </c>
      <c r="W428" s="599">
        <v>800</v>
      </c>
      <c r="X428" s="599">
        <v>500</v>
      </c>
      <c r="Y428" s="599">
        <v>0</v>
      </c>
      <c r="Z428" s="599">
        <v>0</v>
      </c>
    </row>
    <row r="429" spans="1:26" x14ac:dyDescent="0.2">
      <c r="A429" s="605" t="s">
        <v>649</v>
      </c>
      <c r="B429" s="665">
        <v>0</v>
      </c>
      <c r="C429" s="665">
        <v>0</v>
      </c>
      <c r="D429" s="665">
        <v>0</v>
      </c>
      <c r="E429" s="665">
        <v>0</v>
      </c>
      <c r="F429" s="665">
        <v>0</v>
      </c>
      <c r="G429" s="665">
        <v>0</v>
      </c>
      <c r="H429" s="665">
        <v>0</v>
      </c>
      <c r="I429" s="665">
        <v>0</v>
      </c>
      <c r="J429" s="665">
        <v>0</v>
      </c>
      <c r="K429" s="665">
        <v>0</v>
      </c>
      <c r="L429" s="665">
        <v>0</v>
      </c>
      <c r="M429" s="665">
        <v>0</v>
      </c>
      <c r="N429" s="665">
        <v>0</v>
      </c>
      <c r="O429" s="665">
        <v>0</v>
      </c>
      <c r="P429" s="665">
        <v>0</v>
      </c>
      <c r="Q429" s="665">
        <v>0</v>
      </c>
      <c r="R429" s="665">
        <v>0</v>
      </c>
      <c r="S429" s="665">
        <v>0</v>
      </c>
      <c r="T429" s="604" t="e">
        <v>#DIV/0!</v>
      </c>
      <c r="U429" s="603">
        <v>0</v>
      </c>
      <c r="V429" s="603">
        <v>0</v>
      </c>
      <c r="W429" s="603">
        <v>0</v>
      </c>
      <c r="X429" s="603">
        <v>0</v>
      </c>
      <c r="Y429" s="603">
        <v>0</v>
      </c>
      <c r="Z429" s="603">
        <v>0</v>
      </c>
    </row>
    <row r="430" spans="1:26" x14ac:dyDescent="0.2">
      <c r="A430" s="605" t="s">
        <v>650</v>
      </c>
      <c r="B430" s="665">
        <v>0</v>
      </c>
      <c r="C430" s="665">
        <v>0</v>
      </c>
      <c r="D430" s="665">
        <v>0</v>
      </c>
      <c r="E430" s="665">
        <v>0</v>
      </c>
      <c r="F430" s="665">
        <v>0</v>
      </c>
      <c r="G430" s="665">
        <v>0</v>
      </c>
      <c r="H430" s="665">
        <v>0</v>
      </c>
      <c r="I430" s="665">
        <v>0</v>
      </c>
      <c r="J430" s="665">
        <v>0</v>
      </c>
      <c r="K430" s="665">
        <v>0</v>
      </c>
      <c r="L430" s="665">
        <v>0</v>
      </c>
      <c r="M430" s="665">
        <v>0</v>
      </c>
      <c r="N430" s="665">
        <v>0</v>
      </c>
      <c r="O430" s="665">
        <v>0</v>
      </c>
      <c r="P430" s="665">
        <v>0</v>
      </c>
      <c r="Q430" s="665">
        <v>0</v>
      </c>
      <c r="R430" s="665">
        <v>0</v>
      </c>
      <c r="S430" s="665">
        <v>0</v>
      </c>
      <c r="T430" s="604" t="e">
        <v>#DIV/0!</v>
      </c>
      <c r="U430" s="603">
        <v>0</v>
      </c>
      <c r="V430" s="603">
        <v>0</v>
      </c>
      <c r="W430" s="603">
        <v>0</v>
      </c>
      <c r="X430" s="603">
        <v>0</v>
      </c>
      <c r="Y430" s="603">
        <v>0</v>
      </c>
      <c r="Z430" s="603">
        <v>0</v>
      </c>
    </row>
    <row r="431" spans="1:26" x14ac:dyDescent="0.2">
      <c r="A431" s="605" t="s">
        <v>651</v>
      </c>
      <c r="B431" s="665">
        <v>0</v>
      </c>
      <c r="C431" s="665">
        <v>500</v>
      </c>
      <c r="D431" s="665">
        <v>500</v>
      </c>
      <c r="E431" s="665">
        <v>0</v>
      </c>
      <c r="F431" s="665">
        <v>0</v>
      </c>
      <c r="G431" s="665">
        <v>0</v>
      </c>
      <c r="H431" s="665">
        <v>0</v>
      </c>
      <c r="I431" s="665">
        <v>0</v>
      </c>
      <c r="J431" s="665">
        <v>0</v>
      </c>
      <c r="K431" s="665">
        <v>0</v>
      </c>
      <c r="L431" s="665">
        <v>0</v>
      </c>
      <c r="M431" s="665">
        <v>0</v>
      </c>
      <c r="N431" s="665">
        <v>0</v>
      </c>
      <c r="O431" s="665">
        <v>0</v>
      </c>
      <c r="P431" s="665">
        <v>0</v>
      </c>
      <c r="Q431" s="665">
        <v>0</v>
      </c>
      <c r="R431" s="665">
        <v>0</v>
      </c>
      <c r="S431" s="665">
        <v>0</v>
      </c>
      <c r="T431" s="604">
        <v>0</v>
      </c>
      <c r="U431" s="603">
        <v>500</v>
      </c>
      <c r="V431" s="603">
        <v>0</v>
      </c>
      <c r="W431" s="603">
        <v>500</v>
      </c>
      <c r="X431" s="603">
        <v>500</v>
      </c>
      <c r="Y431" s="603">
        <v>0</v>
      </c>
      <c r="Z431" s="603">
        <v>0</v>
      </c>
    </row>
    <row r="432" spans="1:26" x14ac:dyDescent="0.2">
      <c r="A432" s="605" t="s">
        <v>652</v>
      </c>
      <c r="B432" s="665">
        <v>0</v>
      </c>
      <c r="C432" s="665">
        <v>0</v>
      </c>
      <c r="D432" s="665">
        <v>0</v>
      </c>
      <c r="E432" s="665">
        <v>0</v>
      </c>
      <c r="F432" s="665">
        <v>0</v>
      </c>
      <c r="G432" s="665">
        <v>0</v>
      </c>
      <c r="H432" s="665">
        <v>0</v>
      </c>
      <c r="I432" s="665">
        <v>0</v>
      </c>
      <c r="J432" s="665">
        <v>0</v>
      </c>
      <c r="K432" s="665">
        <v>0</v>
      </c>
      <c r="L432" s="665">
        <v>0</v>
      </c>
      <c r="M432" s="665">
        <v>0</v>
      </c>
      <c r="N432" s="665">
        <v>0</v>
      </c>
      <c r="O432" s="665">
        <v>0</v>
      </c>
      <c r="P432" s="665">
        <v>0</v>
      </c>
      <c r="Q432" s="665">
        <v>0</v>
      </c>
      <c r="R432" s="665">
        <v>0</v>
      </c>
      <c r="S432" s="665">
        <v>0</v>
      </c>
      <c r="T432" s="604" t="e">
        <v>#DIV/0!</v>
      </c>
      <c r="U432" s="603">
        <v>0</v>
      </c>
      <c r="V432" s="603">
        <v>0</v>
      </c>
      <c r="W432" s="603">
        <v>0</v>
      </c>
      <c r="X432" s="603">
        <v>0</v>
      </c>
      <c r="Y432" s="603">
        <v>0</v>
      </c>
      <c r="Z432" s="603">
        <v>0</v>
      </c>
    </row>
    <row r="433" spans="1:26" x14ac:dyDescent="0.2">
      <c r="A433" s="605" t="s">
        <v>653</v>
      </c>
      <c r="B433" s="665">
        <v>0</v>
      </c>
      <c r="C433" s="665">
        <v>0</v>
      </c>
      <c r="D433" s="665">
        <v>0</v>
      </c>
      <c r="E433" s="665">
        <v>0</v>
      </c>
      <c r="F433" s="665">
        <v>0</v>
      </c>
      <c r="G433" s="665">
        <v>0</v>
      </c>
      <c r="H433" s="665">
        <v>0</v>
      </c>
      <c r="I433" s="665">
        <v>0</v>
      </c>
      <c r="J433" s="665">
        <v>0</v>
      </c>
      <c r="K433" s="665">
        <v>0</v>
      </c>
      <c r="L433" s="665">
        <v>0</v>
      </c>
      <c r="M433" s="665">
        <v>0</v>
      </c>
      <c r="N433" s="665">
        <v>0</v>
      </c>
      <c r="O433" s="665">
        <v>0</v>
      </c>
      <c r="P433" s="665">
        <v>0</v>
      </c>
      <c r="Q433" s="665">
        <v>0</v>
      </c>
      <c r="R433" s="665">
        <v>0</v>
      </c>
      <c r="S433" s="665">
        <v>0</v>
      </c>
      <c r="T433" s="604" t="e">
        <v>#DIV/0!</v>
      </c>
      <c r="U433" s="603">
        <v>0</v>
      </c>
      <c r="V433" s="603">
        <v>0</v>
      </c>
      <c r="W433" s="603">
        <v>0</v>
      </c>
      <c r="X433" s="603">
        <v>0</v>
      </c>
      <c r="Y433" s="603">
        <v>0</v>
      </c>
      <c r="Z433" s="603">
        <v>0</v>
      </c>
    </row>
    <row r="434" spans="1:26" x14ac:dyDescent="0.2">
      <c r="A434" s="605" t="s">
        <v>654</v>
      </c>
      <c r="B434" s="665">
        <v>0</v>
      </c>
      <c r="C434" s="665">
        <v>0</v>
      </c>
      <c r="D434" s="665">
        <v>0</v>
      </c>
      <c r="E434" s="665">
        <v>0</v>
      </c>
      <c r="F434" s="665">
        <v>0</v>
      </c>
      <c r="G434" s="665">
        <v>0</v>
      </c>
      <c r="H434" s="665">
        <v>0</v>
      </c>
      <c r="I434" s="665">
        <v>0</v>
      </c>
      <c r="J434" s="665">
        <v>0</v>
      </c>
      <c r="K434" s="665">
        <v>0</v>
      </c>
      <c r="L434" s="665">
        <v>0</v>
      </c>
      <c r="M434" s="665">
        <v>0</v>
      </c>
      <c r="N434" s="665">
        <v>0</v>
      </c>
      <c r="O434" s="665">
        <v>0</v>
      </c>
      <c r="P434" s="665">
        <v>0</v>
      </c>
      <c r="Q434" s="665">
        <v>0</v>
      </c>
      <c r="R434" s="665">
        <v>0</v>
      </c>
      <c r="S434" s="665">
        <v>0</v>
      </c>
      <c r="T434" s="604" t="e">
        <v>#DIV/0!</v>
      </c>
      <c r="U434" s="603">
        <v>0</v>
      </c>
      <c r="V434" s="603">
        <v>0</v>
      </c>
      <c r="W434" s="603">
        <v>0</v>
      </c>
      <c r="X434" s="603">
        <v>0</v>
      </c>
      <c r="Y434" s="603">
        <v>0</v>
      </c>
      <c r="Z434" s="603">
        <v>0</v>
      </c>
    </row>
    <row r="435" spans="1:26" x14ac:dyDescent="0.2">
      <c r="A435" s="605" t="s">
        <v>655</v>
      </c>
      <c r="B435" s="665">
        <v>0</v>
      </c>
      <c r="C435" s="665">
        <v>0</v>
      </c>
      <c r="D435" s="665">
        <v>0</v>
      </c>
      <c r="E435" s="665">
        <v>0</v>
      </c>
      <c r="F435" s="665">
        <v>0</v>
      </c>
      <c r="G435" s="665">
        <v>0</v>
      </c>
      <c r="H435" s="665">
        <v>0</v>
      </c>
      <c r="I435" s="665">
        <v>0</v>
      </c>
      <c r="J435" s="665">
        <v>0</v>
      </c>
      <c r="K435" s="665">
        <v>0</v>
      </c>
      <c r="L435" s="665">
        <v>0</v>
      </c>
      <c r="M435" s="665">
        <v>0</v>
      </c>
      <c r="N435" s="665">
        <v>0</v>
      </c>
      <c r="O435" s="665">
        <v>0</v>
      </c>
      <c r="P435" s="665">
        <v>0</v>
      </c>
      <c r="Q435" s="665">
        <v>0</v>
      </c>
      <c r="R435" s="665">
        <v>0</v>
      </c>
      <c r="S435" s="665">
        <v>0</v>
      </c>
      <c r="T435" s="604" t="e">
        <v>#DIV/0!</v>
      </c>
      <c r="U435" s="603">
        <v>0</v>
      </c>
      <c r="V435" s="603">
        <v>0</v>
      </c>
      <c r="W435" s="603">
        <v>0</v>
      </c>
      <c r="X435" s="603">
        <v>0</v>
      </c>
      <c r="Y435" s="603">
        <v>0</v>
      </c>
      <c r="Z435" s="603">
        <v>0</v>
      </c>
    </row>
    <row r="436" spans="1:26" x14ac:dyDescent="0.2">
      <c r="A436" s="605" t="s">
        <v>656</v>
      </c>
      <c r="B436" s="665">
        <v>0</v>
      </c>
      <c r="C436" s="665">
        <v>0</v>
      </c>
      <c r="D436" s="665">
        <v>0</v>
      </c>
      <c r="E436" s="665">
        <v>0</v>
      </c>
      <c r="F436" s="665">
        <v>0</v>
      </c>
      <c r="G436" s="665">
        <v>0</v>
      </c>
      <c r="H436" s="665">
        <v>0</v>
      </c>
      <c r="I436" s="665">
        <v>0</v>
      </c>
      <c r="J436" s="665">
        <v>0</v>
      </c>
      <c r="K436" s="665">
        <v>0</v>
      </c>
      <c r="L436" s="665">
        <v>0</v>
      </c>
      <c r="M436" s="665">
        <v>0</v>
      </c>
      <c r="N436" s="665">
        <v>0</v>
      </c>
      <c r="O436" s="665">
        <v>0</v>
      </c>
      <c r="P436" s="665">
        <v>0</v>
      </c>
      <c r="Q436" s="665">
        <v>0</v>
      </c>
      <c r="R436" s="665">
        <v>0</v>
      </c>
      <c r="S436" s="665">
        <v>0</v>
      </c>
      <c r="T436" s="604" t="e">
        <v>#DIV/0!</v>
      </c>
      <c r="U436" s="603">
        <v>0</v>
      </c>
      <c r="V436" s="603">
        <v>0</v>
      </c>
      <c r="W436" s="603">
        <v>0</v>
      </c>
      <c r="X436" s="603">
        <v>0</v>
      </c>
      <c r="Y436" s="603">
        <v>0</v>
      </c>
      <c r="Z436" s="603">
        <v>0</v>
      </c>
    </row>
    <row r="437" spans="1:26" x14ac:dyDescent="0.2">
      <c r="A437" s="605" t="s">
        <v>657</v>
      </c>
      <c r="B437" s="665">
        <v>0</v>
      </c>
      <c r="C437" s="665">
        <v>0</v>
      </c>
      <c r="D437" s="665">
        <v>0</v>
      </c>
      <c r="E437" s="665">
        <v>0</v>
      </c>
      <c r="F437" s="665">
        <v>0</v>
      </c>
      <c r="G437" s="665">
        <v>0</v>
      </c>
      <c r="H437" s="665">
        <v>0</v>
      </c>
      <c r="I437" s="665">
        <v>0</v>
      </c>
      <c r="J437" s="665">
        <v>0</v>
      </c>
      <c r="K437" s="665">
        <v>0</v>
      </c>
      <c r="L437" s="665">
        <v>0</v>
      </c>
      <c r="M437" s="665">
        <v>0</v>
      </c>
      <c r="N437" s="665">
        <v>0</v>
      </c>
      <c r="O437" s="665">
        <v>0</v>
      </c>
      <c r="P437" s="665">
        <v>0</v>
      </c>
      <c r="Q437" s="665">
        <v>0</v>
      </c>
      <c r="R437" s="665">
        <v>0</v>
      </c>
      <c r="S437" s="665">
        <v>0</v>
      </c>
      <c r="T437" s="604" t="e">
        <v>#DIV/0!</v>
      </c>
      <c r="U437" s="603">
        <v>0</v>
      </c>
      <c r="V437" s="603">
        <v>0</v>
      </c>
      <c r="W437" s="603">
        <v>0</v>
      </c>
      <c r="X437" s="603">
        <v>0</v>
      </c>
      <c r="Y437" s="603">
        <v>0</v>
      </c>
      <c r="Z437" s="603">
        <v>0</v>
      </c>
    </row>
    <row r="438" spans="1:26" x14ac:dyDescent="0.2">
      <c r="A438" s="605" t="s">
        <v>658</v>
      </c>
      <c r="B438" s="665">
        <v>0</v>
      </c>
      <c r="C438" s="665">
        <v>0</v>
      </c>
      <c r="D438" s="665">
        <v>0</v>
      </c>
      <c r="E438" s="665">
        <v>0</v>
      </c>
      <c r="F438" s="665">
        <v>0</v>
      </c>
      <c r="G438" s="665">
        <v>0</v>
      </c>
      <c r="H438" s="665">
        <v>0</v>
      </c>
      <c r="I438" s="665">
        <v>0</v>
      </c>
      <c r="J438" s="665">
        <v>0</v>
      </c>
      <c r="K438" s="665">
        <v>0</v>
      </c>
      <c r="L438" s="665">
        <v>0</v>
      </c>
      <c r="M438" s="665">
        <v>0</v>
      </c>
      <c r="N438" s="665">
        <v>0</v>
      </c>
      <c r="O438" s="665">
        <v>0</v>
      </c>
      <c r="P438" s="665">
        <v>0</v>
      </c>
      <c r="Q438" s="665">
        <v>0</v>
      </c>
      <c r="R438" s="665">
        <v>0</v>
      </c>
      <c r="S438" s="665">
        <v>0</v>
      </c>
      <c r="T438" s="604" t="e">
        <v>#DIV/0!</v>
      </c>
      <c r="U438" s="603">
        <v>0</v>
      </c>
      <c r="V438" s="603">
        <v>0</v>
      </c>
      <c r="W438" s="603">
        <v>0</v>
      </c>
      <c r="X438" s="603">
        <v>0</v>
      </c>
      <c r="Y438" s="603">
        <v>0</v>
      </c>
      <c r="Z438" s="603">
        <v>0</v>
      </c>
    </row>
    <row r="439" spans="1:26" x14ac:dyDescent="0.2">
      <c r="A439" s="605" t="s">
        <v>659</v>
      </c>
      <c r="B439" s="665">
        <v>0</v>
      </c>
      <c r="C439" s="665">
        <v>0</v>
      </c>
      <c r="D439" s="665">
        <v>0</v>
      </c>
      <c r="E439" s="665">
        <v>0</v>
      </c>
      <c r="F439" s="665">
        <v>0</v>
      </c>
      <c r="G439" s="665">
        <v>0</v>
      </c>
      <c r="H439" s="665">
        <v>0</v>
      </c>
      <c r="I439" s="665">
        <v>0</v>
      </c>
      <c r="J439" s="665">
        <v>0</v>
      </c>
      <c r="K439" s="665">
        <v>0</v>
      </c>
      <c r="L439" s="665">
        <v>0</v>
      </c>
      <c r="M439" s="665">
        <v>0</v>
      </c>
      <c r="N439" s="665">
        <v>0</v>
      </c>
      <c r="O439" s="665">
        <v>0</v>
      </c>
      <c r="P439" s="665">
        <v>0</v>
      </c>
      <c r="Q439" s="665">
        <v>0</v>
      </c>
      <c r="R439" s="665">
        <v>0</v>
      </c>
      <c r="S439" s="665">
        <v>0</v>
      </c>
      <c r="T439" s="604" t="e">
        <v>#DIV/0!</v>
      </c>
      <c r="U439" s="603">
        <v>0</v>
      </c>
      <c r="V439" s="603">
        <v>0</v>
      </c>
      <c r="W439" s="603">
        <v>0</v>
      </c>
      <c r="X439" s="603">
        <v>0</v>
      </c>
      <c r="Y439" s="603">
        <v>0</v>
      </c>
      <c r="Z439" s="603">
        <v>0</v>
      </c>
    </row>
    <row r="440" spans="1:26" x14ac:dyDescent="0.2">
      <c r="A440" s="605" t="s">
        <v>660</v>
      </c>
      <c r="B440" s="665">
        <v>0</v>
      </c>
      <c r="C440" s="665">
        <v>300</v>
      </c>
      <c r="D440" s="665">
        <v>0</v>
      </c>
      <c r="E440" s="665">
        <v>0</v>
      </c>
      <c r="F440" s="665">
        <v>0</v>
      </c>
      <c r="G440" s="665">
        <v>0</v>
      </c>
      <c r="H440" s="665">
        <v>0</v>
      </c>
      <c r="I440" s="665">
        <v>0</v>
      </c>
      <c r="J440" s="665">
        <v>0</v>
      </c>
      <c r="K440" s="665">
        <v>0</v>
      </c>
      <c r="L440" s="665">
        <v>0</v>
      </c>
      <c r="M440" s="665">
        <v>0</v>
      </c>
      <c r="N440" s="665">
        <v>0</v>
      </c>
      <c r="O440" s="665">
        <v>0</v>
      </c>
      <c r="P440" s="665">
        <v>0</v>
      </c>
      <c r="Q440" s="665">
        <v>0</v>
      </c>
      <c r="R440" s="665">
        <v>0</v>
      </c>
      <c r="S440" s="665">
        <v>0</v>
      </c>
      <c r="T440" s="604">
        <v>0</v>
      </c>
      <c r="U440" s="603">
        <v>300</v>
      </c>
      <c r="V440" s="603">
        <v>300</v>
      </c>
      <c r="W440" s="603">
        <v>300</v>
      </c>
      <c r="X440" s="603">
        <v>0</v>
      </c>
      <c r="Y440" s="603">
        <v>0</v>
      </c>
      <c r="Z440" s="603">
        <v>0</v>
      </c>
    </row>
    <row r="441" spans="1:26" x14ac:dyDescent="0.2">
      <c r="A441" s="605" t="s">
        <v>661</v>
      </c>
      <c r="B441" s="665">
        <v>0</v>
      </c>
      <c r="C441" s="665">
        <v>0</v>
      </c>
      <c r="D441" s="665">
        <v>0</v>
      </c>
      <c r="E441" s="665">
        <v>0</v>
      </c>
      <c r="F441" s="665">
        <v>0</v>
      </c>
      <c r="G441" s="665">
        <v>0</v>
      </c>
      <c r="H441" s="665">
        <v>0</v>
      </c>
      <c r="I441" s="665">
        <v>0</v>
      </c>
      <c r="J441" s="665">
        <v>0</v>
      </c>
      <c r="K441" s="665">
        <v>0</v>
      </c>
      <c r="L441" s="665">
        <v>0</v>
      </c>
      <c r="M441" s="665">
        <v>0</v>
      </c>
      <c r="N441" s="665">
        <v>0</v>
      </c>
      <c r="O441" s="665">
        <v>0</v>
      </c>
      <c r="P441" s="665">
        <v>0</v>
      </c>
      <c r="Q441" s="665">
        <v>0</v>
      </c>
      <c r="R441" s="665">
        <v>0</v>
      </c>
      <c r="S441" s="665">
        <v>0</v>
      </c>
      <c r="T441" s="604" t="e">
        <v>#DIV/0!</v>
      </c>
      <c r="U441" s="603">
        <v>0</v>
      </c>
      <c r="V441" s="603">
        <v>0</v>
      </c>
      <c r="W441" s="603">
        <v>0</v>
      </c>
      <c r="X441" s="603">
        <v>0</v>
      </c>
      <c r="Y441" s="603">
        <v>0</v>
      </c>
      <c r="Z441" s="603">
        <v>0</v>
      </c>
    </row>
    <row r="442" spans="1:26" x14ac:dyDescent="0.2">
      <c r="A442" s="605" t="s">
        <v>662</v>
      </c>
      <c r="B442" s="665">
        <v>0</v>
      </c>
      <c r="C442" s="665">
        <v>0</v>
      </c>
      <c r="D442" s="665">
        <v>0</v>
      </c>
      <c r="E442" s="665">
        <v>0</v>
      </c>
      <c r="F442" s="665">
        <v>0</v>
      </c>
      <c r="G442" s="665">
        <v>0</v>
      </c>
      <c r="H442" s="665">
        <v>0</v>
      </c>
      <c r="I442" s="665">
        <v>0</v>
      </c>
      <c r="J442" s="665">
        <v>0</v>
      </c>
      <c r="K442" s="665">
        <v>0</v>
      </c>
      <c r="L442" s="665">
        <v>0</v>
      </c>
      <c r="M442" s="665">
        <v>0</v>
      </c>
      <c r="N442" s="665">
        <v>0</v>
      </c>
      <c r="O442" s="665">
        <v>0</v>
      </c>
      <c r="P442" s="665">
        <v>0</v>
      </c>
      <c r="Q442" s="665">
        <v>0</v>
      </c>
      <c r="R442" s="665">
        <v>0</v>
      </c>
      <c r="S442" s="665">
        <v>0</v>
      </c>
      <c r="T442" s="604" t="e">
        <v>#DIV/0!</v>
      </c>
      <c r="U442" s="603">
        <v>0</v>
      </c>
      <c r="V442" s="603">
        <v>0</v>
      </c>
      <c r="W442" s="603">
        <v>0</v>
      </c>
      <c r="X442" s="603">
        <v>0</v>
      </c>
      <c r="Y442" s="603">
        <v>0</v>
      </c>
      <c r="Z442" s="603">
        <v>0</v>
      </c>
    </row>
    <row r="443" spans="1:26" x14ac:dyDescent="0.2">
      <c r="A443" s="597" t="s">
        <v>663</v>
      </c>
      <c r="B443" s="685">
        <v>0</v>
      </c>
      <c r="C443" s="685">
        <v>0</v>
      </c>
      <c r="D443" s="685">
        <v>0</v>
      </c>
      <c r="E443" s="685">
        <v>0</v>
      </c>
      <c r="F443" s="685">
        <v>0</v>
      </c>
      <c r="G443" s="685">
        <v>0</v>
      </c>
      <c r="H443" s="685">
        <v>0</v>
      </c>
      <c r="I443" s="685">
        <v>0</v>
      </c>
      <c r="J443" s="685">
        <v>0</v>
      </c>
      <c r="K443" s="685">
        <v>0</v>
      </c>
      <c r="L443" s="685">
        <v>0</v>
      </c>
      <c r="M443" s="685">
        <v>0</v>
      </c>
      <c r="N443" s="685">
        <v>0</v>
      </c>
      <c r="O443" s="685">
        <v>0</v>
      </c>
      <c r="P443" s="685">
        <v>0</v>
      </c>
      <c r="Q443" s="685">
        <v>0</v>
      </c>
      <c r="R443" s="685">
        <v>0</v>
      </c>
      <c r="S443" s="685">
        <v>0</v>
      </c>
      <c r="T443" s="600" t="e">
        <v>#DIV/0!</v>
      </c>
      <c r="U443" s="599">
        <v>0</v>
      </c>
      <c r="V443" s="599">
        <v>0</v>
      </c>
      <c r="W443" s="599">
        <v>0</v>
      </c>
      <c r="X443" s="599">
        <v>0</v>
      </c>
      <c r="Y443" s="599">
        <v>0</v>
      </c>
      <c r="Z443" s="599">
        <v>0</v>
      </c>
    </row>
    <row r="444" spans="1:26" x14ac:dyDescent="0.2">
      <c r="A444" s="592" t="s">
        <v>664</v>
      </c>
      <c r="B444" s="683">
        <v>0</v>
      </c>
      <c r="C444" s="683">
        <v>0</v>
      </c>
      <c r="D444" s="683">
        <v>0</v>
      </c>
      <c r="E444" s="683">
        <v>0</v>
      </c>
      <c r="F444" s="683">
        <v>0</v>
      </c>
      <c r="G444" s="683">
        <v>0</v>
      </c>
      <c r="H444" s="683">
        <v>0</v>
      </c>
      <c r="I444" s="683">
        <v>0</v>
      </c>
      <c r="J444" s="683">
        <v>0</v>
      </c>
      <c r="K444" s="683">
        <v>0</v>
      </c>
      <c r="L444" s="683">
        <v>0</v>
      </c>
      <c r="M444" s="683">
        <v>0</v>
      </c>
      <c r="N444" s="683">
        <v>0</v>
      </c>
      <c r="O444" s="683">
        <v>0</v>
      </c>
      <c r="P444" s="683">
        <v>0</v>
      </c>
      <c r="Q444" s="683">
        <v>0</v>
      </c>
      <c r="R444" s="683">
        <v>0</v>
      </c>
      <c r="S444" s="683">
        <v>0</v>
      </c>
      <c r="T444" s="595" t="e">
        <v>#DIV/0!</v>
      </c>
      <c r="U444" s="594">
        <v>0</v>
      </c>
      <c r="V444" s="594">
        <v>0</v>
      </c>
      <c r="W444" s="594">
        <v>0</v>
      </c>
      <c r="X444" s="594">
        <v>0</v>
      </c>
      <c r="Y444" s="594">
        <v>0</v>
      </c>
      <c r="Z444" s="594">
        <v>0</v>
      </c>
    </row>
    <row r="445" spans="1:26" x14ac:dyDescent="0.2">
      <c r="A445" s="597" t="s">
        <v>665</v>
      </c>
      <c r="B445" s="655">
        <v>0</v>
      </c>
      <c r="C445" s="655">
        <v>0</v>
      </c>
      <c r="D445" s="655">
        <v>0</v>
      </c>
      <c r="E445" s="655">
        <v>0</v>
      </c>
      <c r="F445" s="655">
        <v>0</v>
      </c>
      <c r="G445" s="655">
        <v>0</v>
      </c>
      <c r="H445" s="655">
        <v>0</v>
      </c>
      <c r="I445" s="655">
        <v>0</v>
      </c>
      <c r="J445" s="655">
        <v>0</v>
      </c>
      <c r="K445" s="655">
        <v>0</v>
      </c>
      <c r="L445" s="655">
        <v>0</v>
      </c>
      <c r="M445" s="655">
        <v>0</v>
      </c>
      <c r="N445" s="655">
        <v>0</v>
      </c>
      <c r="O445" s="655">
        <v>0</v>
      </c>
      <c r="P445" s="655">
        <v>0</v>
      </c>
      <c r="Q445" s="655">
        <v>0</v>
      </c>
      <c r="R445" s="655">
        <v>0</v>
      </c>
      <c r="S445" s="655">
        <v>0</v>
      </c>
      <c r="T445" s="600" t="e">
        <v>#DIV/0!</v>
      </c>
      <c r="U445" s="599">
        <v>0</v>
      </c>
      <c r="V445" s="599">
        <v>0</v>
      </c>
      <c r="W445" s="599">
        <v>0</v>
      </c>
      <c r="X445" s="599">
        <v>0</v>
      </c>
      <c r="Y445" s="599">
        <v>0</v>
      </c>
      <c r="Z445" s="599">
        <v>0</v>
      </c>
    </row>
    <row r="446" spans="1:26" x14ac:dyDescent="0.2">
      <c r="A446" s="605" t="s">
        <v>666</v>
      </c>
      <c r="B446" s="665">
        <v>0</v>
      </c>
      <c r="C446" s="665">
        <v>0</v>
      </c>
      <c r="D446" s="665">
        <v>0</v>
      </c>
      <c r="E446" s="665">
        <v>0</v>
      </c>
      <c r="F446" s="665">
        <v>0</v>
      </c>
      <c r="G446" s="665">
        <v>0</v>
      </c>
      <c r="H446" s="665">
        <v>0</v>
      </c>
      <c r="I446" s="665">
        <v>0</v>
      </c>
      <c r="J446" s="665">
        <v>0</v>
      </c>
      <c r="K446" s="665">
        <v>0</v>
      </c>
      <c r="L446" s="665">
        <v>0</v>
      </c>
      <c r="M446" s="665">
        <v>0</v>
      </c>
      <c r="N446" s="665">
        <v>0</v>
      </c>
      <c r="O446" s="665">
        <v>0</v>
      </c>
      <c r="P446" s="665">
        <v>0</v>
      </c>
      <c r="Q446" s="665">
        <v>0</v>
      </c>
      <c r="R446" s="665">
        <v>0</v>
      </c>
      <c r="S446" s="665">
        <v>0</v>
      </c>
      <c r="T446" s="604" t="e">
        <v>#DIV/0!</v>
      </c>
      <c r="U446" s="603">
        <v>0</v>
      </c>
      <c r="V446" s="603">
        <v>0</v>
      </c>
      <c r="W446" s="603">
        <v>0</v>
      </c>
      <c r="X446" s="603">
        <v>0</v>
      </c>
      <c r="Y446" s="603">
        <v>0</v>
      </c>
      <c r="Z446" s="603">
        <v>0</v>
      </c>
    </row>
    <row r="447" spans="1:26" x14ac:dyDescent="0.2">
      <c r="A447" s="605" t="s">
        <v>667</v>
      </c>
      <c r="B447" s="665">
        <v>0</v>
      </c>
      <c r="C447" s="665">
        <v>0</v>
      </c>
      <c r="D447" s="665">
        <v>0</v>
      </c>
      <c r="E447" s="665">
        <v>0</v>
      </c>
      <c r="F447" s="665">
        <v>0</v>
      </c>
      <c r="G447" s="665">
        <v>0</v>
      </c>
      <c r="H447" s="665">
        <v>0</v>
      </c>
      <c r="I447" s="665">
        <v>0</v>
      </c>
      <c r="J447" s="665">
        <v>0</v>
      </c>
      <c r="K447" s="665">
        <v>0</v>
      </c>
      <c r="L447" s="665">
        <v>0</v>
      </c>
      <c r="M447" s="665">
        <v>0</v>
      </c>
      <c r="N447" s="665">
        <v>0</v>
      </c>
      <c r="O447" s="665">
        <v>0</v>
      </c>
      <c r="P447" s="665">
        <v>0</v>
      </c>
      <c r="Q447" s="665">
        <v>0</v>
      </c>
      <c r="R447" s="665">
        <v>0</v>
      </c>
      <c r="S447" s="665">
        <v>0</v>
      </c>
      <c r="T447" s="604" t="e">
        <v>#DIV/0!</v>
      </c>
      <c r="U447" s="603">
        <v>0</v>
      </c>
      <c r="V447" s="603">
        <v>0</v>
      </c>
      <c r="W447" s="603">
        <v>0</v>
      </c>
      <c r="X447" s="603">
        <v>0</v>
      </c>
      <c r="Y447" s="603">
        <v>0</v>
      </c>
      <c r="Z447" s="603">
        <v>0</v>
      </c>
    </row>
    <row r="448" spans="1:26" x14ac:dyDescent="0.2">
      <c r="A448" s="605" t="s">
        <v>668</v>
      </c>
      <c r="B448" s="665">
        <v>0</v>
      </c>
      <c r="C448" s="665">
        <v>0</v>
      </c>
      <c r="D448" s="665">
        <v>0</v>
      </c>
      <c r="E448" s="665">
        <v>0</v>
      </c>
      <c r="F448" s="665">
        <v>0</v>
      </c>
      <c r="G448" s="665">
        <v>0</v>
      </c>
      <c r="H448" s="665">
        <v>0</v>
      </c>
      <c r="I448" s="665">
        <v>0</v>
      </c>
      <c r="J448" s="665">
        <v>0</v>
      </c>
      <c r="K448" s="665">
        <v>0</v>
      </c>
      <c r="L448" s="665">
        <v>0</v>
      </c>
      <c r="M448" s="665">
        <v>0</v>
      </c>
      <c r="N448" s="665">
        <v>0</v>
      </c>
      <c r="O448" s="665">
        <v>0</v>
      </c>
      <c r="P448" s="665">
        <v>0</v>
      </c>
      <c r="Q448" s="665">
        <v>0</v>
      </c>
      <c r="R448" s="665">
        <v>0</v>
      </c>
      <c r="S448" s="665">
        <v>0</v>
      </c>
      <c r="T448" s="604" t="e">
        <v>#DIV/0!</v>
      </c>
      <c r="U448" s="603">
        <v>0</v>
      </c>
      <c r="V448" s="603">
        <v>0</v>
      </c>
      <c r="W448" s="603">
        <v>0</v>
      </c>
      <c r="X448" s="603">
        <v>0</v>
      </c>
      <c r="Y448" s="603">
        <v>0</v>
      </c>
      <c r="Z448" s="603">
        <v>0</v>
      </c>
    </row>
    <row r="449" spans="1:26" x14ac:dyDescent="0.2">
      <c r="A449" s="605" t="s">
        <v>669</v>
      </c>
      <c r="B449" s="665">
        <v>0</v>
      </c>
      <c r="C449" s="665">
        <v>0</v>
      </c>
      <c r="D449" s="665">
        <v>0</v>
      </c>
      <c r="E449" s="665">
        <v>0</v>
      </c>
      <c r="F449" s="665">
        <v>0</v>
      </c>
      <c r="G449" s="665">
        <v>0</v>
      </c>
      <c r="H449" s="665">
        <v>0</v>
      </c>
      <c r="I449" s="665">
        <v>0</v>
      </c>
      <c r="J449" s="665">
        <v>0</v>
      </c>
      <c r="K449" s="665">
        <v>0</v>
      </c>
      <c r="L449" s="665">
        <v>0</v>
      </c>
      <c r="M449" s="665">
        <v>0</v>
      </c>
      <c r="N449" s="665">
        <v>0</v>
      </c>
      <c r="O449" s="665">
        <v>0</v>
      </c>
      <c r="P449" s="665">
        <v>0</v>
      </c>
      <c r="Q449" s="665">
        <v>0</v>
      </c>
      <c r="R449" s="665">
        <v>0</v>
      </c>
      <c r="S449" s="665">
        <v>0</v>
      </c>
      <c r="T449" s="604" t="e">
        <v>#DIV/0!</v>
      </c>
      <c r="U449" s="603">
        <v>0</v>
      </c>
      <c r="V449" s="603">
        <v>0</v>
      </c>
      <c r="W449" s="603">
        <v>0</v>
      </c>
      <c r="X449" s="603">
        <v>0</v>
      </c>
      <c r="Y449" s="603">
        <v>0</v>
      </c>
      <c r="Z449" s="603">
        <v>0</v>
      </c>
    </row>
    <row r="450" spans="1:26" x14ac:dyDescent="0.2">
      <c r="A450" s="605" t="s">
        <v>670</v>
      </c>
      <c r="B450" s="665">
        <v>0</v>
      </c>
      <c r="C450" s="665">
        <v>0</v>
      </c>
      <c r="D450" s="665">
        <v>0</v>
      </c>
      <c r="E450" s="665">
        <v>0</v>
      </c>
      <c r="F450" s="665">
        <v>0</v>
      </c>
      <c r="G450" s="665">
        <v>0</v>
      </c>
      <c r="H450" s="665">
        <v>0</v>
      </c>
      <c r="I450" s="665">
        <v>0</v>
      </c>
      <c r="J450" s="665">
        <v>0</v>
      </c>
      <c r="K450" s="665">
        <v>0</v>
      </c>
      <c r="L450" s="665">
        <v>0</v>
      </c>
      <c r="M450" s="665">
        <v>0</v>
      </c>
      <c r="N450" s="665">
        <v>0</v>
      </c>
      <c r="O450" s="665">
        <v>0</v>
      </c>
      <c r="P450" s="665">
        <v>0</v>
      </c>
      <c r="Q450" s="665">
        <v>0</v>
      </c>
      <c r="R450" s="665">
        <v>0</v>
      </c>
      <c r="S450" s="665">
        <v>0</v>
      </c>
      <c r="T450" s="604" t="e">
        <v>#DIV/0!</v>
      </c>
      <c r="U450" s="603">
        <v>0</v>
      </c>
      <c r="V450" s="603">
        <v>0</v>
      </c>
      <c r="W450" s="603">
        <v>0</v>
      </c>
      <c r="X450" s="603">
        <v>0</v>
      </c>
      <c r="Y450" s="603">
        <v>0</v>
      </c>
      <c r="Z450" s="603">
        <v>0</v>
      </c>
    </row>
    <row r="451" spans="1:26" x14ac:dyDescent="0.2">
      <c r="A451" s="605" t="s">
        <v>671</v>
      </c>
      <c r="B451" s="665">
        <v>0</v>
      </c>
      <c r="C451" s="665">
        <v>0</v>
      </c>
      <c r="D451" s="665">
        <v>0</v>
      </c>
      <c r="E451" s="665">
        <v>0</v>
      </c>
      <c r="F451" s="665">
        <v>0</v>
      </c>
      <c r="G451" s="665">
        <v>0</v>
      </c>
      <c r="H451" s="665">
        <v>0</v>
      </c>
      <c r="I451" s="665">
        <v>0</v>
      </c>
      <c r="J451" s="665">
        <v>0</v>
      </c>
      <c r="K451" s="665">
        <v>0</v>
      </c>
      <c r="L451" s="665">
        <v>0</v>
      </c>
      <c r="M451" s="665">
        <v>0</v>
      </c>
      <c r="N451" s="665">
        <v>0</v>
      </c>
      <c r="O451" s="665">
        <v>0</v>
      </c>
      <c r="P451" s="665">
        <v>0</v>
      </c>
      <c r="Q451" s="665">
        <v>0</v>
      </c>
      <c r="R451" s="665">
        <v>0</v>
      </c>
      <c r="S451" s="665">
        <v>0</v>
      </c>
      <c r="T451" s="604" t="e">
        <v>#DIV/0!</v>
      </c>
      <c r="U451" s="603">
        <v>0</v>
      </c>
      <c r="V451" s="603">
        <v>0</v>
      </c>
      <c r="W451" s="603">
        <v>0</v>
      </c>
      <c r="X451" s="603">
        <v>0</v>
      </c>
      <c r="Y451" s="603">
        <v>0</v>
      </c>
      <c r="Z451" s="603">
        <v>0</v>
      </c>
    </row>
    <row r="452" spans="1:26" x14ac:dyDescent="0.2">
      <c r="A452" s="605" t="s">
        <v>672</v>
      </c>
      <c r="B452" s="665">
        <v>0</v>
      </c>
      <c r="C452" s="665">
        <v>0</v>
      </c>
      <c r="D452" s="665">
        <v>0</v>
      </c>
      <c r="E452" s="665">
        <v>0</v>
      </c>
      <c r="F452" s="665">
        <v>0</v>
      </c>
      <c r="G452" s="665">
        <v>0</v>
      </c>
      <c r="H452" s="665">
        <v>0</v>
      </c>
      <c r="I452" s="665">
        <v>0</v>
      </c>
      <c r="J452" s="665">
        <v>0</v>
      </c>
      <c r="K452" s="665">
        <v>0</v>
      </c>
      <c r="L452" s="665">
        <v>0</v>
      </c>
      <c r="M452" s="665">
        <v>0</v>
      </c>
      <c r="N452" s="665">
        <v>0</v>
      </c>
      <c r="O452" s="665">
        <v>0</v>
      </c>
      <c r="P452" s="665">
        <v>0</v>
      </c>
      <c r="Q452" s="665">
        <v>0</v>
      </c>
      <c r="R452" s="665">
        <v>0</v>
      </c>
      <c r="S452" s="665">
        <v>0</v>
      </c>
      <c r="T452" s="604" t="e">
        <v>#DIV/0!</v>
      </c>
      <c r="U452" s="603">
        <v>0</v>
      </c>
      <c r="V452" s="603">
        <v>0</v>
      </c>
      <c r="W452" s="603">
        <v>0</v>
      </c>
      <c r="X452" s="603">
        <v>0</v>
      </c>
      <c r="Y452" s="603">
        <v>0</v>
      </c>
      <c r="Z452" s="603">
        <v>0</v>
      </c>
    </row>
    <row r="453" spans="1:26" x14ac:dyDescent="0.2">
      <c r="A453" s="605" t="s">
        <v>673</v>
      </c>
      <c r="B453" s="665">
        <v>0</v>
      </c>
      <c r="C453" s="665">
        <v>0</v>
      </c>
      <c r="D453" s="665">
        <v>0</v>
      </c>
      <c r="E453" s="665">
        <v>0</v>
      </c>
      <c r="F453" s="665">
        <v>0</v>
      </c>
      <c r="G453" s="665">
        <v>0</v>
      </c>
      <c r="H453" s="665">
        <v>0</v>
      </c>
      <c r="I453" s="665">
        <v>0</v>
      </c>
      <c r="J453" s="665">
        <v>0</v>
      </c>
      <c r="K453" s="665">
        <v>0</v>
      </c>
      <c r="L453" s="665">
        <v>0</v>
      </c>
      <c r="M453" s="665">
        <v>0</v>
      </c>
      <c r="N453" s="665">
        <v>0</v>
      </c>
      <c r="O453" s="665">
        <v>0</v>
      </c>
      <c r="P453" s="665">
        <v>0</v>
      </c>
      <c r="Q453" s="665">
        <v>0</v>
      </c>
      <c r="R453" s="665">
        <v>0</v>
      </c>
      <c r="S453" s="665">
        <v>0</v>
      </c>
      <c r="T453" s="604" t="e">
        <v>#DIV/0!</v>
      </c>
      <c r="U453" s="603">
        <v>0</v>
      </c>
      <c r="V453" s="603">
        <v>0</v>
      </c>
      <c r="W453" s="603">
        <v>0</v>
      </c>
      <c r="X453" s="603">
        <v>0</v>
      </c>
      <c r="Y453" s="603">
        <v>0</v>
      </c>
      <c r="Z453" s="603">
        <v>0</v>
      </c>
    </row>
    <row r="454" spans="1:26" x14ac:dyDescent="0.2">
      <c r="A454" s="605" t="s">
        <v>674</v>
      </c>
      <c r="B454" s="665">
        <v>0</v>
      </c>
      <c r="C454" s="665">
        <v>0</v>
      </c>
      <c r="D454" s="665">
        <v>0</v>
      </c>
      <c r="E454" s="665">
        <v>0</v>
      </c>
      <c r="F454" s="665">
        <v>0</v>
      </c>
      <c r="G454" s="665">
        <v>0</v>
      </c>
      <c r="H454" s="665">
        <v>0</v>
      </c>
      <c r="I454" s="665">
        <v>0</v>
      </c>
      <c r="J454" s="665">
        <v>0</v>
      </c>
      <c r="K454" s="665">
        <v>0</v>
      </c>
      <c r="L454" s="665">
        <v>0</v>
      </c>
      <c r="M454" s="665">
        <v>0</v>
      </c>
      <c r="N454" s="665">
        <v>0</v>
      </c>
      <c r="O454" s="665">
        <v>0</v>
      </c>
      <c r="P454" s="665">
        <v>0</v>
      </c>
      <c r="Q454" s="665">
        <v>0</v>
      </c>
      <c r="R454" s="665">
        <v>0</v>
      </c>
      <c r="S454" s="665">
        <v>0</v>
      </c>
      <c r="T454" s="604" t="e">
        <v>#DIV/0!</v>
      </c>
      <c r="U454" s="603">
        <v>0</v>
      </c>
      <c r="V454" s="603">
        <v>0</v>
      </c>
      <c r="W454" s="603">
        <v>0</v>
      </c>
      <c r="X454" s="603">
        <v>0</v>
      </c>
      <c r="Y454" s="603">
        <v>0</v>
      </c>
      <c r="Z454" s="603">
        <v>0</v>
      </c>
    </row>
    <row r="455" spans="1:26" x14ac:dyDescent="0.2">
      <c r="A455" s="605" t="s">
        <v>675</v>
      </c>
      <c r="B455" s="665">
        <v>0</v>
      </c>
      <c r="C455" s="665">
        <v>0</v>
      </c>
      <c r="D455" s="665">
        <v>0</v>
      </c>
      <c r="E455" s="665">
        <v>0</v>
      </c>
      <c r="F455" s="665">
        <v>0</v>
      </c>
      <c r="G455" s="665">
        <v>0</v>
      </c>
      <c r="H455" s="665">
        <v>0</v>
      </c>
      <c r="I455" s="665">
        <v>0</v>
      </c>
      <c r="J455" s="665">
        <v>0</v>
      </c>
      <c r="K455" s="665">
        <v>0</v>
      </c>
      <c r="L455" s="665">
        <v>0</v>
      </c>
      <c r="M455" s="665">
        <v>0</v>
      </c>
      <c r="N455" s="665">
        <v>0</v>
      </c>
      <c r="O455" s="665">
        <v>0</v>
      </c>
      <c r="P455" s="665">
        <v>0</v>
      </c>
      <c r="Q455" s="665">
        <v>0</v>
      </c>
      <c r="R455" s="665">
        <v>0</v>
      </c>
      <c r="S455" s="665">
        <v>0</v>
      </c>
      <c r="T455" s="604" t="e">
        <v>#DIV/0!</v>
      </c>
      <c r="U455" s="603">
        <v>0</v>
      </c>
      <c r="V455" s="603">
        <v>0</v>
      </c>
      <c r="W455" s="603">
        <v>0</v>
      </c>
      <c r="X455" s="603">
        <v>0</v>
      </c>
      <c r="Y455" s="603">
        <v>0</v>
      </c>
      <c r="Z455" s="603">
        <v>0</v>
      </c>
    </row>
    <row r="456" spans="1:26" x14ac:dyDescent="0.2">
      <c r="A456" s="605" t="s">
        <v>676</v>
      </c>
      <c r="B456" s="665">
        <v>0</v>
      </c>
      <c r="C456" s="665">
        <v>0</v>
      </c>
      <c r="D456" s="665">
        <v>0</v>
      </c>
      <c r="E456" s="665">
        <v>0</v>
      </c>
      <c r="F456" s="665">
        <v>0</v>
      </c>
      <c r="G456" s="665">
        <v>0</v>
      </c>
      <c r="H456" s="665">
        <v>0</v>
      </c>
      <c r="I456" s="665">
        <v>0</v>
      </c>
      <c r="J456" s="665">
        <v>0</v>
      </c>
      <c r="K456" s="665">
        <v>0</v>
      </c>
      <c r="L456" s="665">
        <v>0</v>
      </c>
      <c r="M456" s="665">
        <v>0</v>
      </c>
      <c r="N456" s="665">
        <v>0</v>
      </c>
      <c r="O456" s="665">
        <v>0</v>
      </c>
      <c r="P456" s="665">
        <v>0</v>
      </c>
      <c r="Q456" s="665">
        <v>0</v>
      </c>
      <c r="R456" s="665">
        <v>0</v>
      </c>
      <c r="S456" s="665">
        <v>0</v>
      </c>
      <c r="T456" s="604" t="e">
        <v>#DIV/0!</v>
      </c>
      <c r="U456" s="603">
        <v>0</v>
      </c>
      <c r="V456" s="603">
        <v>0</v>
      </c>
      <c r="W456" s="603">
        <v>0</v>
      </c>
      <c r="X456" s="603">
        <v>0</v>
      </c>
      <c r="Y456" s="603">
        <v>0</v>
      </c>
      <c r="Z456" s="603">
        <v>0</v>
      </c>
    </row>
    <row r="457" spans="1:26" x14ac:dyDescent="0.2">
      <c r="A457" s="605" t="s">
        <v>677</v>
      </c>
      <c r="B457" s="665">
        <v>0</v>
      </c>
      <c r="C457" s="665">
        <v>0</v>
      </c>
      <c r="D457" s="665">
        <v>0</v>
      </c>
      <c r="E457" s="665">
        <v>0</v>
      </c>
      <c r="F457" s="665">
        <v>0</v>
      </c>
      <c r="G457" s="665">
        <v>0</v>
      </c>
      <c r="H457" s="665">
        <v>0</v>
      </c>
      <c r="I457" s="665">
        <v>0</v>
      </c>
      <c r="J457" s="665">
        <v>0</v>
      </c>
      <c r="K457" s="665">
        <v>0</v>
      </c>
      <c r="L457" s="665">
        <v>0</v>
      </c>
      <c r="M457" s="665">
        <v>0</v>
      </c>
      <c r="N457" s="665">
        <v>0</v>
      </c>
      <c r="O457" s="665">
        <v>0</v>
      </c>
      <c r="P457" s="665">
        <v>0</v>
      </c>
      <c r="Q457" s="665">
        <v>0</v>
      </c>
      <c r="R457" s="665">
        <v>0</v>
      </c>
      <c r="S457" s="665">
        <v>0</v>
      </c>
      <c r="T457" s="604" t="e">
        <v>#DIV/0!</v>
      </c>
      <c r="U457" s="603">
        <v>0</v>
      </c>
      <c r="V457" s="603">
        <v>0</v>
      </c>
      <c r="W457" s="603">
        <v>0</v>
      </c>
      <c r="X457" s="603">
        <v>0</v>
      </c>
      <c r="Y457" s="603">
        <v>0</v>
      </c>
      <c r="Z457" s="603">
        <v>0</v>
      </c>
    </row>
    <row r="458" spans="1:26" x14ac:dyDescent="0.2">
      <c r="A458" s="605" t="s">
        <v>678</v>
      </c>
      <c r="B458" s="665">
        <v>0</v>
      </c>
      <c r="C458" s="665">
        <v>0</v>
      </c>
      <c r="D458" s="665">
        <v>0</v>
      </c>
      <c r="E458" s="665">
        <v>0</v>
      </c>
      <c r="F458" s="665">
        <v>0</v>
      </c>
      <c r="G458" s="665">
        <v>0</v>
      </c>
      <c r="H458" s="665">
        <v>0</v>
      </c>
      <c r="I458" s="665">
        <v>0</v>
      </c>
      <c r="J458" s="665">
        <v>0</v>
      </c>
      <c r="K458" s="665">
        <v>0</v>
      </c>
      <c r="L458" s="665">
        <v>0</v>
      </c>
      <c r="M458" s="665">
        <v>0</v>
      </c>
      <c r="N458" s="665">
        <v>0</v>
      </c>
      <c r="O458" s="665">
        <v>0</v>
      </c>
      <c r="P458" s="665">
        <v>0</v>
      </c>
      <c r="Q458" s="665">
        <v>0</v>
      </c>
      <c r="R458" s="665">
        <v>0</v>
      </c>
      <c r="S458" s="665">
        <v>0</v>
      </c>
      <c r="T458" s="604" t="e">
        <v>#DIV/0!</v>
      </c>
      <c r="U458" s="603">
        <v>0</v>
      </c>
      <c r="V458" s="603">
        <v>0</v>
      </c>
      <c r="W458" s="603">
        <v>0</v>
      </c>
      <c r="X458" s="603">
        <v>0</v>
      </c>
      <c r="Y458" s="603">
        <v>0</v>
      </c>
      <c r="Z458" s="603">
        <v>0</v>
      </c>
    </row>
    <row r="459" spans="1:26" x14ac:dyDescent="0.2">
      <c r="A459" s="605" t="s">
        <v>679</v>
      </c>
      <c r="B459" s="665">
        <v>0</v>
      </c>
      <c r="C459" s="665">
        <v>0</v>
      </c>
      <c r="D459" s="665">
        <v>0</v>
      </c>
      <c r="E459" s="665">
        <v>0</v>
      </c>
      <c r="F459" s="665">
        <v>0</v>
      </c>
      <c r="G459" s="665">
        <v>0</v>
      </c>
      <c r="H459" s="665">
        <v>0</v>
      </c>
      <c r="I459" s="665">
        <v>0</v>
      </c>
      <c r="J459" s="665">
        <v>0</v>
      </c>
      <c r="K459" s="665">
        <v>0</v>
      </c>
      <c r="L459" s="665">
        <v>0</v>
      </c>
      <c r="M459" s="665">
        <v>0</v>
      </c>
      <c r="N459" s="665">
        <v>0</v>
      </c>
      <c r="O459" s="665">
        <v>0</v>
      </c>
      <c r="P459" s="665">
        <v>0</v>
      </c>
      <c r="Q459" s="665">
        <v>0</v>
      </c>
      <c r="R459" s="665">
        <v>0</v>
      </c>
      <c r="S459" s="665">
        <v>0</v>
      </c>
      <c r="T459" s="604" t="e">
        <v>#DIV/0!</v>
      </c>
      <c r="U459" s="603">
        <v>0</v>
      </c>
      <c r="V459" s="603">
        <v>0</v>
      </c>
      <c r="W459" s="603">
        <v>0</v>
      </c>
      <c r="X459" s="603">
        <v>0</v>
      </c>
      <c r="Y459" s="603">
        <v>0</v>
      </c>
      <c r="Z459" s="603">
        <v>0</v>
      </c>
    </row>
    <row r="460" spans="1:26" x14ac:dyDescent="0.2">
      <c r="A460" s="605" t="s">
        <v>680</v>
      </c>
      <c r="B460" s="665">
        <v>0</v>
      </c>
      <c r="C460" s="665">
        <v>0</v>
      </c>
      <c r="D460" s="665">
        <v>0</v>
      </c>
      <c r="E460" s="665">
        <v>0</v>
      </c>
      <c r="F460" s="665">
        <v>0</v>
      </c>
      <c r="G460" s="665">
        <v>0</v>
      </c>
      <c r="H460" s="665">
        <v>0</v>
      </c>
      <c r="I460" s="665">
        <v>0</v>
      </c>
      <c r="J460" s="665">
        <v>0</v>
      </c>
      <c r="K460" s="665">
        <v>0</v>
      </c>
      <c r="L460" s="665">
        <v>0</v>
      </c>
      <c r="M460" s="665">
        <v>0</v>
      </c>
      <c r="N460" s="665">
        <v>0</v>
      </c>
      <c r="O460" s="665">
        <v>0</v>
      </c>
      <c r="P460" s="665">
        <v>0</v>
      </c>
      <c r="Q460" s="665">
        <v>0</v>
      </c>
      <c r="R460" s="665">
        <v>0</v>
      </c>
      <c r="S460" s="665">
        <v>0</v>
      </c>
      <c r="T460" s="604" t="e">
        <v>#DIV/0!</v>
      </c>
      <c r="U460" s="603">
        <v>0</v>
      </c>
      <c r="V460" s="603">
        <v>0</v>
      </c>
      <c r="W460" s="603">
        <v>0</v>
      </c>
      <c r="X460" s="603">
        <v>0</v>
      </c>
      <c r="Y460" s="603">
        <v>0</v>
      </c>
      <c r="Z460" s="603">
        <v>0</v>
      </c>
    </row>
    <row r="461" spans="1:26" x14ac:dyDescent="0.2">
      <c r="A461" s="605" t="s">
        <v>681</v>
      </c>
      <c r="B461" s="665">
        <v>0</v>
      </c>
      <c r="C461" s="665">
        <v>0</v>
      </c>
      <c r="D461" s="665">
        <v>0</v>
      </c>
      <c r="E461" s="665">
        <v>0</v>
      </c>
      <c r="F461" s="665">
        <v>0</v>
      </c>
      <c r="G461" s="665">
        <v>0</v>
      </c>
      <c r="H461" s="665">
        <v>0</v>
      </c>
      <c r="I461" s="665">
        <v>0</v>
      </c>
      <c r="J461" s="665">
        <v>0</v>
      </c>
      <c r="K461" s="665">
        <v>0</v>
      </c>
      <c r="L461" s="665">
        <v>0</v>
      </c>
      <c r="M461" s="665">
        <v>0</v>
      </c>
      <c r="N461" s="665">
        <v>0</v>
      </c>
      <c r="O461" s="665">
        <v>0</v>
      </c>
      <c r="P461" s="665">
        <v>0</v>
      </c>
      <c r="Q461" s="665">
        <v>0</v>
      </c>
      <c r="R461" s="665">
        <v>0</v>
      </c>
      <c r="S461" s="665">
        <v>0</v>
      </c>
      <c r="T461" s="604" t="e">
        <v>#DIV/0!</v>
      </c>
      <c r="U461" s="603">
        <v>0</v>
      </c>
      <c r="V461" s="603">
        <v>0</v>
      </c>
      <c r="W461" s="603">
        <v>0</v>
      </c>
      <c r="X461" s="603">
        <v>0</v>
      </c>
      <c r="Y461" s="603">
        <v>0</v>
      </c>
      <c r="Z461" s="603">
        <v>0</v>
      </c>
    </row>
    <row r="462" spans="1:26" x14ac:dyDescent="0.2">
      <c r="A462" s="605" t="s">
        <v>682</v>
      </c>
      <c r="B462" s="665">
        <v>0</v>
      </c>
      <c r="C462" s="665">
        <v>0</v>
      </c>
      <c r="D462" s="665">
        <v>0</v>
      </c>
      <c r="E462" s="665">
        <v>0</v>
      </c>
      <c r="F462" s="665">
        <v>0</v>
      </c>
      <c r="G462" s="665">
        <v>0</v>
      </c>
      <c r="H462" s="665">
        <v>0</v>
      </c>
      <c r="I462" s="665">
        <v>0</v>
      </c>
      <c r="J462" s="665">
        <v>0</v>
      </c>
      <c r="K462" s="665">
        <v>0</v>
      </c>
      <c r="L462" s="665">
        <v>0</v>
      </c>
      <c r="M462" s="665">
        <v>0</v>
      </c>
      <c r="N462" s="665">
        <v>0</v>
      </c>
      <c r="O462" s="665">
        <v>0</v>
      </c>
      <c r="P462" s="665">
        <v>0</v>
      </c>
      <c r="Q462" s="665">
        <v>0</v>
      </c>
      <c r="R462" s="665">
        <v>0</v>
      </c>
      <c r="S462" s="665">
        <v>0</v>
      </c>
      <c r="T462" s="604" t="e">
        <v>#DIV/0!</v>
      </c>
      <c r="U462" s="603">
        <v>0</v>
      </c>
      <c r="V462" s="603">
        <v>0</v>
      </c>
      <c r="W462" s="603">
        <v>0</v>
      </c>
      <c r="X462" s="603">
        <v>0</v>
      </c>
      <c r="Y462" s="603">
        <v>0</v>
      </c>
      <c r="Z462" s="603">
        <v>0</v>
      </c>
    </row>
    <row r="463" spans="1:26" x14ac:dyDescent="0.2">
      <c r="A463" s="605" t="s">
        <v>683</v>
      </c>
      <c r="B463" s="665">
        <v>0</v>
      </c>
      <c r="C463" s="665">
        <v>0</v>
      </c>
      <c r="D463" s="665">
        <v>0</v>
      </c>
      <c r="E463" s="665">
        <v>0</v>
      </c>
      <c r="F463" s="665">
        <v>0</v>
      </c>
      <c r="G463" s="665">
        <v>0</v>
      </c>
      <c r="H463" s="665">
        <v>0</v>
      </c>
      <c r="I463" s="665">
        <v>0</v>
      </c>
      <c r="J463" s="665">
        <v>0</v>
      </c>
      <c r="K463" s="665">
        <v>0</v>
      </c>
      <c r="L463" s="665">
        <v>0</v>
      </c>
      <c r="M463" s="665">
        <v>0</v>
      </c>
      <c r="N463" s="665">
        <v>0</v>
      </c>
      <c r="O463" s="665">
        <v>0</v>
      </c>
      <c r="P463" s="665">
        <v>0</v>
      </c>
      <c r="Q463" s="665">
        <v>0</v>
      </c>
      <c r="R463" s="665">
        <v>0</v>
      </c>
      <c r="S463" s="665">
        <v>0</v>
      </c>
      <c r="T463" s="604" t="e">
        <v>#DIV/0!</v>
      </c>
      <c r="U463" s="603">
        <v>0</v>
      </c>
      <c r="V463" s="603">
        <v>0</v>
      </c>
      <c r="W463" s="603">
        <v>0</v>
      </c>
      <c r="X463" s="603">
        <v>0</v>
      </c>
      <c r="Y463" s="603">
        <v>0</v>
      </c>
      <c r="Z463" s="603">
        <v>0</v>
      </c>
    </row>
    <row r="464" spans="1:26" x14ac:dyDescent="0.2">
      <c r="A464" s="609" t="s">
        <v>684</v>
      </c>
      <c r="B464" s="669">
        <v>0</v>
      </c>
      <c r="C464" s="669">
        <v>0</v>
      </c>
      <c r="D464" s="669">
        <v>0</v>
      </c>
      <c r="E464" s="669">
        <v>0</v>
      </c>
      <c r="F464" s="669">
        <v>0</v>
      </c>
      <c r="G464" s="669">
        <v>0</v>
      </c>
      <c r="H464" s="669">
        <v>0</v>
      </c>
      <c r="I464" s="669">
        <v>0</v>
      </c>
      <c r="J464" s="669">
        <v>0</v>
      </c>
      <c r="K464" s="669">
        <v>0</v>
      </c>
      <c r="L464" s="669">
        <v>0</v>
      </c>
      <c r="M464" s="669">
        <v>0</v>
      </c>
      <c r="N464" s="669">
        <v>0</v>
      </c>
      <c r="O464" s="669">
        <v>0</v>
      </c>
      <c r="P464" s="669">
        <v>0</v>
      </c>
      <c r="Q464" s="669">
        <v>0</v>
      </c>
      <c r="R464" s="669">
        <v>0</v>
      </c>
      <c r="S464" s="669">
        <v>0</v>
      </c>
      <c r="T464" s="612" t="e">
        <v>#DIV/0!</v>
      </c>
      <c r="U464" s="611">
        <v>0</v>
      </c>
      <c r="V464" s="611">
        <v>0</v>
      </c>
      <c r="W464" s="611">
        <v>0</v>
      </c>
      <c r="X464" s="611">
        <v>0</v>
      </c>
      <c r="Y464" s="611">
        <v>0</v>
      </c>
      <c r="Z464" s="611">
        <v>0</v>
      </c>
    </row>
    <row r="465" spans="1:27" x14ac:dyDescent="0.2">
      <c r="A465" s="597" t="s">
        <v>685</v>
      </c>
      <c r="B465" s="685">
        <v>0</v>
      </c>
      <c r="C465" s="685">
        <v>0</v>
      </c>
      <c r="D465" s="685">
        <v>0</v>
      </c>
      <c r="E465" s="685">
        <v>0</v>
      </c>
      <c r="F465" s="685">
        <v>0</v>
      </c>
      <c r="G465" s="685">
        <v>0</v>
      </c>
      <c r="H465" s="685">
        <v>0</v>
      </c>
      <c r="I465" s="685">
        <v>0</v>
      </c>
      <c r="J465" s="685">
        <v>0</v>
      </c>
      <c r="K465" s="685">
        <v>0</v>
      </c>
      <c r="L465" s="685">
        <v>0</v>
      </c>
      <c r="M465" s="685">
        <v>0</v>
      </c>
      <c r="N465" s="685">
        <v>0</v>
      </c>
      <c r="O465" s="685">
        <v>0</v>
      </c>
      <c r="P465" s="685">
        <v>0</v>
      </c>
      <c r="Q465" s="685">
        <v>0</v>
      </c>
      <c r="R465" s="685">
        <v>0</v>
      </c>
      <c r="S465" s="685">
        <v>0</v>
      </c>
      <c r="T465" s="600" t="e">
        <v>#DIV/0!</v>
      </c>
      <c r="U465" s="599">
        <v>0</v>
      </c>
      <c r="V465" s="599">
        <v>0</v>
      </c>
      <c r="W465" s="599">
        <v>0</v>
      </c>
      <c r="X465" s="599">
        <v>0</v>
      </c>
      <c r="Y465" s="599">
        <v>0</v>
      </c>
      <c r="Z465" s="599">
        <v>0</v>
      </c>
      <c r="AA465" s="661"/>
    </row>
    <row r="466" spans="1:27" x14ac:dyDescent="0.2">
      <c r="A466" s="597" t="s">
        <v>686</v>
      </c>
      <c r="B466" s="655">
        <v>0</v>
      </c>
      <c r="C466" s="655">
        <v>0</v>
      </c>
      <c r="D466" s="655">
        <v>0</v>
      </c>
      <c r="E466" s="655">
        <v>0</v>
      </c>
      <c r="F466" s="655">
        <v>0</v>
      </c>
      <c r="G466" s="655">
        <v>0</v>
      </c>
      <c r="H466" s="655">
        <v>0</v>
      </c>
      <c r="I466" s="655">
        <v>0</v>
      </c>
      <c r="J466" s="655">
        <v>0</v>
      </c>
      <c r="K466" s="655">
        <v>0</v>
      </c>
      <c r="L466" s="655">
        <v>0</v>
      </c>
      <c r="M466" s="655">
        <v>0</v>
      </c>
      <c r="N466" s="655">
        <v>0</v>
      </c>
      <c r="O466" s="655">
        <v>0</v>
      </c>
      <c r="P466" s="655">
        <v>0</v>
      </c>
      <c r="Q466" s="655">
        <v>0</v>
      </c>
      <c r="R466" s="655">
        <v>0</v>
      </c>
      <c r="S466" s="655">
        <v>0</v>
      </c>
      <c r="T466" s="600" t="e">
        <v>#DIV/0!</v>
      </c>
      <c r="U466" s="599">
        <v>0</v>
      </c>
      <c r="V466" s="599">
        <v>0</v>
      </c>
      <c r="W466" s="599">
        <v>0</v>
      </c>
      <c r="X466" s="599">
        <v>0</v>
      </c>
      <c r="Y466" s="599">
        <v>0</v>
      </c>
      <c r="Z466" s="599">
        <v>0</v>
      </c>
      <c r="AA466" s="661"/>
    </row>
    <row r="467" spans="1:27" ht="24" x14ac:dyDescent="0.2">
      <c r="A467" s="605" t="s">
        <v>687</v>
      </c>
      <c r="B467" s="665">
        <v>0</v>
      </c>
      <c r="C467" s="665">
        <v>0</v>
      </c>
      <c r="D467" s="665">
        <v>0</v>
      </c>
      <c r="E467" s="665">
        <v>0</v>
      </c>
      <c r="F467" s="665">
        <v>0</v>
      </c>
      <c r="G467" s="665">
        <v>0</v>
      </c>
      <c r="H467" s="665">
        <v>0</v>
      </c>
      <c r="I467" s="665">
        <v>0</v>
      </c>
      <c r="J467" s="665">
        <v>0</v>
      </c>
      <c r="K467" s="665">
        <v>0</v>
      </c>
      <c r="L467" s="665">
        <v>0</v>
      </c>
      <c r="M467" s="665">
        <v>0</v>
      </c>
      <c r="N467" s="665">
        <v>0</v>
      </c>
      <c r="O467" s="665">
        <v>0</v>
      </c>
      <c r="P467" s="665">
        <v>0</v>
      </c>
      <c r="Q467" s="665">
        <v>0</v>
      </c>
      <c r="R467" s="665">
        <v>0</v>
      </c>
      <c r="S467" s="665">
        <v>0</v>
      </c>
      <c r="T467" s="604" t="e">
        <v>#DIV/0!</v>
      </c>
      <c r="U467" s="603">
        <v>0</v>
      </c>
      <c r="V467" s="603">
        <v>0</v>
      </c>
      <c r="W467" s="603">
        <v>0</v>
      </c>
      <c r="X467" s="603">
        <v>0</v>
      </c>
      <c r="Y467" s="603">
        <v>0</v>
      </c>
      <c r="Z467" s="603">
        <v>0</v>
      </c>
    </row>
    <row r="468" spans="1:27" ht="24" x14ac:dyDescent="0.2">
      <c r="A468" s="605" t="s">
        <v>688</v>
      </c>
      <c r="B468" s="665">
        <v>0</v>
      </c>
      <c r="C468" s="665">
        <v>0</v>
      </c>
      <c r="D468" s="665">
        <v>0</v>
      </c>
      <c r="E468" s="665">
        <v>0</v>
      </c>
      <c r="F468" s="665">
        <v>0</v>
      </c>
      <c r="G468" s="665">
        <v>0</v>
      </c>
      <c r="H468" s="665">
        <v>0</v>
      </c>
      <c r="I468" s="665">
        <v>0</v>
      </c>
      <c r="J468" s="665">
        <v>0</v>
      </c>
      <c r="K468" s="665">
        <v>0</v>
      </c>
      <c r="L468" s="665">
        <v>0</v>
      </c>
      <c r="M468" s="665">
        <v>0</v>
      </c>
      <c r="N468" s="665">
        <v>0</v>
      </c>
      <c r="O468" s="665">
        <v>0</v>
      </c>
      <c r="P468" s="665">
        <v>0</v>
      </c>
      <c r="Q468" s="665">
        <v>0</v>
      </c>
      <c r="R468" s="665">
        <v>0</v>
      </c>
      <c r="S468" s="665">
        <v>0</v>
      </c>
      <c r="T468" s="604" t="e">
        <v>#DIV/0!</v>
      </c>
      <c r="U468" s="603">
        <v>0</v>
      </c>
      <c r="V468" s="603">
        <v>0</v>
      </c>
      <c r="W468" s="603">
        <v>0</v>
      </c>
      <c r="X468" s="603">
        <v>0</v>
      </c>
      <c r="Y468" s="603">
        <v>0</v>
      </c>
      <c r="Z468" s="603">
        <v>0</v>
      </c>
    </row>
    <row r="469" spans="1:27" ht="24" x14ac:dyDescent="0.2">
      <c r="A469" s="605" t="s">
        <v>689</v>
      </c>
      <c r="B469" s="665">
        <v>0</v>
      </c>
      <c r="C469" s="665">
        <v>0</v>
      </c>
      <c r="D469" s="665">
        <v>0</v>
      </c>
      <c r="E469" s="665">
        <v>0</v>
      </c>
      <c r="F469" s="665">
        <v>0</v>
      </c>
      <c r="G469" s="665">
        <v>0</v>
      </c>
      <c r="H469" s="665">
        <v>0</v>
      </c>
      <c r="I469" s="665">
        <v>0</v>
      </c>
      <c r="J469" s="665">
        <v>0</v>
      </c>
      <c r="K469" s="665">
        <v>0</v>
      </c>
      <c r="L469" s="665">
        <v>0</v>
      </c>
      <c r="M469" s="665">
        <v>0</v>
      </c>
      <c r="N469" s="665">
        <v>0</v>
      </c>
      <c r="O469" s="665">
        <v>0</v>
      </c>
      <c r="P469" s="665">
        <v>0</v>
      </c>
      <c r="Q469" s="665">
        <v>0</v>
      </c>
      <c r="R469" s="665">
        <v>0</v>
      </c>
      <c r="S469" s="665">
        <v>0</v>
      </c>
      <c r="T469" s="604" t="e">
        <v>#DIV/0!</v>
      </c>
      <c r="U469" s="603">
        <v>0</v>
      </c>
      <c r="V469" s="603">
        <v>0</v>
      </c>
      <c r="W469" s="603">
        <v>0</v>
      </c>
      <c r="X469" s="603">
        <v>0</v>
      </c>
      <c r="Y469" s="603">
        <v>0</v>
      </c>
      <c r="Z469" s="603">
        <v>0</v>
      </c>
    </row>
    <row r="470" spans="1:27" x14ac:dyDescent="0.2">
      <c r="A470" s="597" t="s">
        <v>690</v>
      </c>
      <c r="B470" s="655">
        <v>0</v>
      </c>
      <c r="C470" s="655">
        <v>0</v>
      </c>
      <c r="D470" s="655">
        <v>0</v>
      </c>
      <c r="E470" s="655">
        <v>0</v>
      </c>
      <c r="F470" s="655">
        <v>0</v>
      </c>
      <c r="G470" s="655">
        <v>0</v>
      </c>
      <c r="H470" s="655">
        <v>0</v>
      </c>
      <c r="I470" s="655">
        <v>0</v>
      </c>
      <c r="J470" s="655">
        <v>0</v>
      </c>
      <c r="K470" s="655">
        <v>0</v>
      </c>
      <c r="L470" s="655">
        <v>0</v>
      </c>
      <c r="M470" s="655">
        <v>0</v>
      </c>
      <c r="N470" s="655">
        <v>0</v>
      </c>
      <c r="O470" s="655">
        <v>0</v>
      </c>
      <c r="P470" s="655">
        <v>0</v>
      </c>
      <c r="Q470" s="655">
        <v>0</v>
      </c>
      <c r="R470" s="655">
        <v>0</v>
      </c>
      <c r="S470" s="655">
        <v>0</v>
      </c>
      <c r="T470" s="600" t="e">
        <v>#DIV/0!</v>
      </c>
      <c r="U470" s="599">
        <v>0</v>
      </c>
      <c r="V470" s="599">
        <v>0</v>
      </c>
      <c r="W470" s="599">
        <v>0</v>
      </c>
      <c r="X470" s="599">
        <v>0</v>
      </c>
      <c r="Y470" s="599">
        <v>0</v>
      </c>
      <c r="Z470" s="599">
        <v>0</v>
      </c>
    </row>
    <row r="471" spans="1:27" x14ac:dyDescent="0.2">
      <c r="A471" s="605" t="s">
        <v>691</v>
      </c>
      <c r="B471" s="665">
        <v>0</v>
      </c>
      <c r="C471" s="665">
        <v>0</v>
      </c>
      <c r="D471" s="665">
        <v>0</v>
      </c>
      <c r="E471" s="665">
        <v>0</v>
      </c>
      <c r="F471" s="665">
        <v>0</v>
      </c>
      <c r="G471" s="665">
        <v>0</v>
      </c>
      <c r="H471" s="665">
        <v>0</v>
      </c>
      <c r="I471" s="665">
        <v>0</v>
      </c>
      <c r="J471" s="665">
        <v>0</v>
      </c>
      <c r="K471" s="665">
        <v>0</v>
      </c>
      <c r="L471" s="665">
        <v>0</v>
      </c>
      <c r="M471" s="665">
        <v>0</v>
      </c>
      <c r="N471" s="665">
        <v>0</v>
      </c>
      <c r="O471" s="665">
        <v>0</v>
      </c>
      <c r="P471" s="665">
        <v>0</v>
      </c>
      <c r="Q471" s="665">
        <v>0</v>
      </c>
      <c r="R471" s="665">
        <v>0</v>
      </c>
      <c r="S471" s="665">
        <v>0</v>
      </c>
      <c r="T471" s="604" t="e">
        <v>#DIV/0!</v>
      </c>
      <c r="U471" s="603">
        <v>0</v>
      </c>
      <c r="V471" s="603">
        <v>0</v>
      </c>
      <c r="W471" s="603">
        <v>0</v>
      </c>
      <c r="X471" s="603">
        <v>0</v>
      </c>
      <c r="Y471" s="603">
        <v>0</v>
      </c>
      <c r="Z471" s="603">
        <v>0</v>
      </c>
    </row>
    <row r="472" spans="1:27" x14ac:dyDescent="0.2">
      <c r="A472" s="605" t="s">
        <v>692</v>
      </c>
      <c r="B472" s="665">
        <v>0</v>
      </c>
      <c r="C472" s="665">
        <v>0</v>
      </c>
      <c r="D472" s="665">
        <v>0</v>
      </c>
      <c r="E472" s="665">
        <v>0</v>
      </c>
      <c r="F472" s="665">
        <v>0</v>
      </c>
      <c r="G472" s="665">
        <v>0</v>
      </c>
      <c r="H472" s="665">
        <v>0</v>
      </c>
      <c r="I472" s="665">
        <v>0</v>
      </c>
      <c r="J472" s="665">
        <v>0</v>
      </c>
      <c r="K472" s="665">
        <v>0</v>
      </c>
      <c r="L472" s="665">
        <v>0</v>
      </c>
      <c r="M472" s="665">
        <v>0</v>
      </c>
      <c r="N472" s="665">
        <v>0</v>
      </c>
      <c r="O472" s="665">
        <v>0</v>
      </c>
      <c r="P472" s="665">
        <v>0</v>
      </c>
      <c r="Q472" s="665">
        <v>0</v>
      </c>
      <c r="R472" s="665">
        <v>0</v>
      </c>
      <c r="S472" s="665">
        <v>0</v>
      </c>
      <c r="T472" s="604" t="e">
        <v>#DIV/0!</v>
      </c>
      <c r="U472" s="603">
        <v>0</v>
      </c>
      <c r="V472" s="603">
        <v>0</v>
      </c>
      <c r="W472" s="603">
        <v>0</v>
      </c>
      <c r="X472" s="603">
        <v>0</v>
      </c>
      <c r="Y472" s="603">
        <v>0</v>
      </c>
      <c r="Z472" s="603">
        <v>0</v>
      </c>
    </row>
    <row r="473" spans="1:27" x14ac:dyDescent="0.2">
      <c r="A473" s="605" t="s">
        <v>693</v>
      </c>
      <c r="B473" s="665">
        <v>0</v>
      </c>
      <c r="C473" s="665">
        <v>0</v>
      </c>
      <c r="D473" s="665">
        <v>0</v>
      </c>
      <c r="E473" s="665">
        <v>0</v>
      </c>
      <c r="F473" s="665">
        <v>0</v>
      </c>
      <c r="G473" s="665">
        <v>0</v>
      </c>
      <c r="H473" s="665">
        <v>0</v>
      </c>
      <c r="I473" s="665">
        <v>0</v>
      </c>
      <c r="J473" s="665">
        <v>0</v>
      </c>
      <c r="K473" s="665">
        <v>0</v>
      </c>
      <c r="L473" s="665">
        <v>0</v>
      </c>
      <c r="M473" s="665">
        <v>0</v>
      </c>
      <c r="N473" s="665">
        <v>0</v>
      </c>
      <c r="O473" s="665">
        <v>0</v>
      </c>
      <c r="P473" s="665">
        <v>0</v>
      </c>
      <c r="Q473" s="665">
        <v>0</v>
      </c>
      <c r="R473" s="665">
        <v>0</v>
      </c>
      <c r="S473" s="665">
        <v>0</v>
      </c>
      <c r="T473" s="604" t="e">
        <v>#DIV/0!</v>
      </c>
      <c r="U473" s="603">
        <v>0</v>
      </c>
      <c r="V473" s="603">
        <v>0</v>
      </c>
      <c r="W473" s="603">
        <v>0</v>
      </c>
      <c r="X473" s="603">
        <v>0</v>
      </c>
      <c r="Y473" s="603">
        <v>0</v>
      </c>
      <c r="Z473" s="603">
        <v>0</v>
      </c>
    </row>
    <row r="474" spans="1:27" x14ac:dyDescent="0.2">
      <c r="A474" s="597" t="s">
        <v>694</v>
      </c>
      <c r="B474" s="685">
        <v>0</v>
      </c>
      <c r="C474" s="685">
        <v>0</v>
      </c>
      <c r="D474" s="685">
        <v>0</v>
      </c>
      <c r="E474" s="685">
        <v>0</v>
      </c>
      <c r="F474" s="685">
        <v>0</v>
      </c>
      <c r="G474" s="685">
        <v>0</v>
      </c>
      <c r="H474" s="685">
        <v>0</v>
      </c>
      <c r="I474" s="685">
        <v>0</v>
      </c>
      <c r="J474" s="685">
        <v>0</v>
      </c>
      <c r="K474" s="685">
        <v>0</v>
      </c>
      <c r="L474" s="685">
        <v>0</v>
      </c>
      <c r="M474" s="685">
        <v>0</v>
      </c>
      <c r="N474" s="685">
        <v>0</v>
      </c>
      <c r="O474" s="685">
        <v>0</v>
      </c>
      <c r="P474" s="685">
        <v>0</v>
      </c>
      <c r="Q474" s="685">
        <v>0</v>
      </c>
      <c r="R474" s="685">
        <v>0</v>
      </c>
      <c r="S474" s="685">
        <v>0</v>
      </c>
      <c r="T474" s="600" t="e">
        <v>#DIV/0!</v>
      </c>
      <c r="U474" s="599">
        <v>0</v>
      </c>
      <c r="V474" s="599">
        <v>0</v>
      </c>
      <c r="W474" s="599">
        <v>0</v>
      </c>
      <c r="X474" s="599">
        <v>0</v>
      </c>
      <c r="Y474" s="599">
        <v>0</v>
      </c>
      <c r="Z474" s="599">
        <v>0</v>
      </c>
    </row>
    <row r="475" spans="1:27" x14ac:dyDescent="0.2">
      <c r="A475" s="618" t="s">
        <v>35</v>
      </c>
      <c r="B475" s="686">
        <v>333807</v>
      </c>
      <c r="C475" s="686">
        <v>333807</v>
      </c>
      <c r="D475" s="686">
        <v>291086.40000000002</v>
      </c>
      <c r="E475" s="686">
        <v>103398.51</v>
      </c>
      <c r="F475" s="686">
        <v>90828.329999999987</v>
      </c>
      <c r="G475" s="686">
        <v>0.5</v>
      </c>
      <c r="H475" s="686">
        <v>44190.69</v>
      </c>
      <c r="I475" s="686">
        <v>1094.71</v>
      </c>
      <c r="J475" s="686">
        <v>11912.43</v>
      </c>
      <c r="K475" s="686">
        <v>1044.26</v>
      </c>
      <c r="L475" s="686">
        <v>11098.130000000001</v>
      </c>
      <c r="M475" s="686">
        <v>3970.75</v>
      </c>
      <c r="N475" s="686">
        <v>3506.35</v>
      </c>
      <c r="O475" s="686">
        <v>14010.51</v>
      </c>
      <c r="P475" s="686">
        <v>0</v>
      </c>
      <c r="Q475" s="686">
        <v>0</v>
      </c>
      <c r="R475" s="686">
        <v>0</v>
      </c>
      <c r="S475" s="686">
        <v>90828.33</v>
      </c>
      <c r="T475" s="621">
        <v>0.27209833826133067</v>
      </c>
      <c r="U475" s="620">
        <v>242978.66999999998</v>
      </c>
      <c r="V475" s="620">
        <v>42720.599999999977</v>
      </c>
      <c r="W475" s="620">
        <v>230408.49</v>
      </c>
      <c r="X475" s="620">
        <v>187687.89</v>
      </c>
      <c r="Y475" s="620">
        <v>12570.180000000008</v>
      </c>
      <c r="Z475" s="620">
        <v>0</v>
      </c>
    </row>
    <row r="476" spans="1:27" x14ac:dyDescent="0.2">
      <c r="A476" s="622" t="s">
        <v>72</v>
      </c>
      <c r="B476" s="687">
        <v>333807</v>
      </c>
      <c r="C476" s="687">
        <v>333807</v>
      </c>
      <c r="D476" s="687">
        <v>291086.40000000002</v>
      </c>
      <c r="E476" s="687">
        <v>103398.51</v>
      </c>
      <c r="F476" s="687">
        <v>90828.329999999987</v>
      </c>
      <c r="G476" s="687">
        <v>0.5</v>
      </c>
      <c r="H476" s="687">
        <v>44190.69</v>
      </c>
      <c r="I476" s="687">
        <v>1094.71</v>
      </c>
      <c r="J476" s="687">
        <v>11912.43</v>
      </c>
      <c r="K476" s="687">
        <v>1044.26</v>
      </c>
      <c r="L476" s="687">
        <v>11098.130000000001</v>
      </c>
      <c r="M476" s="687">
        <v>3970.75</v>
      </c>
      <c r="N476" s="687">
        <v>3506.35</v>
      </c>
      <c r="O476" s="687">
        <v>14010.51</v>
      </c>
      <c r="P476" s="687">
        <v>0</v>
      </c>
      <c r="Q476" s="687">
        <v>0</v>
      </c>
      <c r="R476" s="687">
        <v>0</v>
      </c>
      <c r="S476" s="687">
        <v>90828.33</v>
      </c>
      <c r="T476" s="625">
        <v>0.27209833826133067</v>
      </c>
      <c r="U476" s="624">
        <v>242978.66999999998</v>
      </c>
      <c r="V476" s="624">
        <v>42720.599999999977</v>
      </c>
      <c r="W476" s="624">
        <v>230408.49</v>
      </c>
      <c r="X476" s="624">
        <v>187687.89</v>
      </c>
      <c r="Y476" s="624">
        <v>12570.180000000008</v>
      </c>
      <c r="Z476" s="624">
        <v>0</v>
      </c>
    </row>
    <row r="477" spans="1:27" x14ac:dyDescent="0.2">
      <c r="A477" s="622" t="s">
        <v>73</v>
      </c>
      <c r="B477" s="687">
        <v>333807</v>
      </c>
      <c r="C477" s="687">
        <v>333807</v>
      </c>
      <c r="D477" s="687">
        <v>291086.40000000002</v>
      </c>
      <c r="E477" s="687">
        <v>103398.51</v>
      </c>
      <c r="F477" s="687">
        <v>90828.329999999987</v>
      </c>
      <c r="G477" s="687">
        <v>0.5</v>
      </c>
      <c r="H477" s="687">
        <v>44190.69</v>
      </c>
      <c r="I477" s="687">
        <v>1094.71</v>
      </c>
      <c r="J477" s="687">
        <v>11912.43</v>
      </c>
      <c r="K477" s="687">
        <v>1044.26</v>
      </c>
      <c r="L477" s="687">
        <v>11098.130000000001</v>
      </c>
      <c r="M477" s="687">
        <v>3970.75</v>
      </c>
      <c r="N477" s="687">
        <v>3506.35</v>
      </c>
      <c r="O477" s="687">
        <v>14010.51</v>
      </c>
      <c r="P477" s="687">
        <v>0</v>
      </c>
      <c r="Q477" s="687">
        <v>0</v>
      </c>
      <c r="R477" s="687">
        <v>0</v>
      </c>
      <c r="S477" s="687">
        <v>90828.33</v>
      </c>
      <c r="T477" s="625">
        <v>0.27209833826133067</v>
      </c>
      <c r="U477" s="624">
        <v>242978.66999999998</v>
      </c>
      <c r="V477" s="624">
        <v>42720.599999999977</v>
      </c>
      <c r="W477" s="624">
        <v>230408.49</v>
      </c>
      <c r="X477" s="624">
        <v>187687.89</v>
      </c>
      <c r="Y477" s="624">
        <v>12570.180000000008</v>
      </c>
      <c r="Z477" s="624">
        <v>0</v>
      </c>
    </row>
    <row r="478" spans="1:27" x14ac:dyDescent="0.2">
      <c r="A478" s="622" t="s">
        <v>74</v>
      </c>
      <c r="B478" s="687">
        <v>333807</v>
      </c>
      <c r="C478" s="687">
        <v>333807</v>
      </c>
      <c r="D478" s="687">
        <v>291086.40000000002</v>
      </c>
      <c r="E478" s="687">
        <v>103398.51</v>
      </c>
      <c r="F478" s="687">
        <v>90828.329999999987</v>
      </c>
      <c r="G478" s="687">
        <v>0.5</v>
      </c>
      <c r="H478" s="687">
        <v>44190.69</v>
      </c>
      <c r="I478" s="687">
        <v>1094.71</v>
      </c>
      <c r="J478" s="687">
        <v>11912.43</v>
      </c>
      <c r="K478" s="687">
        <v>1044.26</v>
      </c>
      <c r="L478" s="687">
        <v>11098.130000000001</v>
      </c>
      <c r="M478" s="687">
        <v>3970.75</v>
      </c>
      <c r="N478" s="687">
        <v>3506.35</v>
      </c>
      <c r="O478" s="687">
        <v>14010.51</v>
      </c>
      <c r="P478" s="687">
        <v>0</v>
      </c>
      <c r="Q478" s="687">
        <v>0</v>
      </c>
      <c r="R478" s="687">
        <v>0</v>
      </c>
      <c r="S478" s="687">
        <v>90828.33</v>
      </c>
      <c r="T478" s="625">
        <v>0.27209833826133067</v>
      </c>
      <c r="U478" s="624">
        <v>242978.66999999998</v>
      </c>
      <c r="V478" s="624">
        <v>42720.599999999977</v>
      </c>
      <c r="W478" s="624">
        <v>230408.49</v>
      </c>
      <c r="X478" s="624">
        <v>187687.89</v>
      </c>
      <c r="Y478" s="624">
        <v>12570.180000000008</v>
      </c>
      <c r="Z478" s="624">
        <v>0</v>
      </c>
    </row>
    <row r="479" spans="1:27" x14ac:dyDescent="0.2">
      <c r="A479" s="688" t="s">
        <v>75</v>
      </c>
      <c r="B479" s="689">
        <v>0</v>
      </c>
      <c r="C479" s="689">
        <v>0</v>
      </c>
      <c r="D479" s="689"/>
      <c r="E479" s="689"/>
      <c r="F479" s="689"/>
      <c r="G479" s="689">
        <v>138416.07</v>
      </c>
      <c r="H479" s="689">
        <v>-44177.4</v>
      </c>
      <c r="I479" s="689">
        <v>27691.878000000001</v>
      </c>
      <c r="J479" s="689">
        <v>-11911.43</v>
      </c>
      <c r="K479" s="689">
        <v>-1043.4449999999999</v>
      </c>
      <c r="L479" s="689">
        <v>-11097.6</v>
      </c>
      <c r="M479" s="689">
        <v>79340.010000000009</v>
      </c>
      <c r="N479" s="689">
        <v>-3505.12</v>
      </c>
      <c r="O479" s="689">
        <v>-14009.346</v>
      </c>
      <c r="P479" s="689">
        <v>0</v>
      </c>
      <c r="Q479" s="689">
        <v>0</v>
      </c>
      <c r="R479" s="689">
        <v>0</v>
      </c>
      <c r="S479" s="689">
        <v>159703.61700000003</v>
      </c>
      <c r="T479" s="690" t="e">
        <v>#DIV/0!</v>
      </c>
      <c r="U479" s="691">
        <v>-159703.61700000003</v>
      </c>
      <c r="V479" s="691">
        <v>0</v>
      </c>
      <c r="W479" s="691">
        <v>0</v>
      </c>
      <c r="X479" s="691">
        <v>0</v>
      </c>
      <c r="Y479" s="691">
        <v>0</v>
      </c>
      <c r="Z479" s="691">
        <v>-159703.61700000003</v>
      </c>
    </row>
    <row r="480" spans="1:27" x14ac:dyDescent="0.2">
      <c r="A480" s="692" t="s">
        <v>76</v>
      </c>
      <c r="B480" s="689">
        <v>-333807</v>
      </c>
      <c r="C480" s="689">
        <v>-195404.21</v>
      </c>
      <c r="D480" s="689"/>
      <c r="E480" s="689"/>
      <c r="F480" s="689"/>
      <c r="G480" s="689">
        <v>138416.07</v>
      </c>
      <c r="H480" s="689">
        <v>-44177.4</v>
      </c>
      <c r="I480" s="689">
        <v>-1092.0860000000002</v>
      </c>
      <c r="J480" s="689">
        <v>-11911.43</v>
      </c>
      <c r="K480" s="689">
        <v>-1043.4449999999999</v>
      </c>
      <c r="L480" s="689">
        <v>-11097.6</v>
      </c>
      <c r="M480" s="689">
        <v>-3970.1199999999953</v>
      </c>
      <c r="N480" s="689">
        <v>-3505.12</v>
      </c>
      <c r="O480" s="689">
        <v>-14009.346</v>
      </c>
      <c r="P480" s="689">
        <v>0</v>
      </c>
      <c r="Q480" s="689">
        <v>0</v>
      </c>
      <c r="R480" s="689">
        <v>0</v>
      </c>
      <c r="S480" s="689">
        <v>47609.523000000001</v>
      </c>
      <c r="T480" s="690">
        <v>-0.24364635234829385</v>
      </c>
      <c r="U480" s="691">
        <v>-243013.73300000001</v>
      </c>
      <c r="V480" s="691">
        <v>-195404.21</v>
      </c>
      <c r="W480" s="691">
        <v>-195404.21</v>
      </c>
      <c r="X480" s="691">
        <v>0</v>
      </c>
      <c r="Y480" s="691">
        <v>0</v>
      </c>
      <c r="Z480" s="691">
        <v>-47609.523000000001</v>
      </c>
    </row>
    <row r="481" spans="1:26" x14ac:dyDescent="0.2">
      <c r="A481" s="692" t="s">
        <v>77</v>
      </c>
      <c r="B481" s="689">
        <v>0</v>
      </c>
      <c r="C481" s="689">
        <v>-138402.79</v>
      </c>
      <c r="D481" s="689"/>
      <c r="E481" s="689"/>
      <c r="F481" s="689"/>
      <c r="G481" s="689">
        <v>13.279999999998836</v>
      </c>
      <c r="H481" s="689">
        <v>-44177.4</v>
      </c>
      <c r="I481" s="689">
        <v>27691.878000000001</v>
      </c>
      <c r="J481" s="689">
        <v>-11911.43</v>
      </c>
      <c r="K481" s="689">
        <v>-1043.4449999999999</v>
      </c>
      <c r="L481" s="689">
        <v>-11097.6</v>
      </c>
      <c r="M481" s="689">
        <v>79340.010000000009</v>
      </c>
      <c r="N481" s="689">
        <v>-3505.12</v>
      </c>
      <c r="O481" s="689">
        <v>-14009.346</v>
      </c>
      <c r="P481" s="689">
        <v>0</v>
      </c>
      <c r="Q481" s="689">
        <v>0</v>
      </c>
      <c r="R481" s="689">
        <v>0</v>
      </c>
      <c r="S481" s="689">
        <v>21300.827000000005</v>
      </c>
      <c r="T481" s="690">
        <v>-0.1539046069808275</v>
      </c>
      <c r="U481" s="691">
        <v>-159703.61700000003</v>
      </c>
      <c r="V481" s="691">
        <v>-138402.79</v>
      </c>
      <c r="W481" s="691">
        <v>-138402.79</v>
      </c>
      <c r="X481" s="691">
        <v>0</v>
      </c>
      <c r="Y481" s="691">
        <v>0</v>
      </c>
      <c r="Z481" s="691">
        <v>-21300.827000000005</v>
      </c>
    </row>
    <row r="482" spans="1:26" x14ac:dyDescent="0.2">
      <c r="A482" s="692" t="s">
        <v>78</v>
      </c>
      <c r="B482" s="689">
        <v>-333807</v>
      </c>
      <c r="C482" s="689">
        <v>-333807</v>
      </c>
      <c r="D482" s="689"/>
      <c r="E482" s="689"/>
      <c r="F482" s="689"/>
      <c r="G482" s="689">
        <v>13.279999999998836</v>
      </c>
      <c r="H482" s="689">
        <v>-44177.4</v>
      </c>
      <c r="I482" s="689">
        <v>-1092.0860000000002</v>
      </c>
      <c r="J482" s="689">
        <v>-11911.43</v>
      </c>
      <c r="K482" s="689">
        <v>-1043.4449999999999</v>
      </c>
      <c r="L482" s="689">
        <v>-11097.6</v>
      </c>
      <c r="M482" s="689">
        <v>-3970.1199999999953</v>
      </c>
      <c r="N482" s="689">
        <v>-3505.12</v>
      </c>
      <c r="O482" s="689">
        <v>-14009.346</v>
      </c>
      <c r="P482" s="689">
        <v>0</v>
      </c>
      <c r="Q482" s="689">
        <v>0</v>
      </c>
      <c r="R482" s="689">
        <v>0</v>
      </c>
      <c r="S482" s="689">
        <v>-90793.267000000007</v>
      </c>
      <c r="T482" s="690">
        <v>0.27199329852279913</v>
      </c>
      <c r="U482" s="691">
        <v>-243013.73300000001</v>
      </c>
      <c r="V482" s="691">
        <v>-333807</v>
      </c>
      <c r="W482" s="691">
        <v>-333807</v>
      </c>
      <c r="X482" s="691">
        <v>0</v>
      </c>
      <c r="Y482" s="691">
        <v>0</v>
      </c>
      <c r="Z482" s="691">
        <v>90793.267000000007</v>
      </c>
    </row>
    <row r="483" spans="1:26" x14ac:dyDescent="0.2">
      <c r="B483" s="684"/>
    </row>
    <row r="484" spans="1:26" x14ac:dyDescent="0.2">
      <c r="B484" s="684"/>
      <c r="C484" s="684"/>
    </row>
  </sheetData>
  <sheetProtection formatCells="0" formatColumns="0" formatRows="0" autoFilter="0"/>
  <mergeCells count="43">
    <mergeCell ref="X175:X176"/>
    <mergeCell ref="Y175:Y176"/>
    <mergeCell ref="Z175:Z176"/>
    <mergeCell ref="P175:P176"/>
    <mergeCell ref="Q175:Q176"/>
    <mergeCell ref="R175:R176"/>
    <mergeCell ref="U175:U176"/>
    <mergeCell ref="V175:V176"/>
    <mergeCell ref="W175:W176"/>
    <mergeCell ref="J175:J176"/>
    <mergeCell ref="K175:K176"/>
    <mergeCell ref="L175:L176"/>
    <mergeCell ref="M175:M176"/>
    <mergeCell ref="N175:N176"/>
    <mergeCell ref="O175:O176"/>
    <mergeCell ref="A175:A177"/>
    <mergeCell ref="B175:B176"/>
    <mergeCell ref="C175:C176"/>
    <mergeCell ref="G175:G176"/>
    <mergeCell ref="H175:H176"/>
    <mergeCell ref="I175:I176"/>
    <mergeCell ref="P7:P8"/>
    <mergeCell ref="Q7:Q8"/>
    <mergeCell ref="R7:R8"/>
    <mergeCell ref="U7:U8"/>
    <mergeCell ref="V7:V8"/>
    <mergeCell ref="A174:Z174"/>
    <mergeCell ref="J7:J8"/>
    <mergeCell ref="K7:K8"/>
    <mergeCell ref="L7:L8"/>
    <mergeCell ref="M7:M8"/>
    <mergeCell ref="N7:N8"/>
    <mergeCell ref="O7:O8"/>
    <mergeCell ref="A2:Z2"/>
    <mergeCell ref="A3:Z3"/>
    <mergeCell ref="A4:Z4"/>
    <mergeCell ref="A6:Z6"/>
    <mergeCell ref="A7:A9"/>
    <mergeCell ref="B7:B8"/>
    <mergeCell ref="C7:C8"/>
    <mergeCell ref="G7:G8"/>
    <mergeCell ref="H7:H8"/>
    <mergeCell ref="I7:I8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G34"/>
  <sheetViews>
    <sheetView showGridLines="0" topLeftCell="A4" zoomScaleNormal="100" zoomScaleSheetLayoutView="90" workbookViewId="0">
      <selection activeCell="B29" sqref="B29"/>
    </sheetView>
  </sheetViews>
  <sheetFormatPr defaultColWidth="8.7109375" defaultRowHeight="12.75" x14ac:dyDescent="0.2"/>
  <cols>
    <col min="1" max="1" width="21.42578125" style="13" customWidth="1"/>
    <col min="2" max="2" width="16.5703125" style="13" customWidth="1"/>
    <col min="3" max="3" width="14.85546875" style="13" customWidth="1"/>
    <col min="4" max="4" width="13.85546875" style="13" customWidth="1"/>
    <col min="5" max="5" width="15.28515625" style="13" customWidth="1"/>
    <col min="6" max="6" width="49.28515625" style="1" customWidth="1"/>
    <col min="7" max="7" width="12.7109375" style="11" bestFit="1" customWidth="1"/>
    <col min="8" max="16384" width="8.7109375" style="13"/>
  </cols>
  <sheetData>
    <row r="1" spans="1:6" ht="12.75" customHeight="1" x14ac:dyDescent="0.2">
      <c r="A1" s="554" t="s">
        <v>1428</v>
      </c>
      <c r="B1" s="554"/>
      <c r="C1" s="554"/>
      <c r="D1" s="554"/>
      <c r="E1" s="554"/>
    </row>
    <row r="3" spans="1:6" ht="24" customHeight="1" x14ac:dyDescent="0.2">
      <c r="A3" s="556" t="s">
        <v>230</v>
      </c>
      <c r="B3" s="556" t="s">
        <v>37</v>
      </c>
      <c r="C3" s="556"/>
      <c r="D3" s="556" t="s">
        <v>234</v>
      </c>
      <c r="E3" s="556" t="s">
        <v>235</v>
      </c>
      <c r="F3" s="555" t="s">
        <v>236</v>
      </c>
    </row>
    <row r="4" spans="1:6" x14ac:dyDescent="0.2">
      <c r="A4" s="556"/>
      <c r="B4" s="121" t="s">
        <v>38</v>
      </c>
      <c r="C4" s="121" t="s">
        <v>39</v>
      </c>
      <c r="D4" s="556"/>
      <c r="E4" s="556"/>
      <c r="F4" s="555"/>
    </row>
    <row r="5" spans="1:6" ht="15.75" customHeight="1" x14ac:dyDescent="0.2">
      <c r="A5" s="112" t="s">
        <v>40</v>
      </c>
      <c r="B5" s="113">
        <v>23746219.489999998</v>
      </c>
      <c r="C5" s="113">
        <v>6985142.9900000002</v>
      </c>
      <c r="D5" s="113">
        <v>6985142.9900000002</v>
      </c>
      <c r="E5" s="113">
        <v>6985142.9900000002</v>
      </c>
      <c r="F5" s="120"/>
    </row>
    <row r="6" spans="1:6" ht="15" customHeight="1" x14ac:dyDescent="0.2">
      <c r="A6" s="112" t="s">
        <v>41</v>
      </c>
      <c r="B6" s="113">
        <v>682912.74</v>
      </c>
      <c r="C6" s="113">
        <v>413189.05</v>
      </c>
      <c r="D6" s="113">
        <v>413189.05</v>
      </c>
      <c r="E6" s="113">
        <v>413189.05</v>
      </c>
      <c r="F6" s="122"/>
    </row>
    <row r="7" spans="1:6" ht="15.75" customHeight="1" x14ac:dyDescent="0.2">
      <c r="A7" s="112" t="s">
        <v>42</v>
      </c>
      <c r="B7" s="113">
        <v>801626.5</v>
      </c>
      <c r="C7" s="113">
        <v>790203.97</v>
      </c>
      <c r="D7" s="113">
        <v>790203.97</v>
      </c>
      <c r="E7" s="113">
        <v>790203.97</v>
      </c>
      <c r="F7" s="122"/>
    </row>
    <row r="8" spans="1:6" ht="15.75" customHeight="1" x14ac:dyDescent="0.2">
      <c r="A8" s="112" t="s">
        <v>43</v>
      </c>
      <c r="B8" s="113">
        <v>51633.01</v>
      </c>
      <c r="C8" s="113">
        <v>36307.72</v>
      </c>
      <c r="D8" s="113">
        <v>35989.816000000181</v>
      </c>
      <c r="E8" s="113">
        <v>35989.816000000181</v>
      </c>
      <c r="F8" s="122"/>
    </row>
    <row r="9" spans="1:6" ht="15.75" customHeight="1" x14ac:dyDescent="0.2">
      <c r="A9" s="112" t="s">
        <v>44</v>
      </c>
      <c r="B9" s="113">
        <v>633380.97</v>
      </c>
      <c r="C9" s="113">
        <v>1005949.37</v>
      </c>
      <c r="D9" s="113">
        <v>1005949.37</v>
      </c>
      <c r="E9" s="113">
        <v>1005949.37</v>
      </c>
      <c r="F9" s="122"/>
    </row>
    <row r="10" spans="1:6" ht="25.5" x14ac:dyDescent="0.2">
      <c r="A10" s="123" t="s">
        <v>1097</v>
      </c>
      <c r="B10" s="124">
        <f>SUM(B5:B9)</f>
        <v>25915772.709999997</v>
      </c>
      <c r="C10" s="124">
        <f>SUM(C5:C9)</f>
        <v>9230793.0999999996</v>
      </c>
      <c r="D10" s="124">
        <f>SUM(D5:D9)</f>
        <v>9230475.1960000005</v>
      </c>
      <c r="E10" s="124">
        <f>SUM(E5:E9)</f>
        <v>9230475.1960000005</v>
      </c>
      <c r="F10" s="122"/>
    </row>
    <row r="11" spans="1:6" x14ac:dyDescent="0.2">
      <c r="A11" s="125" t="s">
        <v>246</v>
      </c>
      <c r="B11" s="126">
        <v>3100.95</v>
      </c>
      <c r="C11" s="126">
        <v>8000.95</v>
      </c>
      <c r="D11" s="126">
        <v>8000.95</v>
      </c>
      <c r="E11" s="126">
        <v>8000.95</v>
      </c>
      <c r="F11" s="122"/>
    </row>
    <row r="12" spans="1:6" ht="21.75" customHeight="1" x14ac:dyDescent="0.2">
      <c r="A12" s="116" t="s">
        <v>231</v>
      </c>
      <c r="B12" s="117">
        <f>B10+B11</f>
        <v>25918873.659999996</v>
      </c>
      <c r="C12" s="117">
        <f t="shared" ref="C12:D12" si="0">C10+C11</f>
        <v>9238794.0499999989</v>
      </c>
      <c r="D12" s="117">
        <f t="shared" si="0"/>
        <v>9238476.1459999997</v>
      </c>
      <c r="E12" s="117">
        <f>E10+E11</f>
        <v>9238476.1459999997</v>
      </c>
      <c r="F12" s="122"/>
    </row>
    <row r="13" spans="1:6" x14ac:dyDescent="0.2">
      <c r="A13" s="557" t="s">
        <v>1098</v>
      </c>
      <c r="B13" s="557" t="s">
        <v>37</v>
      </c>
      <c r="C13" s="557"/>
      <c r="D13" s="557" t="s">
        <v>234</v>
      </c>
      <c r="E13" s="557" t="s">
        <v>235</v>
      </c>
      <c r="F13" s="122"/>
    </row>
    <row r="14" spans="1:6" x14ac:dyDescent="0.2">
      <c r="A14" s="557"/>
      <c r="B14" s="127" t="s">
        <v>38</v>
      </c>
      <c r="C14" s="127" t="s">
        <v>39</v>
      </c>
      <c r="D14" s="557"/>
      <c r="E14" s="557"/>
      <c r="F14" s="128"/>
    </row>
    <row r="15" spans="1:6" x14ac:dyDescent="0.2">
      <c r="A15" s="112" t="s">
        <v>1061</v>
      </c>
      <c r="B15" s="129">
        <v>143724.91</v>
      </c>
      <c r="C15" s="129">
        <v>132471.07</v>
      </c>
      <c r="D15" s="129">
        <v>132471.07</v>
      </c>
      <c r="E15" s="129">
        <v>132471.07</v>
      </c>
      <c r="F15" s="137"/>
    </row>
    <row r="16" spans="1:6" x14ac:dyDescent="0.2">
      <c r="A16" s="112" t="s">
        <v>1409</v>
      </c>
      <c r="B16" s="129">
        <v>29988.05</v>
      </c>
      <c r="C16" s="129">
        <v>27232.55</v>
      </c>
      <c r="D16" s="129">
        <v>27232.55</v>
      </c>
      <c r="E16" s="129">
        <v>27232.55</v>
      </c>
      <c r="F16" s="230"/>
    </row>
    <row r="17" spans="1:7" ht="25.5" x14ac:dyDescent="0.2">
      <c r="A17" s="130" t="s">
        <v>1097</v>
      </c>
      <c r="B17" s="131">
        <f>SUM(B15:B16)</f>
        <v>173712.96</v>
      </c>
      <c r="C17" s="131">
        <f t="shared" ref="C17:E17" si="1">SUM(C15:C16)</f>
        <v>159703.62</v>
      </c>
      <c r="D17" s="131">
        <f t="shared" si="1"/>
        <v>159703.62</v>
      </c>
      <c r="E17" s="131">
        <f t="shared" si="1"/>
        <v>159703.62</v>
      </c>
      <c r="F17" s="132"/>
    </row>
    <row r="18" spans="1:7" x14ac:dyDescent="0.2">
      <c r="A18" s="125" t="s">
        <v>246</v>
      </c>
      <c r="B18" s="126">
        <v>0</v>
      </c>
      <c r="C18" s="126">
        <v>0</v>
      </c>
      <c r="D18" s="126">
        <v>0</v>
      </c>
      <c r="E18" s="126">
        <v>0</v>
      </c>
      <c r="F18" s="133"/>
    </row>
    <row r="19" spans="1:7" ht="24.75" customHeight="1" x14ac:dyDescent="0.2">
      <c r="A19" s="118" t="s">
        <v>232</v>
      </c>
      <c r="B19" s="119">
        <f>B17+B18</f>
        <v>173712.96</v>
      </c>
      <c r="C19" s="119">
        <f t="shared" ref="C19:E19" si="2">C17+C18</f>
        <v>159703.62</v>
      </c>
      <c r="D19" s="119">
        <f t="shared" si="2"/>
        <v>159703.62</v>
      </c>
      <c r="E19" s="119">
        <f t="shared" si="2"/>
        <v>159703.62</v>
      </c>
      <c r="F19" s="133"/>
    </row>
    <row r="20" spans="1:7" ht="21.75" customHeight="1" x14ac:dyDescent="0.2">
      <c r="A20" s="109" t="s">
        <v>233</v>
      </c>
      <c r="B20" s="114">
        <f>B19+B12</f>
        <v>26092586.619999997</v>
      </c>
      <c r="C20" s="114">
        <f t="shared" ref="C20:E20" si="3">C19+C12</f>
        <v>9398497.6699999981</v>
      </c>
      <c r="D20" s="114">
        <f t="shared" si="3"/>
        <v>9398179.7659999989</v>
      </c>
      <c r="E20" s="114">
        <f t="shared" si="3"/>
        <v>9398179.7659999989</v>
      </c>
      <c r="F20" s="128"/>
    </row>
    <row r="21" spans="1:7" x14ac:dyDescent="0.2">
      <c r="A21" s="3"/>
      <c r="B21" s="2"/>
      <c r="C21" s="2"/>
      <c r="D21" s="2"/>
      <c r="E21" s="2"/>
    </row>
    <row r="22" spans="1:7" x14ac:dyDescent="0.2">
      <c r="A22" s="111"/>
      <c r="B22" s="111"/>
      <c r="C22" s="111"/>
      <c r="D22" s="12"/>
      <c r="E22" s="12"/>
    </row>
    <row r="23" spans="1:7" x14ac:dyDescent="0.2">
      <c r="A23" s="3"/>
      <c r="B23" s="2"/>
      <c r="C23" s="2"/>
      <c r="D23" s="2"/>
      <c r="E23" s="2"/>
      <c r="F23" s="2"/>
      <c r="G23" s="2"/>
    </row>
    <row r="24" spans="1:7" hidden="1" x14ac:dyDescent="0.2">
      <c r="A24" s="3" t="s">
        <v>1059</v>
      </c>
      <c r="B24" s="2">
        <f>D20</f>
        <v>9398179.7659999989</v>
      </c>
      <c r="C24" s="2">
        <f>D12</f>
        <v>9238476.1459999997</v>
      </c>
      <c r="D24" s="2">
        <f>D19</f>
        <v>159703.62</v>
      </c>
      <c r="E24" s="2"/>
      <c r="F24" s="2"/>
      <c r="G24" s="2"/>
    </row>
    <row r="25" spans="1:7" hidden="1" x14ac:dyDescent="0.2">
      <c r="A25" s="2" t="s">
        <v>1060</v>
      </c>
      <c r="B25" s="2" t="e">
        <f>#REF!</f>
        <v>#REF!</v>
      </c>
      <c r="C25" s="2">
        <f>CE_RegimeNaoContributivo!S479+CE_RegimeContributivo!S479+CE_AdministraçãoINSS!S479</f>
        <v>9238817.1970125828</v>
      </c>
      <c r="D25" s="2" t="e">
        <f>#REF!</f>
        <v>#REF!</v>
      </c>
      <c r="E25" s="2"/>
      <c r="F25" s="2"/>
      <c r="G25" s="2"/>
    </row>
    <row r="26" spans="1:7" hidden="1" x14ac:dyDescent="0.2">
      <c r="A26" s="2"/>
      <c r="B26" s="2" t="e">
        <f>B24-B25</f>
        <v>#REF!</v>
      </c>
      <c r="C26" s="2">
        <f>C24-C25</f>
        <v>-341.05101258307695</v>
      </c>
      <c r="D26" s="2" t="e">
        <f>D24-D25</f>
        <v>#REF!</v>
      </c>
      <c r="E26" s="2" t="s">
        <v>1429</v>
      </c>
      <c r="F26" s="2"/>
      <c r="G26" s="2"/>
    </row>
    <row r="27" spans="1:7" hidden="1" x14ac:dyDescent="0.2">
      <c r="A27" s="3"/>
      <c r="B27" s="136"/>
      <c r="C27" s="2"/>
      <c r="D27" s="2"/>
      <c r="E27" s="2"/>
      <c r="F27" s="2"/>
      <c r="G27" s="2"/>
    </row>
    <row r="28" spans="1:7" x14ac:dyDescent="0.2">
      <c r="B28" s="2"/>
      <c r="C28" s="2"/>
    </row>
    <row r="29" spans="1:7" x14ac:dyDescent="0.2">
      <c r="B29" s="2">
        <f>NovaLEO_Receitas!AC73</f>
        <v>52752375.470000006</v>
      </c>
      <c r="C29" s="2"/>
    </row>
    <row r="30" spans="1:7" x14ac:dyDescent="0.2">
      <c r="B30" s="2">
        <f>NovaLEO_Despesas!F184+NovaLEO_Despesas!F185+NovaLEO_Despesas!F186</f>
        <v>8124128.699000001</v>
      </c>
      <c r="C30" s="2"/>
      <c r="D30" s="2"/>
    </row>
    <row r="31" spans="1:7" x14ac:dyDescent="0.2">
      <c r="B31" s="2">
        <f>NovaLEO_Despesas!L177</f>
        <v>70263770.858999997</v>
      </c>
    </row>
    <row r="32" spans="1:7" x14ac:dyDescent="0.2">
      <c r="B32" s="2">
        <f>NovaLEO_Despesas!R301</f>
        <v>1953551.4500000002</v>
      </c>
    </row>
    <row r="33" spans="2:2" x14ac:dyDescent="0.2">
      <c r="B33" s="2">
        <f>NovaLEO_Despesas!AD301</f>
        <v>90828.329999999987</v>
      </c>
    </row>
    <row r="34" spans="2:2" x14ac:dyDescent="0.2">
      <c r="B34" s="2">
        <f>B29+B30+B31+B32+B33</f>
        <v>133184654.808</v>
      </c>
    </row>
  </sheetData>
  <mergeCells count="10">
    <mergeCell ref="A1:E1"/>
    <mergeCell ref="F3:F4"/>
    <mergeCell ref="B3:C3"/>
    <mergeCell ref="A3:A4"/>
    <mergeCell ref="A13:A14"/>
    <mergeCell ref="B13:C13"/>
    <mergeCell ref="D3:D4"/>
    <mergeCell ref="E3:E4"/>
    <mergeCell ref="D13:D14"/>
    <mergeCell ref="E13:E14"/>
  </mergeCells>
  <pageMargins left="0.7" right="0.7" top="0.75" bottom="0.75" header="0.3" footer="0.3"/>
  <pageSetup scale="8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06B21-11AB-4D09-B8A6-1A4E95D9F7F7}">
  <sheetPr>
    <tabColor theme="1"/>
  </sheetPr>
  <dimension ref="A1:AK184"/>
  <sheetViews>
    <sheetView showGridLines="0" zoomScale="90" zoomScaleNormal="90" zoomScaleSheetLayoutView="80" workbookViewId="0">
      <pane xSplit="2" ySplit="6" topLeftCell="AA58" activePane="bottomRight" state="frozen"/>
      <selection pane="topRight" activeCell="C1" sqref="C1"/>
      <selection pane="bottomLeft" activeCell="A8" sqref="A8"/>
      <selection pane="bottomRight" activeCell="Q172" sqref="Q172"/>
    </sheetView>
  </sheetViews>
  <sheetFormatPr defaultColWidth="11.42578125" defaultRowHeight="15" x14ac:dyDescent="0.2"/>
  <cols>
    <col min="1" max="1" width="17.85546875" style="16" customWidth="1"/>
    <col min="2" max="2" width="55.28515625" style="16" customWidth="1"/>
    <col min="3" max="5" width="13.5703125" style="16" customWidth="1"/>
    <col min="6" max="6" width="9.42578125" style="16" customWidth="1"/>
    <col min="7" max="7" width="15" style="16" customWidth="1"/>
    <col min="8" max="9" width="15.5703125" style="16" customWidth="1"/>
    <col min="10" max="10" width="9.42578125" style="16" customWidth="1"/>
    <col min="11" max="13" width="13.140625" style="16" customWidth="1"/>
    <col min="14" max="14" width="9.42578125" style="16" customWidth="1"/>
    <col min="15" max="17" width="15.5703125" style="16" customWidth="1"/>
    <col min="18" max="18" width="10.140625" style="16" customWidth="1"/>
    <col min="19" max="19" width="13.140625" style="16" customWidth="1"/>
    <col min="20" max="20" width="17.7109375" style="16" customWidth="1"/>
    <col min="21" max="21" width="13.140625" style="16" customWidth="1"/>
    <col min="22" max="22" width="13.85546875" style="16" customWidth="1"/>
    <col min="23" max="23" width="12.5703125" style="16" customWidth="1"/>
    <col min="24" max="24" width="15.140625" style="16" customWidth="1"/>
    <col min="25" max="25" width="11.42578125" style="16" customWidth="1"/>
    <col min="26" max="26" width="8.7109375" style="16" customWidth="1"/>
    <col min="27" max="29" width="15.5703125" style="16" bestFit="1" customWidth="1"/>
    <col min="30" max="30" width="11.85546875" style="16" customWidth="1"/>
    <col min="31" max="32" width="13.5703125" style="16" bestFit="1" customWidth="1"/>
    <col min="33" max="33" width="11.42578125" style="16"/>
    <col min="34" max="37" width="13.42578125" style="16" bestFit="1" customWidth="1"/>
    <col min="38" max="16384" width="11.42578125" style="16"/>
  </cols>
  <sheetData>
    <row r="1" spans="1:33" ht="21" customHeight="1" x14ac:dyDescent="0.2">
      <c r="A1" s="563" t="s">
        <v>695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563"/>
      <c r="M1" s="563"/>
      <c r="N1" s="563"/>
      <c r="O1" s="563"/>
      <c r="P1" s="563"/>
      <c r="Q1" s="563"/>
      <c r="R1" s="563"/>
      <c r="S1" s="563"/>
      <c r="T1" s="563"/>
      <c r="U1" s="563"/>
      <c r="V1" s="563"/>
      <c r="W1" s="563"/>
      <c r="X1" s="563"/>
      <c r="Y1" s="563"/>
      <c r="Z1" s="563"/>
      <c r="AA1" s="563"/>
      <c r="AB1" s="563"/>
      <c r="AC1" s="563"/>
      <c r="AD1" s="563"/>
    </row>
    <row r="2" spans="1:33" ht="21" x14ac:dyDescent="0.2">
      <c r="A2" s="563">
        <v>2026</v>
      </c>
      <c r="B2" s="563"/>
      <c r="C2" s="563"/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563"/>
      <c r="AA2" s="563"/>
      <c r="AB2" s="563"/>
      <c r="AC2" s="563"/>
      <c r="AD2" s="563"/>
    </row>
    <row r="3" spans="1:33" ht="21" x14ac:dyDescent="0.2">
      <c r="A3" s="563" t="s">
        <v>1427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</row>
    <row r="4" spans="1:33" ht="21" x14ac:dyDescent="0.2">
      <c r="A4" s="563"/>
      <c r="B4" s="563"/>
      <c r="C4" s="563"/>
      <c r="D4" s="563"/>
      <c r="E4" s="563"/>
      <c r="F4" s="563"/>
      <c r="G4" s="563"/>
      <c r="H4" s="563"/>
      <c r="I4" s="563"/>
      <c r="J4" s="563"/>
      <c r="K4" s="563"/>
      <c r="L4" s="563"/>
      <c r="M4" s="563"/>
      <c r="N4" s="563"/>
      <c r="O4" s="563"/>
      <c r="P4" s="563"/>
      <c r="Q4" s="563"/>
      <c r="R4" s="563"/>
      <c r="S4" s="563"/>
      <c r="T4" s="563"/>
      <c r="U4" s="563"/>
      <c r="V4" s="563"/>
      <c r="W4" s="563"/>
      <c r="X4" s="563"/>
      <c r="Y4" s="563"/>
      <c r="Z4" s="563"/>
      <c r="AA4" s="563"/>
      <c r="AB4" s="24"/>
      <c r="AC4" s="24"/>
    </row>
    <row r="5" spans="1:33" ht="15" customHeight="1" x14ac:dyDescent="0.2">
      <c r="A5" s="560" t="s">
        <v>696</v>
      </c>
      <c r="B5" s="560"/>
      <c r="C5" s="560" t="s">
        <v>1065</v>
      </c>
      <c r="D5" s="560"/>
      <c r="E5" s="560"/>
      <c r="F5" s="560"/>
      <c r="G5" s="560"/>
      <c r="H5" s="560"/>
      <c r="I5" s="560"/>
      <c r="J5" s="560"/>
      <c r="K5" s="560"/>
      <c r="L5" s="560"/>
      <c r="M5" s="560"/>
      <c r="N5" s="560"/>
      <c r="O5" s="560"/>
      <c r="P5" s="560"/>
      <c r="Q5" s="560"/>
      <c r="R5" s="560"/>
      <c r="S5" s="560"/>
      <c r="T5" s="560"/>
      <c r="U5" s="560"/>
      <c r="V5" s="560"/>
      <c r="W5" s="560"/>
      <c r="X5" s="560"/>
      <c r="Y5" s="560"/>
      <c r="Z5" s="560"/>
      <c r="AA5" s="560"/>
      <c r="AB5" s="560"/>
      <c r="AC5" s="560"/>
      <c r="AD5" s="560"/>
    </row>
    <row r="6" spans="1:33" ht="15.75" customHeight="1" x14ac:dyDescent="0.2">
      <c r="A6" s="561" t="s">
        <v>101</v>
      </c>
      <c r="B6" s="560" t="s">
        <v>102</v>
      </c>
      <c r="C6" s="562" t="s">
        <v>103</v>
      </c>
      <c r="D6" s="560"/>
      <c r="E6" s="560"/>
      <c r="F6" s="560"/>
      <c r="G6" s="560" t="s">
        <v>104</v>
      </c>
      <c r="H6" s="560"/>
      <c r="I6" s="560"/>
      <c r="J6" s="560"/>
      <c r="K6" s="560" t="s">
        <v>1090</v>
      </c>
      <c r="L6" s="560"/>
      <c r="M6" s="560"/>
      <c r="N6" s="560"/>
      <c r="O6" s="558" t="s">
        <v>1064</v>
      </c>
      <c r="P6" s="558"/>
      <c r="Q6" s="558"/>
      <c r="R6" s="558"/>
      <c r="S6" s="560" t="s">
        <v>1091</v>
      </c>
      <c r="T6" s="560"/>
      <c r="U6" s="560"/>
      <c r="V6" s="560"/>
      <c r="W6" s="558" t="s">
        <v>1092</v>
      </c>
      <c r="X6" s="558"/>
      <c r="Y6" s="558"/>
      <c r="Z6" s="558"/>
      <c r="AA6" s="559" t="s">
        <v>122</v>
      </c>
      <c r="AB6" s="559"/>
      <c r="AC6" s="559"/>
      <c r="AD6" s="559"/>
    </row>
    <row r="7" spans="1:33" ht="30" x14ac:dyDescent="0.2">
      <c r="A7" s="561"/>
      <c r="B7" s="560"/>
      <c r="C7" s="81" t="s">
        <v>146</v>
      </c>
      <c r="D7" s="54" t="s">
        <v>147</v>
      </c>
      <c r="E7" s="54" t="s">
        <v>148</v>
      </c>
      <c r="F7" s="54" t="s">
        <v>45</v>
      </c>
      <c r="G7" s="54" t="s">
        <v>146</v>
      </c>
      <c r="H7" s="54" t="s">
        <v>147</v>
      </c>
      <c r="I7" s="54" t="s">
        <v>148</v>
      </c>
      <c r="J7" s="54" t="s">
        <v>45</v>
      </c>
      <c r="K7" s="54" t="s">
        <v>146</v>
      </c>
      <c r="L7" s="54" t="s">
        <v>147</v>
      </c>
      <c r="M7" s="54" t="s">
        <v>148</v>
      </c>
      <c r="N7" s="54" t="s">
        <v>45</v>
      </c>
      <c r="O7" s="66" t="s">
        <v>146</v>
      </c>
      <c r="P7" s="66" t="s">
        <v>147</v>
      </c>
      <c r="Q7" s="66" t="s">
        <v>148</v>
      </c>
      <c r="R7" s="66" t="s">
        <v>45</v>
      </c>
      <c r="S7" s="54" t="s">
        <v>146</v>
      </c>
      <c r="T7" s="54" t="s">
        <v>147</v>
      </c>
      <c r="U7" s="54" t="s">
        <v>148</v>
      </c>
      <c r="V7" s="54" t="s">
        <v>45</v>
      </c>
      <c r="W7" s="66" t="s">
        <v>146</v>
      </c>
      <c r="X7" s="66" t="s">
        <v>147</v>
      </c>
      <c r="Y7" s="66" t="s">
        <v>148</v>
      </c>
      <c r="Z7" s="66" t="s">
        <v>45</v>
      </c>
      <c r="AA7" s="99" t="s">
        <v>146</v>
      </c>
      <c r="AB7" s="99" t="s">
        <v>147</v>
      </c>
      <c r="AC7" s="99" t="s">
        <v>148</v>
      </c>
      <c r="AD7" s="99" t="s">
        <v>45</v>
      </c>
    </row>
    <row r="8" spans="1:33" x14ac:dyDescent="0.2">
      <c r="A8" s="75">
        <v>401</v>
      </c>
      <c r="B8" s="69" t="s">
        <v>697</v>
      </c>
      <c r="C8" s="82">
        <f>C9+C21+C22</f>
        <v>46250305</v>
      </c>
      <c r="D8" s="82">
        <f>D9+D21+D22</f>
        <v>46250305</v>
      </c>
      <c r="E8" s="82">
        <f>E9+E21+E22</f>
        <v>43386760.390000001</v>
      </c>
      <c r="F8" s="29">
        <f>E8/D8</f>
        <v>0.93808593024413567</v>
      </c>
      <c r="G8" s="82">
        <f t="shared" ref="G8:I8" si="0">G9+G21+G22</f>
        <v>0</v>
      </c>
      <c r="H8" s="82">
        <f t="shared" si="0"/>
        <v>0</v>
      </c>
      <c r="I8" s="82">
        <f t="shared" si="0"/>
        <v>0</v>
      </c>
      <c r="J8" s="29" t="e">
        <f>I8/H8</f>
        <v>#DIV/0!</v>
      </c>
      <c r="K8" s="18">
        <f>K9+K21+K22</f>
        <v>0</v>
      </c>
      <c r="L8" s="18">
        <f t="shared" ref="L8:M8" si="1">L9+L21+L22</f>
        <v>0</v>
      </c>
      <c r="M8" s="18">
        <f t="shared" si="1"/>
        <v>0</v>
      </c>
      <c r="N8" s="29" t="e">
        <f>M8/L8</f>
        <v>#DIV/0!</v>
      </c>
      <c r="O8" s="18">
        <f>C8+G8+K8</f>
        <v>46250305</v>
      </c>
      <c r="P8" s="18">
        <f>D8+H8+L8</f>
        <v>46250305</v>
      </c>
      <c r="Q8" s="18">
        <f>E8+I8+M8</f>
        <v>43386760.390000001</v>
      </c>
      <c r="R8" s="29">
        <f>Q8/P8</f>
        <v>0.93808593024413567</v>
      </c>
      <c r="S8" s="18">
        <f>S9+S21+S22</f>
        <v>0</v>
      </c>
      <c r="T8" s="18">
        <f t="shared" ref="T8:U8" si="2">T9+T21+T22</f>
        <v>0</v>
      </c>
      <c r="U8" s="18">
        <f t="shared" si="2"/>
        <v>0</v>
      </c>
      <c r="V8" s="29" t="e">
        <f>U8/T8</f>
        <v>#DIV/0!</v>
      </c>
      <c r="W8" s="18">
        <f>S8</f>
        <v>0</v>
      </c>
      <c r="X8" s="18">
        <f t="shared" ref="X8:Y8" si="3">T8</f>
        <v>0</v>
      </c>
      <c r="Y8" s="18">
        <f t="shared" si="3"/>
        <v>0</v>
      </c>
      <c r="Z8" s="29" t="e">
        <f>Y8/X8</f>
        <v>#DIV/0!</v>
      </c>
      <c r="AA8" s="18">
        <f>O8+W8</f>
        <v>46250305</v>
      </c>
      <c r="AB8" s="18">
        <f t="shared" ref="AB8:AC8" si="4">P8+X8</f>
        <v>46250305</v>
      </c>
      <c r="AC8" s="18">
        <f t="shared" si="4"/>
        <v>43386760.390000001</v>
      </c>
      <c r="AD8" s="29">
        <f>AC8/AB8</f>
        <v>0.93808593024413567</v>
      </c>
      <c r="AE8" s="24"/>
      <c r="AF8" s="24"/>
      <c r="AG8" s="67"/>
    </row>
    <row r="9" spans="1:33" x14ac:dyDescent="0.2">
      <c r="A9" s="76" t="str">
        <f>"401.01"</f>
        <v>401.01</v>
      </c>
      <c r="B9" s="70" t="s">
        <v>105</v>
      </c>
      <c r="C9" s="83">
        <f>SUM(C10:C20)</f>
        <v>0</v>
      </c>
      <c r="D9" s="83">
        <f>SUM(D10:D20)</f>
        <v>0</v>
      </c>
      <c r="E9" s="83">
        <f>SUM(E10:E20)</f>
        <v>0</v>
      </c>
      <c r="F9" s="30" t="e">
        <f t="shared" ref="F9:F72" si="5">E9/D9</f>
        <v>#DIV/0!</v>
      </c>
      <c r="G9" s="83">
        <f>SUM(G10:G20)</f>
        <v>0</v>
      </c>
      <c r="H9" s="83">
        <f t="shared" ref="H9:I9" si="6">SUM(H10:H20)</f>
        <v>0</v>
      </c>
      <c r="I9" s="83">
        <f t="shared" si="6"/>
        <v>0</v>
      </c>
      <c r="J9" s="30" t="e">
        <f t="shared" ref="J9:J72" si="7">I9/H9</f>
        <v>#DIV/0!</v>
      </c>
      <c r="K9" s="19">
        <f>SUM(K10:K20)</f>
        <v>0</v>
      </c>
      <c r="L9" s="19">
        <f t="shared" ref="L9:M9" si="8">SUM(L10:L20)</f>
        <v>0</v>
      </c>
      <c r="M9" s="19">
        <f t="shared" si="8"/>
        <v>0</v>
      </c>
      <c r="N9" s="30" t="e">
        <f t="shared" ref="N9:N72" si="9">M9/L9</f>
        <v>#DIV/0!</v>
      </c>
      <c r="O9" s="19">
        <f t="shared" ref="O9:Q72" si="10">C9+G9+K9</f>
        <v>0</v>
      </c>
      <c r="P9" s="19">
        <f t="shared" si="10"/>
        <v>0</v>
      </c>
      <c r="Q9" s="19">
        <f t="shared" si="10"/>
        <v>0</v>
      </c>
      <c r="R9" s="30" t="e">
        <f t="shared" ref="R9:R72" si="11">Q9/P9</f>
        <v>#DIV/0!</v>
      </c>
      <c r="S9" s="19">
        <f>SUM(S10:S20)</f>
        <v>0</v>
      </c>
      <c r="T9" s="19">
        <f t="shared" ref="T9:U9" si="12">SUM(T10:T20)</f>
        <v>0</v>
      </c>
      <c r="U9" s="19">
        <f t="shared" si="12"/>
        <v>0</v>
      </c>
      <c r="V9" s="30" t="e">
        <f t="shared" ref="V9:V72" si="13">U9/T9</f>
        <v>#DIV/0!</v>
      </c>
      <c r="W9" s="19">
        <f t="shared" ref="W9:W72" si="14">S9</f>
        <v>0</v>
      </c>
      <c r="X9" s="19">
        <f t="shared" ref="X9:X72" si="15">T9</f>
        <v>0</v>
      </c>
      <c r="Y9" s="19">
        <f t="shared" ref="Y9:Y72" si="16">U9</f>
        <v>0</v>
      </c>
      <c r="Z9" s="30" t="e">
        <f t="shared" ref="Z9:Z72" si="17">Y9/X9</f>
        <v>#DIV/0!</v>
      </c>
      <c r="AA9" s="19">
        <f t="shared" ref="AA9:AA72" si="18">O9+W9</f>
        <v>0</v>
      </c>
      <c r="AB9" s="19">
        <f t="shared" ref="AB9:AB72" si="19">P9+X9</f>
        <v>0</v>
      </c>
      <c r="AC9" s="19">
        <f t="shared" ref="AC9:AC72" si="20">Q9+Y9</f>
        <v>0</v>
      </c>
      <c r="AD9" s="30" t="e">
        <f t="shared" ref="AD9:AD72" si="21">AC9/AB9</f>
        <v>#DIV/0!</v>
      </c>
      <c r="AE9" s="24"/>
      <c r="AF9" s="24"/>
      <c r="AG9" s="67"/>
    </row>
    <row r="10" spans="1:33" x14ac:dyDescent="0.2">
      <c r="A10" s="77" t="str">
        <f>"401.01.01"</f>
        <v>401.01.01</v>
      </c>
      <c r="B10" s="71" t="s">
        <v>698</v>
      </c>
      <c r="C10" s="84">
        <f>CE_RegimeContributivo!B12</f>
        <v>0</v>
      </c>
      <c r="D10" s="84">
        <f>CE_RegimeContributivo!C12</f>
        <v>0</v>
      </c>
      <c r="E10" s="84">
        <f>CE_RegimeContributivo!S12</f>
        <v>0</v>
      </c>
      <c r="F10" s="31" t="e">
        <f t="shared" si="5"/>
        <v>#DIV/0!</v>
      </c>
      <c r="G10" s="84">
        <f>CE_RegimeNaoContributivo!B12</f>
        <v>0</v>
      </c>
      <c r="H10" s="84">
        <f>CE_RegimeNaoContributivo!C12</f>
        <v>0</v>
      </c>
      <c r="I10" s="84">
        <f>CE_RegimeNaoContributivo!S12</f>
        <v>0</v>
      </c>
      <c r="J10" s="31" t="e">
        <f t="shared" si="7"/>
        <v>#DIV/0!</v>
      </c>
      <c r="K10" s="20">
        <f>CE_AdministraçãoINSS!B12</f>
        <v>0</v>
      </c>
      <c r="L10" s="20">
        <f>CE_AdministraçãoINSS!C12</f>
        <v>0</v>
      </c>
      <c r="M10" s="20">
        <f>CE_AdministraçãoINSS!S12</f>
        <v>0</v>
      </c>
      <c r="N10" s="31" t="e">
        <f t="shared" si="9"/>
        <v>#DIV/0!</v>
      </c>
      <c r="O10" s="20">
        <f t="shared" si="10"/>
        <v>0</v>
      </c>
      <c r="P10" s="20">
        <f t="shared" si="10"/>
        <v>0</v>
      </c>
      <c r="Q10" s="20">
        <f t="shared" si="10"/>
        <v>0</v>
      </c>
      <c r="R10" s="31" t="e">
        <f t="shared" si="11"/>
        <v>#DIV/0!</v>
      </c>
      <c r="S10" s="20">
        <f>CE_AdministraçãoFRSS!B12</f>
        <v>0</v>
      </c>
      <c r="T10" s="20">
        <f>CE_AdministraçãoFRSS!C12</f>
        <v>0</v>
      </c>
      <c r="U10" s="20">
        <f>CE_AdministraçãoFRSS!S12</f>
        <v>0</v>
      </c>
      <c r="V10" s="31" t="e">
        <f t="shared" si="13"/>
        <v>#DIV/0!</v>
      </c>
      <c r="W10" s="20">
        <f t="shared" si="14"/>
        <v>0</v>
      </c>
      <c r="X10" s="20">
        <f t="shared" si="15"/>
        <v>0</v>
      </c>
      <c r="Y10" s="20">
        <f t="shared" si="16"/>
        <v>0</v>
      </c>
      <c r="Z10" s="31" t="e">
        <f t="shared" si="17"/>
        <v>#DIV/0!</v>
      </c>
      <c r="AA10" s="20">
        <f t="shared" si="18"/>
        <v>0</v>
      </c>
      <c r="AB10" s="20">
        <f t="shared" si="19"/>
        <v>0</v>
      </c>
      <c r="AC10" s="20">
        <f t="shared" si="20"/>
        <v>0</v>
      </c>
      <c r="AD10" s="31" t="e">
        <f t="shared" si="21"/>
        <v>#DIV/0!</v>
      </c>
      <c r="AE10" s="24"/>
      <c r="AF10" s="24"/>
      <c r="AG10" s="67"/>
    </row>
    <row r="11" spans="1:33" x14ac:dyDescent="0.2">
      <c r="A11" s="77" t="str">
        <f>"401.01.02"</f>
        <v>401.01.02</v>
      </c>
      <c r="B11" s="71" t="s">
        <v>699</v>
      </c>
      <c r="C11" s="84">
        <f>CE_RegimeContributivo!B13</f>
        <v>0</v>
      </c>
      <c r="D11" s="84">
        <f>CE_RegimeContributivo!C13</f>
        <v>0</v>
      </c>
      <c r="E11" s="84">
        <f>CE_RegimeContributivo!S13</f>
        <v>0</v>
      </c>
      <c r="F11" s="31" t="e">
        <f t="shared" si="5"/>
        <v>#DIV/0!</v>
      </c>
      <c r="G11" s="84">
        <f>CE_RegimeNaoContributivo!B13</f>
        <v>0</v>
      </c>
      <c r="H11" s="84">
        <f>CE_RegimeNaoContributivo!C13</f>
        <v>0</v>
      </c>
      <c r="I11" s="84">
        <f>CE_RegimeNaoContributivo!S13</f>
        <v>0</v>
      </c>
      <c r="J11" s="31" t="e">
        <f t="shared" si="7"/>
        <v>#DIV/0!</v>
      </c>
      <c r="K11" s="20">
        <f>CE_AdministraçãoINSS!B13</f>
        <v>0</v>
      </c>
      <c r="L11" s="20">
        <f>CE_AdministraçãoINSS!C13</f>
        <v>0</v>
      </c>
      <c r="M11" s="20">
        <f>CE_AdministraçãoINSS!S13</f>
        <v>0</v>
      </c>
      <c r="N11" s="31" t="e">
        <f t="shared" si="9"/>
        <v>#DIV/0!</v>
      </c>
      <c r="O11" s="20">
        <f t="shared" si="10"/>
        <v>0</v>
      </c>
      <c r="P11" s="20">
        <f t="shared" si="10"/>
        <v>0</v>
      </c>
      <c r="Q11" s="20">
        <f t="shared" si="10"/>
        <v>0</v>
      </c>
      <c r="R11" s="31" t="e">
        <f t="shared" si="11"/>
        <v>#DIV/0!</v>
      </c>
      <c r="S11" s="20">
        <f>CE_AdministraçãoFRSS!B13</f>
        <v>0</v>
      </c>
      <c r="T11" s="20">
        <f>CE_AdministraçãoFRSS!C13</f>
        <v>0</v>
      </c>
      <c r="U11" s="20">
        <f>CE_AdministraçãoFRSS!S13</f>
        <v>0</v>
      </c>
      <c r="V11" s="31" t="e">
        <f t="shared" si="13"/>
        <v>#DIV/0!</v>
      </c>
      <c r="W11" s="20">
        <f t="shared" si="14"/>
        <v>0</v>
      </c>
      <c r="X11" s="20">
        <f t="shared" si="15"/>
        <v>0</v>
      </c>
      <c r="Y11" s="20">
        <f t="shared" si="16"/>
        <v>0</v>
      </c>
      <c r="Z11" s="31" t="e">
        <f t="shared" si="17"/>
        <v>#DIV/0!</v>
      </c>
      <c r="AA11" s="20">
        <f t="shared" si="18"/>
        <v>0</v>
      </c>
      <c r="AB11" s="20">
        <f t="shared" si="19"/>
        <v>0</v>
      </c>
      <c r="AC11" s="20">
        <f t="shared" si="20"/>
        <v>0</v>
      </c>
      <c r="AD11" s="31" t="e">
        <f t="shared" si="21"/>
        <v>#DIV/0!</v>
      </c>
      <c r="AE11" s="24"/>
      <c r="AF11" s="24"/>
      <c r="AG11" s="67"/>
    </row>
    <row r="12" spans="1:33" x14ac:dyDescent="0.2">
      <c r="A12" s="77" t="str">
        <f>"401.01.03"</f>
        <v>401.01.03</v>
      </c>
      <c r="B12" s="71" t="s">
        <v>700</v>
      </c>
      <c r="C12" s="84">
        <f>CE_RegimeContributivo!B14</f>
        <v>0</v>
      </c>
      <c r="D12" s="84">
        <f>CE_RegimeContributivo!C14</f>
        <v>0</v>
      </c>
      <c r="E12" s="84">
        <f>CE_RegimeContributivo!S14</f>
        <v>0</v>
      </c>
      <c r="F12" s="31" t="e">
        <f t="shared" si="5"/>
        <v>#DIV/0!</v>
      </c>
      <c r="G12" s="84">
        <f>CE_RegimeNaoContributivo!B14</f>
        <v>0</v>
      </c>
      <c r="H12" s="84">
        <f>CE_RegimeNaoContributivo!C14</f>
        <v>0</v>
      </c>
      <c r="I12" s="84">
        <f>CE_RegimeNaoContributivo!S14</f>
        <v>0</v>
      </c>
      <c r="J12" s="31" t="e">
        <f t="shared" si="7"/>
        <v>#DIV/0!</v>
      </c>
      <c r="K12" s="20">
        <f>CE_AdministraçãoINSS!B14</f>
        <v>0</v>
      </c>
      <c r="L12" s="20">
        <f>CE_AdministraçãoINSS!C14</f>
        <v>0</v>
      </c>
      <c r="M12" s="20">
        <f>CE_AdministraçãoINSS!S14</f>
        <v>0</v>
      </c>
      <c r="N12" s="31" t="e">
        <f t="shared" si="9"/>
        <v>#DIV/0!</v>
      </c>
      <c r="O12" s="20">
        <f t="shared" si="10"/>
        <v>0</v>
      </c>
      <c r="P12" s="20">
        <f t="shared" si="10"/>
        <v>0</v>
      </c>
      <c r="Q12" s="20">
        <f t="shared" si="10"/>
        <v>0</v>
      </c>
      <c r="R12" s="31" t="e">
        <f t="shared" si="11"/>
        <v>#DIV/0!</v>
      </c>
      <c r="S12" s="20">
        <f>CE_AdministraçãoFRSS!B14</f>
        <v>0</v>
      </c>
      <c r="T12" s="20">
        <f>CE_AdministraçãoFRSS!C14</f>
        <v>0</v>
      </c>
      <c r="U12" s="20">
        <f>CE_AdministraçãoFRSS!S14</f>
        <v>0</v>
      </c>
      <c r="V12" s="31" t="e">
        <f t="shared" si="13"/>
        <v>#DIV/0!</v>
      </c>
      <c r="W12" s="20">
        <f t="shared" si="14"/>
        <v>0</v>
      </c>
      <c r="X12" s="20">
        <f t="shared" si="15"/>
        <v>0</v>
      </c>
      <c r="Y12" s="20">
        <f t="shared" si="16"/>
        <v>0</v>
      </c>
      <c r="Z12" s="31" t="e">
        <f t="shared" si="17"/>
        <v>#DIV/0!</v>
      </c>
      <c r="AA12" s="20">
        <f t="shared" si="18"/>
        <v>0</v>
      </c>
      <c r="AB12" s="20">
        <f t="shared" si="19"/>
        <v>0</v>
      </c>
      <c r="AC12" s="20">
        <f t="shared" si="20"/>
        <v>0</v>
      </c>
      <c r="AD12" s="31" t="e">
        <f t="shared" si="21"/>
        <v>#DIV/0!</v>
      </c>
      <c r="AE12" s="24"/>
      <c r="AF12" s="24"/>
      <c r="AG12" s="67"/>
    </row>
    <row r="13" spans="1:33" x14ac:dyDescent="0.2">
      <c r="A13" s="77" t="str">
        <f>"401.01.04"</f>
        <v>401.01.04</v>
      </c>
      <c r="B13" s="71" t="s">
        <v>701</v>
      </c>
      <c r="C13" s="84">
        <f>CE_RegimeContributivo!B15</f>
        <v>0</v>
      </c>
      <c r="D13" s="84">
        <f>CE_RegimeContributivo!C15</f>
        <v>0</v>
      </c>
      <c r="E13" s="84">
        <f>CE_RegimeContributivo!S15</f>
        <v>0</v>
      </c>
      <c r="F13" s="31" t="e">
        <f t="shared" si="5"/>
        <v>#DIV/0!</v>
      </c>
      <c r="G13" s="84">
        <f>CE_RegimeNaoContributivo!B15</f>
        <v>0</v>
      </c>
      <c r="H13" s="84">
        <f>CE_RegimeNaoContributivo!C15</f>
        <v>0</v>
      </c>
      <c r="I13" s="84">
        <f>CE_RegimeNaoContributivo!S15</f>
        <v>0</v>
      </c>
      <c r="J13" s="31" t="e">
        <f t="shared" si="7"/>
        <v>#DIV/0!</v>
      </c>
      <c r="K13" s="20">
        <f>CE_AdministraçãoINSS!B15</f>
        <v>0</v>
      </c>
      <c r="L13" s="20">
        <f>CE_AdministraçãoINSS!C15</f>
        <v>0</v>
      </c>
      <c r="M13" s="20">
        <f>CE_AdministraçãoINSS!S15</f>
        <v>0</v>
      </c>
      <c r="N13" s="31" t="e">
        <f t="shared" si="9"/>
        <v>#DIV/0!</v>
      </c>
      <c r="O13" s="20">
        <f t="shared" si="10"/>
        <v>0</v>
      </c>
      <c r="P13" s="20">
        <f t="shared" si="10"/>
        <v>0</v>
      </c>
      <c r="Q13" s="20">
        <f t="shared" si="10"/>
        <v>0</v>
      </c>
      <c r="R13" s="31" t="e">
        <f t="shared" si="11"/>
        <v>#DIV/0!</v>
      </c>
      <c r="S13" s="20">
        <f>CE_AdministraçãoFRSS!B15</f>
        <v>0</v>
      </c>
      <c r="T13" s="20">
        <f>CE_AdministraçãoFRSS!C15</f>
        <v>0</v>
      </c>
      <c r="U13" s="20">
        <f>CE_AdministraçãoFRSS!S15</f>
        <v>0</v>
      </c>
      <c r="V13" s="31" t="e">
        <f t="shared" si="13"/>
        <v>#DIV/0!</v>
      </c>
      <c r="W13" s="20">
        <f t="shared" si="14"/>
        <v>0</v>
      </c>
      <c r="X13" s="20">
        <f t="shared" si="15"/>
        <v>0</v>
      </c>
      <c r="Y13" s="20">
        <f t="shared" si="16"/>
        <v>0</v>
      </c>
      <c r="Z13" s="31" t="e">
        <f t="shared" si="17"/>
        <v>#DIV/0!</v>
      </c>
      <c r="AA13" s="20">
        <f t="shared" si="18"/>
        <v>0</v>
      </c>
      <c r="AB13" s="20">
        <f t="shared" si="19"/>
        <v>0</v>
      </c>
      <c r="AC13" s="20">
        <f t="shared" si="20"/>
        <v>0</v>
      </c>
      <c r="AD13" s="31" t="e">
        <f t="shared" si="21"/>
        <v>#DIV/0!</v>
      </c>
      <c r="AE13" s="24"/>
      <c r="AF13" s="24"/>
      <c r="AG13" s="67"/>
    </row>
    <row r="14" spans="1:33" x14ac:dyDescent="0.2">
      <c r="A14" s="77" t="str">
        <f>"401.01.05"</f>
        <v>401.01.05</v>
      </c>
      <c r="B14" s="71" t="s">
        <v>702</v>
      </c>
      <c r="C14" s="84">
        <f>CE_RegimeContributivo!B16</f>
        <v>0</v>
      </c>
      <c r="D14" s="84">
        <f>CE_RegimeContributivo!C16</f>
        <v>0</v>
      </c>
      <c r="E14" s="84">
        <f>CE_RegimeContributivo!S16</f>
        <v>0</v>
      </c>
      <c r="F14" s="31" t="e">
        <f t="shared" si="5"/>
        <v>#DIV/0!</v>
      </c>
      <c r="G14" s="84">
        <f>CE_RegimeNaoContributivo!B16</f>
        <v>0</v>
      </c>
      <c r="H14" s="84">
        <f>CE_RegimeNaoContributivo!C16</f>
        <v>0</v>
      </c>
      <c r="I14" s="84">
        <f>CE_RegimeNaoContributivo!S16</f>
        <v>0</v>
      </c>
      <c r="J14" s="31" t="e">
        <f t="shared" si="7"/>
        <v>#DIV/0!</v>
      </c>
      <c r="K14" s="20">
        <f>CE_AdministraçãoINSS!B16</f>
        <v>0</v>
      </c>
      <c r="L14" s="20">
        <f>CE_AdministraçãoINSS!C16</f>
        <v>0</v>
      </c>
      <c r="M14" s="20">
        <f>CE_AdministraçãoINSS!S16</f>
        <v>0</v>
      </c>
      <c r="N14" s="31" t="e">
        <f t="shared" si="9"/>
        <v>#DIV/0!</v>
      </c>
      <c r="O14" s="20">
        <f t="shared" si="10"/>
        <v>0</v>
      </c>
      <c r="P14" s="20">
        <f t="shared" si="10"/>
        <v>0</v>
      </c>
      <c r="Q14" s="20">
        <f t="shared" si="10"/>
        <v>0</v>
      </c>
      <c r="R14" s="31" t="e">
        <f t="shared" si="11"/>
        <v>#DIV/0!</v>
      </c>
      <c r="S14" s="20">
        <f>CE_AdministraçãoFRSS!B16</f>
        <v>0</v>
      </c>
      <c r="T14" s="20">
        <f>CE_AdministraçãoFRSS!C16</f>
        <v>0</v>
      </c>
      <c r="U14" s="20">
        <f>CE_AdministraçãoFRSS!S16</f>
        <v>0</v>
      </c>
      <c r="V14" s="31" t="e">
        <f t="shared" si="13"/>
        <v>#DIV/0!</v>
      </c>
      <c r="W14" s="20">
        <f t="shared" si="14"/>
        <v>0</v>
      </c>
      <c r="X14" s="20">
        <f t="shared" si="15"/>
        <v>0</v>
      </c>
      <c r="Y14" s="20">
        <f t="shared" si="16"/>
        <v>0</v>
      </c>
      <c r="Z14" s="31" t="e">
        <f t="shared" si="17"/>
        <v>#DIV/0!</v>
      </c>
      <c r="AA14" s="20">
        <f t="shared" si="18"/>
        <v>0</v>
      </c>
      <c r="AB14" s="20">
        <f t="shared" si="19"/>
        <v>0</v>
      </c>
      <c r="AC14" s="20">
        <f t="shared" si="20"/>
        <v>0</v>
      </c>
      <c r="AD14" s="31" t="e">
        <f t="shared" si="21"/>
        <v>#DIV/0!</v>
      </c>
      <c r="AE14" s="24"/>
      <c r="AF14" s="24"/>
      <c r="AG14" s="67"/>
    </row>
    <row r="15" spans="1:33" x14ac:dyDescent="0.2">
      <c r="A15" s="77" t="str">
        <f>"401.01.06"</f>
        <v>401.01.06</v>
      </c>
      <c r="B15" s="71" t="s">
        <v>703</v>
      </c>
      <c r="C15" s="84">
        <f>CE_RegimeContributivo!B17</f>
        <v>0</v>
      </c>
      <c r="D15" s="84">
        <f>CE_RegimeContributivo!C17</f>
        <v>0</v>
      </c>
      <c r="E15" s="84">
        <f>CE_RegimeContributivo!S17</f>
        <v>0</v>
      </c>
      <c r="F15" s="31" t="e">
        <f t="shared" si="5"/>
        <v>#DIV/0!</v>
      </c>
      <c r="G15" s="84">
        <f>CE_RegimeNaoContributivo!B17</f>
        <v>0</v>
      </c>
      <c r="H15" s="84">
        <f>CE_RegimeNaoContributivo!C17</f>
        <v>0</v>
      </c>
      <c r="I15" s="84">
        <f>CE_RegimeNaoContributivo!S17</f>
        <v>0</v>
      </c>
      <c r="J15" s="31" t="e">
        <f t="shared" si="7"/>
        <v>#DIV/0!</v>
      </c>
      <c r="K15" s="20">
        <f>CE_AdministraçãoINSS!B17</f>
        <v>0</v>
      </c>
      <c r="L15" s="20">
        <f>CE_AdministraçãoINSS!C17</f>
        <v>0</v>
      </c>
      <c r="M15" s="20">
        <f>CE_AdministraçãoINSS!S17</f>
        <v>0</v>
      </c>
      <c r="N15" s="31" t="e">
        <f t="shared" si="9"/>
        <v>#DIV/0!</v>
      </c>
      <c r="O15" s="20">
        <f t="shared" si="10"/>
        <v>0</v>
      </c>
      <c r="P15" s="20">
        <f t="shared" si="10"/>
        <v>0</v>
      </c>
      <c r="Q15" s="20">
        <f t="shared" si="10"/>
        <v>0</v>
      </c>
      <c r="R15" s="31" t="e">
        <f t="shared" si="11"/>
        <v>#DIV/0!</v>
      </c>
      <c r="S15" s="20">
        <f>CE_AdministraçãoFRSS!B17</f>
        <v>0</v>
      </c>
      <c r="T15" s="20">
        <f>CE_AdministraçãoFRSS!C17</f>
        <v>0</v>
      </c>
      <c r="U15" s="20">
        <f>CE_AdministraçãoFRSS!S17</f>
        <v>0</v>
      </c>
      <c r="V15" s="31" t="e">
        <f t="shared" si="13"/>
        <v>#DIV/0!</v>
      </c>
      <c r="W15" s="20">
        <f t="shared" si="14"/>
        <v>0</v>
      </c>
      <c r="X15" s="20">
        <f t="shared" si="15"/>
        <v>0</v>
      </c>
      <c r="Y15" s="20">
        <f t="shared" si="16"/>
        <v>0</v>
      </c>
      <c r="Z15" s="31" t="e">
        <f t="shared" si="17"/>
        <v>#DIV/0!</v>
      </c>
      <c r="AA15" s="20">
        <f t="shared" si="18"/>
        <v>0</v>
      </c>
      <c r="AB15" s="20">
        <f t="shared" si="19"/>
        <v>0</v>
      </c>
      <c r="AC15" s="20">
        <f t="shared" si="20"/>
        <v>0</v>
      </c>
      <c r="AD15" s="31" t="e">
        <f t="shared" si="21"/>
        <v>#DIV/0!</v>
      </c>
      <c r="AE15" s="24"/>
      <c r="AF15" s="24"/>
      <c r="AG15" s="67"/>
    </row>
    <row r="16" spans="1:33" x14ac:dyDescent="0.2">
      <c r="A16" s="77" t="str">
        <f>"401.01.07"</f>
        <v>401.01.07</v>
      </c>
      <c r="B16" s="71" t="s">
        <v>704</v>
      </c>
      <c r="C16" s="84">
        <f>CE_RegimeContributivo!B18</f>
        <v>0</v>
      </c>
      <c r="D16" s="84">
        <f>CE_RegimeContributivo!C18</f>
        <v>0</v>
      </c>
      <c r="E16" s="84">
        <f>CE_RegimeContributivo!S18</f>
        <v>0</v>
      </c>
      <c r="F16" s="31" t="e">
        <f t="shared" si="5"/>
        <v>#DIV/0!</v>
      </c>
      <c r="G16" s="84">
        <f>CE_RegimeNaoContributivo!B18</f>
        <v>0</v>
      </c>
      <c r="H16" s="84">
        <f>CE_RegimeNaoContributivo!C18</f>
        <v>0</v>
      </c>
      <c r="I16" s="84">
        <f>CE_RegimeNaoContributivo!S18</f>
        <v>0</v>
      </c>
      <c r="J16" s="31" t="e">
        <f t="shared" si="7"/>
        <v>#DIV/0!</v>
      </c>
      <c r="K16" s="20">
        <f>CE_AdministraçãoINSS!B18</f>
        <v>0</v>
      </c>
      <c r="L16" s="20">
        <f>CE_AdministraçãoINSS!C18</f>
        <v>0</v>
      </c>
      <c r="M16" s="20">
        <f>CE_AdministraçãoINSS!S18</f>
        <v>0</v>
      </c>
      <c r="N16" s="31" t="e">
        <f t="shared" si="9"/>
        <v>#DIV/0!</v>
      </c>
      <c r="O16" s="20">
        <f t="shared" si="10"/>
        <v>0</v>
      </c>
      <c r="P16" s="20">
        <f t="shared" si="10"/>
        <v>0</v>
      </c>
      <c r="Q16" s="20">
        <f t="shared" si="10"/>
        <v>0</v>
      </c>
      <c r="R16" s="31" t="e">
        <f t="shared" si="11"/>
        <v>#DIV/0!</v>
      </c>
      <c r="S16" s="20">
        <f>CE_AdministraçãoFRSS!B18</f>
        <v>0</v>
      </c>
      <c r="T16" s="20">
        <f>CE_AdministraçãoFRSS!C18</f>
        <v>0</v>
      </c>
      <c r="U16" s="20">
        <f>CE_AdministraçãoFRSS!S18</f>
        <v>0</v>
      </c>
      <c r="V16" s="31" t="e">
        <f t="shared" si="13"/>
        <v>#DIV/0!</v>
      </c>
      <c r="W16" s="20">
        <f t="shared" si="14"/>
        <v>0</v>
      </c>
      <c r="X16" s="20">
        <f t="shared" si="15"/>
        <v>0</v>
      </c>
      <c r="Y16" s="20">
        <f t="shared" si="16"/>
        <v>0</v>
      </c>
      <c r="Z16" s="31" t="e">
        <f t="shared" si="17"/>
        <v>#DIV/0!</v>
      </c>
      <c r="AA16" s="20">
        <f t="shared" si="18"/>
        <v>0</v>
      </c>
      <c r="AB16" s="20">
        <f t="shared" si="19"/>
        <v>0</v>
      </c>
      <c r="AC16" s="20">
        <f t="shared" si="20"/>
        <v>0</v>
      </c>
      <c r="AD16" s="31" t="e">
        <f t="shared" si="21"/>
        <v>#DIV/0!</v>
      </c>
      <c r="AE16" s="24"/>
      <c r="AF16" s="24"/>
      <c r="AG16" s="67"/>
    </row>
    <row r="17" spans="1:37" x14ac:dyDescent="0.2">
      <c r="A17" s="77" t="str">
        <f>"401.01.08"</f>
        <v>401.01.08</v>
      </c>
      <c r="B17" s="71" t="s">
        <v>705</v>
      </c>
      <c r="C17" s="84">
        <f>CE_RegimeContributivo!B19</f>
        <v>0</v>
      </c>
      <c r="D17" s="84">
        <f>CE_RegimeContributivo!C19</f>
        <v>0</v>
      </c>
      <c r="E17" s="84">
        <f>CE_RegimeContributivo!S19</f>
        <v>0</v>
      </c>
      <c r="F17" s="31" t="e">
        <f t="shared" si="5"/>
        <v>#DIV/0!</v>
      </c>
      <c r="G17" s="84">
        <f>CE_RegimeNaoContributivo!B19</f>
        <v>0</v>
      </c>
      <c r="H17" s="84">
        <f>CE_RegimeNaoContributivo!C19</f>
        <v>0</v>
      </c>
      <c r="I17" s="84">
        <f>CE_RegimeNaoContributivo!S19</f>
        <v>0</v>
      </c>
      <c r="J17" s="31" t="e">
        <f t="shared" si="7"/>
        <v>#DIV/0!</v>
      </c>
      <c r="K17" s="20">
        <f>CE_AdministraçãoINSS!B19</f>
        <v>0</v>
      </c>
      <c r="L17" s="20">
        <f>CE_AdministraçãoINSS!C19</f>
        <v>0</v>
      </c>
      <c r="M17" s="20">
        <f>CE_AdministraçãoINSS!S19</f>
        <v>0</v>
      </c>
      <c r="N17" s="31" t="e">
        <f t="shared" si="9"/>
        <v>#DIV/0!</v>
      </c>
      <c r="O17" s="20">
        <f t="shared" si="10"/>
        <v>0</v>
      </c>
      <c r="P17" s="20">
        <f t="shared" si="10"/>
        <v>0</v>
      </c>
      <c r="Q17" s="20">
        <f t="shared" si="10"/>
        <v>0</v>
      </c>
      <c r="R17" s="31" t="e">
        <f t="shared" si="11"/>
        <v>#DIV/0!</v>
      </c>
      <c r="S17" s="20">
        <f>CE_AdministraçãoFRSS!B19</f>
        <v>0</v>
      </c>
      <c r="T17" s="20">
        <f>CE_AdministraçãoFRSS!C19</f>
        <v>0</v>
      </c>
      <c r="U17" s="20">
        <f>CE_AdministraçãoFRSS!S19</f>
        <v>0</v>
      </c>
      <c r="V17" s="31" t="e">
        <f t="shared" si="13"/>
        <v>#DIV/0!</v>
      </c>
      <c r="W17" s="20">
        <f t="shared" si="14"/>
        <v>0</v>
      </c>
      <c r="X17" s="20">
        <f t="shared" si="15"/>
        <v>0</v>
      </c>
      <c r="Y17" s="20">
        <f t="shared" si="16"/>
        <v>0</v>
      </c>
      <c r="Z17" s="31" t="e">
        <f t="shared" si="17"/>
        <v>#DIV/0!</v>
      </c>
      <c r="AA17" s="20">
        <f t="shared" si="18"/>
        <v>0</v>
      </c>
      <c r="AB17" s="20">
        <f t="shared" si="19"/>
        <v>0</v>
      </c>
      <c r="AC17" s="20">
        <f t="shared" si="20"/>
        <v>0</v>
      </c>
      <c r="AD17" s="31" t="e">
        <f t="shared" si="21"/>
        <v>#DIV/0!</v>
      </c>
      <c r="AE17" s="24"/>
      <c r="AF17" s="24"/>
      <c r="AG17" s="67"/>
    </row>
    <row r="18" spans="1:37" x14ac:dyDescent="0.2">
      <c r="A18" s="77" t="str">
        <f>"401.01.09"</f>
        <v>401.01.09</v>
      </c>
      <c r="B18" s="71" t="s">
        <v>706</v>
      </c>
      <c r="C18" s="84">
        <f>CE_RegimeContributivo!B20</f>
        <v>0</v>
      </c>
      <c r="D18" s="84">
        <f>CE_RegimeContributivo!C20</f>
        <v>0</v>
      </c>
      <c r="E18" s="84">
        <f>CE_RegimeContributivo!S20</f>
        <v>0</v>
      </c>
      <c r="F18" s="31" t="e">
        <f t="shared" si="5"/>
        <v>#DIV/0!</v>
      </c>
      <c r="G18" s="84">
        <f>CE_RegimeNaoContributivo!B20</f>
        <v>0</v>
      </c>
      <c r="H18" s="84">
        <f>CE_RegimeNaoContributivo!C20</f>
        <v>0</v>
      </c>
      <c r="I18" s="84">
        <f>CE_RegimeNaoContributivo!S20</f>
        <v>0</v>
      </c>
      <c r="J18" s="31" t="e">
        <f t="shared" si="7"/>
        <v>#DIV/0!</v>
      </c>
      <c r="K18" s="20">
        <f>CE_AdministraçãoINSS!B20</f>
        <v>0</v>
      </c>
      <c r="L18" s="20">
        <f>CE_AdministraçãoINSS!C20</f>
        <v>0</v>
      </c>
      <c r="M18" s="20">
        <f>CE_AdministraçãoINSS!S20</f>
        <v>0</v>
      </c>
      <c r="N18" s="31" t="e">
        <f t="shared" si="9"/>
        <v>#DIV/0!</v>
      </c>
      <c r="O18" s="20">
        <f t="shared" si="10"/>
        <v>0</v>
      </c>
      <c r="P18" s="20">
        <f t="shared" si="10"/>
        <v>0</v>
      </c>
      <c r="Q18" s="20">
        <f t="shared" si="10"/>
        <v>0</v>
      </c>
      <c r="R18" s="31" t="e">
        <f t="shared" si="11"/>
        <v>#DIV/0!</v>
      </c>
      <c r="S18" s="20">
        <f>CE_AdministraçãoFRSS!B20</f>
        <v>0</v>
      </c>
      <c r="T18" s="20">
        <f>CE_AdministraçãoFRSS!C20</f>
        <v>0</v>
      </c>
      <c r="U18" s="20">
        <f>CE_AdministraçãoFRSS!S20</f>
        <v>0</v>
      </c>
      <c r="V18" s="31" t="e">
        <f t="shared" si="13"/>
        <v>#DIV/0!</v>
      </c>
      <c r="W18" s="20">
        <f t="shared" si="14"/>
        <v>0</v>
      </c>
      <c r="X18" s="20">
        <f t="shared" si="15"/>
        <v>0</v>
      </c>
      <c r="Y18" s="20">
        <f t="shared" si="16"/>
        <v>0</v>
      </c>
      <c r="Z18" s="31" t="e">
        <f t="shared" si="17"/>
        <v>#DIV/0!</v>
      </c>
      <c r="AA18" s="20">
        <f t="shared" si="18"/>
        <v>0</v>
      </c>
      <c r="AB18" s="20">
        <f t="shared" si="19"/>
        <v>0</v>
      </c>
      <c r="AC18" s="20">
        <f t="shared" si="20"/>
        <v>0</v>
      </c>
      <c r="AD18" s="31" t="e">
        <f t="shared" si="21"/>
        <v>#DIV/0!</v>
      </c>
      <c r="AE18" s="24"/>
      <c r="AF18" s="24"/>
      <c r="AG18" s="67"/>
    </row>
    <row r="19" spans="1:37" x14ac:dyDescent="0.2">
      <c r="A19" s="77" t="str">
        <f>"401.01.10"</f>
        <v>401.01.10</v>
      </c>
      <c r="B19" s="71" t="s">
        <v>707</v>
      </c>
      <c r="C19" s="84">
        <f>CE_RegimeContributivo!B21</f>
        <v>0</v>
      </c>
      <c r="D19" s="84">
        <f>CE_RegimeContributivo!C21</f>
        <v>0</v>
      </c>
      <c r="E19" s="84">
        <f>CE_RegimeContributivo!S21</f>
        <v>0</v>
      </c>
      <c r="F19" s="31" t="e">
        <f t="shared" si="5"/>
        <v>#DIV/0!</v>
      </c>
      <c r="G19" s="84">
        <f>CE_RegimeNaoContributivo!B21</f>
        <v>0</v>
      </c>
      <c r="H19" s="84">
        <f>CE_RegimeNaoContributivo!C21</f>
        <v>0</v>
      </c>
      <c r="I19" s="84">
        <f>CE_RegimeNaoContributivo!S21</f>
        <v>0</v>
      </c>
      <c r="J19" s="31" t="e">
        <f t="shared" si="7"/>
        <v>#DIV/0!</v>
      </c>
      <c r="K19" s="20">
        <f>CE_AdministraçãoINSS!B21</f>
        <v>0</v>
      </c>
      <c r="L19" s="20">
        <f>CE_AdministraçãoINSS!C21</f>
        <v>0</v>
      </c>
      <c r="M19" s="20">
        <f>CE_AdministraçãoINSS!S21</f>
        <v>0</v>
      </c>
      <c r="N19" s="31" t="e">
        <f t="shared" si="9"/>
        <v>#DIV/0!</v>
      </c>
      <c r="O19" s="20">
        <f t="shared" si="10"/>
        <v>0</v>
      </c>
      <c r="P19" s="20">
        <f t="shared" si="10"/>
        <v>0</v>
      </c>
      <c r="Q19" s="20">
        <f t="shared" si="10"/>
        <v>0</v>
      </c>
      <c r="R19" s="31" t="e">
        <f t="shared" si="11"/>
        <v>#DIV/0!</v>
      </c>
      <c r="S19" s="20">
        <f>CE_AdministraçãoFRSS!B21</f>
        <v>0</v>
      </c>
      <c r="T19" s="20">
        <f>CE_AdministraçãoFRSS!C21</f>
        <v>0</v>
      </c>
      <c r="U19" s="20">
        <f>CE_AdministraçãoFRSS!S21</f>
        <v>0</v>
      </c>
      <c r="V19" s="31" t="e">
        <f t="shared" si="13"/>
        <v>#DIV/0!</v>
      </c>
      <c r="W19" s="20">
        <f t="shared" si="14"/>
        <v>0</v>
      </c>
      <c r="X19" s="20">
        <f t="shared" si="15"/>
        <v>0</v>
      </c>
      <c r="Y19" s="20">
        <f t="shared" si="16"/>
        <v>0</v>
      </c>
      <c r="Z19" s="31" t="e">
        <f t="shared" si="17"/>
        <v>#DIV/0!</v>
      </c>
      <c r="AA19" s="20">
        <f t="shared" si="18"/>
        <v>0</v>
      </c>
      <c r="AB19" s="20">
        <f t="shared" si="19"/>
        <v>0</v>
      </c>
      <c r="AC19" s="20">
        <f t="shared" si="20"/>
        <v>0</v>
      </c>
      <c r="AD19" s="31" t="e">
        <f t="shared" si="21"/>
        <v>#DIV/0!</v>
      </c>
      <c r="AE19" s="24"/>
      <c r="AF19" s="24"/>
      <c r="AG19" s="67"/>
    </row>
    <row r="20" spans="1:37" x14ac:dyDescent="0.2">
      <c r="A20" s="77" t="str">
        <f>"401.01.11"</f>
        <v>401.01.11</v>
      </c>
      <c r="B20" s="71" t="s">
        <v>708</v>
      </c>
      <c r="C20" s="84">
        <f>CE_RegimeContributivo!B22</f>
        <v>0</v>
      </c>
      <c r="D20" s="84">
        <f>CE_RegimeContributivo!C22</f>
        <v>0</v>
      </c>
      <c r="E20" s="84">
        <f>CE_RegimeContributivo!S22</f>
        <v>0</v>
      </c>
      <c r="F20" s="31" t="e">
        <f t="shared" si="5"/>
        <v>#DIV/0!</v>
      </c>
      <c r="G20" s="84">
        <f>CE_RegimeNaoContributivo!B22</f>
        <v>0</v>
      </c>
      <c r="H20" s="84">
        <f>CE_RegimeNaoContributivo!C22</f>
        <v>0</v>
      </c>
      <c r="I20" s="84">
        <f>CE_RegimeNaoContributivo!S22</f>
        <v>0</v>
      </c>
      <c r="J20" s="31" t="e">
        <f t="shared" si="7"/>
        <v>#DIV/0!</v>
      </c>
      <c r="K20" s="20">
        <f>CE_AdministraçãoINSS!B22</f>
        <v>0</v>
      </c>
      <c r="L20" s="20">
        <f>CE_AdministraçãoINSS!C22</f>
        <v>0</v>
      </c>
      <c r="M20" s="20">
        <f>CE_AdministraçãoINSS!S22</f>
        <v>0</v>
      </c>
      <c r="N20" s="31" t="e">
        <f t="shared" si="9"/>
        <v>#DIV/0!</v>
      </c>
      <c r="O20" s="20">
        <f t="shared" si="10"/>
        <v>0</v>
      </c>
      <c r="P20" s="20">
        <f t="shared" si="10"/>
        <v>0</v>
      </c>
      <c r="Q20" s="20">
        <f t="shared" si="10"/>
        <v>0</v>
      </c>
      <c r="R20" s="31" t="e">
        <f t="shared" si="11"/>
        <v>#DIV/0!</v>
      </c>
      <c r="S20" s="20">
        <f>CE_AdministraçãoFRSS!B22</f>
        <v>0</v>
      </c>
      <c r="T20" s="20">
        <f>CE_AdministraçãoFRSS!C22</f>
        <v>0</v>
      </c>
      <c r="U20" s="20">
        <f>CE_AdministraçãoFRSS!S22</f>
        <v>0</v>
      </c>
      <c r="V20" s="31" t="e">
        <f t="shared" si="13"/>
        <v>#DIV/0!</v>
      </c>
      <c r="W20" s="20">
        <f t="shared" si="14"/>
        <v>0</v>
      </c>
      <c r="X20" s="20">
        <f t="shared" si="15"/>
        <v>0</v>
      </c>
      <c r="Y20" s="20">
        <f t="shared" si="16"/>
        <v>0</v>
      </c>
      <c r="Z20" s="31" t="e">
        <f t="shared" si="17"/>
        <v>#DIV/0!</v>
      </c>
      <c r="AA20" s="20">
        <f t="shared" si="18"/>
        <v>0</v>
      </c>
      <c r="AB20" s="20">
        <f t="shared" si="19"/>
        <v>0</v>
      </c>
      <c r="AC20" s="20">
        <f t="shared" si="20"/>
        <v>0</v>
      </c>
      <c r="AD20" s="31" t="e">
        <f t="shared" si="21"/>
        <v>#DIV/0!</v>
      </c>
      <c r="AE20" s="24"/>
      <c r="AF20" s="24"/>
      <c r="AG20" s="67"/>
    </row>
    <row r="21" spans="1:37" x14ac:dyDescent="0.2">
      <c r="A21" s="76" t="str">
        <f>"401.02"</f>
        <v>401.02</v>
      </c>
      <c r="B21" s="70" t="s">
        <v>106</v>
      </c>
      <c r="C21" s="83">
        <f>CE_RegimeContributivo!B23</f>
        <v>0</v>
      </c>
      <c r="D21" s="83">
        <f>CE_RegimeContributivo!C23</f>
        <v>0</v>
      </c>
      <c r="E21" s="83">
        <f>CE_RegimeContributivo!S23</f>
        <v>0</v>
      </c>
      <c r="F21" s="30" t="e">
        <f t="shared" si="5"/>
        <v>#DIV/0!</v>
      </c>
      <c r="G21" s="83">
        <f>CE_RegimeNaoContributivo!B23</f>
        <v>0</v>
      </c>
      <c r="H21" s="83">
        <f>CE_RegimeNaoContributivo!C23</f>
        <v>0</v>
      </c>
      <c r="I21" s="83">
        <f>CE_RegimeNaoContributivo!S23</f>
        <v>0</v>
      </c>
      <c r="J21" s="30" t="e">
        <f t="shared" si="7"/>
        <v>#DIV/0!</v>
      </c>
      <c r="K21" s="19">
        <f>CE_AdministraçãoINSS!B23</f>
        <v>0</v>
      </c>
      <c r="L21" s="19">
        <f>CE_AdministraçãoINSS!C23</f>
        <v>0</v>
      </c>
      <c r="M21" s="19">
        <f>CE_AdministraçãoINSS!S23</f>
        <v>0</v>
      </c>
      <c r="N21" s="30" t="e">
        <f t="shared" si="9"/>
        <v>#DIV/0!</v>
      </c>
      <c r="O21" s="19">
        <f t="shared" si="10"/>
        <v>0</v>
      </c>
      <c r="P21" s="19">
        <f t="shared" si="10"/>
        <v>0</v>
      </c>
      <c r="Q21" s="19">
        <f t="shared" si="10"/>
        <v>0</v>
      </c>
      <c r="R21" s="30" t="e">
        <f t="shared" si="11"/>
        <v>#DIV/0!</v>
      </c>
      <c r="S21" s="19">
        <f>CE_AdministraçãoFRSS!B23</f>
        <v>0</v>
      </c>
      <c r="T21" s="19">
        <f>CE_AdministraçãoFRSS!C23</f>
        <v>0</v>
      </c>
      <c r="U21" s="19">
        <f>CE_AdministraçãoFRSS!S23</f>
        <v>0</v>
      </c>
      <c r="V21" s="30" t="e">
        <f t="shared" si="13"/>
        <v>#DIV/0!</v>
      </c>
      <c r="W21" s="19">
        <f t="shared" si="14"/>
        <v>0</v>
      </c>
      <c r="X21" s="19">
        <f t="shared" si="15"/>
        <v>0</v>
      </c>
      <c r="Y21" s="19">
        <f t="shared" si="16"/>
        <v>0</v>
      </c>
      <c r="Z21" s="30" t="e">
        <f t="shared" si="17"/>
        <v>#DIV/0!</v>
      </c>
      <c r="AA21" s="19">
        <f t="shared" si="18"/>
        <v>0</v>
      </c>
      <c r="AB21" s="19">
        <f t="shared" si="19"/>
        <v>0</v>
      </c>
      <c r="AC21" s="19">
        <f t="shared" si="20"/>
        <v>0</v>
      </c>
      <c r="AD21" s="30" t="e">
        <f t="shared" si="21"/>
        <v>#DIV/0!</v>
      </c>
      <c r="AE21" s="24"/>
      <c r="AF21" s="24"/>
      <c r="AG21" s="67"/>
    </row>
    <row r="22" spans="1:37" x14ac:dyDescent="0.2">
      <c r="A22" s="76" t="str">
        <f>"401.03"</f>
        <v>401.03</v>
      </c>
      <c r="B22" s="70" t="s">
        <v>107</v>
      </c>
      <c r="C22" s="83">
        <f>SUM(C23:C26)</f>
        <v>46250305</v>
      </c>
      <c r="D22" s="83">
        <f>SUM(D23:D26)</f>
        <v>46250305</v>
      </c>
      <c r="E22" s="83">
        <f>SUM(E23:E26)</f>
        <v>43386760.390000001</v>
      </c>
      <c r="F22" s="30">
        <f t="shared" si="5"/>
        <v>0.93808593024413567</v>
      </c>
      <c r="G22" s="83">
        <f>SUM(G23:G26)</f>
        <v>0</v>
      </c>
      <c r="H22" s="83">
        <f t="shared" ref="H22:I22" si="22">SUM(H23:H26)</f>
        <v>0</v>
      </c>
      <c r="I22" s="83">
        <f t="shared" si="22"/>
        <v>0</v>
      </c>
      <c r="J22" s="30" t="e">
        <f t="shared" si="7"/>
        <v>#DIV/0!</v>
      </c>
      <c r="K22" s="19">
        <f>SUM(K23:K26)</f>
        <v>0</v>
      </c>
      <c r="L22" s="19">
        <f t="shared" ref="L22:M22" si="23">SUM(L23:L26)</f>
        <v>0</v>
      </c>
      <c r="M22" s="19">
        <f t="shared" si="23"/>
        <v>0</v>
      </c>
      <c r="N22" s="30" t="e">
        <f t="shared" si="9"/>
        <v>#DIV/0!</v>
      </c>
      <c r="O22" s="19">
        <f t="shared" si="10"/>
        <v>46250305</v>
      </c>
      <c r="P22" s="19">
        <f t="shared" si="10"/>
        <v>46250305</v>
      </c>
      <c r="Q22" s="19">
        <f t="shared" si="10"/>
        <v>43386760.390000001</v>
      </c>
      <c r="R22" s="30">
        <f t="shared" si="11"/>
        <v>0.93808593024413567</v>
      </c>
      <c r="S22" s="19">
        <f>SUM(S23:S26)</f>
        <v>0</v>
      </c>
      <c r="T22" s="19">
        <f t="shared" ref="T22:U22" si="24">SUM(T23:T26)</f>
        <v>0</v>
      </c>
      <c r="U22" s="19">
        <f t="shared" si="24"/>
        <v>0</v>
      </c>
      <c r="V22" s="30" t="e">
        <f t="shared" si="13"/>
        <v>#DIV/0!</v>
      </c>
      <c r="W22" s="19">
        <f t="shared" si="14"/>
        <v>0</v>
      </c>
      <c r="X22" s="19">
        <f t="shared" si="15"/>
        <v>0</v>
      </c>
      <c r="Y22" s="19">
        <f t="shared" si="16"/>
        <v>0</v>
      </c>
      <c r="Z22" s="30" t="e">
        <f t="shared" si="17"/>
        <v>#DIV/0!</v>
      </c>
      <c r="AA22" s="19">
        <f t="shared" si="18"/>
        <v>46250305</v>
      </c>
      <c r="AB22" s="19">
        <f t="shared" si="19"/>
        <v>46250305</v>
      </c>
      <c r="AC22" s="19">
        <f t="shared" si="20"/>
        <v>43386760.390000001</v>
      </c>
      <c r="AD22" s="30">
        <f t="shared" si="21"/>
        <v>0.93808593024413567</v>
      </c>
      <c r="AE22" s="24"/>
      <c r="AF22" s="24"/>
      <c r="AG22" s="67"/>
    </row>
    <row r="23" spans="1:37" s="21" customFormat="1" ht="30.75" customHeight="1" x14ac:dyDescent="0.2">
      <c r="A23" s="77" t="str">
        <f>"401.03.01"</f>
        <v>401.03.01</v>
      </c>
      <c r="B23" s="71" t="s">
        <v>108</v>
      </c>
      <c r="C23" s="84">
        <f>CE_RegimeContributivo!B25</f>
        <v>20018983</v>
      </c>
      <c r="D23" s="84">
        <f>CE_RegimeContributivo!C25</f>
        <v>20018983</v>
      </c>
      <c r="E23" s="84">
        <f>CE_RegimeContributivo!S25</f>
        <v>22615315.559999995</v>
      </c>
      <c r="F23" s="31">
        <f t="shared" si="5"/>
        <v>1.1296935293865824</v>
      </c>
      <c r="G23" s="84">
        <f>CE_RegimeNaoContributivo!B25</f>
        <v>0</v>
      </c>
      <c r="H23" s="84">
        <f>CE_RegimeNaoContributivo!C25</f>
        <v>0</v>
      </c>
      <c r="I23" s="84">
        <f>CE_RegimeNaoContributivo!S25</f>
        <v>0</v>
      </c>
      <c r="J23" s="31" t="e">
        <f t="shared" si="7"/>
        <v>#DIV/0!</v>
      </c>
      <c r="K23" s="20">
        <f>CE_AdministraçãoINSS!B25</f>
        <v>0</v>
      </c>
      <c r="L23" s="20">
        <f>CE_AdministraçãoINSS!C25</f>
        <v>0</v>
      </c>
      <c r="M23" s="20">
        <f>CE_AdministraçãoINSS!S25</f>
        <v>0</v>
      </c>
      <c r="N23" s="31" t="e">
        <f t="shared" si="9"/>
        <v>#DIV/0!</v>
      </c>
      <c r="O23" s="20">
        <f t="shared" si="10"/>
        <v>20018983</v>
      </c>
      <c r="P23" s="20">
        <f t="shared" si="10"/>
        <v>20018983</v>
      </c>
      <c r="Q23" s="20">
        <f t="shared" si="10"/>
        <v>22615315.559999995</v>
      </c>
      <c r="R23" s="31">
        <f t="shared" si="11"/>
        <v>1.1296935293865824</v>
      </c>
      <c r="S23" s="20">
        <f>CE_AdministraçãoFRSS!B25</f>
        <v>0</v>
      </c>
      <c r="T23" s="20">
        <f>CE_AdministraçãoFRSS!C25</f>
        <v>0</v>
      </c>
      <c r="U23" s="20">
        <f>CE_AdministraçãoFRSS!S25</f>
        <v>0</v>
      </c>
      <c r="V23" s="31" t="e">
        <f t="shared" si="13"/>
        <v>#DIV/0!</v>
      </c>
      <c r="W23" s="20">
        <f t="shared" si="14"/>
        <v>0</v>
      </c>
      <c r="X23" s="20">
        <f t="shared" si="15"/>
        <v>0</v>
      </c>
      <c r="Y23" s="20">
        <f t="shared" si="16"/>
        <v>0</v>
      </c>
      <c r="Z23" s="31" t="e">
        <f t="shared" si="17"/>
        <v>#DIV/0!</v>
      </c>
      <c r="AA23" s="20">
        <f t="shared" si="18"/>
        <v>20018983</v>
      </c>
      <c r="AB23" s="20">
        <f t="shared" si="19"/>
        <v>20018983</v>
      </c>
      <c r="AC23" s="20">
        <f t="shared" si="20"/>
        <v>22615315.559999995</v>
      </c>
      <c r="AD23" s="31">
        <f t="shared" si="21"/>
        <v>1.1296935293865824</v>
      </c>
      <c r="AE23" s="24"/>
      <c r="AF23" s="24"/>
      <c r="AG23" s="67"/>
      <c r="AH23" s="16"/>
      <c r="AI23" s="16"/>
      <c r="AJ23" s="16"/>
      <c r="AK23" s="16"/>
    </row>
    <row r="24" spans="1:37" s="21" customFormat="1" ht="30.75" customHeight="1" x14ac:dyDescent="0.2">
      <c r="A24" s="77" t="str">
        <f>"401.03.02"</f>
        <v>401.03.02</v>
      </c>
      <c r="B24" s="71" t="s">
        <v>109</v>
      </c>
      <c r="C24" s="84">
        <f>CE_RegimeContributivo!B26</f>
        <v>7431800</v>
      </c>
      <c r="D24" s="84">
        <f>CE_RegimeContributivo!C26</f>
        <v>7431800</v>
      </c>
      <c r="E24" s="84">
        <f>CE_RegimeContributivo!S26</f>
        <v>6882429.1307999995</v>
      </c>
      <c r="F24" s="31">
        <f t="shared" si="5"/>
        <v>0.92607835662961857</v>
      </c>
      <c r="G24" s="84">
        <f>CE_RegimeNaoContributivo!B26</f>
        <v>0</v>
      </c>
      <c r="H24" s="84">
        <f>CE_RegimeNaoContributivo!C26</f>
        <v>0</v>
      </c>
      <c r="I24" s="84">
        <f>CE_RegimeNaoContributivo!S26</f>
        <v>0</v>
      </c>
      <c r="J24" s="31" t="e">
        <f t="shared" si="7"/>
        <v>#DIV/0!</v>
      </c>
      <c r="K24" s="20">
        <f>CE_AdministraçãoINSS!B26</f>
        <v>0</v>
      </c>
      <c r="L24" s="20">
        <f>CE_AdministraçãoINSS!C26</f>
        <v>0</v>
      </c>
      <c r="M24" s="20">
        <f>CE_AdministraçãoINSS!S26</f>
        <v>0</v>
      </c>
      <c r="N24" s="31" t="e">
        <f t="shared" si="9"/>
        <v>#DIV/0!</v>
      </c>
      <c r="O24" s="20">
        <f t="shared" si="10"/>
        <v>7431800</v>
      </c>
      <c r="P24" s="20">
        <f t="shared" si="10"/>
        <v>7431800</v>
      </c>
      <c r="Q24" s="20">
        <f t="shared" si="10"/>
        <v>6882429.1307999995</v>
      </c>
      <c r="R24" s="31">
        <f t="shared" si="11"/>
        <v>0.92607835662961857</v>
      </c>
      <c r="S24" s="20">
        <f>CE_AdministraçãoFRSS!B26</f>
        <v>0</v>
      </c>
      <c r="T24" s="20">
        <f>CE_AdministraçãoFRSS!C26</f>
        <v>0</v>
      </c>
      <c r="U24" s="20">
        <f>CE_AdministraçãoFRSS!S26</f>
        <v>0</v>
      </c>
      <c r="V24" s="31" t="e">
        <f t="shared" si="13"/>
        <v>#DIV/0!</v>
      </c>
      <c r="W24" s="20">
        <f t="shared" si="14"/>
        <v>0</v>
      </c>
      <c r="X24" s="20">
        <f t="shared" si="15"/>
        <v>0</v>
      </c>
      <c r="Y24" s="20">
        <f t="shared" si="16"/>
        <v>0</v>
      </c>
      <c r="Z24" s="31" t="e">
        <f t="shared" si="17"/>
        <v>#DIV/0!</v>
      </c>
      <c r="AA24" s="20">
        <f t="shared" si="18"/>
        <v>7431800</v>
      </c>
      <c r="AB24" s="20">
        <f t="shared" si="19"/>
        <v>7431800</v>
      </c>
      <c r="AC24" s="20">
        <f t="shared" si="20"/>
        <v>6882429.1307999995</v>
      </c>
      <c r="AD24" s="31">
        <f t="shared" si="21"/>
        <v>0.92607835662961857</v>
      </c>
      <c r="AE24" s="24"/>
      <c r="AF24" s="24"/>
      <c r="AG24" s="67"/>
      <c r="AH24" s="16"/>
      <c r="AI24" s="16"/>
      <c r="AJ24" s="16"/>
      <c r="AK24" s="16"/>
    </row>
    <row r="25" spans="1:37" s="21" customFormat="1" x14ac:dyDescent="0.2">
      <c r="A25" s="77" t="str">
        <f>"401.03.03"</f>
        <v>401.03.03</v>
      </c>
      <c r="B25" s="71" t="s">
        <v>110</v>
      </c>
      <c r="C25" s="84">
        <f>CE_RegimeContributivo!B27</f>
        <v>13912824</v>
      </c>
      <c r="D25" s="84">
        <f>CE_RegimeContributivo!C27</f>
        <v>13912824</v>
      </c>
      <c r="E25" s="84">
        <f>CE_RegimeContributivo!S27</f>
        <v>9264575.0720000044</v>
      </c>
      <c r="F25" s="31">
        <f t="shared" si="5"/>
        <v>0.66590183790149315</v>
      </c>
      <c r="G25" s="84">
        <f>CE_RegimeNaoContributivo!B27</f>
        <v>0</v>
      </c>
      <c r="H25" s="84">
        <f>CE_RegimeNaoContributivo!C27</f>
        <v>0</v>
      </c>
      <c r="I25" s="84">
        <f>CE_RegimeNaoContributivo!S27</f>
        <v>0</v>
      </c>
      <c r="J25" s="31" t="e">
        <f t="shared" si="7"/>
        <v>#DIV/0!</v>
      </c>
      <c r="K25" s="20">
        <f>CE_AdministraçãoINSS!B27</f>
        <v>0</v>
      </c>
      <c r="L25" s="20">
        <f>CE_AdministraçãoINSS!C27</f>
        <v>0</v>
      </c>
      <c r="M25" s="20">
        <f>CE_AdministraçãoINSS!S27</f>
        <v>0</v>
      </c>
      <c r="N25" s="31" t="e">
        <f t="shared" si="9"/>
        <v>#DIV/0!</v>
      </c>
      <c r="O25" s="20">
        <f t="shared" si="10"/>
        <v>13912824</v>
      </c>
      <c r="P25" s="20">
        <f t="shared" si="10"/>
        <v>13912824</v>
      </c>
      <c r="Q25" s="20">
        <f t="shared" si="10"/>
        <v>9264575.0720000044</v>
      </c>
      <c r="R25" s="31">
        <f t="shared" si="11"/>
        <v>0.66590183790149315</v>
      </c>
      <c r="S25" s="20">
        <f>CE_AdministraçãoFRSS!B27</f>
        <v>0</v>
      </c>
      <c r="T25" s="20">
        <f>CE_AdministraçãoFRSS!C27</f>
        <v>0</v>
      </c>
      <c r="U25" s="20">
        <f>CE_AdministraçãoFRSS!S27</f>
        <v>0</v>
      </c>
      <c r="V25" s="31" t="e">
        <f t="shared" si="13"/>
        <v>#DIV/0!</v>
      </c>
      <c r="W25" s="20">
        <f t="shared" si="14"/>
        <v>0</v>
      </c>
      <c r="X25" s="20">
        <f t="shared" si="15"/>
        <v>0</v>
      </c>
      <c r="Y25" s="20">
        <f t="shared" si="16"/>
        <v>0</v>
      </c>
      <c r="Z25" s="31" t="e">
        <f t="shared" si="17"/>
        <v>#DIV/0!</v>
      </c>
      <c r="AA25" s="20">
        <f t="shared" si="18"/>
        <v>13912824</v>
      </c>
      <c r="AB25" s="20">
        <f t="shared" si="19"/>
        <v>13912824</v>
      </c>
      <c r="AC25" s="20">
        <f t="shared" si="20"/>
        <v>9264575.0720000044</v>
      </c>
      <c r="AD25" s="31">
        <f t="shared" si="21"/>
        <v>0.66590183790149315</v>
      </c>
      <c r="AE25" s="24"/>
      <c r="AF25" s="24"/>
      <c r="AG25" s="67"/>
      <c r="AH25" s="16"/>
      <c r="AI25" s="16"/>
      <c r="AJ25" s="16"/>
      <c r="AK25" s="16"/>
    </row>
    <row r="26" spans="1:37" s="21" customFormat="1" x14ac:dyDescent="0.2">
      <c r="A26" s="77" t="str">
        <f>"401.03.04"</f>
        <v>401.03.04</v>
      </c>
      <c r="B26" s="71" t="s">
        <v>111</v>
      </c>
      <c r="C26" s="84">
        <f>CE_RegimeContributivo!B28</f>
        <v>4886698</v>
      </c>
      <c r="D26" s="84">
        <f>CE_RegimeContributivo!C28</f>
        <v>4886698</v>
      </c>
      <c r="E26" s="84">
        <f>CE_RegimeContributivo!S28</f>
        <v>4624440.6272000009</v>
      </c>
      <c r="F26" s="31">
        <f t="shared" si="5"/>
        <v>0.94633239606785624</v>
      </c>
      <c r="G26" s="84">
        <f>CE_RegimeNaoContributivo!B28</f>
        <v>0</v>
      </c>
      <c r="H26" s="84">
        <f>CE_RegimeNaoContributivo!C28</f>
        <v>0</v>
      </c>
      <c r="I26" s="84">
        <f>CE_RegimeNaoContributivo!S28</f>
        <v>0</v>
      </c>
      <c r="J26" s="31" t="e">
        <f t="shared" si="7"/>
        <v>#DIV/0!</v>
      </c>
      <c r="K26" s="20">
        <f>CE_AdministraçãoINSS!B28</f>
        <v>0</v>
      </c>
      <c r="L26" s="20">
        <f>CE_AdministraçãoINSS!C28</f>
        <v>0</v>
      </c>
      <c r="M26" s="20">
        <f>CE_AdministraçãoINSS!S28</f>
        <v>0</v>
      </c>
      <c r="N26" s="31" t="e">
        <f t="shared" si="9"/>
        <v>#DIV/0!</v>
      </c>
      <c r="O26" s="20">
        <f t="shared" si="10"/>
        <v>4886698</v>
      </c>
      <c r="P26" s="20">
        <f t="shared" si="10"/>
        <v>4886698</v>
      </c>
      <c r="Q26" s="20">
        <f t="shared" si="10"/>
        <v>4624440.6272000009</v>
      </c>
      <c r="R26" s="31">
        <f t="shared" si="11"/>
        <v>0.94633239606785624</v>
      </c>
      <c r="S26" s="20">
        <f>CE_AdministraçãoFRSS!B28</f>
        <v>0</v>
      </c>
      <c r="T26" s="20">
        <f>CE_AdministraçãoFRSS!C28</f>
        <v>0</v>
      </c>
      <c r="U26" s="20">
        <f>CE_AdministraçãoFRSS!S28</f>
        <v>0</v>
      </c>
      <c r="V26" s="31" t="e">
        <f t="shared" si="13"/>
        <v>#DIV/0!</v>
      </c>
      <c r="W26" s="20">
        <f t="shared" si="14"/>
        <v>0</v>
      </c>
      <c r="X26" s="20">
        <f t="shared" si="15"/>
        <v>0</v>
      </c>
      <c r="Y26" s="20">
        <f t="shared" si="16"/>
        <v>0</v>
      </c>
      <c r="Z26" s="31" t="e">
        <f t="shared" si="17"/>
        <v>#DIV/0!</v>
      </c>
      <c r="AA26" s="20">
        <f t="shared" si="18"/>
        <v>4886698</v>
      </c>
      <c r="AB26" s="20">
        <f t="shared" si="19"/>
        <v>4886698</v>
      </c>
      <c r="AC26" s="20">
        <f t="shared" si="20"/>
        <v>4624440.6272000009</v>
      </c>
      <c r="AD26" s="31">
        <f t="shared" si="21"/>
        <v>0.94633239606785624</v>
      </c>
      <c r="AE26" s="24"/>
      <c r="AF26" s="24"/>
      <c r="AG26" s="67"/>
      <c r="AH26" s="16"/>
      <c r="AI26" s="16"/>
      <c r="AJ26" s="16"/>
      <c r="AK26" s="16"/>
    </row>
    <row r="27" spans="1:37" s="21" customFormat="1" x14ac:dyDescent="0.2">
      <c r="A27" s="75">
        <v>402</v>
      </c>
      <c r="B27" s="69" t="s">
        <v>709</v>
      </c>
      <c r="C27" s="82">
        <f>C28+C47</f>
        <v>500</v>
      </c>
      <c r="D27" s="82">
        <f>D28+D47</f>
        <v>500</v>
      </c>
      <c r="E27" s="82">
        <f>E28+E47</f>
        <v>0</v>
      </c>
      <c r="F27" s="29">
        <f t="shared" si="5"/>
        <v>0</v>
      </c>
      <c r="G27" s="82">
        <f>G28+G47</f>
        <v>0</v>
      </c>
      <c r="H27" s="82">
        <f t="shared" ref="H27:I27" si="25">H28+H47</f>
        <v>0</v>
      </c>
      <c r="I27" s="82">
        <f t="shared" si="25"/>
        <v>0</v>
      </c>
      <c r="J27" s="29" t="e">
        <f t="shared" si="7"/>
        <v>#DIV/0!</v>
      </c>
      <c r="K27" s="18">
        <f>K28+K47</f>
        <v>0</v>
      </c>
      <c r="L27" s="18">
        <f t="shared" ref="L27:M27" si="26">L28+L47</f>
        <v>0</v>
      </c>
      <c r="M27" s="18">
        <f t="shared" si="26"/>
        <v>0</v>
      </c>
      <c r="N27" s="29" t="e">
        <f t="shared" si="9"/>
        <v>#DIV/0!</v>
      </c>
      <c r="O27" s="18">
        <f t="shared" si="10"/>
        <v>500</v>
      </c>
      <c r="P27" s="18">
        <f t="shared" si="10"/>
        <v>500</v>
      </c>
      <c r="Q27" s="18">
        <f t="shared" si="10"/>
        <v>0</v>
      </c>
      <c r="R27" s="29">
        <f t="shared" si="11"/>
        <v>0</v>
      </c>
      <c r="S27" s="18">
        <f>S28+S47</f>
        <v>0</v>
      </c>
      <c r="T27" s="18">
        <f t="shared" ref="T27:U27" si="27">T28+T47</f>
        <v>0</v>
      </c>
      <c r="U27" s="18">
        <f t="shared" si="27"/>
        <v>0</v>
      </c>
      <c r="V27" s="29" t="e">
        <f t="shared" si="13"/>
        <v>#DIV/0!</v>
      </c>
      <c r="W27" s="18">
        <f t="shared" si="14"/>
        <v>0</v>
      </c>
      <c r="X27" s="18">
        <f t="shared" si="15"/>
        <v>0</v>
      </c>
      <c r="Y27" s="18">
        <f t="shared" si="16"/>
        <v>0</v>
      </c>
      <c r="Z27" s="29" t="e">
        <f t="shared" si="17"/>
        <v>#DIV/0!</v>
      </c>
      <c r="AA27" s="18">
        <f t="shared" si="18"/>
        <v>500</v>
      </c>
      <c r="AB27" s="18">
        <f t="shared" si="19"/>
        <v>500</v>
      </c>
      <c r="AC27" s="18">
        <f t="shared" si="20"/>
        <v>0</v>
      </c>
      <c r="AD27" s="29">
        <f t="shared" si="21"/>
        <v>0</v>
      </c>
      <c r="AE27" s="24"/>
      <c r="AF27" s="24"/>
      <c r="AG27" s="67"/>
      <c r="AH27" s="16"/>
      <c r="AI27" s="16"/>
      <c r="AJ27" s="16"/>
      <c r="AK27" s="16"/>
    </row>
    <row r="28" spans="1:37" x14ac:dyDescent="0.2">
      <c r="A28" s="76" t="str">
        <f>"402.01"</f>
        <v>402.01</v>
      </c>
      <c r="B28" s="70" t="s">
        <v>112</v>
      </c>
      <c r="C28" s="83">
        <f t="shared" ref="C28" si="28">SUM(C29:C46)</f>
        <v>0</v>
      </c>
      <c r="D28" s="83">
        <f t="shared" ref="D28:E28" si="29">SUM(D29:D46)</f>
        <v>0</v>
      </c>
      <c r="E28" s="83">
        <f t="shared" si="29"/>
        <v>0</v>
      </c>
      <c r="F28" s="30" t="e">
        <f t="shared" si="5"/>
        <v>#DIV/0!</v>
      </c>
      <c r="G28" s="83">
        <f t="shared" ref="G28:I28" si="30">SUM(G29:G46)</f>
        <v>0</v>
      </c>
      <c r="H28" s="83">
        <f t="shared" si="30"/>
        <v>0</v>
      </c>
      <c r="I28" s="83">
        <f t="shared" si="30"/>
        <v>0</v>
      </c>
      <c r="J28" s="30" t="e">
        <f t="shared" si="7"/>
        <v>#DIV/0!</v>
      </c>
      <c r="K28" s="19">
        <f>SUM(K29:K46)</f>
        <v>0</v>
      </c>
      <c r="L28" s="19">
        <f t="shared" ref="L28:M28" si="31">SUM(L29:L46)</f>
        <v>0</v>
      </c>
      <c r="M28" s="19">
        <f t="shared" si="31"/>
        <v>0</v>
      </c>
      <c r="N28" s="30" t="e">
        <f t="shared" si="9"/>
        <v>#DIV/0!</v>
      </c>
      <c r="O28" s="19">
        <f t="shared" si="10"/>
        <v>0</v>
      </c>
      <c r="P28" s="19">
        <f t="shared" si="10"/>
        <v>0</v>
      </c>
      <c r="Q28" s="19">
        <f t="shared" si="10"/>
        <v>0</v>
      </c>
      <c r="R28" s="30" t="e">
        <f t="shared" si="11"/>
        <v>#DIV/0!</v>
      </c>
      <c r="S28" s="19">
        <f>SUM(S29:S46)</f>
        <v>0</v>
      </c>
      <c r="T28" s="19">
        <f t="shared" ref="T28:U28" si="32">SUM(T29:T46)</f>
        <v>0</v>
      </c>
      <c r="U28" s="19">
        <f t="shared" si="32"/>
        <v>0</v>
      </c>
      <c r="V28" s="30" t="e">
        <f t="shared" si="13"/>
        <v>#DIV/0!</v>
      </c>
      <c r="W28" s="19">
        <f t="shared" si="14"/>
        <v>0</v>
      </c>
      <c r="X28" s="19">
        <f t="shared" si="15"/>
        <v>0</v>
      </c>
      <c r="Y28" s="19">
        <f t="shared" si="16"/>
        <v>0</v>
      </c>
      <c r="Z28" s="30" t="e">
        <f t="shared" si="17"/>
        <v>#DIV/0!</v>
      </c>
      <c r="AA28" s="19">
        <f t="shared" si="18"/>
        <v>0</v>
      </c>
      <c r="AB28" s="19">
        <f t="shared" si="19"/>
        <v>0</v>
      </c>
      <c r="AC28" s="19">
        <f t="shared" si="20"/>
        <v>0</v>
      </c>
      <c r="AD28" s="30" t="e">
        <f t="shared" si="21"/>
        <v>#DIV/0!</v>
      </c>
      <c r="AE28" s="24"/>
      <c r="AF28" s="24"/>
      <c r="AG28" s="67"/>
    </row>
    <row r="29" spans="1:37" x14ac:dyDescent="0.2">
      <c r="A29" s="77" t="str">
        <f>"402.01.01"</f>
        <v>402.01.01</v>
      </c>
      <c r="B29" s="71" t="s">
        <v>710</v>
      </c>
      <c r="C29" s="84">
        <f>CE_RegimeContributivo!B31</f>
        <v>0</v>
      </c>
      <c r="D29" s="84">
        <f>CE_RegimeContributivo!C31</f>
        <v>0</v>
      </c>
      <c r="E29" s="84">
        <f>CE_RegimeContributivo!S31</f>
        <v>0</v>
      </c>
      <c r="F29" s="31" t="e">
        <f t="shared" si="5"/>
        <v>#DIV/0!</v>
      </c>
      <c r="G29" s="84">
        <f>CE_RegimeNaoContributivo!B31</f>
        <v>0</v>
      </c>
      <c r="H29" s="84">
        <f>CE_RegimeNaoContributivo!C31</f>
        <v>0</v>
      </c>
      <c r="I29" s="84">
        <f>CE_RegimeNaoContributivo!S31</f>
        <v>0</v>
      </c>
      <c r="J29" s="31" t="e">
        <f t="shared" si="7"/>
        <v>#DIV/0!</v>
      </c>
      <c r="K29" s="20">
        <f>CE_AdministraçãoINSS!B31</f>
        <v>0</v>
      </c>
      <c r="L29" s="20">
        <f>CE_AdministraçãoINSS!C31</f>
        <v>0</v>
      </c>
      <c r="M29" s="20">
        <f>CE_AdministraçãoINSS!S31</f>
        <v>0</v>
      </c>
      <c r="N29" s="31" t="e">
        <f t="shared" si="9"/>
        <v>#DIV/0!</v>
      </c>
      <c r="O29" s="20">
        <f t="shared" si="10"/>
        <v>0</v>
      </c>
      <c r="P29" s="20">
        <f t="shared" si="10"/>
        <v>0</v>
      </c>
      <c r="Q29" s="20">
        <f t="shared" si="10"/>
        <v>0</v>
      </c>
      <c r="R29" s="31" t="e">
        <f t="shared" si="11"/>
        <v>#DIV/0!</v>
      </c>
      <c r="S29" s="20">
        <f>CE_AdministraçãoFRSS!B31</f>
        <v>0</v>
      </c>
      <c r="T29" s="20">
        <f>CE_AdministraçãoFRSS!C31</f>
        <v>0</v>
      </c>
      <c r="U29" s="20">
        <f>CE_AdministraçãoFRSS!S31</f>
        <v>0</v>
      </c>
      <c r="V29" s="31" t="e">
        <f t="shared" si="13"/>
        <v>#DIV/0!</v>
      </c>
      <c r="W29" s="20">
        <f t="shared" si="14"/>
        <v>0</v>
      </c>
      <c r="X29" s="20">
        <f t="shared" si="15"/>
        <v>0</v>
      </c>
      <c r="Y29" s="20">
        <f t="shared" si="16"/>
        <v>0</v>
      </c>
      <c r="Z29" s="31" t="e">
        <f t="shared" si="17"/>
        <v>#DIV/0!</v>
      </c>
      <c r="AA29" s="20">
        <f t="shared" si="18"/>
        <v>0</v>
      </c>
      <c r="AB29" s="20">
        <f t="shared" si="19"/>
        <v>0</v>
      </c>
      <c r="AC29" s="20">
        <f t="shared" si="20"/>
        <v>0</v>
      </c>
      <c r="AD29" s="31" t="e">
        <f t="shared" si="21"/>
        <v>#DIV/0!</v>
      </c>
      <c r="AE29" s="24"/>
      <c r="AF29" s="24"/>
      <c r="AG29" s="67"/>
    </row>
    <row r="30" spans="1:37" x14ac:dyDescent="0.2">
      <c r="A30" s="77" t="str">
        <f>"402.01.02"</f>
        <v>402.01.02</v>
      </c>
      <c r="B30" s="71" t="s">
        <v>711</v>
      </c>
      <c r="C30" s="84">
        <f>CE_RegimeContributivo!B32</f>
        <v>0</v>
      </c>
      <c r="D30" s="84">
        <f>CE_RegimeContributivo!C32</f>
        <v>0</v>
      </c>
      <c r="E30" s="84">
        <f>CE_RegimeContributivo!S32</f>
        <v>0</v>
      </c>
      <c r="F30" s="31" t="e">
        <f t="shared" si="5"/>
        <v>#DIV/0!</v>
      </c>
      <c r="G30" s="84">
        <f>CE_RegimeNaoContributivo!B32</f>
        <v>0</v>
      </c>
      <c r="H30" s="84">
        <f>CE_RegimeNaoContributivo!C32</f>
        <v>0</v>
      </c>
      <c r="I30" s="84">
        <f>CE_RegimeNaoContributivo!S32</f>
        <v>0</v>
      </c>
      <c r="J30" s="31" t="e">
        <f t="shared" si="7"/>
        <v>#DIV/0!</v>
      </c>
      <c r="K30" s="20">
        <f>CE_AdministraçãoINSS!B32</f>
        <v>0</v>
      </c>
      <c r="L30" s="20">
        <f>CE_AdministraçãoINSS!C32</f>
        <v>0</v>
      </c>
      <c r="M30" s="20">
        <f>CE_AdministraçãoINSS!S32</f>
        <v>0</v>
      </c>
      <c r="N30" s="31" t="e">
        <f t="shared" si="9"/>
        <v>#DIV/0!</v>
      </c>
      <c r="O30" s="20">
        <f t="shared" si="10"/>
        <v>0</v>
      </c>
      <c r="P30" s="20">
        <f t="shared" si="10"/>
        <v>0</v>
      </c>
      <c r="Q30" s="20">
        <f t="shared" si="10"/>
        <v>0</v>
      </c>
      <c r="R30" s="31" t="e">
        <f t="shared" si="11"/>
        <v>#DIV/0!</v>
      </c>
      <c r="S30" s="20">
        <f>CE_AdministraçãoFRSS!B32</f>
        <v>0</v>
      </c>
      <c r="T30" s="20">
        <f>CE_AdministraçãoFRSS!C32</f>
        <v>0</v>
      </c>
      <c r="U30" s="20">
        <f>CE_AdministraçãoFRSS!S32</f>
        <v>0</v>
      </c>
      <c r="V30" s="31" t="e">
        <f t="shared" si="13"/>
        <v>#DIV/0!</v>
      </c>
      <c r="W30" s="20">
        <f t="shared" si="14"/>
        <v>0</v>
      </c>
      <c r="X30" s="20">
        <f t="shared" si="15"/>
        <v>0</v>
      </c>
      <c r="Y30" s="20">
        <f t="shared" si="16"/>
        <v>0</v>
      </c>
      <c r="Z30" s="31" t="e">
        <f t="shared" si="17"/>
        <v>#DIV/0!</v>
      </c>
      <c r="AA30" s="20">
        <f t="shared" si="18"/>
        <v>0</v>
      </c>
      <c r="AB30" s="20">
        <f t="shared" si="19"/>
        <v>0</v>
      </c>
      <c r="AC30" s="20">
        <f t="shared" si="20"/>
        <v>0</v>
      </c>
      <c r="AD30" s="31" t="e">
        <f t="shared" si="21"/>
        <v>#DIV/0!</v>
      </c>
      <c r="AE30" s="24"/>
      <c r="AF30" s="24"/>
      <c r="AG30" s="67"/>
    </row>
    <row r="31" spans="1:37" x14ac:dyDescent="0.2">
      <c r="A31" s="77" t="str">
        <f>"402.01.03"</f>
        <v>402.01.03</v>
      </c>
      <c r="B31" s="71" t="s">
        <v>712</v>
      </c>
      <c r="C31" s="84">
        <f>CE_RegimeContributivo!B33</f>
        <v>0</v>
      </c>
      <c r="D31" s="84">
        <f>CE_RegimeContributivo!C33</f>
        <v>0</v>
      </c>
      <c r="E31" s="84">
        <f>CE_RegimeContributivo!S33</f>
        <v>0</v>
      </c>
      <c r="F31" s="31" t="e">
        <f t="shared" si="5"/>
        <v>#DIV/0!</v>
      </c>
      <c r="G31" s="84">
        <f>CE_RegimeNaoContributivo!B33</f>
        <v>0</v>
      </c>
      <c r="H31" s="84">
        <f>CE_RegimeNaoContributivo!C33</f>
        <v>0</v>
      </c>
      <c r="I31" s="84">
        <f>CE_RegimeNaoContributivo!S33</f>
        <v>0</v>
      </c>
      <c r="J31" s="31" t="e">
        <f t="shared" si="7"/>
        <v>#DIV/0!</v>
      </c>
      <c r="K31" s="20">
        <f>CE_AdministraçãoINSS!B33</f>
        <v>0</v>
      </c>
      <c r="L31" s="20">
        <f>CE_AdministraçãoINSS!C33</f>
        <v>0</v>
      </c>
      <c r="M31" s="20">
        <f>CE_AdministraçãoINSS!S33</f>
        <v>0</v>
      </c>
      <c r="N31" s="31" t="e">
        <f t="shared" si="9"/>
        <v>#DIV/0!</v>
      </c>
      <c r="O31" s="20">
        <f t="shared" si="10"/>
        <v>0</v>
      </c>
      <c r="P31" s="20">
        <f t="shared" si="10"/>
        <v>0</v>
      </c>
      <c r="Q31" s="20">
        <f t="shared" si="10"/>
        <v>0</v>
      </c>
      <c r="R31" s="31" t="e">
        <f t="shared" si="11"/>
        <v>#DIV/0!</v>
      </c>
      <c r="S31" s="20">
        <f>CE_AdministraçãoFRSS!B33</f>
        <v>0</v>
      </c>
      <c r="T31" s="20">
        <f>CE_AdministraçãoFRSS!C33</f>
        <v>0</v>
      </c>
      <c r="U31" s="20">
        <f>CE_AdministraçãoFRSS!S33</f>
        <v>0</v>
      </c>
      <c r="V31" s="31" t="e">
        <f t="shared" si="13"/>
        <v>#DIV/0!</v>
      </c>
      <c r="W31" s="20">
        <f t="shared" si="14"/>
        <v>0</v>
      </c>
      <c r="X31" s="20">
        <f t="shared" si="15"/>
        <v>0</v>
      </c>
      <c r="Y31" s="20">
        <f t="shared" si="16"/>
        <v>0</v>
      </c>
      <c r="Z31" s="31" t="e">
        <f t="shared" si="17"/>
        <v>#DIV/0!</v>
      </c>
      <c r="AA31" s="20">
        <f t="shared" si="18"/>
        <v>0</v>
      </c>
      <c r="AB31" s="20">
        <f t="shared" si="19"/>
        <v>0</v>
      </c>
      <c r="AC31" s="20">
        <f t="shared" si="20"/>
        <v>0</v>
      </c>
      <c r="AD31" s="31" t="e">
        <f t="shared" si="21"/>
        <v>#DIV/0!</v>
      </c>
      <c r="AE31" s="24"/>
      <c r="AF31" s="24"/>
      <c r="AG31" s="67"/>
    </row>
    <row r="32" spans="1:37" x14ac:dyDescent="0.2">
      <c r="A32" s="77" t="str">
        <f>"402.01.04"</f>
        <v>402.01.04</v>
      </c>
      <c r="B32" s="71" t="s">
        <v>713</v>
      </c>
      <c r="C32" s="84">
        <f>CE_RegimeContributivo!B34</f>
        <v>0</v>
      </c>
      <c r="D32" s="84">
        <f>CE_RegimeContributivo!C34</f>
        <v>0</v>
      </c>
      <c r="E32" s="84">
        <f>CE_RegimeContributivo!S34</f>
        <v>0</v>
      </c>
      <c r="F32" s="31" t="e">
        <f t="shared" si="5"/>
        <v>#DIV/0!</v>
      </c>
      <c r="G32" s="84">
        <f>CE_RegimeNaoContributivo!B34</f>
        <v>0</v>
      </c>
      <c r="H32" s="84">
        <f>CE_RegimeNaoContributivo!C34</f>
        <v>0</v>
      </c>
      <c r="I32" s="84">
        <f>CE_RegimeNaoContributivo!S34</f>
        <v>0</v>
      </c>
      <c r="J32" s="31" t="e">
        <f t="shared" si="7"/>
        <v>#DIV/0!</v>
      </c>
      <c r="K32" s="20">
        <f>CE_AdministraçãoINSS!B34</f>
        <v>0</v>
      </c>
      <c r="L32" s="20">
        <f>CE_AdministraçãoINSS!C34</f>
        <v>0</v>
      </c>
      <c r="M32" s="20">
        <f>CE_AdministraçãoINSS!S34</f>
        <v>0</v>
      </c>
      <c r="N32" s="31" t="e">
        <f t="shared" si="9"/>
        <v>#DIV/0!</v>
      </c>
      <c r="O32" s="20">
        <f t="shared" si="10"/>
        <v>0</v>
      </c>
      <c r="P32" s="20">
        <f t="shared" si="10"/>
        <v>0</v>
      </c>
      <c r="Q32" s="20">
        <f t="shared" si="10"/>
        <v>0</v>
      </c>
      <c r="R32" s="31" t="e">
        <f t="shared" si="11"/>
        <v>#DIV/0!</v>
      </c>
      <c r="S32" s="20">
        <f>CE_AdministraçãoFRSS!B34</f>
        <v>0</v>
      </c>
      <c r="T32" s="20">
        <f>CE_AdministraçãoFRSS!C34</f>
        <v>0</v>
      </c>
      <c r="U32" s="20">
        <f>CE_AdministraçãoFRSS!S34</f>
        <v>0</v>
      </c>
      <c r="V32" s="31" t="e">
        <f t="shared" si="13"/>
        <v>#DIV/0!</v>
      </c>
      <c r="W32" s="20">
        <f t="shared" si="14"/>
        <v>0</v>
      </c>
      <c r="X32" s="20">
        <f t="shared" si="15"/>
        <v>0</v>
      </c>
      <c r="Y32" s="20">
        <f t="shared" si="16"/>
        <v>0</v>
      </c>
      <c r="Z32" s="31" t="e">
        <f t="shared" si="17"/>
        <v>#DIV/0!</v>
      </c>
      <c r="AA32" s="20">
        <f t="shared" si="18"/>
        <v>0</v>
      </c>
      <c r="AB32" s="20">
        <f t="shared" si="19"/>
        <v>0</v>
      </c>
      <c r="AC32" s="20">
        <f t="shared" si="20"/>
        <v>0</v>
      </c>
      <c r="AD32" s="31" t="e">
        <f t="shared" si="21"/>
        <v>#DIV/0!</v>
      </c>
      <c r="AE32" s="24"/>
      <c r="AF32" s="24"/>
      <c r="AG32" s="67"/>
    </row>
    <row r="33" spans="1:33" x14ac:dyDescent="0.2">
      <c r="A33" s="77" t="str">
        <f>"402.01.05"</f>
        <v>402.01.05</v>
      </c>
      <c r="B33" s="71" t="s">
        <v>714</v>
      </c>
      <c r="C33" s="84">
        <f>CE_RegimeContributivo!B35</f>
        <v>0</v>
      </c>
      <c r="D33" s="84">
        <f>CE_RegimeContributivo!C35</f>
        <v>0</v>
      </c>
      <c r="E33" s="84">
        <f>CE_RegimeContributivo!S35</f>
        <v>0</v>
      </c>
      <c r="F33" s="31" t="e">
        <f t="shared" si="5"/>
        <v>#DIV/0!</v>
      </c>
      <c r="G33" s="84">
        <f>CE_RegimeNaoContributivo!B35</f>
        <v>0</v>
      </c>
      <c r="H33" s="84">
        <f>CE_RegimeNaoContributivo!C35</f>
        <v>0</v>
      </c>
      <c r="I33" s="84">
        <f>CE_RegimeNaoContributivo!S35</f>
        <v>0</v>
      </c>
      <c r="J33" s="31" t="e">
        <f t="shared" si="7"/>
        <v>#DIV/0!</v>
      </c>
      <c r="K33" s="20">
        <f>CE_AdministraçãoINSS!B35</f>
        <v>0</v>
      </c>
      <c r="L33" s="20">
        <f>CE_AdministraçãoINSS!C35</f>
        <v>0</v>
      </c>
      <c r="M33" s="20">
        <f>CE_AdministraçãoINSS!S35</f>
        <v>0</v>
      </c>
      <c r="N33" s="31" t="e">
        <f t="shared" si="9"/>
        <v>#DIV/0!</v>
      </c>
      <c r="O33" s="20">
        <f t="shared" si="10"/>
        <v>0</v>
      </c>
      <c r="P33" s="20">
        <f t="shared" si="10"/>
        <v>0</v>
      </c>
      <c r="Q33" s="20">
        <f t="shared" si="10"/>
        <v>0</v>
      </c>
      <c r="R33" s="31" t="e">
        <f t="shared" si="11"/>
        <v>#DIV/0!</v>
      </c>
      <c r="S33" s="20">
        <f>CE_AdministraçãoFRSS!B35</f>
        <v>0</v>
      </c>
      <c r="T33" s="20">
        <f>CE_AdministraçãoFRSS!C35</f>
        <v>0</v>
      </c>
      <c r="U33" s="20">
        <f>CE_AdministraçãoFRSS!S35</f>
        <v>0</v>
      </c>
      <c r="V33" s="31" t="e">
        <f t="shared" si="13"/>
        <v>#DIV/0!</v>
      </c>
      <c r="W33" s="20">
        <f t="shared" si="14"/>
        <v>0</v>
      </c>
      <c r="X33" s="20">
        <f t="shared" si="15"/>
        <v>0</v>
      </c>
      <c r="Y33" s="20">
        <f t="shared" si="16"/>
        <v>0</v>
      </c>
      <c r="Z33" s="31" t="e">
        <f t="shared" si="17"/>
        <v>#DIV/0!</v>
      </c>
      <c r="AA33" s="20">
        <f t="shared" si="18"/>
        <v>0</v>
      </c>
      <c r="AB33" s="20">
        <f t="shared" si="19"/>
        <v>0</v>
      </c>
      <c r="AC33" s="20">
        <f t="shared" si="20"/>
        <v>0</v>
      </c>
      <c r="AD33" s="31" t="e">
        <f t="shared" si="21"/>
        <v>#DIV/0!</v>
      </c>
      <c r="AE33" s="24"/>
      <c r="AF33" s="24"/>
      <c r="AG33" s="67"/>
    </row>
    <row r="34" spans="1:33" x14ac:dyDescent="0.2">
      <c r="A34" s="77" t="str">
        <f>"402.01.06"</f>
        <v>402.01.06</v>
      </c>
      <c r="B34" s="71" t="s">
        <v>715</v>
      </c>
      <c r="C34" s="84">
        <f>CE_RegimeContributivo!B36</f>
        <v>0</v>
      </c>
      <c r="D34" s="84">
        <f>CE_RegimeContributivo!C36</f>
        <v>0</v>
      </c>
      <c r="E34" s="84">
        <f>CE_RegimeContributivo!S36</f>
        <v>0</v>
      </c>
      <c r="F34" s="31" t="e">
        <f t="shared" si="5"/>
        <v>#DIV/0!</v>
      </c>
      <c r="G34" s="84">
        <f>CE_RegimeNaoContributivo!B36</f>
        <v>0</v>
      </c>
      <c r="H34" s="84">
        <f>CE_RegimeNaoContributivo!C36</f>
        <v>0</v>
      </c>
      <c r="I34" s="84">
        <f>CE_RegimeNaoContributivo!S36</f>
        <v>0</v>
      </c>
      <c r="J34" s="31" t="e">
        <f t="shared" si="7"/>
        <v>#DIV/0!</v>
      </c>
      <c r="K34" s="20">
        <f>CE_AdministraçãoINSS!B36</f>
        <v>0</v>
      </c>
      <c r="L34" s="20">
        <f>CE_AdministraçãoINSS!C36</f>
        <v>0</v>
      </c>
      <c r="M34" s="20">
        <f>CE_AdministraçãoINSS!S36</f>
        <v>0</v>
      </c>
      <c r="N34" s="31" t="e">
        <f t="shared" si="9"/>
        <v>#DIV/0!</v>
      </c>
      <c r="O34" s="20">
        <f t="shared" si="10"/>
        <v>0</v>
      </c>
      <c r="P34" s="20">
        <f t="shared" si="10"/>
        <v>0</v>
      </c>
      <c r="Q34" s="20">
        <f t="shared" si="10"/>
        <v>0</v>
      </c>
      <c r="R34" s="31" t="e">
        <f t="shared" si="11"/>
        <v>#DIV/0!</v>
      </c>
      <c r="S34" s="20">
        <f>CE_AdministraçãoFRSS!B36</f>
        <v>0</v>
      </c>
      <c r="T34" s="20">
        <f>CE_AdministraçãoFRSS!C36</f>
        <v>0</v>
      </c>
      <c r="U34" s="20">
        <f>CE_AdministraçãoFRSS!S36</f>
        <v>0</v>
      </c>
      <c r="V34" s="31" t="e">
        <f t="shared" si="13"/>
        <v>#DIV/0!</v>
      </c>
      <c r="W34" s="20">
        <f t="shared" si="14"/>
        <v>0</v>
      </c>
      <c r="X34" s="20">
        <f t="shared" si="15"/>
        <v>0</v>
      </c>
      <c r="Y34" s="20">
        <f t="shared" si="16"/>
        <v>0</v>
      </c>
      <c r="Z34" s="31" t="e">
        <f t="shared" si="17"/>
        <v>#DIV/0!</v>
      </c>
      <c r="AA34" s="20">
        <f t="shared" si="18"/>
        <v>0</v>
      </c>
      <c r="AB34" s="20">
        <f t="shared" si="19"/>
        <v>0</v>
      </c>
      <c r="AC34" s="20">
        <f t="shared" si="20"/>
        <v>0</v>
      </c>
      <c r="AD34" s="31" t="e">
        <f t="shared" si="21"/>
        <v>#DIV/0!</v>
      </c>
      <c r="AE34" s="24"/>
      <c r="AF34" s="24"/>
      <c r="AG34" s="67"/>
    </row>
    <row r="35" spans="1:33" x14ac:dyDescent="0.2">
      <c r="A35" s="77" t="str">
        <f>"402.01.07"</f>
        <v>402.01.07</v>
      </c>
      <c r="B35" s="71" t="s">
        <v>716</v>
      </c>
      <c r="C35" s="84">
        <f>CE_RegimeContributivo!B37</f>
        <v>0</v>
      </c>
      <c r="D35" s="84">
        <f>CE_RegimeContributivo!C37</f>
        <v>0</v>
      </c>
      <c r="E35" s="84">
        <f>CE_RegimeContributivo!S37</f>
        <v>0</v>
      </c>
      <c r="F35" s="31" t="e">
        <f t="shared" si="5"/>
        <v>#DIV/0!</v>
      </c>
      <c r="G35" s="84">
        <f>CE_RegimeNaoContributivo!B37</f>
        <v>0</v>
      </c>
      <c r="H35" s="84">
        <f>CE_RegimeNaoContributivo!C37</f>
        <v>0</v>
      </c>
      <c r="I35" s="84">
        <f>CE_RegimeNaoContributivo!S37</f>
        <v>0</v>
      </c>
      <c r="J35" s="31" t="e">
        <f t="shared" si="7"/>
        <v>#DIV/0!</v>
      </c>
      <c r="K35" s="20">
        <f>CE_AdministraçãoINSS!B37</f>
        <v>0</v>
      </c>
      <c r="L35" s="20">
        <f>CE_AdministraçãoINSS!C37</f>
        <v>0</v>
      </c>
      <c r="M35" s="20">
        <f>CE_AdministraçãoINSS!S37</f>
        <v>0</v>
      </c>
      <c r="N35" s="31" t="e">
        <f t="shared" si="9"/>
        <v>#DIV/0!</v>
      </c>
      <c r="O35" s="20">
        <f t="shared" si="10"/>
        <v>0</v>
      </c>
      <c r="P35" s="20">
        <f t="shared" si="10"/>
        <v>0</v>
      </c>
      <c r="Q35" s="20">
        <f t="shared" si="10"/>
        <v>0</v>
      </c>
      <c r="R35" s="31" t="e">
        <f t="shared" si="11"/>
        <v>#DIV/0!</v>
      </c>
      <c r="S35" s="20">
        <f>CE_AdministraçãoFRSS!B37</f>
        <v>0</v>
      </c>
      <c r="T35" s="20">
        <f>CE_AdministraçãoFRSS!C37</f>
        <v>0</v>
      </c>
      <c r="U35" s="20">
        <f>CE_AdministraçãoFRSS!S37</f>
        <v>0</v>
      </c>
      <c r="V35" s="31" t="e">
        <f t="shared" si="13"/>
        <v>#DIV/0!</v>
      </c>
      <c r="W35" s="20">
        <f t="shared" si="14"/>
        <v>0</v>
      </c>
      <c r="X35" s="20">
        <f t="shared" si="15"/>
        <v>0</v>
      </c>
      <c r="Y35" s="20">
        <f t="shared" si="16"/>
        <v>0</v>
      </c>
      <c r="Z35" s="31" t="e">
        <f t="shared" si="17"/>
        <v>#DIV/0!</v>
      </c>
      <c r="AA35" s="20">
        <f t="shared" si="18"/>
        <v>0</v>
      </c>
      <c r="AB35" s="20">
        <f t="shared" si="19"/>
        <v>0</v>
      </c>
      <c r="AC35" s="20">
        <f t="shared" si="20"/>
        <v>0</v>
      </c>
      <c r="AD35" s="31" t="e">
        <f t="shared" si="21"/>
        <v>#DIV/0!</v>
      </c>
      <c r="AE35" s="24"/>
      <c r="AF35" s="24"/>
      <c r="AG35" s="67"/>
    </row>
    <row r="36" spans="1:33" x14ac:dyDescent="0.2">
      <c r="A36" s="77" t="str">
        <f>"402.01.08"</f>
        <v>402.01.08</v>
      </c>
      <c r="B36" s="71" t="s">
        <v>717</v>
      </c>
      <c r="C36" s="84">
        <f>CE_RegimeContributivo!B38</f>
        <v>0</v>
      </c>
      <c r="D36" s="84">
        <f>CE_RegimeContributivo!C38</f>
        <v>0</v>
      </c>
      <c r="E36" s="84">
        <f>CE_RegimeContributivo!S38</f>
        <v>0</v>
      </c>
      <c r="F36" s="31" t="e">
        <f t="shared" si="5"/>
        <v>#DIV/0!</v>
      </c>
      <c r="G36" s="84">
        <f>CE_RegimeNaoContributivo!B38</f>
        <v>0</v>
      </c>
      <c r="H36" s="84">
        <f>CE_RegimeNaoContributivo!C38</f>
        <v>0</v>
      </c>
      <c r="I36" s="84">
        <f>CE_RegimeNaoContributivo!S38</f>
        <v>0</v>
      </c>
      <c r="J36" s="31" t="e">
        <f t="shared" si="7"/>
        <v>#DIV/0!</v>
      </c>
      <c r="K36" s="20">
        <f>CE_AdministraçãoINSS!B38</f>
        <v>0</v>
      </c>
      <c r="L36" s="20">
        <f>CE_AdministraçãoINSS!C38</f>
        <v>0</v>
      </c>
      <c r="M36" s="20">
        <f>CE_AdministraçãoINSS!S38</f>
        <v>0</v>
      </c>
      <c r="N36" s="31" t="e">
        <f t="shared" si="9"/>
        <v>#DIV/0!</v>
      </c>
      <c r="O36" s="20">
        <f t="shared" si="10"/>
        <v>0</v>
      </c>
      <c r="P36" s="20">
        <f t="shared" si="10"/>
        <v>0</v>
      </c>
      <c r="Q36" s="20">
        <f t="shared" si="10"/>
        <v>0</v>
      </c>
      <c r="R36" s="31" t="e">
        <f t="shared" si="11"/>
        <v>#DIV/0!</v>
      </c>
      <c r="S36" s="20">
        <f>CE_AdministraçãoFRSS!B38</f>
        <v>0</v>
      </c>
      <c r="T36" s="20">
        <f>CE_AdministraçãoFRSS!C38</f>
        <v>0</v>
      </c>
      <c r="U36" s="20">
        <f>CE_AdministraçãoFRSS!S38</f>
        <v>0</v>
      </c>
      <c r="V36" s="31" t="e">
        <f t="shared" si="13"/>
        <v>#DIV/0!</v>
      </c>
      <c r="W36" s="20">
        <f t="shared" si="14"/>
        <v>0</v>
      </c>
      <c r="X36" s="20">
        <f t="shared" si="15"/>
        <v>0</v>
      </c>
      <c r="Y36" s="20">
        <f t="shared" si="16"/>
        <v>0</v>
      </c>
      <c r="Z36" s="31" t="e">
        <f t="shared" si="17"/>
        <v>#DIV/0!</v>
      </c>
      <c r="AA36" s="20">
        <f t="shared" si="18"/>
        <v>0</v>
      </c>
      <c r="AB36" s="20">
        <f t="shared" si="19"/>
        <v>0</v>
      </c>
      <c r="AC36" s="20">
        <f t="shared" si="20"/>
        <v>0</v>
      </c>
      <c r="AD36" s="31" t="e">
        <f t="shared" si="21"/>
        <v>#DIV/0!</v>
      </c>
      <c r="AE36" s="24"/>
      <c r="AF36" s="24"/>
      <c r="AG36" s="67"/>
    </row>
    <row r="37" spans="1:33" x14ac:dyDescent="0.2">
      <c r="A37" s="77" t="str">
        <f>"402.01.09"</f>
        <v>402.01.09</v>
      </c>
      <c r="B37" s="71" t="s">
        <v>718</v>
      </c>
      <c r="C37" s="84">
        <f>CE_RegimeContributivo!B39</f>
        <v>0</v>
      </c>
      <c r="D37" s="84">
        <f>CE_RegimeContributivo!C39</f>
        <v>0</v>
      </c>
      <c r="E37" s="84">
        <f>CE_RegimeContributivo!S39</f>
        <v>0</v>
      </c>
      <c r="F37" s="31" t="e">
        <f t="shared" si="5"/>
        <v>#DIV/0!</v>
      </c>
      <c r="G37" s="84">
        <f>CE_RegimeNaoContributivo!B39</f>
        <v>0</v>
      </c>
      <c r="H37" s="84">
        <f>CE_RegimeNaoContributivo!C39</f>
        <v>0</v>
      </c>
      <c r="I37" s="84">
        <f>CE_RegimeNaoContributivo!S39</f>
        <v>0</v>
      </c>
      <c r="J37" s="31" t="e">
        <f t="shared" si="7"/>
        <v>#DIV/0!</v>
      </c>
      <c r="K37" s="20">
        <f>CE_AdministraçãoINSS!B39</f>
        <v>0</v>
      </c>
      <c r="L37" s="20">
        <f>CE_AdministraçãoINSS!C39</f>
        <v>0</v>
      </c>
      <c r="M37" s="20">
        <f>CE_AdministraçãoINSS!S39</f>
        <v>0</v>
      </c>
      <c r="N37" s="31" t="e">
        <f t="shared" si="9"/>
        <v>#DIV/0!</v>
      </c>
      <c r="O37" s="20">
        <f t="shared" si="10"/>
        <v>0</v>
      </c>
      <c r="P37" s="20">
        <f t="shared" si="10"/>
        <v>0</v>
      </c>
      <c r="Q37" s="20">
        <f t="shared" si="10"/>
        <v>0</v>
      </c>
      <c r="R37" s="31" t="e">
        <f t="shared" si="11"/>
        <v>#DIV/0!</v>
      </c>
      <c r="S37" s="20">
        <f>CE_AdministraçãoFRSS!B39</f>
        <v>0</v>
      </c>
      <c r="T37" s="20">
        <f>CE_AdministraçãoFRSS!C39</f>
        <v>0</v>
      </c>
      <c r="U37" s="20">
        <f>CE_AdministraçãoFRSS!S39</f>
        <v>0</v>
      </c>
      <c r="V37" s="31" t="e">
        <f t="shared" si="13"/>
        <v>#DIV/0!</v>
      </c>
      <c r="W37" s="20">
        <f t="shared" si="14"/>
        <v>0</v>
      </c>
      <c r="X37" s="20">
        <f t="shared" si="15"/>
        <v>0</v>
      </c>
      <c r="Y37" s="20">
        <f t="shared" si="16"/>
        <v>0</v>
      </c>
      <c r="Z37" s="31" t="e">
        <f t="shared" si="17"/>
        <v>#DIV/0!</v>
      </c>
      <c r="AA37" s="20">
        <f t="shared" si="18"/>
        <v>0</v>
      </c>
      <c r="AB37" s="20">
        <f t="shared" si="19"/>
        <v>0</v>
      </c>
      <c r="AC37" s="20">
        <f t="shared" si="20"/>
        <v>0</v>
      </c>
      <c r="AD37" s="31" t="e">
        <f t="shared" si="21"/>
        <v>#DIV/0!</v>
      </c>
      <c r="AE37" s="24"/>
      <c r="AF37" s="24"/>
      <c r="AG37" s="67"/>
    </row>
    <row r="38" spans="1:33" x14ac:dyDescent="0.2">
      <c r="A38" s="77" t="str">
        <f>"402.01.10"</f>
        <v>402.01.10</v>
      </c>
      <c r="B38" s="71" t="s">
        <v>719</v>
      </c>
      <c r="C38" s="84">
        <f>CE_RegimeContributivo!B40</f>
        <v>0</v>
      </c>
      <c r="D38" s="84">
        <f>CE_RegimeContributivo!C40</f>
        <v>0</v>
      </c>
      <c r="E38" s="84">
        <f>CE_RegimeContributivo!S40</f>
        <v>0</v>
      </c>
      <c r="F38" s="31" t="e">
        <f t="shared" si="5"/>
        <v>#DIV/0!</v>
      </c>
      <c r="G38" s="84">
        <f>CE_RegimeNaoContributivo!B40</f>
        <v>0</v>
      </c>
      <c r="H38" s="84">
        <f>CE_RegimeNaoContributivo!C40</f>
        <v>0</v>
      </c>
      <c r="I38" s="84">
        <f>CE_RegimeNaoContributivo!S40</f>
        <v>0</v>
      </c>
      <c r="J38" s="31" t="e">
        <f t="shared" si="7"/>
        <v>#DIV/0!</v>
      </c>
      <c r="K38" s="20">
        <f>CE_AdministraçãoINSS!B40</f>
        <v>0</v>
      </c>
      <c r="L38" s="20">
        <f>CE_AdministraçãoINSS!C40</f>
        <v>0</v>
      </c>
      <c r="M38" s="20">
        <f>CE_AdministraçãoINSS!S40</f>
        <v>0</v>
      </c>
      <c r="N38" s="31" t="e">
        <f t="shared" si="9"/>
        <v>#DIV/0!</v>
      </c>
      <c r="O38" s="20">
        <f t="shared" si="10"/>
        <v>0</v>
      </c>
      <c r="P38" s="20">
        <f t="shared" si="10"/>
        <v>0</v>
      </c>
      <c r="Q38" s="20">
        <f t="shared" si="10"/>
        <v>0</v>
      </c>
      <c r="R38" s="31" t="e">
        <f t="shared" si="11"/>
        <v>#DIV/0!</v>
      </c>
      <c r="S38" s="20">
        <f>CE_AdministraçãoFRSS!B40</f>
        <v>0</v>
      </c>
      <c r="T38" s="20">
        <f>CE_AdministraçãoFRSS!C40</f>
        <v>0</v>
      </c>
      <c r="U38" s="20">
        <f>CE_AdministraçãoFRSS!S40</f>
        <v>0</v>
      </c>
      <c r="V38" s="31" t="e">
        <f t="shared" si="13"/>
        <v>#DIV/0!</v>
      </c>
      <c r="W38" s="20">
        <f t="shared" si="14"/>
        <v>0</v>
      </c>
      <c r="X38" s="20">
        <f t="shared" si="15"/>
        <v>0</v>
      </c>
      <c r="Y38" s="20">
        <f t="shared" si="16"/>
        <v>0</v>
      </c>
      <c r="Z38" s="31" t="e">
        <f t="shared" si="17"/>
        <v>#DIV/0!</v>
      </c>
      <c r="AA38" s="20">
        <f t="shared" si="18"/>
        <v>0</v>
      </c>
      <c r="AB38" s="20">
        <f t="shared" si="19"/>
        <v>0</v>
      </c>
      <c r="AC38" s="20">
        <f t="shared" si="20"/>
        <v>0</v>
      </c>
      <c r="AD38" s="31" t="e">
        <f t="shared" si="21"/>
        <v>#DIV/0!</v>
      </c>
      <c r="AE38" s="24"/>
      <c r="AF38" s="24"/>
      <c r="AG38" s="67"/>
    </row>
    <row r="39" spans="1:33" x14ac:dyDescent="0.2">
      <c r="A39" s="77" t="str">
        <f>"402.01.11"</f>
        <v>402.01.11</v>
      </c>
      <c r="B39" s="71" t="s">
        <v>720</v>
      </c>
      <c r="C39" s="84">
        <f>CE_RegimeContributivo!B41</f>
        <v>0</v>
      </c>
      <c r="D39" s="84">
        <f>CE_RegimeContributivo!C41</f>
        <v>0</v>
      </c>
      <c r="E39" s="84">
        <f>CE_RegimeContributivo!S41</f>
        <v>0</v>
      </c>
      <c r="F39" s="31" t="e">
        <f t="shared" si="5"/>
        <v>#DIV/0!</v>
      </c>
      <c r="G39" s="84">
        <f>CE_RegimeNaoContributivo!B41</f>
        <v>0</v>
      </c>
      <c r="H39" s="84">
        <f>CE_RegimeNaoContributivo!C41</f>
        <v>0</v>
      </c>
      <c r="I39" s="84">
        <f>CE_RegimeNaoContributivo!S41</f>
        <v>0</v>
      </c>
      <c r="J39" s="31" t="e">
        <f t="shared" si="7"/>
        <v>#DIV/0!</v>
      </c>
      <c r="K39" s="20">
        <f>CE_AdministraçãoINSS!B41</f>
        <v>0</v>
      </c>
      <c r="L39" s="20">
        <f>CE_AdministraçãoINSS!C41</f>
        <v>0</v>
      </c>
      <c r="M39" s="20">
        <f>CE_AdministraçãoINSS!S41</f>
        <v>0</v>
      </c>
      <c r="N39" s="31" t="e">
        <f t="shared" si="9"/>
        <v>#DIV/0!</v>
      </c>
      <c r="O39" s="20">
        <f t="shared" si="10"/>
        <v>0</v>
      </c>
      <c r="P39" s="20">
        <f t="shared" si="10"/>
        <v>0</v>
      </c>
      <c r="Q39" s="20">
        <f t="shared" si="10"/>
        <v>0</v>
      </c>
      <c r="R39" s="31" t="e">
        <f t="shared" si="11"/>
        <v>#DIV/0!</v>
      </c>
      <c r="S39" s="20">
        <f>CE_AdministraçãoFRSS!B41</f>
        <v>0</v>
      </c>
      <c r="T39" s="20">
        <f>CE_AdministraçãoFRSS!C41</f>
        <v>0</v>
      </c>
      <c r="U39" s="20">
        <f>CE_AdministraçãoFRSS!S41</f>
        <v>0</v>
      </c>
      <c r="V39" s="31" t="e">
        <f t="shared" si="13"/>
        <v>#DIV/0!</v>
      </c>
      <c r="W39" s="20">
        <f t="shared" si="14"/>
        <v>0</v>
      </c>
      <c r="X39" s="20">
        <f t="shared" si="15"/>
        <v>0</v>
      </c>
      <c r="Y39" s="20">
        <f t="shared" si="16"/>
        <v>0</v>
      </c>
      <c r="Z39" s="31" t="e">
        <f t="shared" si="17"/>
        <v>#DIV/0!</v>
      </c>
      <c r="AA39" s="20">
        <f t="shared" si="18"/>
        <v>0</v>
      </c>
      <c r="AB39" s="20">
        <f t="shared" si="19"/>
        <v>0</v>
      </c>
      <c r="AC39" s="20">
        <f t="shared" si="20"/>
        <v>0</v>
      </c>
      <c r="AD39" s="31" t="e">
        <f t="shared" si="21"/>
        <v>#DIV/0!</v>
      </c>
      <c r="AE39" s="24"/>
      <c r="AF39" s="24"/>
      <c r="AG39" s="67"/>
    </row>
    <row r="40" spans="1:33" x14ac:dyDescent="0.2">
      <c r="A40" s="77" t="str">
        <f>"402.01.12"</f>
        <v>402.01.12</v>
      </c>
      <c r="B40" s="71" t="s">
        <v>721</v>
      </c>
      <c r="C40" s="84">
        <f>CE_RegimeContributivo!B42</f>
        <v>0</v>
      </c>
      <c r="D40" s="84">
        <f>CE_RegimeContributivo!C42</f>
        <v>0</v>
      </c>
      <c r="E40" s="84">
        <f>CE_RegimeContributivo!S42</f>
        <v>0</v>
      </c>
      <c r="F40" s="31" t="e">
        <f t="shared" si="5"/>
        <v>#DIV/0!</v>
      </c>
      <c r="G40" s="84">
        <f>CE_RegimeNaoContributivo!B42</f>
        <v>0</v>
      </c>
      <c r="H40" s="84">
        <f>CE_RegimeNaoContributivo!C42</f>
        <v>0</v>
      </c>
      <c r="I40" s="84">
        <f>CE_RegimeNaoContributivo!S42</f>
        <v>0</v>
      </c>
      <c r="J40" s="31" t="e">
        <f t="shared" si="7"/>
        <v>#DIV/0!</v>
      </c>
      <c r="K40" s="20">
        <f>CE_AdministraçãoINSS!B42</f>
        <v>0</v>
      </c>
      <c r="L40" s="20">
        <f>CE_AdministraçãoINSS!C42</f>
        <v>0</v>
      </c>
      <c r="M40" s="20">
        <f>CE_AdministraçãoINSS!S42</f>
        <v>0</v>
      </c>
      <c r="N40" s="31" t="e">
        <f t="shared" si="9"/>
        <v>#DIV/0!</v>
      </c>
      <c r="O40" s="20">
        <f t="shared" si="10"/>
        <v>0</v>
      </c>
      <c r="P40" s="20">
        <f t="shared" si="10"/>
        <v>0</v>
      </c>
      <c r="Q40" s="20">
        <f t="shared" si="10"/>
        <v>0</v>
      </c>
      <c r="R40" s="31" t="e">
        <f t="shared" si="11"/>
        <v>#DIV/0!</v>
      </c>
      <c r="S40" s="20">
        <f>CE_AdministraçãoFRSS!B42</f>
        <v>0</v>
      </c>
      <c r="T40" s="20">
        <f>CE_AdministraçãoFRSS!C42</f>
        <v>0</v>
      </c>
      <c r="U40" s="20">
        <f>CE_AdministraçãoFRSS!S42</f>
        <v>0</v>
      </c>
      <c r="V40" s="31" t="e">
        <f t="shared" si="13"/>
        <v>#DIV/0!</v>
      </c>
      <c r="W40" s="20">
        <f t="shared" si="14"/>
        <v>0</v>
      </c>
      <c r="X40" s="20">
        <f t="shared" si="15"/>
        <v>0</v>
      </c>
      <c r="Y40" s="20">
        <f t="shared" si="16"/>
        <v>0</v>
      </c>
      <c r="Z40" s="31" t="e">
        <f t="shared" si="17"/>
        <v>#DIV/0!</v>
      </c>
      <c r="AA40" s="20">
        <f t="shared" si="18"/>
        <v>0</v>
      </c>
      <c r="AB40" s="20">
        <f t="shared" si="19"/>
        <v>0</v>
      </c>
      <c r="AC40" s="20">
        <f t="shared" si="20"/>
        <v>0</v>
      </c>
      <c r="AD40" s="31" t="e">
        <f t="shared" si="21"/>
        <v>#DIV/0!</v>
      </c>
      <c r="AE40" s="24"/>
      <c r="AF40" s="24"/>
      <c r="AG40" s="67"/>
    </row>
    <row r="41" spans="1:33" x14ac:dyDescent="0.2">
      <c r="A41" s="77" t="str">
        <f>"402.01.13"</f>
        <v>402.01.13</v>
      </c>
      <c r="B41" s="71" t="s">
        <v>722</v>
      </c>
      <c r="C41" s="84">
        <f>CE_RegimeContributivo!B43</f>
        <v>0</v>
      </c>
      <c r="D41" s="84">
        <f>CE_RegimeContributivo!C43</f>
        <v>0</v>
      </c>
      <c r="E41" s="84">
        <f>CE_RegimeContributivo!S43</f>
        <v>0</v>
      </c>
      <c r="F41" s="31" t="e">
        <f t="shared" si="5"/>
        <v>#DIV/0!</v>
      </c>
      <c r="G41" s="84">
        <f>CE_RegimeNaoContributivo!B43</f>
        <v>0</v>
      </c>
      <c r="H41" s="84">
        <f>CE_RegimeNaoContributivo!C43</f>
        <v>0</v>
      </c>
      <c r="I41" s="84">
        <f>CE_RegimeNaoContributivo!S43</f>
        <v>0</v>
      </c>
      <c r="J41" s="31" t="e">
        <f t="shared" si="7"/>
        <v>#DIV/0!</v>
      </c>
      <c r="K41" s="20">
        <f>CE_AdministraçãoINSS!B43</f>
        <v>0</v>
      </c>
      <c r="L41" s="20">
        <f>CE_AdministraçãoINSS!C43</f>
        <v>0</v>
      </c>
      <c r="M41" s="20">
        <f>CE_AdministraçãoINSS!S43</f>
        <v>0</v>
      </c>
      <c r="N41" s="31" t="e">
        <f t="shared" si="9"/>
        <v>#DIV/0!</v>
      </c>
      <c r="O41" s="20">
        <f t="shared" si="10"/>
        <v>0</v>
      </c>
      <c r="P41" s="20">
        <f t="shared" si="10"/>
        <v>0</v>
      </c>
      <c r="Q41" s="20">
        <f t="shared" si="10"/>
        <v>0</v>
      </c>
      <c r="R41" s="31" t="e">
        <f t="shared" si="11"/>
        <v>#DIV/0!</v>
      </c>
      <c r="S41" s="20">
        <f>CE_AdministraçãoFRSS!B43</f>
        <v>0</v>
      </c>
      <c r="T41" s="20">
        <f>CE_AdministraçãoFRSS!C43</f>
        <v>0</v>
      </c>
      <c r="U41" s="20">
        <f>CE_AdministraçãoFRSS!S43</f>
        <v>0</v>
      </c>
      <c r="V41" s="31" t="e">
        <f t="shared" si="13"/>
        <v>#DIV/0!</v>
      </c>
      <c r="W41" s="20">
        <f t="shared" si="14"/>
        <v>0</v>
      </c>
      <c r="X41" s="20">
        <f t="shared" si="15"/>
        <v>0</v>
      </c>
      <c r="Y41" s="20">
        <f t="shared" si="16"/>
        <v>0</v>
      </c>
      <c r="Z41" s="31" t="e">
        <f t="shared" si="17"/>
        <v>#DIV/0!</v>
      </c>
      <c r="AA41" s="20">
        <f t="shared" si="18"/>
        <v>0</v>
      </c>
      <c r="AB41" s="20">
        <f t="shared" si="19"/>
        <v>0</v>
      </c>
      <c r="AC41" s="20">
        <f t="shared" si="20"/>
        <v>0</v>
      </c>
      <c r="AD41" s="31" t="e">
        <f t="shared" si="21"/>
        <v>#DIV/0!</v>
      </c>
      <c r="AE41" s="24"/>
      <c r="AF41" s="24"/>
      <c r="AG41" s="67"/>
    </row>
    <row r="42" spans="1:33" x14ac:dyDescent="0.2">
      <c r="A42" s="77" t="str">
        <f>"402.01.14"</f>
        <v>402.01.14</v>
      </c>
      <c r="B42" s="71" t="s">
        <v>723</v>
      </c>
      <c r="C42" s="84">
        <f>CE_RegimeContributivo!B44</f>
        <v>0</v>
      </c>
      <c r="D42" s="84">
        <f>CE_RegimeContributivo!C44</f>
        <v>0</v>
      </c>
      <c r="E42" s="84">
        <f>CE_RegimeContributivo!S44</f>
        <v>0</v>
      </c>
      <c r="F42" s="31" t="e">
        <f t="shared" si="5"/>
        <v>#DIV/0!</v>
      </c>
      <c r="G42" s="84">
        <f>CE_RegimeNaoContributivo!B44</f>
        <v>0</v>
      </c>
      <c r="H42" s="84">
        <f>CE_RegimeNaoContributivo!C44</f>
        <v>0</v>
      </c>
      <c r="I42" s="84">
        <f>CE_RegimeNaoContributivo!S44</f>
        <v>0</v>
      </c>
      <c r="J42" s="31" t="e">
        <f t="shared" si="7"/>
        <v>#DIV/0!</v>
      </c>
      <c r="K42" s="20">
        <f>CE_AdministraçãoINSS!B44</f>
        <v>0</v>
      </c>
      <c r="L42" s="20">
        <f>CE_AdministraçãoINSS!C44</f>
        <v>0</v>
      </c>
      <c r="M42" s="20">
        <f>CE_AdministraçãoINSS!S44</f>
        <v>0</v>
      </c>
      <c r="N42" s="31" t="e">
        <f t="shared" si="9"/>
        <v>#DIV/0!</v>
      </c>
      <c r="O42" s="20">
        <f t="shared" si="10"/>
        <v>0</v>
      </c>
      <c r="P42" s="20">
        <f t="shared" si="10"/>
        <v>0</v>
      </c>
      <c r="Q42" s="20">
        <f t="shared" si="10"/>
        <v>0</v>
      </c>
      <c r="R42" s="31" t="e">
        <f t="shared" si="11"/>
        <v>#DIV/0!</v>
      </c>
      <c r="S42" s="20">
        <f>CE_AdministraçãoFRSS!B44</f>
        <v>0</v>
      </c>
      <c r="T42" s="20">
        <f>CE_AdministraçãoFRSS!C44</f>
        <v>0</v>
      </c>
      <c r="U42" s="20">
        <f>CE_AdministraçãoFRSS!S44</f>
        <v>0</v>
      </c>
      <c r="V42" s="31" t="e">
        <f t="shared" si="13"/>
        <v>#DIV/0!</v>
      </c>
      <c r="W42" s="20">
        <f t="shared" si="14"/>
        <v>0</v>
      </c>
      <c r="X42" s="20">
        <f t="shared" si="15"/>
        <v>0</v>
      </c>
      <c r="Y42" s="20">
        <f t="shared" si="16"/>
        <v>0</v>
      </c>
      <c r="Z42" s="31" t="e">
        <f t="shared" si="17"/>
        <v>#DIV/0!</v>
      </c>
      <c r="AA42" s="20">
        <f t="shared" si="18"/>
        <v>0</v>
      </c>
      <c r="AB42" s="20">
        <f t="shared" si="19"/>
        <v>0</v>
      </c>
      <c r="AC42" s="20">
        <f t="shared" si="20"/>
        <v>0</v>
      </c>
      <c r="AD42" s="31" t="e">
        <f t="shared" si="21"/>
        <v>#DIV/0!</v>
      </c>
      <c r="AE42" s="24"/>
      <c r="AF42" s="24"/>
      <c r="AG42" s="67"/>
    </row>
    <row r="43" spans="1:33" x14ac:dyDescent="0.2">
      <c r="A43" s="77" t="str">
        <f>"402.01.15"</f>
        <v>402.01.15</v>
      </c>
      <c r="B43" s="71" t="s">
        <v>724</v>
      </c>
      <c r="C43" s="84">
        <f>CE_RegimeContributivo!B45</f>
        <v>0</v>
      </c>
      <c r="D43" s="84">
        <f>CE_RegimeContributivo!C45</f>
        <v>0</v>
      </c>
      <c r="E43" s="84">
        <f>CE_RegimeContributivo!S45</f>
        <v>0</v>
      </c>
      <c r="F43" s="31" t="e">
        <f t="shared" si="5"/>
        <v>#DIV/0!</v>
      </c>
      <c r="G43" s="84">
        <f>CE_RegimeNaoContributivo!B45</f>
        <v>0</v>
      </c>
      <c r="H43" s="84">
        <f>CE_RegimeNaoContributivo!C45</f>
        <v>0</v>
      </c>
      <c r="I43" s="84">
        <f>CE_RegimeNaoContributivo!S45</f>
        <v>0</v>
      </c>
      <c r="J43" s="31" t="e">
        <f t="shared" si="7"/>
        <v>#DIV/0!</v>
      </c>
      <c r="K43" s="20">
        <f>CE_AdministraçãoINSS!B45</f>
        <v>0</v>
      </c>
      <c r="L43" s="20">
        <f>CE_AdministraçãoINSS!C45</f>
        <v>0</v>
      </c>
      <c r="M43" s="20">
        <f>CE_AdministraçãoINSS!S45</f>
        <v>0</v>
      </c>
      <c r="N43" s="31" t="e">
        <f t="shared" si="9"/>
        <v>#DIV/0!</v>
      </c>
      <c r="O43" s="20">
        <f t="shared" si="10"/>
        <v>0</v>
      </c>
      <c r="P43" s="20">
        <f t="shared" si="10"/>
        <v>0</v>
      </c>
      <c r="Q43" s="20">
        <f t="shared" si="10"/>
        <v>0</v>
      </c>
      <c r="R43" s="31" t="e">
        <f t="shared" si="11"/>
        <v>#DIV/0!</v>
      </c>
      <c r="S43" s="20">
        <f>CE_AdministraçãoFRSS!B45</f>
        <v>0</v>
      </c>
      <c r="T43" s="20">
        <f>CE_AdministraçãoFRSS!C45</f>
        <v>0</v>
      </c>
      <c r="U43" s="20">
        <f>CE_AdministraçãoFRSS!S45</f>
        <v>0</v>
      </c>
      <c r="V43" s="31" t="e">
        <f t="shared" si="13"/>
        <v>#DIV/0!</v>
      </c>
      <c r="W43" s="20">
        <f t="shared" si="14"/>
        <v>0</v>
      </c>
      <c r="X43" s="20">
        <f t="shared" si="15"/>
        <v>0</v>
      </c>
      <c r="Y43" s="20">
        <f t="shared" si="16"/>
        <v>0</v>
      </c>
      <c r="Z43" s="31" t="e">
        <f t="shared" si="17"/>
        <v>#DIV/0!</v>
      </c>
      <c r="AA43" s="20">
        <f t="shared" si="18"/>
        <v>0</v>
      </c>
      <c r="AB43" s="20">
        <f t="shared" si="19"/>
        <v>0</v>
      </c>
      <c r="AC43" s="20">
        <f t="shared" si="20"/>
        <v>0</v>
      </c>
      <c r="AD43" s="31" t="e">
        <f t="shared" si="21"/>
        <v>#DIV/0!</v>
      </c>
      <c r="AE43" s="24"/>
      <c r="AF43" s="24"/>
      <c r="AG43" s="67"/>
    </row>
    <row r="44" spans="1:33" x14ac:dyDescent="0.2">
      <c r="A44" s="77" t="str">
        <f>"402.01.16"</f>
        <v>402.01.16</v>
      </c>
      <c r="B44" s="71" t="s">
        <v>725</v>
      </c>
      <c r="C44" s="84">
        <f>CE_RegimeContributivo!B46</f>
        <v>0</v>
      </c>
      <c r="D44" s="84">
        <f>CE_RegimeContributivo!C46</f>
        <v>0</v>
      </c>
      <c r="E44" s="84">
        <f>CE_RegimeContributivo!S46</f>
        <v>0</v>
      </c>
      <c r="F44" s="31" t="e">
        <f t="shared" si="5"/>
        <v>#DIV/0!</v>
      </c>
      <c r="G44" s="84">
        <f>CE_RegimeNaoContributivo!B46</f>
        <v>0</v>
      </c>
      <c r="H44" s="84">
        <f>CE_RegimeNaoContributivo!C46</f>
        <v>0</v>
      </c>
      <c r="I44" s="84">
        <f>CE_RegimeNaoContributivo!S46</f>
        <v>0</v>
      </c>
      <c r="J44" s="31" t="e">
        <f t="shared" si="7"/>
        <v>#DIV/0!</v>
      </c>
      <c r="K44" s="20">
        <f>CE_AdministraçãoINSS!B46</f>
        <v>0</v>
      </c>
      <c r="L44" s="20">
        <f>CE_AdministraçãoINSS!C46</f>
        <v>0</v>
      </c>
      <c r="M44" s="20">
        <f>CE_AdministraçãoINSS!S46</f>
        <v>0</v>
      </c>
      <c r="N44" s="31" t="e">
        <f t="shared" si="9"/>
        <v>#DIV/0!</v>
      </c>
      <c r="O44" s="20">
        <f t="shared" si="10"/>
        <v>0</v>
      </c>
      <c r="P44" s="20">
        <f t="shared" si="10"/>
        <v>0</v>
      </c>
      <c r="Q44" s="20">
        <f t="shared" si="10"/>
        <v>0</v>
      </c>
      <c r="R44" s="31" t="e">
        <f t="shared" si="11"/>
        <v>#DIV/0!</v>
      </c>
      <c r="S44" s="20">
        <f>CE_AdministraçãoFRSS!B46</f>
        <v>0</v>
      </c>
      <c r="T44" s="20">
        <f>CE_AdministraçãoFRSS!C46</f>
        <v>0</v>
      </c>
      <c r="U44" s="20">
        <f>CE_AdministraçãoFRSS!S46</f>
        <v>0</v>
      </c>
      <c r="V44" s="31" t="e">
        <f t="shared" si="13"/>
        <v>#DIV/0!</v>
      </c>
      <c r="W44" s="20">
        <f t="shared" si="14"/>
        <v>0</v>
      </c>
      <c r="X44" s="20">
        <f t="shared" si="15"/>
        <v>0</v>
      </c>
      <c r="Y44" s="20">
        <f t="shared" si="16"/>
        <v>0</v>
      </c>
      <c r="Z44" s="31" t="e">
        <f t="shared" si="17"/>
        <v>#DIV/0!</v>
      </c>
      <c r="AA44" s="20">
        <f t="shared" si="18"/>
        <v>0</v>
      </c>
      <c r="AB44" s="20">
        <f t="shared" si="19"/>
        <v>0</v>
      </c>
      <c r="AC44" s="20">
        <f t="shared" si="20"/>
        <v>0</v>
      </c>
      <c r="AD44" s="31" t="e">
        <f t="shared" si="21"/>
        <v>#DIV/0!</v>
      </c>
      <c r="AE44" s="24"/>
      <c r="AF44" s="24"/>
      <c r="AG44" s="67"/>
    </row>
    <row r="45" spans="1:33" x14ac:dyDescent="0.2">
      <c r="A45" s="77" t="str">
        <f>"402.01.17"</f>
        <v>402.01.17</v>
      </c>
      <c r="B45" s="71" t="s">
        <v>726</v>
      </c>
      <c r="C45" s="84">
        <f>CE_RegimeContributivo!B47</f>
        <v>0</v>
      </c>
      <c r="D45" s="84">
        <f>CE_RegimeContributivo!C47</f>
        <v>0</v>
      </c>
      <c r="E45" s="84">
        <f>CE_RegimeContributivo!S47</f>
        <v>0</v>
      </c>
      <c r="F45" s="31" t="e">
        <f t="shared" si="5"/>
        <v>#DIV/0!</v>
      </c>
      <c r="G45" s="84">
        <f>CE_RegimeNaoContributivo!B47</f>
        <v>0</v>
      </c>
      <c r="H45" s="84">
        <f>CE_RegimeNaoContributivo!C47</f>
        <v>0</v>
      </c>
      <c r="I45" s="84">
        <f>CE_RegimeNaoContributivo!S47</f>
        <v>0</v>
      </c>
      <c r="J45" s="31" t="e">
        <f t="shared" si="7"/>
        <v>#DIV/0!</v>
      </c>
      <c r="K45" s="20">
        <f>CE_AdministraçãoINSS!B47</f>
        <v>0</v>
      </c>
      <c r="L45" s="20">
        <f>CE_AdministraçãoINSS!C47</f>
        <v>0</v>
      </c>
      <c r="M45" s="20">
        <f>CE_AdministraçãoINSS!S47</f>
        <v>0</v>
      </c>
      <c r="N45" s="31" t="e">
        <f t="shared" si="9"/>
        <v>#DIV/0!</v>
      </c>
      <c r="O45" s="20">
        <f t="shared" si="10"/>
        <v>0</v>
      </c>
      <c r="P45" s="20">
        <f t="shared" si="10"/>
        <v>0</v>
      </c>
      <c r="Q45" s="20">
        <f t="shared" si="10"/>
        <v>0</v>
      </c>
      <c r="R45" s="31" t="e">
        <f t="shared" si="11"/>
        <v>#DIV/0!</v>
      </c>
      <c r="S45" s="20">
        <f>CE_AdministraçãoFRSS!B47</f>
        <v>0</v>
      </c>
      <c r="T45" s="20">
        <f>CE_AdministraçãoFRSS!C47</f>
        <v>0</v>
      </c>
      <c r="U45" s="20">
        <f>CE_AdministraçãoFRSS!S47</f>
        <v>0</v>
      </c>
      <c r="V45" s="31" t="e">
        <f t="shared" si="13"/>
        <v>#DIV/0!</v>
      </c>
      <c r="W45" s="20">
        <f t="shared" si="14"/>
        <v>0</v>
      </c>
      <c r="X45" s="20">
        <f t="shared" si="15"/>
        <v>0</v>
      </c>
      <c r="Y45" s="20">
        <f t="shared" si="16"/>
        <v>0</v>
      </c>
      <c r="Z45" s="31" t="e">
        <f t="shared" si="17"/>
        <v>#DIV/0!</v>
      </c>
      <c r="AA45" s="20">
        <f t="shared" si="18"/>
        <v>0</v>
      </c>
      <c r="AB45" s="20">
        <f t="shared" si="19"/>
        <v>0</v>
      </c>
      <c r="AC45" s="20">
        <f t="shared" si="20"/>
        <v>0</v>
      </c>
      <c r="AD45" s="31" t="e">
        <f t="shared" si="21"/>
        <v>#DIV/0!</v>
      </c>
      <c r="AE45" s="24"/>
      <c r="AF45" s="24"/>
      <c r="AG45" s="67"/>
    </row>
    <row r="46" spans="1:33" x14ac:dyDescent="0.2">
      <c r="A46" s="77" t="str">
        <f>"402.01.18"</f>
        <v>402.01.18</v>
      </c>
      <c r="B46" s="71" t="s">
        <v>727</v>
      </c>
      <c r="C46" s="84">
        <f>CE_RegimeContributivo!B48</f>
        <v>0</v>
      </c>
      <c r="D46" s="84">
        <f>CE_RegimeContributivo!C48</f>
        <v>0</v>
      </c>
      <c r="E46" s="84">
        <f>CE_RegimeContributivo!S48</f>
        <v>0</v>
      </c>
      <c r="F46" s="31" t="e">
        <f t="shared" si="5"/>
        <v>#DIV/0!</v>
      </c>
      <c r="G46" s="84">
        <f>CE_RegimeNaoContributivo!B48</f>
        <v>0</v>
      </c>
      <c r="H46" s="84">
        <f>CE_RegimeNaoContributivo!C48</f>
        <v>0</v>
      </c>
      <c r="I46" s="84">
        <f>CE_RegimeNaoContributivo!S48</f>
        <v>0</v>
      </c>
      <c r="J46" s="31" t="e">
        <f t="shared" si="7"/>
        <v>#DIV/0!</v>
      </c>
      <c r="K46" s="20">
        <f>CE_AdministraçãoINSS!B48</f>
        <v>0</v>
      </c>
      <c r="L46" s="20">
        <f>CE_AdministraçãoINSS!C48</f>
        <v>0</v>
      </c>
      <c r="M46" s="20">
        <f>CE_AdministraçãoINSS!S48</f>
        <v>0</v>
      </c>
      <c r="N46" s="31" t="e">
        <f t="shared" si="9"/>
        <v>#DIV/0!</v>
      </c>
      <c r="O46" s="20">
        <f t="shared" si="10"/>
        <v>0</v>
      </c>
      <c r="P46" s="20">
        <f t="shared" si="10"/>
        <v>0</v>
      </c>
      <c r="Q46" s="20">
        <f t="shared" si="10"/>
        <v>0</v>
      </c>
      <c r="R46" s="31" t="e">
        <f t="shared" si="11"/>
        <v>#DIV/0!</v>
      </c>
      <c r="S46" s="20">
        <f>CE_AdministraçãoFRSS!B48</f>
        <v>0</v>
      </c>
      <c r="T46" s="20">
        <f>CE_AdministraçãoFRSS!C48</f>
        <v>0</v>
      </c>
      <c r="U46" s="20">
        <f>CE_AdministraçãoFRSS!S48</f>
        <v>0</v>
      </c>
      <c r="V46" s="31" t="e">
        <f t="shared" si="13"/>
        <v>#DIV/0!</v>
      </c>
      <c r="W46" s="20">
        <f t="shared" si="14"/>
        <v>0</v>
      </c>
      <c r="X46" s="20">
        <f t="shared" si="15"/>
        <v>0</v>
      </c>
      <c r="Y46" s="20">
        <f t="shared" si="16"/>
        <v>0</v>
      </c>
      <c r="Z46" s="31" t="e">
        <f t="shared" si="17"/>
        <v>#DIV/0!</v>
      </c>
      <c r="AA46" s="20">
        <f t="shared" si="18"/>
        <v>0</v>
      </c>
      <c r="AB46" s="20">
        <f t="shared" si="19"/>
        <v>0</v>
      </c>
      <c r="AC46" s="20">
        <f t="shared" si="20"/>
        <v>0</v>
      </c>
      <c r="AD46" s="31" t="e">
        <f t="shared" si="21"/>
        <v>#DIV/0!</v>
      </c>
      <c r="AE46" s="24"/>
      <c r="AF46" s="24"/>
      <c r="AG46" s="67"/>
    </row>
    <row r="47" spans="1:33" x14ac:dyDescent="0.2">
      <c r="A47" s="76" t="str">
        <f>"402.02"</f>
        <v>402.02</v>
      </c>
      <c r="B47" s="70" t="s">
        <v>113</v>
      </c>
      <c r="C47" s="83">
        <f t="shared" ref="C47" si="33">SUM(C48:C54)</f>
        <v>500</v>
      </c>
      <c r="D47" s="83">
        <f t="shared" ref="D47:E47" si="34">SUM(D48:D54)</f>
        <v>500</v>
      </c>
      <c r="E47" s="83">
        <f t="shared" si="34"/>
        <v>0</v>
      </c>
      <c r="F47" s="30">
        <f t="shared" si="5"/>
        <v>0</v>
      </c>
      <c r="G47" s="83">
        <f t="shared" ref="G47:I47" si="35">SUM(G48:G54)</f>
        <v>0</v>
      </c>
      <c r="H47" s="83">
        <f t="shared" si="35"/>
        <v>0</v>
      </c>
      <c r="I47" s="83">
        <f t="shared" si="35"/>
        <v>0</v>
      </c>
      <c r="J47" s="30" t="e">
        <f t="shared" si="7"/>
        <v>#DIV/0!</v>
      </c>
      <c r="K47" s="19">
        <f>SUM(K48:K54)</f>
        <v>0</v>
      </c>
      <c r="L47" s="19">
        <f t="shared" ref="L47:M47" si="36">SUM(L48:L54)</f>
        <v>0</v>
      </c>
      <c r="M47" s="19">
        <f t="shared" si="36"/>
        <v>0</v>
      </c>
      <c r="N47" s="30" t="e">
        <f t="shared" si="9"/>
        <v>#DIV/0!</v>
      </c>
      <c r="O47" s="19">
        <f t="shared" si="10"/>
        <v>500</v>
      </c>
      <c r="P47" s="19">
        <f t="shared" si="10"/>
        <v>500</v>
      </c>
      <c r="Q47" s="19">
        <f t="shared" si="10"/>
        <v>0</v>
      </c>
      <c r="R47" s="30">
        <f t="shared" si="11"/>
        <v>0</v>
      </c>
      <c r="S47" s="19">
        <f>SUM(S48:S54)</f>
        <v>0</v>
      </c>
      <c r="T47" s="19">
        <f t="shared" ref="T47:U47" si="37">SUM(T48:T54)</f>
        <v>0</v>
      </c>
      <c r="U47" s="19">
        <f t="shared" si="37"/>
        <v>0</v>
      </c>
      <c r="V47" s="30" t="e">
        <f t="shared" si="13"/>
        <v>#DIV/0!</v>
      </c>
      <c r="W47" s="19">
        <f t="shared" si="14"/>
        <v>0</v>
      </c>
      <c r="X47" s="19">
        <f t="shared" si="15"/>
        <v>0</v>
      </c>
      <c r="Y47" s="19">
        <f t="shared" si="16"/>
        <v>0</v>
      </c>
      <c r="Z47" s="30" t="e">
        <f t="shared" si="17"/>
        <v>#DIV/0!</v>
      </c>
      <c r="AA47" s="19">
        <f t="shared" si="18"/>
        <v>500</v>
      </c>
      <c r="AB47" s="19">
        <f t="shared" si="19"/>
        <v>500</v>
      </c>
      <c r="AC47" s="19">
        <f t="shared" si="20"/>
        <v>0</v>
      </c>
      <c r="AD47" s="30">
        <f t="shared" si="21"/>
        <v>0</v>
      </c>
      <c r="AE47" s="24"/>
      <c r="AF47" s="24"/>
      <c r="AG47" s="67"/>
    </row>
    <row r="48" spans="1:33" x14ac:dyDescent="0.2">
      <c r="A48" s="77" t="str">
        <f>"402.02.01"</f>
        <v>402.02.01</v>
      </c>
      <c r="B48" s="71" t="s">
        <v>728</v>
      </c>
      <c r="C48" s="84">
        <f>CE_RegimeContributivo!B50</f>
        <v>0</v>
      </c>
      <c r="D48" s="84">
        <f>CE_RegimeContributivo!C50</f>
        <v>0</v>
      </c>
      <c r="E48" s="84">
        <f>CE_RegimeContributivo!S50</f>
        <v>0</v>
      </c>
      <c r="F48" s="31" t="e">
        <f t="shared" si="5"/>
        <v>#DIV/0!</v>
      </c>
      <c r="G48" s="84">
        <f>CE_RegimeNaoContributivo!B50</f>
        <v>0</v>
      </c>
      <c r="H48" s="84">
        <f>CE_RegimeNaoContributivo!C50</f>
        <v>0</v>
      </c>
      <c r="I48" s="84">
        <f>CE_RegimeNaoContributivo!S50</f>
        <v>0</v>
      </c>
      <c r="J48" s="31" t="e">
        <f t="shared" si="7"/>
        <v>#DIV/0!</v>
      </c>
      <c r="K48" s="20">
        <f>CE_AdministraçãoINSS!B50</f>
        <v>0</v>
      </c>
      <c r="L48" s="20">
        <f>CE_AdministraçãoINSS!C50</f>
        <v>0</v>
      </c>
      <c r="M48" s="20">
        <f>CE_AdministraçãoINSS!S50</f>
        <v>0</v>
      </c>
      <c r="N48" s="31" t="e">
        <f t="shared" si="9"/>
        <v>#DIV/0!</v>
      </c>
      <c r="O48" s="20">
        <f t="shared" si="10"/>
        <v>0</v>
      </c>
      <c r="P48" s="20">
        <f t="shared" si="10"/>
        <v>0</v>
      </c>
      <c r="Q48" s="20">
        <f t="shared" si="10"/>
        <v>0</v>
      </c>
      <c r="R48" s="31" t="e">
        <f t="shared" si="11"/>
        <v>#DIV/0!</v>
      </c>
      <c r="S48" s="20">
        <f>CE_AdministraçãoFRSS!B50</f>
        <v>0</v>
      </c>
      <c r="T48" s="20">
        <f>CE_AdministraçãoFRSS!C50</f>
        <v>0</v>
      </c>
      <c r="U48" s="20">
        <f>CE_AdministraçãoFRSS!S50</f>
        <v>0</v>
      </c>
      <c r="V48" s="31" t="e">
        <f t="shared" si="13"/>
        <v>#DIV/0!</v>
      </c>
      <c r="W48" s="20">
        <f t="shared" si="14"/>
        <v>0</v>
      </c>
      <c r="X48" s="20">
        <f t="shared" si="15"/>
        <v>0</v>
      </c>
      <c r="Y48" s="20">
        <f t="shared" si="16"/>
        <v>0</v>
      </c>
      <c r="Z48" s="31" t="e">
        <f t="shared" si="17"/>
        <v>#DIV/0!</v>
      </c>
      <c r="AA48" s="20">
        <f t="shared" si="18"/>
        <v>0</v>
      </c>
      <c r="AB48" s="20">
        <f t="shared" si="19"/>
        <v>0</v>
      </c>
      <c r="AC48" s="20">
        <f t="shared" si="20"/>
        <v>0</v>
      </c>
      <c r="AD48" s="31" t="e">
        <f t="shared" si="21"/>
        <v>#DIV/0!</v>
      </c>
      <c r="AE48" s="24"/>
      <c r="AF48" s="24"/>
      <c r="AG48" s="67"/>
    </row>
    <row r="49" spans="1:37" x14ac:dyDescent="0.2">
      <c r="A49" s="77" t="str">
        <f>"402.02.02"</f>
        <v>402.02.02</v>
      </c>
      <c r="B49" s="71" t="s">
        <v>729</v>
      </c>
      <c r="C49" s="84">
        <f>CE_RegimeContributivo!B51</f>
        <v>0</v>
      </c>
      <c r="D49" s="84">
        <f>CE_RegimeContributivo!C51</f>
        <v>0</v>
      </c>
      <c r="E49" s="84">
        <f>CE_RegimeContributivo!S51</f>
        <v>0</v>
      </c>
      <c r="F49" s="31" t="e">
        <f t="shared" si="5"/>
        <v>#DIV/0!</v>
      </c>
      <c r="G49" s="84">
        <f>CE_RegimeNaoContributivo!B51</f>
        <v>0</v>
      </c>
      <c r="H49" s="84">
        <f>CE_RegimeNaoContributivo!C51</f>
        <v>0</v>
      </c>
      <c r="I49" s="84">
        <f>CE_RegimeNaoContributivo!S51</f>
        <v>0</v>
      </c>
      <c r="J49" s="31" t="e">
        <f t="shared" si="7"/>
        <v>#DIV/0!</v>
      </c>
      <c r="K49" s="20">
        <f>CE_AdministraçãoINSS!B51</f>
        <v>0</v>
      </c>
      <c r="L49" s="20">
        <f>CE_AdministraçãoINSS!C51</f>
        <v>0</v>
      </c>
      <c r="M49" s="20">
        <f>CE_AdministraçãoINSS!S51</f>
        <v>0</v>
      </c>
      <c r="N49" s="31" t="e">
        <f t="shared" si="9"/>
        <v>#DIV/0!</v>
      </c>
      <c r="O49" s="20">
        <f t="shared" si="10"/>
        <v>0</v>
      </c>
      <c r="P49" s="20">
        <f t="shared" si="10"/>
        <v>0</v>
      </c>
      <c r="Q49" s="20">
        <f t="shared" si="10"/>
        <v>0</v>
      </c>
      <c r="R49" s="31" t="e">
        <f t="shared" si="11"/>
        <v>#DIV/0!</v>
      </c>
      <c r="S49" s="20">
        <f>CE_AdministraçãoFRSS!B51</f>
        <v>0</v>
      </c>
      <c r="T49" s="20">
        <f>CE_AdministraçãoFRSS!C51</f>
        <v>0</v>
      </c>
      <c r="U49" s="20">
        <f>CE_AdministraçãoFRSS!S51</f>
        <v>0</v>
      </c>
      <c r="V49" s="31" t="e">
        <f t="shared" si="13"/>
        <v>#DIV/0!</v>
      </c>
      <c r="W49" s="20">
        <f t="shared" si="14"/>
        <v>0</v>
      </c>
      <c r="X49" s="20">
        <f t="shared" si="15"/>
        <v>0</v>
      </c>
      <c r="Y49" s="20">
        <f t="shared" si="16"/>
        <v>0</v>
      </c>
      <c r="Z49" s="31" t="e">
        <f t="shared" si="17"/>
        <v>#DIV/0!</v>
      </c>
      <c r="AA49" s="20">
        <f t="shared" si="18"/>
        <v>0</v>
      </c>
      <c r="AB49" s="20">
        <f t="shared" si="19"/>
        <v>0</v>
      </c>
      <c r="AC49" s="20">
        <f t="shared" si="20"/>
        <v>0</v>
      </c>
      <c r="AD49" s="31" t="e">
        <f t="shared" si="21"/>
        <v>#DIV/0!</v>
      </c>
      <c r="AE49" s="24"/>
      <c r="AF49" s="24"/>
      <c r="AG49" s="67"/>
    </row>
    <row r="50" spans="1:37" x14ac:dyDescent="0.2">
      <c r="A50" s="77" t="str">
        <f>"402.02.03"</f>
        <v>402.02.03</v>
      </c>
      <c r="B50" s="71" t="s">
        <v>730</v>
      </c>
      <c r="C50" s="84">
        <f>CE_RegimeContributivo!B52</f>
        <v>0</v>
      </c>
      <c r="D50" s="84">
        <f>CE_RegimeContributivo!C52</f>
        <v>0</v>
      </c>
      <c r="E50" s="84">
        <f>CE_RegimeContributivo!S52</f>
        <v>0</v>
      </c>
      <c r="F50" s="31" t="e">
        <f t="shared" si="5"/>
        <v>#DIV/0!</v>
      </c>
      <c r="G50" s="84">
        <f>CE_RegimeNaoContributivo!B52</f>
        <v>0</v>
      </c>
      <c r="H50" s="84">
        <f>CE_RegimeNaoContributivo!C52</f>
        <v>0</v>
      </c>
      <c r="I50" s="84">
        <f>CE_RegimeNaoContributivo!S52</f>
        <v>0</v>
      </c>
      <c r="J50" s="31" t="e">
        <f t="shared" si="7"/>
        <v>#DIV/0!</v>
      </c>
      <c r="K50" s="20">
        <f>CE_AdministraçãoINSS!B52</f>
        <v>0</v>
      </c>
      <c r="L50" s="20">
        <f>CE_AdministraçãoINSS!C52</f>
        <v>0</v>
      </c>
      <c r="M50" s="20">
        <f>CE_AdministraçãoINSS!S52</f>
        <v>0</v>
      </c>
      <c r="N50" s="31" t="e">
        <f t="shared" si="9"/>
        <v>#DIV/0!</v>
      </c>
      <c r="O50" s="20">
        <f t="shared" si="10"/>
        <v>0</v>
      </c>
      <c r="P50" s="20">
        <f t="shared" si="10"/>
        <v>0</v>
      </c>
      <c r="Q50" s="20">
        <f t="shared" si="10"/>
        <v>0</v>
      </c>
      <c r="R50" s="31" t="e">
        <f t="shared" si="11"/>
        <v>#DIV/0!</v>
      </c>
      <c r="S50" s="20">
        <f>CE_AdministraçãoFRSS!B52</f>
        <v>0</v>
      </c>
      <c r="T50" s="20">
        <f>CE_AdministraçãoFRSS!C52</f>
        <v>0</v>
      </c>
      <c r="U50" s="20">
        <f>CE_AdministraçãoFRSS!S52</f>
        <v>0</v>
      </c>
      <c r="V50" s="31" t="e">
        <f t="shared" si="13"/>
        <v>#DIV/0!</v>
      </c>
      <c r="W50" s="20">
        <f t="shared" si="14"/>
        <v>0</v>
      </c>
      <c r="X50" s="20">
        <f t="shared" si="15"/>
        <v>0</v>
      </c>
      <c r="Y50" s="20">
        <f t="shared" si="16"/>
        <v>0</v>
      </c>
      <c r="Z50" s="31" t="e">
        <f t="shared" si="17"/>
        <v>#DIV/0!</v>
      </c>
      <c r="AA50" s="20">
        <f t="shared" si="18"/>
        <v>0</v>
      </c>
      <c r="AB50" s="20">
        <f t="shared" si="19"/>
        <v>0</v>
      </c>
      <c r="AC50" s="20">
        <f t="shared" si="20"/>
        <v>0</v>
      </c>
      <c r="AD50" s="31" t="e">
        <f t="shared" si="21"/>
        <v>#DIV/0!</v>
      </c>
      <c r="AE50" s="24"/>
      <c r="AF50" s="24"/>
      <c r="AG50" s="67"/>
    </row>
    <row r="51" spans="1:37" x14ac:dyDescent="0.2">
      <c r="A51" s="77" t="str">
        <f>"402.02.04"</f>
        <v>402.02.04</v>
      </c>
      <c r="B51" s="71" t="s">
        <v>731</v>
      </c>
      <c r="C51" s="84">
        <f>CE_RegimeContributivo!B53</f>
        <v>500</v>
      </c>
      <c r="D51" s="84">
        <f>CE_RegimeContributivo!C53</f>
        <v>500</v>
      </c>
      <c r="E51" s="84">
        <f>CE_RegimeContributivo!S53</f>
        <v>0</v>
      </c>
      <c r="F51" s="31">
        <f t="shared" si="5"/>
        <v>0</v>
      </c>
      <c r="G51" s="84">
        <f>CE_RegimeNaoContributivo!B53</f>
        <v>0</v>
      </c>
      <c r="H51" s="84">
        <f>CE_RegimeNaoContributivo!C53</f>
        <v>0</v>
      </c>
      <c r="I51" s="84">
        <f>CE_RegimeNaoContributivo!S53</f>
        <v>0</v>
      </c>
      <c r="J51" s="31" t="e">
        <f t="shared" si="7"/>
        <v>#DIV/0!</v>
      </c>
      <c r="K51" s="20">
        <f>CE_AdministraçãoINSS!B53</f>
        <v>0</v>
      </c>
      <c r="L51" s="20">
        <f>CE_AdministraçãoINSS!C53</f>
        <v>0</v>
      </c>
      <c r="M51" s="20">
        <f>CE_AdministraçãoINSS!S53</f>
        <v>0</v>
      </c>
      <c r="N51" s="31" t="e">
        <f t="shared" si="9"/>
        <v>#DIV/0!</v>
      </c>
      <c r="O51" s="20">
        <f t="shared" si="10"/>
        <v>500</v>
      </c>
      <c r="P51" s="20">
        <f t="shared" si="10"/>
        <v>500</v>
      </c>
      <c r="Q51" s="20">
        <f t="shared" si="10"/>
        <v>0</v>
      </c>
      <c r="R51" s="31">
        <f t="shared" si="11"/>
        <v>0</v>
      </c>
      <c r="S51" s="20">
        <f>CE_AdministraçãoFRSS!B53</f>
        <v>0</v>
      </c>
      <c r="T51" s="20">
        <f>CE_AdministraçãoFRSS!C53</f>
        <v>0</v>
      </c>
      <c r="U51" s="20">
        <f>CE_AdministraçãoFRSS!S53</f>
        <v>0</v>
      </c>
      <c r="V51" s="31" t="e">
        <f t="shared" si="13"/>
        <v>#DIV/0!</v>
      </c>
      <c r="W51" s="20">
        <f t="shared" si="14"/>
        <v>0</v>
      </c>
      <c r="X51" s="20">
        <f t="shared" si="15"/>
        <v>0</v>
      </c>
      <c r="Y51" s="20">
        <f t="shared" si="16"/>
        <v>0</v>
      </c>
      <c r="Z51" s="31" t="e">
        <f t="shared" si="17"/>
        <v>#DIV/0!</v>
      </c>
      <c r="AA51" s="20">
        <f t="shared" si="18"/>
        <v>500</v>
      </c>
      <c r="AB51" s="20">
        <f t="shared" si="19"/>
        <v>500</v>
      </c>
      <c r="AC51" s="20">
        <f t="shared" si="20"/>
        <v>0</v>
      </c>
      <c r="AD51" s="31">
        <f t="shared" si="21"/>
        <v>0</v>
      </c>
      <c r="AE51" s="24"/>
      <c r="AF51" s="24"/>
      <c r="AG51" s="67"/>
    </row>
    <row r="52" spans="1:37" x14ac:dyDescent="0.2">
      <c r="A52" s="77" t="str">
        <f>"402.02.05"</f>
        <v>402.02.05</v>
      </c>
      <c r="B52" s="71" t="s">
        <v>732</v>
      </c>
      <c r="C52" s="84">
        <f>CE_RegimeContributivo!B54</f>
        <v>0</v>
      </c>
      <c r="D52" s="84">
        <f>CE_RegimeContributivo!C54</f>
        <v>0</v>
      </c>
      <c r="E52" s="84">
        <f>CE_RegimeContributivo!S54</f>
        <v>0</v>
      </c>
      <c r="F52" s="31" t="e">
        <f t="shared" si="5"/>
        <v>#DIV/0!</v>
      </c>
      <c r="G52" s="84">
        <f>CE_RegimeNaoContributivo!B54</f>
        <v>0</v>
      </c>
      <c r="H52" s="84">
        <f>CE_RegimeNaoContributivo!C54</f>
        <v>0</v>
      </c>
      <c r="I52" s="84">
        <f>CE_RegimeNaoContributivo!S54</f>
        <v>0</v>
      </c>
      <c r="J52" s="31" t="e">
        <f t="shared" si="7"/>
        <v>#DIV/0!</v>
      </c>
      <c r="K52" s="20">
        <f>CE_AdministraçãoINSS!B54</f>
        <v>0</v>
      </c>
      <c r="L52" s="20">
        <f>CE_AdministraçãoINSS!C54</f>
        <v>0</v>
      </c>
      <c r="M52" s="20">
        <f>CE_AdministraçãoINSS!S54</f>
        <v>0</v>
      </c>
      <c r="N52" s="31" t="e">
        <f t="shared" si="9"/>
        <v>#DIV/0!</v>
      </c>
      <c r="O52" s="20">
        <f t="shared" si="10"/>
        <v>0</v>
      </c>
      <c r="P52" s="20">
        <f t="shared" si="10"/>
        <v>0</v>
      </c>
      <c r="Q52" s="20">
        <f t="shared" si="10"/>
        <v>0</v>
      </c>
      <c r="R52" s="31" t="e">
        <f t="shared" si="11"/>
        <v>#DIV/0!</v>
      </c>
      <c r="S52" s="20">
        <f>CE_AdministraçãoFRSS!B54</f>
        <v>0</v>
      </c>
      <c r="T52" s="20">
        <f>CE_AdministraçãoFRSS!C54</f>
        <v>0</v>
      </c>
      <c r="U52" s="20">
        <f>CE_AdministraçãoFRSS!S54</f>
        <v>0</v>
      </c>
      <c r="V52" s="31" t="e">
        <f t="shared" si="13"/>
        <v>#DIV/0!</v>
      </c>
      <c r="W52" s="20">
        <f t="shared" si="14"/>
        <v>0</v>
      </c>
      <c r="X52" s="20">
        <f t="shared" si="15"/>
        <v>0</v>
      </c>
      <c r="Y52" s="20">
        <f t="shared" si="16"/>
        <v>0</v>
      </c>
      <c r="Z52" s="31" t="e">
        <f t="shared" si="17"/>
        <v>#DIV/0!</v>
      </c>
      <c r="AA52" s="20">
        <f t="shared" si="18"/>
        <v>0</v>
      </c>
      <c r="AB52" s="20">
        <f t="shared" si="19"/>
        <v>0</v>
      </c>
      <c r="AC52" s="20">
        <f t="shared" si="20"/>
        <v>0</v>
      </c>
      <c r="AD52" s="31" t="e">
        <f t="shared" si="21"/>
        <v>#DIV/0!</v>
      </c>
      <c r="AE52" s="24"/>
      <c r="AF52" s="24"/>
      <c r="AG52" s="67"/>
    </row>
    <row r="53" spans="1:37" x14ac:dyDescent="0.2">
      <c r="A53" s="77" t="str">
        <f>"402.02.06"</f>
        <v>402.02.06</v>
      </c>
      <c r="B53" s="71" t="s">
        <v>733</v>
      </c>
      <c r="C53" s="84">
        <f>CE_RegimeContributivo!B55</f>
        <v>0</v>
      </c>
      <c r="D53" s="84">
        <f>CE_RegimeContributivo!C55</f>
        <v>0</v>
      </c>
      <c r="E53" s="84">
        <f>CE_RegimeContributivo!S55</f>
        <v>0</v>
      </c>
      <c r="F53" s="31" t="e">
        <f t="shared" si="5"/>
        <v>#DIV/0!</v>
      </c>
      <c r="G53" s="84">
        <f>CE_RegimeNaoContributivo!B55</f>
        <v>0</v>
      </c>
      <c r="H53" s="84">
        <f>CE_RegimeNaoContributivo!C55</f>
        <v>0</v>
      </c>
      <c r="I53" s="84">
        <f>CE_RegimeNaoContributivo!S55</f>
        <v>0</v>
      </c>
      <c r="J53" s="31" t="e">
        <f t="shared" si="7"/>
        <v>#DIV/0!</v>
      </c>
      <c r="K53" s="20">
        <f>CE_AdministraçãoINSS!B55</f>
        <v>0</v>
      </c>
      <c r="L53" s="20">
        <f>CE_AdministraçãoINSS!C55</f>
        <v>0</v>
      </c>
      <c r="M53" s="20">
        <f>CE_AdministraçãoINSS!S55</f>
        <v>0</v>
      </c>
      <c r="N53" s="31" t="e">
        <f t="shared" si="9"/>
        <v>#DIV/0!</v>
      </c>
      <c r="O53" s="20">
        <f t="shared" si="10"/>
        <v>0</v>
      </c>
      <c r="P53" s="20">
        <f t="shared" si="10"/>
        <v>0</v>
      </c>
      <c r="Q53" s="20">
        <f t="shared" si="10"/>
        <v>0</v>
      </c>
      <c r="R53" s="31" t="e">
        <f t="shared" si="11"/>
        <v>#DIV/0!</v>
      </c>
      <c r="S53" s="20">
        <f>CE_AdministraçãoFRSS!B55</f>
        <v>0</v>
      </c>
      <c r="T53" s="20">
        <f>CE_AdministraçãoFRSS!C55</f>
        <v>0</v>
      </c>
      <c r="U53" s="20">
        <f>CE_AdministraçãoFRSS!S55</f>
        <v>0</v>
      </c>
      <c r="V53" s="31" t="e">
        <f t="shared" si="13"/>
        <v>#DIV/0!</v>
      </c>
      <c r="W53" s="20">
        <f t="shared" si="14"/>
        <v>0</v>
      </c>
      <c r="X53" s="20">
        <f t="shared" si="15"/>
        <v>0</v>
      </c>
      <c r="Y53" s="20">
        <f t="shared" si="16"/>
        <v>0</v>
      </c>
      <c r="Z53" s="31" t="e">
        <f t="shared" si="17"/>
        <v>#DIV/0!</v>
      </c>
      <c r="AA53" s="20">
        <f t="shared" si="18"/>
        <v>0</v>
      </c>
      <c r="AB53" s="20">
        <f t="shared" si="19"/>
        <v>0</v>
      </c>
      <c r="AC53" s="20">
        <f t="shared" si="20"/>
        <v>0</v>
      </c>
      <c r="AD53" s="31" t="e">
        <f t="shared" si="21"/>
        <v>#DIV/0!</v>
      </c>
      <c r="AE53" s="24"/>
      <c r="AF53" s="24"/>
      <c r="AG53" s="67"/>
    </row>
    <row r="54" spans="1:37" x14ac:dyDescent="0.2">
      <c r="A54" s="77" t="str">
        <f>"402.02.07"</f>
        <v>402.02.07</v>
      </c>
      <c r="B54" s="71" t="s">
        <v>734</v>
      </c>
      <c r="C54" s="84">
        <f>CE_RegimeContributivo!B56</f>
        <v>0</v>
      </c>
      <c r="D54" s="84">
        <f>CE_RegimeContributivo!C56</f>
        <v>0</v>
      </c>
      <c r="E54" s="84">
        <f>CE_RegimeContributivo!S56</f>
        <v>0</v>
      </c>
      <c r="F54" s="31" t="e">
        <f t="shared" si="5"/>
        <v>#DIV/0!</v>
      </c>
      <c r="G54" s="84">
        <f>CE_RegimeNaoContributivo!B56</f>
        <v>0</v>
      </c>
      <c r="H54" s="84">
        <f>CE_RegimeNaoContributivo!C56</f>
        <v>0</v>
      </c>
      <c r="I54" s="84">
        <f>CE_RegimeNaoContributivo!S56</f>
        <v>0</v>
      </c>
      <c r="J54" s="31" t="e">
        <f t="shared" si="7"/>
        <v>#DIV/0!</v>
      </c>
      <c r="K54" s="20">
        <f>CE_AdministraçãoINSS!B56</f>
        <v>0</v>
      </c>
      <c r="L54" s="20">
        <f>CE_AdministraçãoINSS!C56</f>
        <v>0</v>
      </c>
      <c r="M54" s="20">
        <f>CE_AdministraçãoINSS!S56</f>
        <v>0</v>
      </c>
      <c r="N54" s="31" t="e">
        <f t="shared" si="9"/>
        <v>#DIV/0!</v>
      </c>
      <c r="O54" s="20">
        <f t="shared" si="10"/>
        <v>0</v>
      </c>
      <c r="P54" s="20">
        <f t="shared" si="10"/>
        <v>0</v>
      </c>
      <c r="Q54" s="20">
        <f t="shared" si="10"/>
        <v>0</v>
      </c>
      <c r="R54" s="31" t="e">
        <f t="shared" si="11"/>
        <v>#DIV/0!</v>
      </c>
      <c r="S54" s="20">
        <f>CE_AdministraçãoFRSS!B56</f>
        <v>0</v>
      </c>
      <c r="T54" s="20">
        <f>CE_AdministraçãoFRSS!C56</f>
        <v>0</v>
      </c>
      <c r="U54" s="20">
        <f>CE_AdministraçãoFRSS!S56</f>
        <v>0</v>
      </c>
      <c r="V54" s="31" t="e">
        <f t="shared" si="13"/>
        <v>#DIV/0!</v>
      </c>
      <c r="W54" s="20">
        <f t="shared" si="14"/>
        <v>0</v>
      </c>
      <c r="X54" s="20">
        <f t="shared" si="15"/>
        <v>0</v>
      </c>
      <c r="Y54" s="20">
        <f t="shared" si="16"/>
        <v>0</v>
      </c>
      <c r="Z54" s="31" t="e">
        <f t="shared" si="17"/>
        <v>#DIV/0!</v>
      </c>
      <c r="AA54" s="20">
        <f t="shared" si="18"/>
        <v>0</v>
      </c>
      <c r="AB54" s="20">
        <f t="shared" si="19"/>
        <v>0</v>
      </c>
      <c r="AC54" s="20">
        <f t="shared" si="20"/>
        <v>0</v>
      </c>
      <c r="AD54" s="31" t="e">
        <f t="shared" si="21"/>
        <v>#DIV/0!</v>
      </c>
      <c r="AE54" s="24"/>
      <c r="AF54" s="24"/>
      <c r="AG54" s="67"/>
    </row>
    <row r="55" spans="1:37" x14ac:dyDescent="0.2">
      <c r="A55" s="75">
        <v>403</v>
      </c>
      <c r="B55" s="69" t="s">
        <v>26</v>
      </c>
      <c r="C55" s="82">
        <f>C56+C62+C63+C64+C68</f>
        <v>10000</v>
      </c>
      <c r="D55" s="82">
        <f>D56+D62+D63+D64+D68</f>
        <v>10000</v>
      </c>
      <c r="E55" s="82">
        <f>E56+E62+E63+E64+E68</f>
        <v>39893.158000000003</v>
      </c>
      <c r="F55" s="29">
        <f t="shared" si="5"/>
        <v>3.9893158000000004</v>
      </c>
      <c r="G55" s="82">
        <f>G56+G62+G63+G64+G68</f>
        <v>0</v>
      </c>
      <c r="H55" s="82">
        <f t="shared" ref="H55:I55" si="38">H56+H62+H63+H64+H68</f>
        <v>0</v>
      </c>
      <c r="I55" s="82">
        <f t="shared" si="38"/>
        <v>0</v>
      </c>
      <c r="J55" s="29" t="e">
        <f t="shared" si="7"/>
        <v>#DIV/0!</v>
      </c>
      <c r="K55" s="18">
        <f>K56+K62+K63+K64+K68</f>
        <v>50000</v>
      </c>
      <c r="L55" s="18">
        <f t="shared" ref="L55:M55" si="39">L56+L62+L63+L64+L68</f>
        <v>50000</v>
      </c>
      <c r="M55" s="18">
        <f t="shared" si="39"/>
        <v>0</v>
      </c>
      <c r="N55" s="29">
        <f t="shared" si="9"/>
        <v>0</v>
      </c>
      <c r="O55" s="18">
        <f t="shared" si="10"/>
        <v>60000</v>
      </c>
      <c r="P55" s="18">
        <f t="shared" si="10"/>
        <v>60000</v>
      </c>
      <c r="Q55" s="18">
        <f t="shared" si="10"/>
        <v>39893.158000000003</v>
      </c>
      <c r="R55" s="29">
        <f t="shared" si="11"/>
        <v>0.66488596666666677</v>
      </c>
      <c r="S55" s="18">
        <f>S56+S62+S63+S64+S68</f>
        <v>0</v>
      </c>
      <c r="T55" s="18">
        <f t="shared" ref="T55:U55" si="40">T56+T62+T63+T64+T68</f>
        <v>0</v>
      </c>
      <c r="U55" s="18">
        <f t="shared" si="40"/>
        <v>35.063000000000002</v>
      </c>
      <c r="V55" s="29" t="e">
        <f t="shared" si="13"/>
        <v>#DIV/0!</v>
      </c>
      <c r="W55" s="18">
        <f t="shared" si="14"/>
        <v>0</v>
      </c>
      <c r="X55" s="18">
        <f t="shared" si="15"/>
        <v>0</v>
      </c>
      <c r="Y55" s="18">
        <f t="shared" si="16"/>
        <v>35.063000000000002</v>
      </c>
      <c r="Z55" s="29" t="e">
        <f t="shared" si="17"/>
        <v>#DIV/0!</v>
      </c>
      <c r="AA55" s="18">
        <f t="shared" si="18"/>
        <v>60000</v>
      </c>
      <c r="AB55" s="18">
        <f t="shared" si="19"/>
        <v>60000</v>
      </c>
      <c r="AC55" s="18">
        <f t="shared" si="20"/>
        <v>39928.221000000005</v>
      </c>
      <c r="AD55" s="29">
        <f t="shared" si="21"/>
        <v>0.6654703500000001</v>
      </c>
      <c r="AE55" s="24"/>
      <c r="AF55" s="24"/>
      <c r="AG55" s="67"/>
    </row>
    <row r="56" spans="1:37" x14ac:dyDescent="0.2">
      <c r="A56" s="76" t="str">
        <f>"403.01"</f>
        <v>403.01</v>
      </c>
      <c r="B56" s="70" t="s">
        <v>114</v>
      </c>
      <c r="C56" s="83">
        <f t="shared" ref="C56" si="41">SUM(C57:C61)</f>
        <v>0</v>
      </c>
      <c r="D56" s="83">
        <f t="shared" ref="D56:E56" si="42">SUM(D57:D61)</f>
        <v>0</v>
      </c>
      <c r="E56" s="83">
        <f t="shared" si="42"/>
        <v>0</v>
      </c>
      <c r="F56" s="30" t="e">
        <f t="shared" si="5"/>
        <v>#DIV/0!</v>
      </c>
      <c r="G56" s="83">
        <f t="shared" ref="G56:I56" si="43">SUM(G57:G61)</f>
        <v>0</v>
      </c>
      <c r="H56" s="83">
        <f t="shared" si="43"/>
        <v>0</v>
      </c>
      <c r="I56" s="83">
        <f t="shared" si="43"/>
        <v>0</v>
      </c>
      <c r="J56" s="30" t="e">
        <f t="shared" si="7"/>
        <v>#DIV/0!</v>
      </c>
      <c r="K56" s="19">
        <f>SUM(K57:K61)</f>
        <v>0</v>
      </c>
      <c r="L56" s="19">
        <f t="shared" ref="L56:M56" si="44">SUM(L57:L61)</f>
        <v>0</v>
      </c>
      <c r="M56" s="19">
        <f t="shared" si="44"/>
        <v>0</v>
      </c>
      <c r="N56" s="30" t="e">
        <f t="shared" si="9"/>
        <v>#DIV/0!</v>
      </c>
      <c r="O56" s="19">
        <f t="shared" si="10"/>
        <v>0</v>
      </c>
      <c r="P56" s="19">
        <f t="shared" si="10"/>
        <v>0</v>
      </c>
      <c r="Q56" s="19">
        <f t="shared" si="10"/>
        <v>0</v>
      </c>
      <c r="R56" s="30" t="e">
        <f t="shared" si="11"/>
        <v>#DIV/0!</v>
      </c>
      <c r="S56" s="19">
        <f>SUM(S57:S61)</f>
        <v>0</v>
      </c>
      <c r="T56" s="19">
        <f t="shared" ref="T56:U56" si="45">SUM(T57:T61)</f>
        <v>0</v>
      </c>
      <c r="U56" s="19">
        <f t="shared" si="45"/>
        <v>0</v>
      </c>
      <c r="V56" s="30" t="e">
        <f t="shared" si="13"/>
        <v>#DIV/0!</v>
      </c>
      <c r="W56" s="19">
        <f t="shared" si="14"/>
        <v>0</v>
      </c>
      <c r="X56" s="19">
        <f t="shared" si="15"/>
        <v>0</v>
      </c>
      <c r="Y56" s="19">
        <f t="shared" si="16"/>
        <v>0</v>
      </c>
      <c r="Z56" s="30" t="e">
        <f t="shared" si="17"/>
        <v>#DIV/0!</v>
      </c>
      <c r="AA56" s="19">
        <f t="shared" si="18"/>
        <v>0</v>
      </c>
      <c r="AB56" s="19">
        <f t="shared" si="19"/>
        <v>0</v>
      </c>
      <c r="AC56" s="19">
        <f t="shared" si="20"/>
        <v>0</v>
      </c>
      <c r="AD56" s="30" t="e">
        <f t="shared" si="21"/>
        <v>#DIV/0!</v>
      </c>
      <c r="AE56" s="24"/>
      <c r="AF56" s="24"/>
      <c r="AG56" s="67"/>
    </row>
    <row r="57" spans="1:37" s="21" customFormat="1" x14ac:dyDescent="0.2">
      <c r="A57" s="77" t="str">
        <f>"403.01.01"</f>
        <v>403.01.01</v>
      </c>
      <c r="B57" s="71" t="s">
        <v>735</v>
      </c>
      <c r="C57" s="84">
        <f>CE_RegimeContributivo!B59</f>
        <v>0</v>
      </c>
      <c r="D57" s="84">
        <f>CE_RegimeContributivo!C59</f>
        <v>0</v>
      </c>
      <c r="E57" s="84">
        <f>CE_RegimeContributivo!S59</f>
        <v>0</v>
      </c>
      <c r="F57" s="31" t="e">
        <f t="shared" si="5"/>
        <v>#DIV/0!</v>
      </c>
      <c r="G57" s="84">
        <f>CE_RegimeNaoContributivo!B59</f>
        <v>0</v>
      </c>
      <c r="H57" s="84">
        <f>CE_RegimeNaoContributivo!C59</f>
        <v>0</v>
      </c>
      <c r="I57" s="84">
        <f>CE_RegimeNaoContributivo!S59</f>
        <v>0</v>
      </c>
      <c r="J57" s="31" t="e">
        <f t="shared" si="7"/>
        <v>#DIV/0!</v>
      </c>
      <c r="K57" s="20">
        <f>CE_AdministraçãoINSS!B59</f>
        <v>0</v>
      </c>
      <c r="L57" s="20">
        <f>CE_AdministraçãoINSS!C59</f>
        <v>0</v>
      </c>
      <c r="M57" s="20">
        <f>CE_AdministraçãoINSS!S59</f>
        <v>0</v>
      </c>
      <c r="N57" s="31" t="e">
        <f t="shared" si="9"/>
        <v>#DIV/0!</v>
      </c>
      <c r="O57" s="20">
        <f t="shared" si="10"/>
        <v>0</v>
      </c>
      <c r="P57" s="20">
        <f t="shared" si="10"/>
        <v>0</v>
      </c>
      <c r="Q57" s="20">
        <f t="shared" si="10"/>
        <v>0</v>
      </c>
      <c r="R57" s="31" t="e">
        <f t="shared" si="11"/>
        <v>#DIV/0!</v>
      </c>
      <c r="S57" s="20">
        <f>CE_AdministraçãoFRSS!B59</f>
        <v>0</v>
      </c>
      <c r="T57" s="20">
        <f>CE_AdministraçãoFRSS!C59</f>
        <v>0</v>
      </c>
      <c r="U57" s="20">
        <f>CE_AdministraçãoFRSS!S59</f>
        <v>0</v>
      </c>
      <c r="V57" s="31" t="e">
        <f t="shared" si="13"/>
        <v>#DIV/0!</v>
      </c>
      <c r="W57" s="20">
        <f t="shared" si="14"/>
        <v>0</v>
      </c>
      <c r="X57" s="20">
        <f t="shared" si="15"/>
        <v>0</v>
      </c>
      <c r="Y57" s="20">
        <f t="shared" si="16"/>
        <v>0</v>
      </c>
      <c r="Z57" s="31" t="e">
        <f t="shared" si="17"/>
        <v>#DIV/0!</v>
      </c>
      <c r="AA57" s="20">
        <f t="shared" si="18"/>
        <v>0</v>
      </c>
      <c r="AB57" s="20">
        <f t="shared" si="19"/>
        <v>0</v>
      </c>
      <c r="AC57" s="20">
        <f t="shared" si="20"/>
        <v>0</v>
      </c>
      <c r="AD57" s="31" t="e">
        <f t="shared" si="21"/>
        <v>#DIV/0!</v>
      </c>
      <c r="AE57" s="24"/>
      <c r="AF57" s="24"/>
      <c r="AG57" s="67"/>
      <c r="AH57" s="16"/>
      <c r="AI57" s="16"/>
      <c r="AJ57" s="16"/>
      <c r="AK57" s="16"/>
    </row>
    <row r="58" spans="1:37" s="21" customFormat="1" x14ac:dyDescent="0.2">
      <c r="A58" s="77" t="str">
        <f>"403.01.02"</f>
        <v>403.01.02</v>
      </c>
      <c r="B58" s="71" t="s">
        <v>736</v>
      </c>
      <c r="C58" s="84">
        <f>CE_RegimeContributivo!B60</f>
        <v>0</v>
      </c>
      <c r="D58" s="84">
        <f>CE_RegimeContributivo!C60</f>
        <v>0</v>
      </c>
      <c r="E58" s="84">
        <f>CE_RegimeContributivo!S60</f>
        <v>0</v>
      </c>
      <c r="F58" s="31" t="e">
        <f t="shared" si="5"/>
        <v>#DIV/0!</v>
      </c>
      <c r="G58" s="84">
        <f>CE_RegimeNaoContributivo!B60</f>
        <v>0</v>
      </c>
      <c r="H58" s="84">
        <f>CE_RegimeNaoContributivo!C60</f>
        <v>0</v>
      </c>
      <c r="I58" s="84">
        <f>CE_RegimeNaoContributivo!S60</f>
        <v>0</v>
      </c>
      <c r="J58" s="31" t="e">
        <f t="shared" si="7"/>
        <v>#DIV/0!</v>
      </c>
      <c r="K58" s="20">
        <f>CE_AdministraçãoINSS!B60</f>
        <v>0</v>
      </c>
      <c r="L58" s="20">
        <f>CE_AdministraçãoINSS!C60</f>
        <v>0</v>
      </c>
      <c r="M58" s="20">
        <f>CE_AdministraçãoINSS!S60</f>
        <v>0</v>
      </c>
      <c r="N58" s="31" t="e">
        <f t="shared" si="9"/>
        <v>#DIV/0!</v>
      </c>
      <c r="O58" s="20">
        <f t="shared" si="10"/>
        <v>0</v>
      </c>
      <c r="P58" s="20">
        <f t="shared" si="10"/>
        <v>0</v>
      </c>
      <c r="Q58" s="20">
        <f t="shared" si="10"/>
        <v>0</v>
      </c>
      <c r="R58" s="31" t="e">
        <f t="shared" si="11"/>
        <v>#DIV/0!</v>
      </c>
      <c r="S58" s="20">
        <f>CE_AdministraçãoFRSS!B60</f>
        <v>0</v>
      </c>
      <c r="T58" s="20">
        <f>CE_AdministraçãoFRSS!C60</f>
        <v>0</v>
      </c>
      <c r="U58" s="20">
        <f>CE_AdministraçãoFRSS!S60</f>
        <v>0</v>
      </c>
      <c r="V58" s="31" t="e">
        <f t="shared" si="13"/>
        <v>#DIV/0!</v>
      </c>
      <c r="W58" s="20">
        <f t="shared" si="14"/>
        <v>0</v>
      </c>
      <c r="X58" s="20">
        <f t="shared" si="15"/>
        <v>0</v>
      </c>
      <c r="Y58" s="20">
        <f t="shared" si="16"/>
        <v>0</v>
      </c>
      <c r="Z58" s="31" t="e">
        <f t="shared" si="17"/>
        <v>#DIV/0!</v>
      </c>
      <c r="AA58" s="20">
        <f t="shared" si="18"/>
        <v>0</v>
      </c>
      <c r="AB58" s="20">
        <f t="shared" si="19"/>
        <v>0</v>
      </c>
      <c r="AC58" s="20">
        <f t="shared" si="20"/>
        <v>0</v>
      </c>
      <c r="AD58" s="31" t="e">
        <f t="shared" si="21"/>
        <v>#DIV/0!</v>
      </c>
      <c r="AE58" s="24"/>
      <c r="AF58" s="24"/>
      <c r="AG58" s="67"/>
      <c r="AH58" s="16"/>
      <c r="AI58" s="16"/>
      <c r="AJ58" s="16"/>
      <c r="AK58" s="16"/>
    </row>
    <row r="59" spans="1:37" s="21" customFormat="1" x14ac:dyDescent="0.2">
      <c r="A59" s="77" t="str">
        <f>"403.01.03"</f>
        <v>403.01.03</v>
      </c>
      <c r="B59" s="71" t="s">
        <v>737</v>
      </c>
      <c r="C59" s="84">
        <f>CE_RegimeContributivo!B61</f>
        <v>0</v>
      </c>
      <c r="D59" s="84">
        <f>CE_RegimeContributivo!C61</f>
        <v>0</v>
      </c>
      <c r="E59" s="84">
        <f>CE_RegimeContributivo!S61</f>
        <v>0</v>
      </c>
      <c r="F59" s="31" t="e">
        <f t="shared" si="5"/>
        <v>#DIV/0!</v>
      </c>
      <c r="G59" s="84">
        <f>CE_RegimeNaoContributivo!B61</f>
        <v>0</v>
      </c>
      <c r="H59" s="84">
        <f>CE_RegimeNaoContributivo!C61</f>
        <v>0</v>
      </c>
      <c r="I59" s="84">
        <f>CE_RegimeNaoContributivo!S61</f>
        <v>0</v>
      </c>
      <c r="J59" s="31" t="e">
        <f t="shared" si="7"/>
        <v>#DIV/0!</v>
      </c>
      <c r="K59" s="20">
        <f>CE_AdministraçãoINSS!B61</f>
        <v>0</v>
      </c>
      <c r="L59" s="20">
        <f>CE_AdministraçãoINSS!C61</f>
        <v>0</v>
      </c>
      <c r="M59" s="20">
        <f>CE_AdministraçãoINSS!S61</f>
        <v>0</v>
      </c>
      <c r="N59" s="31" t="e">
        <f t="shared" si="9"/>
        <v>#DIV/0!</v>
      </c>
      <c r="O59" s="20">
        <f t="shared" si="10"/>
        <v>0</v>
      </c>
      <c r="P59" s="20">
        <f t="shared" si="10"/>
        <v>0</v>
      </c>
      <c r="Q59" s="20">
        <f t="shared" si="10"/>
        <v>0</v>
      </c>
      <c r="R59" s="31" t="e">
        <f t="shared" si="11"/>
        <v>#DIV/0!</v>
      </c>
      <c r="S59" s="20">
        <f>CE_AdministraçãoFRSS!B61</f>
        <v>0</v>
      </c>
      <c r="T59" s="20">
        <f>CE_AdministraçãoFRSS!C61</f>
        <v>0</v>
      </c>
      <c r="U59" s="20">
        <f>CE_AdministraçãoFRSS!S61</f>
        <v>0</v>
      </c>
      <c r="V59" s="31" t="e">
        <f t="shared" si="13"/>
        <v>#DIV/0!</v>
      </c>
      <c r="W59" s="20">
        <f t="shared" si="14"/>
        <v>0</v>
      </c>
      <c r="X59" s="20">
        <f t="shared" si="15"/>
        <v>0</v>
      </c>
      <c r="Y59" s="20">
        <f t="shared" si="16"/>
        <v>0</v>
      </c>
      <c r="Z59" s="31" t="e">
        <f t="shared" si="17"/>
        <v>#DIV/0!</v>
      </c>
      <c r="AA59" s="20">
        <f t="shared" si="18"/>
        <v>0</v>
      </c>
      <c r="AB59" s="20">
        <f t="shared" si="19"/>
        <v>0</v>
      </c>
      <c r="AC59" s="20">
        <f t="shared" si="20"/>
        <v>0</v>
      </c>
      <c r="AD59" s="31" t="e">
        <f t="shared" si="21"/>
        <v>#DIV/0!</v>
      </c>
      <c r="AE59" s="24"/>
      <c r="AF59" s="24"/>
      <c r="AG59" s="67"/>
      <c r="AH59" s="16"/>
      <c r="AI59" s="16"/>
      <c r="AJ59" s="16"/>
      <c r="AK59" s="16"/>
    </row>
    <row r="60" spans="1:37" s="21" customFormat="1" x14ac:dyDescent="0.2">
      <c r="A60" s="77" t="str">
        <f>"403.01.04"</f>
        <v>403.01.04</v>
      </c>
      <c r="B60" s="71" t="s">
        <v>738</v>
      </c>
      <c r="C60" s="84">
        <f>CE_RegimeContributivo!B62</f>
        <v>0</v>
      </c>
      <c r="D60" s="84">
        <f>CE_RegimeContributivo!C62</f>
        <v>0</v>
      </c>
      <c r="E60" s="84">
        <f>CE_RegimeContributivo!S62</f>
        <v>0</v>
      </c>
      <c r="F60" s="31" t="e">
        <f t="shared" si="5"/>
        <v>#DIV/0!</v>
      </c>
      <c r="G60" s="84">
        <f>CE_RegimeNaoContributivo!B62</f>
        <v>0</v>
      </c>
      <c r="H60" s="84">
        <f>CE_RegimeNaoContributivo!C62</f>
        <v>0</v>
      </c>
      <c r="I60" s="84">
        <f>CE_RegimeNaoContributivo!S62</f>
        <v>0</v>
      </c>
      <c r="J60" s="31" t="e">
        <f t="shared" si="7"/>
        <v>#DIV/0!</v>
      </c>
      <c r="K60" s="20">
        <f>CE_AdministraçãoINSS!B62</f>
        <v>0</v>
      </c>
      <c r="L60" s="20">
        <f>CE_AdministraçãoINSS!C62</f>
        <v>0</v>
      </c>
      <c r="M60" s="20">
        <f>CE_AdministraçãoINSS!S62</f>
        <v>0</v>
      </c>
      <c r="N60" s="31" t="e">
        <f t="shared" si="9"/>
        <v>#DIV/0!</v>
      </c>
      <c r="O60" s="20">
        <f t="shared" si="10"/>
        <v>0</v>
      </c>
      <c r="P60" s="20">
        <f t="shared" si="10"/>
        <v>0</v>
      </c>
      <c r="Q60" s="20">
        <f t="shared" si="10"/>
        <v>0</v>
      </c>
      <c r="R60" s="31" t="e">
        <f t="shared" si="11"/>
        <v>#DIV/0!</v>
      </c>
      <c r="S60" s="20">
        <f>CE_AdministraçãoFRSS!B62</f>
        <v>0</v>
      </c>
      <c r="T60" s="20">
        <f>CE_AdministraçãoFRSS!C62</f>
        <v>0</v>
      </c>
      <c r="U60" s="20">
        <f>CE_AdministraçãoFRSS!S62</f>
        <v>0</v>
      </c>
      <c r="V60" s="31" t="e">
        <f t="shared" si="13"/>
        <v>#DIV/0!</v>
      </c>
      <c r="W60" s="20">
        <f t="shared" si="14"/>
        <v>0</v>
      </c>
      <c r="X60" s="20">
        <f t="shared" si="15"/>
        <v>0</v>
      </c>
      <c r="Y60" s="20">
        <f t="shared" si="16"/>
        <v>0</v>
      </c>
      <c r="Z60" s="31" t="e">
        <f t="shared" si="17"/>
        <v>#DIV/0!</v>
      </c>
      <c r="AA60" s="20">
        <f t="shared" si="18"/>
        <v>0</v>
      </c>
      <c r="AB60" s="20">
        <f t="shared" si="19"/>
        <v>0</v>
      </c>
      <c r="AC60" s="20">
        <f t="shared" si="20"/>
        <v>0</v>
      </c>
      <c r="AD60" s="31" t="e">
        <f t="shared" si="21"/>
        <v>#DIV/0!</v>
      </c>
      <c r="AE60" s="24"/>
      <c r="AF60" s="24"/>
      <c r="AG60" s="67"/>
      <c r="AH60" s="16"/>
      <c r="AI60" s="16"/>
      <c r="AJ60" s="16"/>
      <c r="AK60" s="16"/>
    </row>
    <row r="61" spans="1:37" s="21" customFormat="1" x14ac:dyDescent="0.2">
      <c r="A61" s="77" t="str">
        <f>"403.01.05"</f>
        <v>403.01.05</v>
      </c>
      <c r="B61" s="71" t="s">
        <v>739</v>
      </c>
      <c r="C61" s="84">
        <f>CE_RegimeContributivo!B63</f>
        <v>0</v>
      </c>
      <c r="D61" s="84">
        <f>CE_RegimeContributivo!C63</f>
        <v>0</v>
      </c>
      <c r="E61" s="84">
        <f>CE_RegimeContributivo!S63</f>
        <v>0</v>
      </c>
      <c r="F61" s="31" t="e">
        <f t="shared" si="5"/>
        <v>#DIV/0!</v>
      </c>
      <c r="G61" s="84">
        <f>CE_RegimeNaoContributivo!B63</f>
        <v>0</v>
      </c>
      <c r="H61" s="84">
        <f>CE_RegimeNaoContributivo!C63</f>
        <v>0</v>
      </c>
      <c r="I61" s="84">
        <f>CE_RegimeNaoContributivo!S63</f>
        <v>0</v>
      </c>
      <c r="J61" s="31" t="e">
        <f t="shared" si="7"/>
        <v>#DIV/0!</v>
      </c>
      <c r="K61" s="20">
        <f>CE_AdministraçãoINSS!B63</f>
        <v>0</v>
      </c>
      <c r="L61" s="20">
        <f>CE_AdministraçãoINSS!C63</f>
        <v>0</v>
      </c>
      <c r="M61" s="20">
        <f>CE_AdministraçãoINSS!S63</f>
        <v>0</v>
      </c>
      <c r="N61" s="31" t="e">
        <f t="shared" si="9"/>
        <v>#DIV/0!</v>
      </c>
      <c r="O61" s="20">
        <f t="shared" si="10"/>
        <v>0</v>
      </c>
      <c r="P61" s="20">
        <f t="shared" si="10"/>
        <v>0</v>
      </c>
      <c r="Q61" s="20">
        <f t="shared" si="10"/>
        <v>0</v>
      </c>
      <c r="R61" s="31" t="e">
        <f t="shared" si="11"/>
        <v>#DIV/0!</v>
      </c>
      <c r="S61" s="20">
        <f>CE_AdministraçãoFRSS!B63</f>
        <v>0</v>
      </c>
      <c r="T61" s="20">
        <f>CE_AdministraçãoFRSS!C63</f>
        <v>0</v>
      </c>
      <c r="U61" s="20">
        <f>CE_AdministraçãoFRSS!S63</f>
        <v>0</v>
      </c>
      <c r="V61" s="31" t="e">
        <f t="shared" si="13"/>
        <v>#DIV/0!</v>
      </c>
      <c r="W61" s="20">
        <f t="shared" si="14"/>
        <v>0</v>
      </c>
      <c r="X61" s="20">
        <f t="shared" si="15"/>
        <v>0</v>
      </c>
      <c r="Y61" s="20">
        <f t="shared" si="16"/>
        <v>0</v>
      </c>
      <c r="Z61" s="31" t="e">
        <f t="shared" si="17"/>
        <v>#DIV/0!</v>
      </c>
      <c r="AA61" s="20">
        <f t="shared" si="18"/>
        <v>0</v>
      </c>
      <c r="AB61" s="20">
        <f t="shared" si="19"/>
        <v>0</v>
      </c>
      <c r="AC61" s="20">
        <f t="shared" si="20"/>
        <v>0</v>
      </c>
      <c r="AD61" s="31" t="e">
        <f t="shared" si="21"/>
        <v>#DIV/0!</v>
      </c>
      <c r="AE61" s="24"/>
      <c r="AF61" s="24"/>
      <c r="AG61" s="67"/>
      <c r="AH61" s="16"/>
      <c r="AI61" s="16"/>
      <c r="AJ61" s="16"/>
      <c r="AK61" s="16"/>
    </row>
    <row r="62" spans="1:37" s="22" customFormat="1" x14ac:dyDescent="0.2">
      <c r="A62" s="76" t="str">
        <f>"403.02"</f>
        <v>403.02</v>
      </c>
      <c r="B62" s="70" t="s">
        <v>115</v>
      </c>
      <c r="C62" s="83">
        <f>CE_RegimeContributivo!B64</f>
        <v>0</v>
      </c>
      <c r="D62" s="83">
        <f>CE_RegimeContributivo!C64</f>
        <v>0</v>
      </c>
      <c r="E62" s="83">
        <f>CE_RegimeContributivo!S64</f>
        <v>0</v>
      </c>
      <c r="F62" s="30" t="e">
        <f t="shared" si="5"/>
        <v>#DIV/0!</v>
      </c>
      <c r="G62" s="83">
        <f>CE_RegimeNaoContributivo!B64</f>
        <v>0</v>
      </c>
      <c r="H62" s="83">
        <f>CE_RegimeNaoContributivo!C64</f>
        <v>0</v>
      </c>
      <c r="I62" s="83">
        <f>CE_RegimeNaoContributivo!S64</f>
        <v>0</v>
      </c>
      <c r="J62" s="30" t="e">
        <f t="shared" si="7"/>
        <v>#DIV/0!</v>
      </c>
      <c r="K62" s="19">
        <f>CE_AdministraçãoINSS!B64</f>
        <v>0</v>
      </c>
      <c r="L62" s="19">
        <f>CE_AdministraçãoINSS!C64</f>
        <v>0</v>
      </c>
      <c r="M62" s="19">
        <f>CE_AdministraçãoINSS!S64</f>
        <v>0</v>
      </c>
      <c r="N62" s="30" t="e">
        <f t="shared" si="9"/>
        <v>#DIV/0!</v>
      </c>
      <c r="O62" s="19">
        <f t="shared" si="10"/>
        <v>0</v>
      </c>
      <c r="P62" s="19">
        <f t="shared" si="10"/>
        <v>0</v>
      </c>
      <c r="Q62" s="19">
        <f t="shared" si="10"/>
        <v>0</v>
      </c>
      <c r="R62" s="30" t="e">
        <f t="shared" si="11"/>
        <v>#DIV/0!</v>
      </c>
      <c r="S62" s="19">
        <f>CE_AdministraçãoFRSS!B64</f>
        <v>0</v>
      </c>
      <c r="T62" s="19">
        <f>CE_AdministraçãoFRSS!C64</f>
        <v>0</v>
      </c>
      <c r="U62" s="19">
        <f>CE_AdministraçãoFRSS!S64</f>
        <v>0</v>
      </c>
      <c r="V62" s="30" t="e">
        <f t="shared" si="13"/>
        <v>#DIV/0!</v>
      </c>
      <c r="W62" s="19">
        <f t="shared" si="14"/>
        <v>0</v>
      </c>
      <c r="X62" s="19">
        <f t="shared" si="15"/>
        <v>0</v>
      </c>
      <c r="Y62" s="19">
        <f t="shared" si="16"/>
        <v>0</v>
      </c>
      <c r="Z62" s="30" t="e">
        <f t="shared" si="17"/>
        <v>#DIV/0!</v>
      </c>
      <c r="AA62" s="19">
        <f t="shared" si="18"/>
        <v>0</v>
      </c>
      <c r="AB62" s="19">
        <f t="shared" si="19"/>
        <v>0</v>
      </c>
      <c r="AC62" s="19">
        <f t="shared" si="20"/>
        <v>0</v>
      </c>
      <c r="AD62" s="30" t="e">
        <f t="shared" si="21"/>
        <v>#DIV/0!</v>
      </c>
      <c r="AE62" s="24"/>
      <c r="AF62" s="24"/>
      <c r="AG62" s="67"/>
      <c r="AH62" s="16"/>
      <c r="AI62" s="16"/>
      <c r="AJ62" s="16"/>
      <c r="AK62" s="16"/>
    </row>
    <row r="63" spans="1:37" s="22" customFormat="1" x14ac:dyDescent="0.2">
      <c r="A63" s="76" t="str">
        <f>"403.03"</f>
        <v>403.03</v>
      </c>
      <c r="B63" s="70" t="s">
        <v>116</v>
      </c>
      <c r="C63" s="83">
        <f>CE_RegimeContributivo!B65</f>
        <v>10000</v>
      </c>
      <c r="D63" s="83">
        <f>CE_RegimeContributivo!C65</f>
        <v>10000</v>
      </c>
      <c r="E63" s="83">
        <f>CE_RegimeContributivo!S65</f>
        <v>39893.158000000003</v>
      </c>
      <c r="F63" s="30">
        <f t="shared" si="5"/>
        <v>3.9893158000000004</v>
      </c>
      <c r="G63" s="83">
        <f>CE_RegimeNaoContributivo!B65</f>
        <v>0</v>
      </c>
      <c r="H63" s="83">
        <f>CE_RegimeNaoContributivo!C65</f>
        <v>0</v>
      </c>
      <c r="I63" s="83">
        <f>CE_RegimeNaoContributivo!S65</f>
        <v>0</v>
      </c>
      <c r="J63" s="30" t="e">
        <f t="shared" si="7"/>
        <v>#DIV/0!</v>
      </c>
      <c r="K63" s="19">
        <f>CE_AdministraçãoINSS!B65</f>
        <v>50000</v>
      </c>
      <c r="L63" s="19">
        <f>CE_AdministraçãoINSS!C65</f>
        <v>50000</v>
      </c>
      <c r="M63" s="19">
        <f>CE_AdministraçãoINSS!S65</f>
        <v>0</v>
      </c>
      <c r="N63" s="30">
        <f t="shared" si="9"/>
        <v>0</v>
      </c>
      <c r="O63" s="19">
        <f t="shared" si="10"/>
        <v>60000</v>
      </c>
      <c r="P63" s="19">
        <f t="shared" si="10"/>
        <v>60000</v>
      </c>
      <c r="Q63" s="19">
        <f t="shared" si="10"/>
        <v>39893.158000000003</v>
      </c>
      <c r="R63" s="30">
        <f t="shared" si="11"/>
        <v>0.66488596666666677</v>
      </c>
      <c r="S63" s="19">
        <f>CE_AdministraçãoFRSS!B65</f>
        <v>0</v>
      </c>
      <c r="T63" s="19">
        <f>CE_AdministraçãoFRSS!C65</f>
        <v>0</v>
      </c>
      <c r="U63" s="19">
        <f>CE_AdministraçãoFRSS!S65</f>
        <v>35.063000000000002</v>
      </c>
      <c r="V63" s="30" t="e">
        <f t="shared" si="13"/>
        <v>#DIV/0!</v>
      </c>
      <c r="W63" s="19">
        <f t="shared" si="14"/>
        <v>0</v>
      </c>
      <c r="X63" s="19">
        <f t="shared" si="15"/>
        <v>0</v>
      </c>
      <c r="Y63" s="19">
        <f t="shared" si="16"/>
        <v>35.063000000000002</v>
      </c>
      <c r="Z63" s="30" t="e">
        <f t="shared" si="17"/>
        <v>#DIV/0!</v>
      </c>
      <c r="AA63" s="19">
        <f t="shared" si="18"/>
        <v>60000</v>
      </c>
      <c r="AB63" s="19">
        <f t="shared" si="19"/>
        <v>60000</v>
      </c>
      <c r="AC63" s="19">
        <f t="shared" si="20"/>
        <v>39928.221000000005</v>
      </c>
      <c r="AD63" s="30">
        <f t="shared" si="21"/>
        <v>0.6654703500000001</v>
      </c>
      <c r="AE63" s="24"/>
      <c r="AF63" s="24"/>
      <c r="AG63" s="67"/>
      <c r="AH63" s="16"/>
      <c r="AI63" s="16"/>
      <c r="AJ63" s="16"/>
      <c r="AK63" s="16"/>
    </row>
    <row r="64" spans="1:37" s="22" customFormat="1" x14ac:dyDescent="0.2">
      <c r="A64" s="76" t="str">
        <f>"403.04"</f>
        <v>403.04</v>
      </c>
      <c r="B64" s="70" t="s">
        <v>740</v>
      </c>
      <c r="C64" s="83">
        <f t="shared" ref="C64" si="46">SUM(C65:C67)</f>
        <v>0</v>
      </c>
      <c r="D64" s="83">
        <f t="shared" ref="D64:E64" si="47">SUM(D65:D67)</f>
        <v>0</v>
      </c>
      <c r="E64" s="83">
        <f t="shared" si="47"/>
        <v>0</v>
      </c>
      <c r="F64" s="30" t="e">
        <f t="shared" si="5"/>
        <v>#DIV/0!</v>
      </c>
      <c r="G64" s="83">
        <f t="shared" ref="G64:I64" si="48">SUM(G65:G67)</f>
        <v>0</v>
      </c>
      <c r="H64" s="83">
        <f t="shared" si="48"/>
        <v>0</v>
      </c>
      <c r="I64" s="83">
        <f t="shared" si="48"/>
        <v>0</v>
      </c>
      <c r="J64" s="30" t="e">
        <f t="shared" si="7"/>
        <v>#DIV/0!</v>
      </c>
      <c r="K64" s="19">
        <f>SUM(K65:K67)</f>
        <v>0</v>
      </c>
      <c r="L64" s="19">
        <f t="shared" ref="L64:M64" si="49">SUM(L65:L67)</f>
        <v>0</v>
      </c>
      <c r="M64" s="19">
        <f t="shared" si="49"/>
        <v>0</v>
      </c>
      <c r="N64" s="30" t="e">
        <f t="shared" si="9"/>
        <v>#DIV/0!</v>
      </c>
      <c r="O64" s="19">
        <f t="shared" si="10"/>
        <v>0</v>
      </c>
      <c r="P64" s="19">
        <f t="shared" si="10"/>
        <v>0</v>
      </c>
      <c r="Q64" s="19">
        <f t="shared" si="10"/>
        <v>0</v>
      </c>
      <c r="R64" s="30" t="e">
        <f t="shared" si="11"/>
        <v>#DIV/0!</v>
      </c>
      <c r="S64" s="19">
        <f>SUM(S65:S67)</f>
        <v>0</v>
      </c>
      <c r="T64" s="19">
        <f t="shared" ref="T64:U64" si="50">SUM(T65:T67)</f>
        <v>0</v>
      </c>
      <c r="U64" s="19">
        <f t="shared" si="50"/>
        <v>0</v>
      </c>
      <c r="V64" s="30" t="e">
        <f t="shared" si="13"/>
        <v>#DIV/0!</v>
      </c>
      <c r="W64" s="19">
        <f t="shared" si="14"/>
        <v>0</v>
      </c>
      <c r="X64" s="19">
        <f t="shared" si="15"/>
        <v>0</v>
      </c>
      <c r="Y64" s="19">
        <f t="shared" si="16"/>
        <v>0</v>
      </c>
      <c r="Z64" s="30" t="e">
        <f t="shared" si="17"/>
        <v>#DIV/0!</v>
      </c>
      <c r="AA64" s="19">
        <f t="shared" si="18"/>
        <v>0</v>
      </c>
      <c r="AB64" s="19">
        <f t="shared" si="19"/>
        <v>0</v>
      </c>
      <c r="AC64" s="19">
        <f t="shared" si="20"/>
        <v>0</v>
      </c>
      <c r="AD64" s="30" t="e">
        <f t="shared" si="21"/>
        <v>#DIV/0!</v>
      </c>
      <c r="AE64" s="24"/>
      <c r="AF64" s="24"/>
      <c r="AG64" s="67"/>
      <c r="AH64" s="16"/>
      <c r="AI64" s="16"/>
      <c r="AJ64" s="16"/>
      <c r="AK64" s="16"/>
    </row>
    <row r="65" spans="1:37" s="22" customFormat="1" x14ac:dyDescent="0.2">
      <c r="A65" s="77" t="str">
        <f>"403.04.01"</f>
        <v>403.04.01</v>
      </c>
      <c r="B65" s="71" t="s">
        <v>741</v>
      </c>
      <c r="C65" s="84">
        <f>CE_RegimeContributivo!B67</f>
        <v>0</v>
      </c>
      <c r="D65" s="84">
        <f>CE_RegimeContributivo!C67</f>
        <v>0</v>
      </c>
      <c r="E65" s="84">
        <f>CE_RegimeContributivo!S67</f>
        <v>0</v>
      </c>
      <c r="F65" s="31" t="e">
        <f t="shared" si="5"/>
        <v>#DIV/0!</v>
      </c>
      <c r="G65" s="84">
        <f>CE_RegimeNaoContributivo!B67</f>
        <v>0</v>
      </c>
      <c r="H65" s="84">
        <f>CE_RegimeNaoContributivo!C67</f>
        <v>0</v>
      </c>
      <c r="I65" s="84">
        <f>CE_RegimeNaoContributivo!S67</f>
        <v>0</v>
      </c>
      <c r="J65" s="31" t="e">
        <f t="shared" si="7"/>
        <v>#DIV/0!</v>
      </c>
      <c r="K65" s="20">
        <f>CE_AdministraçãoINSS!B67</f>
        <v>0</v>
      </c>
      <c r="L65" s="20">
        <f>CE_AdministraçãoINSS!C67</f>
        <v>0</v>
      </c>
      <c r="M65" s="20">
        <f>CE_AdministraçãoINSS!S67</f>
        <v>0</v>
      </c>
      <c r="N65" s="31" t="e">
        <f t="shared" si="9"/>
        <v>#DIV/0!</v>
      </c>
      <c r="O65" s="20">
        <f t="shared" si="10"/>
        <v>0</v>
      </c>
      <c r="P65" s="20">
        <f t="shared" si="10"/>
        <v>0</v>
      </c>
      <c r="Q65" s="20">
        <f t="shared" si="10"/>
        <v>0</v>
      </c>
      <c r="R65" s="31" t="e">
        <f t="shared" si="11"/>
        <v>#DIV/0!</v>
      </c>
      <c r="S65" s="20">
        <f>CE_AdministraçãoFRSS!B67</f>
        <v>0</v>
      </c>
      <c r="T65" s="20">
        <f>CE_AdministraçãoFRSS!C67</f>
        <v>0</v>
      </c>
      <c r="U65" s="20">
        <f>CE_AdministraçãoFRSS!S67</f>
        <v>0</v>
      </c>
      <c r="V65" s="31" t="e">
        <f t="shared" si="13"/>
        <v>#DIV/0!</v>
      </c>
      <c r="W65" s="20">
        <f t="shared" si="14"/>
        <v>0</v>
      </c>
      <c r="X65" s="20">
        <f t="shared" si="15"/>
        <v>0</v>
      </c>
      <c r="Y65" s="20">
        <f t="shared" si="16"/>
        <v>0</v>
      </c>
      <c r="Z65" s="31" t="e">
        <f t="shared" si="17"/>
        <v>#DIV/0!</v>
      </c>
      <c r="AA65" s="20">
        <f t="shared" si="18"/>
        <v>0</v>
      </c>
      <c r="AB65" s="20">
        <f t="shared" si="19"/>
        <v>0</v>
      </c>
      <c r="AC65" s="20">
        <f t="shared" si="20"/>
        <v>0</v>
      </c>
      <c r="AD65" s="31" t="e">
        <f t="shared" si="21"/>
        <v>#DIV/0!</v>
      </c>
      <c r="AE65" s="24"/>
      <c r="AF65" s="24"/>
      <c r="AG65" s="67"/>
      <c r="AH65" s="16"/>
      <c r="AI65" s="16"/>
      <c r="AJ65" s="16"/>
      <c r="AK65" s="16"/>
    </row>
    <row r="66" spans="1:37" s="22" customFormat="1" x14ac:dyDescent="0.2">
      <c r="A66" s="77" t="str">
        <f>"403.04.02"</f>
        <v>403.04.02</v>
      </c>
      <c r="B66" s="71" t="s">
        <v>742</v>
      </c>
      <c r="C66" s="84">
        <f>CE_RegimeContributivo!B68</f>
        <v>0</v>
      </c>
      <c r="D66" s="84">
        <f>CE_RegimeContributivo!C68</f>
        <v>0</v>
      </c>
      <c r="E66" s="84">
        <f>CE_RegimeContributivo!S68</f>
        <v>0</v>
      </c>
      <c r="F66" s="31" t="e">
        <f t="shared" si="5"/>
        <v>#DIV/0!</v>
      </c>
      <c r="G66" s="84">
        <f>CE_RegimeNaoContributivo!B68</f>
        <v>0</v>
      </c>
      <c r="H66" s="84">
        <f>CE_RegimeNaoContributivo!C68</f>
        <v>0</v>
      </c>
      <c r="I66" s="84">
        <f>CE_RegimeNaoContributivo!S68</f>
        <v>0</v>
      </c>
      <c r="J66" s="31" t="e">
        <f t="shared" si="7"/>
        <v>#DIV/0!</v>
      </c>
      <c r="K66" s="20">
        <f>CE_AdministraçãoINSS!B68</f>
        <v>0</v>
      </c>
      <c r="L66" s="20">
        <f>CE_AdministraçãoINSS!C68</f>
        <v>0</v>
      </c>
      <c r="M66" s="20">
        <f>CE_AdministraçãoINSS!S68</f>
        <v>0</v>
      </c>
      <c r="N66" s="31" t="e">
        <f t="shared" si="9"/>
        <v>#DIV/0!</v>
      </c>
      <c r="O66" s="20">
        <f t="shared" si="10"/>
        <v>0</v>
      </c>
      <c r="P66" s="20">
        <f t="shared" si="10"/>
        <v>0</v>
      </c>
      <c r="Q66" s="20">
        <f t="shared" si="10"/>
        <v>0</v>
      </c>
      <c r="R66" s="31" t="e">
        <f t="shared" si="11"/>
        <v>#DIV/0!</v>
      </c>
      <c r="S66" s="20">
        <f>CE_AdministraçãoFRSS!B68</f>
        <v>0</v>
      </c>
      <c r="T66" s="20">
        <f>CE_AdministraçãoFRSS!C68</f>
        <v>0</v>
      </c>
      <c r="U66" s="20">
        <f>CE_AdministraçãoFRSS!S68</f>
        <v>0</v>
      </c>
      <c r="V66" s="31" t="e">
        <f t="shared" si="13"/>
        <v>#DIV/0!</v>
      </c>
      <c r="W66" s="20">
        <f t="shared" si="14"/>
        <v>0</v>
      </c>
      <c r="X66" s="20">
        <f t="shared" si="15"/>
        <v>0</v>
      </c>
      <c r="Y66" s="20">
        <f t="shared" si="16"/>
        <v>0</v>
      </c>
      <c r="Z66" s="31" t="e">
        <f t="shared" si="17"/>
        <v>#DIV/0!</v>
      </c>
      <c r="AA66" s="20">
        <f t="shared" si="18"/>
        <v>0</v>
      </c>
      <c r="AB66" s="20">
        <f t="shared" si="19"/>
        <v>0</v>
      </c>
      <c r="AC66" s="20">
        <f t="shared" si="20"/>
        <v>0</v>
      </c>
      <c r="AD66" s="31" t="e">
        <f t="shared" si="21"/>
        <v>#DIV/0!</v>
      </c>
      <c r="AE66" s="24"/>
      <c r="AF66" s="24"/>
      <c r="AG66" s="67"/>
      <c r="AH66" s="16"/>
      <c r="AI66" s="16"/>
      <c r="AJ66" s="16"/>
      <c r="AK66" s="16"/>
    </row>
    <row r="67" spans="1:37" s="22" customFormat="1" x14ac:dyDescent="0.2">
      <c r="A67" s="77" t="str">
        <f>"403.04.03"</f>
        <v>403.04.03</v>
      </c>
      <c r="B67" s="71" t="s">
        <v>743</v>
      </c>
      <c r="C67" s="84">
        <f>CE_RegimeContributivo!B69</f>
        <v>0</v>
      </c>
      <c r="D67" s="84">
        <f>CE_RegimeContributivo!C69</f>
        <v>0</v>
      </c>
      <c r="E67" s="84">
        <f>CE_RegimeContributivo!S69</f>
        <v>0</v>
      </c>
      <c r="F67" s="31" t="e">
        <f t="shared" si="5"/>
        <v>#DIV/0!</v>
      </c>
      <c r="G67" s="84">
        <f>CE_RegimeNaoContributivo!B69</f>
        <v>0</v>
      </c>
      <c r="H67" s="84">
        <f>CE_RegimeNaoContributivo!C69</f>
        <v>0</v>
      </c>
      <c r="I67" s="84">
        <f>CE_RegimeNaoContributivo!S69</f>
        <v>0</v>
      </c>
      <c r="J67" s="31" t="e">
        <f t="shared" si="7"/>
        <v>#DIV/0!</v>
      </c>
      <c r="K67" s="20">
        <f>CE_AdministraçãoINSS!B69</f>
        <v>0</v>
      </c>
      <c r="L67" s="20">
        <f>CE_AdministraçãoINSS!C69</f>
        <v>0</v>
      </c>
      <c r="M67" s="20">
        <f>CE_AdministraçãoINSS!S69</f>
        <v>0</v>
      </c>
      <c r="N67" s="31" t="e">
        <f t="shared" si="9"/>
        <v>#DIV/0!</v>
      </c>
      <c r="O67" s="20">
        <f t="shared" si="10"/>
        <v>0</v>
      </c>
      <c r="P67" s="20">
        <f t="shared" si="10"/>
        <v>0</v>
      </c>
      <c r="Q67" s="20">
        <f t="shared" si="10"/>
        <v>0</v>
      </c>
      <c r="R67" s="31" t="e">
        <f t="shared" si="11"/>
        <v>#DIV/0!</v>
      </c>
      <c r="S67" s="20">
        <f>CE_AdministraçãoFRSS!B69</f>
        <v>0</v>
      </c>
      <c r="T67" s="20">
        <f>CE_AdministraçãoFRSS!C69</f>
        <v>0</v>
      </c>
      <c r="U67" s="20">
        <f>CE_AdministraçãoFRSS!S69</f>
        <v>0</v>
      </c>
      <c r="V67" s="31" t="e">
        <f t="shared" si="13"/>
        <v>#DIV/0!</v>
      </c>
      <c r="W67" s="20">
        <f t="shared" si="14"/>
        <v>0</v>
      </c>
      <c r="X67" s="20">
        <f t="shared" si="15"/>
        <v>0</v>
      </c>
      <c r="Y67" s="20">
        <f t="shared" si="16"/>
        <v>0</v>
      </c>
      <c r="Z67" s="31" t="e">
        <f t="shared" si="17"/>
        <v>#DIV/0!</v>
      </c>
      <c r="AA67" s="20">
        <f t="shared" si="18"/>
        <v>0</v>
      </c>
      <c r="AB67" s="20">
        <f t="shared" si="19"/>
        <v>0</v>
      </c>
      <c r="AC67" s="20">
        <f t="shared" si="20"/>
        <v>0</v>
      </c>
      <c r="AD67" s="31" t="e">
        <f t="shared" si="21"/>
        <v>#DIV/0!</v>
      </c>
      <c r="AE67" s="24"/>
      <c r="AF67" s="24"/>
      <c r="AG67" s="67"/>
      <c r="AH67" s="16"/>
      <c r="AI67" s="16"/>
      <c r="AJ67" s="16"/>
      <c r="AK67" s="16"/>
    </row>
    <row r="68" spans="1:37" x14ac:dyDescent="0.2">
      <c r="A68" s="76" t="str">
        <f>"403.05"</f>
        <v>403.05</v>
      </c>
      <c r="B68" s="70" t="s">
        <v>117</v>
      </c>
      <c r="C68" s="83">
        <f>CE_RegimeContributivo!B70</f>
        <v>0</v>
      </c>
      <c r="D68" s="83">
        <f>CE_RegimeContributivo!C70</f>
        <v>0</v>
      </c>
      <c r="E68" s="83">
        <f>CE_RegimeContributivo!S70</f>
        <v>0</v>
      </c>
      <c r="F68" s="30" t="e">
        <f t="shared" si="5"/>
        <v>#DIV/0!</v>
      </c>
      <c r="G68" s="83">
        <f>CE_RegimeNaoContributivo!B70</f>
        <v>0</v>
      </c>
      <c r="H68" s="83">
        <f>CE_RegimeNaoContributivo!C70</f>
        <v>0</v>
      </c>
      <c r="I68" s="83">
        <f>CE_RegimeNaoContributivo!S70</f>
        <v>0</v>
      </c>
      <c r="J68" s="30" t="e">
        <f t="shared" si="7"/>
        <v>#DIV/0!</v>
      </c>
      <c r="K68" s="19">
        <f>CE_AdministraçãoINSS!B70</f>
        <v>0</v>
      </c>
      <c r="L68" s="19">
        <f>CE_AdministraçãoINSS!C70</f>
        <v>0</v>
      </c>
      <c r="M68" s="19">
        <f>CE_AdministraçãoINSS!S70</f>
        <v>0</v>
      </c>
      <c r="N68" s="30" t="e">
        <f t="shared" si="9"/>
        <v>#DIV/0!</v>
      </c>
      <c r="O68" s="19">
        <f t="shared" si="10"/>
        <v>0</v>
      </c>
      <c r="P68" s="19">
        <f t="shared" si="10"/>
        <v>0</v>
      </c>
      <c r="Q68" s="19">
        <f t="shared" si="10"/>
        <v>0</v>
      </c>
      <c r="R68" s="30" t="e">
        <f t="shared" si="11"/>
        <v>#DIV/0!</v>
      </c>
      <c r="S68" s="19">
        <f>CE_AdministraçãoFRSS!B70</f>
        <v>0</v>
      </c>
      <c r="T68" s="19">
        <f>CE_AdministraçãoFRSS!C70</f>
        <v>0</v>
      </c>
      <c r="U68" s="19">
        <f>CE_AdministraçãoFRSS!S70</f>
        <v>0</v>
      </c>
      <c r="V68" s="30" t="e">
        <f t="shared" si="13"/>
        <v>#DIV/0!</v>
      </c>
      <c r="W68" s="19">
        <f t="shared" si="14"/>
        <v>0</v>
      </c>
      <c r="X68" s="19">
        <f t="shared" si="15"/>
        <v>0</v>
      </c>
      <c r="Y68" s="19">
        <f t="shared" si="16"/>
        <v>0</v>
      </c>
      <c r="Z68" s="30" t="e">
        <f t="shared" si="17"/>
        <v>#DIV/0!</v>
      </c>
      <c r="AA68" s="19">
        <f t="shared" si="18"/>
        <v>0</v>
      </c>
      <c r="AB68" s="19">
        <f t="shared" si="19"/>
        <v>0</v>
      </c>
      <c r="AC68" s="19">
        <f t="shared" si="20"/>
        <v>0</v>
      </c>
      <c r="AD68" s="30" t="e">
        <f t="shared" si="21"/>
        <v>#DIV/0!</v>
      </c>
      <c r="AE68" s="24"/>
      <c r="AF68" s="24"/>
      <c r="AG68" s="67"/>
    </row>
    <row r="69" spans="1:37" x14ac:dyDescent="0.2">
      <c r="A69" s="75">
        <v>404</v>
      </c>
      <c r="B69" s="69" t="s">
        <v>744</v>
      </c>
      <c r="C69" s="82">
        <f>C70+C71+C84+C85+C86+C90+C94+C95+C96+C103</f>
        <v>16388400</v>
      </c>
      <c r="D69" s="82">
        <f>D70+D71+D84+D85+D86+D90+D94+D95+D96+D103</f>
        <v>14037377.91</v>
      </c>
      <c r="E69" s="82">
        <f>E70+E71+E84+E85+E86+E90+E94+E95+E96+E103</f>
        <v>5845207.6100000003</v>
      </c>
      <c r="F69" s="29">
        <f t="shared" si="5"/>
        <v>0.41640309518460489</v>
      </c>
      <c r="G69" s="82">
        <f>G70+G71+G84+G85+G86+G90+G94+G95+G96+G103</f>
        <v>104250000</v>
      </c>
      <c r="H69" s="82">
        <f t="shared" ref="H69:I69" si="51">H70+H71+H84+H85+H86+H90+H94+H95+H96+H103</f>
        <v>98418327.620000005</v>
      </c>
      <c r="I69" s="82">
        <f t="shared" si="51"/>
        <v>59874063.189999998</v>
      </c>
      <c r="J69" s="29">
        <f t="shared" si="7"/>
        <v>0.60836294050004502</v>
      </c>
      <c r="K69" s="18">
        <f>K70+K71+K84+K85+K86+K90+K94+K95+K96+K103</f>
        <v>3450000</v>
      </c>
      <c r="L69" s="18">
        <f t="shared" ref="L69:M69" si="52">L70+L71+L84+L85+L86+L90+L94+L95+L96+L103</f>
        <v>2343919.9299999997</v>
      </c>
      <c r="M69" s="18">
        <f t="shared" si="52"/>
        <v>618919.93000000005</v>
      </c>
      <c r="N69" s="29">
        <f t="shared" si="9"/>
        <v>0.26405335868277724</v>
      </c>
      <c r="O69" s="18">
        <f t="shared" si="10"/>
        <v>124088400</v>
      </c>
      <c r="P69" s="18">
        <f t="shared" si="10"/>
        <v>114799625.46000001</v>
      </c>
      <c r="Q69" s="18">
        <f t="shared" si="10"/>
        <v>66338190.729999997</v>
      </c>
      <c r="R69" s="29">
        <f t="shared" si="11"/>
        <v>0.57786068956396042</v>
      </c>
      <c r="S69" s="18">
        <f>S70+S71+S84+S85+S86+S90+S94+S95+S96+S103</f>
        <v>333807</v>
      </c>
      <c r="T69" s="18">
        <f t="shared" ref="T69:U69" si="53">T70+T71+T84+T85+T86+T90+T94+T95+T96+T103</f>
        <v>195404.21</v>
      </c>
      <c r="U69" s="18">
        <f t="shared" si="53"/>
        <v>112094.09400000001</v>
      </c>
      <c r="V69" s="29">
        <f t="shared" si="13"/>
        <v>0.57365239981267557</v>
      </c>
      <c r="W69" s="18">
        <f t="shared" si="14"/>
        <v>333807</v>
      </c>
      <c r="X69" s="18">
        <f t="shared" si="15"/>
        <v>195404.21</v>
      </c>
      <c r="Y69" s="18">
        <f t="shared" si="16"/>
        <v>112094.09400000001</v>
      </c>
      <c r="Z69" s="29">
        <f t="shared" si="17"/>
        <v>0.57365239981267557</v>
      </c>
      <c r="AA69" s="18">
        <f t="shared" si="18"/>
        <v>124422207</v>
      </c>
      <c r="AB69" s="18">
        <f t="shared" si="19"/>
        <v>114995029.67</v>
      </c>
      <c r="AC69" s="18">
        <f t="shared" si="20"/>
        <v>66450284.823999994</v>
      </c>
      <c r="AD69" s="29">
        <f t="shared" si="21"/>
        <v>0.57785353866764211</v>
      </c>
      <c r="AE69" s="24"/>
      <c r="AF69" s="24"/>
      <c r="AG69" s="67"/>
    </row>
    <row r="70" spans="1:37" ht="30" x14ac:dyDescent="0.2">
      <c r="A70" s="76" t="str">
        <f>"404.01"</f>
        <v>404.01</v>
      </c>
      <c r="B70" s="70" t="s">
        <v>745</v>
      </c>
      <c r="C70" s="83">
        <f>CE_RegimeContributivo!B72</f>
        <v>0</v>
      </c>
      <c r="D70" s="83">
        <f>CE_RegimeContributivo!C72</f>
        <v>0</v>
      </c>
      <c r="E70" s="83">
        <f>CE_RegimeContributivo!S72</f>
        <v>0</v>
      </c>
      <c r="F70" s="30" t="e">
        <f t="shared" si="5"/>
        <v>#DIV/0!</v>
      </c>
      <c r="G70" s="83">
        <f>CE_RegimeNaoContributivo!B72</f>
        <v>0</v>
      </c>
      <c r="H70" s="83">
        <f>CE_RegimeNaoContributivo!C72</f>
        <v>0</v>
      </c>
      <c r="I70" s="83">
        <f>CE_RegimeNaoContributivo!S72</f>
        <v>0</v>
      </c>
      <c r="J70" s="30" t="e">
        <f t="shared" si="7"/>
        <v>#DIV/0!</v>
      </c>
      <c r="K70" s="19">
        <f>CE_AdministraçãoINSS!B72</f>
        <v>0</v>
      </c>
      <c r="L70" s="19">
        <f>CE_AdministraçãoINSS!C72</f>
        <v>0</v>
      </c>
      <c r="M70" s="19">
        <f>CE_AdministraçãoINSS!S72</f>
        <v>0</v>
      </c>
      <c r="N70" s="30" t="e">
        <f t="shared" si="9"/>
        <v>#DIV/0!</v>
      </c>
      <c r="O70" s="20">
        <f t="shared" si="10"/>
        <v>0</v>
      </c>
      <c r="P70" s="20">
        <f t="shared" si="10"/>
        <v>0</v>
      </c>
      <c r="Q70" s="20">
        <f t="shared" si="10"/>
        <v>0</v>
      </c>
      <c r="R70" s="30" t="e">
        <f t="shared" si="11"/>
        <v>#DIV/0!</v>
      </c>
      <c r="S70" s="20">
        <f>CE_AdministraçãoFRSS!B72</f>
        <v>0</v>
      </c>
      <c r="T70" s="20">
        <f>CE_AdministraçãoFRSS!C72</f>
        <v>0</v>
      </c>
      <c r="U70" s="20">
        <f>CE_AdministraçãoFRSS!S72</f>
        <v>0</v>
      </c>
      <c r="V70" s="30" t="e">
        <f t="shared" si="13"/>
        <v>#DIV/0!</v>
      </c>
      <c r="W70" s="19">
        <f t="shared" si="14"/>
        <v>0</v>
      </c>
      <c r="X70" s="19">
        <f t="shared" si="15"/>
        <v>0</v>
      </c>
      <c r="Y70" s="19">
        <f t="shared" si="16"/>
        <v>0</v>
      </c>
      <c r="Z70" s="30" t="e">
        <f t="shared" si="17"/>
        <v>#DIV/0!</v>
      </c>
      <c r="AA70" s="19">
        <f t="shared" si="18"/>
        <v>0</v>
      </c>
      <c r="AB70" s="19">
        <f t="shared" si="19"/>
        <v>0</v>
      </c>
      <c r="AC70" s="19">
        <f t="shared" si="20"/>
        <v>0</v>
      </c>
      <c r="AD70" s="30" t="e">
        <f t="shared" si="21"/>
        <v>#DIV/0!</v>
      </c>
      <c r="AE70" s="24"/>
      <c r="AF70" s="24"/>
      <c r="AG70" s="67"/>
    </row>
    <row r="71" spans="1:37" x14ac:dyDescent="0.2">
      <c r="A71" s="76" t="str">
        <f>"404.02"</f>
        <v>404.02</v>
      </c>
      <c r="B71" s="70" t="s">
        <v>746</v>
      </c>
      <c r="C71" s="83">
        <f>C72+C79+C82+C83</f>
        <v>16388400</v>
      </c>
      <c r="D71" s="83">
        <f>D72+D79+D82+D83</f>
        <v>14037377.91</v>
      </c>
      <c r="E71" s="83">
        <f>E72+E79+E82+E83</f>
        <v>5840127.9100000001</v>
      </c>
      <c r="F71" s="30">
        <f t="shared" si="5"/>
        <v>0.41604122560806656</v>
      </c>
      <c r="G71" s="83">
        <f>G72+G79+G82+G83</f>
        <v>104250000</v>
      </c>
      <c r="H71" s="83">
        <f t="shared" ref="H71:I71" si="54">H72+H79+H82+H83</f>
        <v>98418327.620000005</v>
      </c>
      <c r="I71" s="83">
        <f t="shared" si="54"/>
        <v>46293327.630000003</v>
      </c>
      <c r="J71" s="30">
        <f t="shared" si="7"/>
        <v>0.47037303670452268</v>
      </c>
      <c r="K71" s="19">
        <f>K72+K79+K82+K83</f>
        <v>3450000</v>
      </c>
      <c r="L71" s="19">
        <f t="shared" ref="L71:M71" si="55">L72+L79+L82+L83</f>
        <v>2343919.9299999997</v>
      </c>
      <c r="M71" s="19">
        <f t="shared" si="55"/>
        <v>618919.93000000005</v>
      </c>
      <c r="N71" s="30">
        <f t="shared" si="9"/>
        <v>0.26405335868277724</v>
      </c>
      <c r="O71" s="19">
        <f t="shared" si="10"/>
        <v>124088400</v>
      </c>
      <c r="P71" s="19">
        <f t="shared" si="10"/>
        <v>114799625.46000001</v>
      </c>
      <c r="Q71" s="19">
        <f t="shared" si="10"/>
        <v>52752375.470000006</v>
      </c>
      <c r="R71" s="30">
        <f t="shared" si="11"/>
        <v>0.45951696496066252</v>
      </c>
      <c r="S71" s="19">
        <f>S72+S79+S82+S83</f>
        <v>333807</v>
      </c>
      <c r="T71" s="19">
        <f t="shared" ref="T71:U71" si="56">T72+T79+T82+T83</f>
        <v>195404.21</v>
      </c>
      <c r="U71" s="19">
        <f t="shared" si="56"/>
        <v>112094.09400000001</v>
      </c>
      <c r="V71" s="30">
        <f t="shared" si="13"/>
        <v>0.57365239981267557</v>
      </c>
      <c r="W71" s="19">
        <f t="shared" si="14"/>
        <v>333807</v>
      </c>
      <c r="X71" s="19">
        <f t="shared" si="15"/>
        <v>195404.21</v>
      </c>
      <c r="Y71" s="19">
        <f t="shared" si="16"/>
        <v>112094.09400000001</v>
      </c>
      <c r="Z71" s="30">
        <f t="shared" si="17"/>
        <v>0.57365239981267557</v>
      </c>
      <c r="AA71" s="19">
        <f t="shared" si="18"/>
        <v>124422207</v>
      </c>
      <c r="AB71" s="19">
        <f t="shared" si="19"/>
        <v>114995029.67</v>
      </c>
      <c r="AC71" s="19">
        <f t="shared" si="20"/>
        <v>52864469.564000003</v>
      </c>
      <c r="AD71" s="30">
        <f t="shared" si="21"/>
        <v>0.45971090851234703</v>
      </c>
      <c r="AE71" s="24"/>
      <c r="AF71" s="24"/>
      <c r="AG71" s="67"/>
    </row>
    <row r="72" spans="1:37" x14ac:dyDescent="0.2">
      <c r="A72" s="77" t="str">
        <f>"404.02.01"</f>
        <v>404.02.01</v>
      </c>
      <c r="B72" s="71" t="s">
        <v>747</v>
      </c>
      <c r="C72" s="84">
        <f>C73+C78</f>
        <v>16388400</v>
      </c>
      <c r="D72" s="84">
        <f>D73+D78</f>
        <v>14034327.91</v>
      </c>
      <c r="E72" s="84">
        <f>E73+E78</f>
        <v>5840127.9100000001</v>
      </c>
      <c r="F72" s="31">
        <f t="shared" si="5"/>
        <v>0.41613164146169646</v>
      </c>
      <c r="G72" s="84">
        <f>G73+G78</f>
        <v>104250000</v>
      </c>
      <c r="H72" s="84">
        <f t="shared" ref="H72:I72" si="57">H73+H78</f>
        <v>98418327.620000005</v>
      </c>
      <c r="I72" s="84">
        <f t="shared" si="57"/>
        <v>46293327.630000003</v>
      </c>
      <c r="J72" s="31">
        <f t="shared" si="7"/>
        <v>0.47037303670452268</v>
      </c>
      <c r="K72" s="20">
        <f>K73+K78</f>
        <v>3450000</v>
      </c>
      <c r="L72" s="20">
        <f t="shared" ref="L72:M72" si="58">L73+L78</f>
        <v>2343919.9299999997</v>
      </c>
      <c r="M72" s="20">
        <f t="shared" si="58"/>
        <v>618919.93000000005</v>
      </c>
      <c r="N72" s="31">
        <f t="shared" si="9"/>
        <v>0.26405335868277724</v>
      </c>
      <c r="O72" s="20">
        <f t="shared" si="10"/>
        <v>124088400</v>
      </c>
      <c r="P72" s="20">
        <f t="shared" si="10"/>
        <v>114796575.46000001</v>
      </c>
      <c r="Q72" s="20">
        <f t="shared" si="10"/>
        <v>52752375.470000006</v>
      </c>
      <c r="R72" s="31">
        <f t="shared" si="11"/>
        <v>0.45952917374596397</v>
      </c>
      <c r="S72" s="20">
        <f>S73+S78</f>
        <v>0</v>
      </c>
      <c r="T72" s="20">
        <f t="shared" ref="T72:U72" si="59">T73+T78</f>
        <v>0</v>
      </c>
      <c r="U72" s="20">
        <f t="shared" si="59"/>
        <v>0</v>
      </c>
      <c r="V72" s="31" t="e">
        <f t="shared" si="13"/>
        <v>#DIV/0!</v>
      </c>
      <c r="W72" s="20">
        <f t="shared" si="14"/>
        <v>0</v>
      </c>
      <c r="X72" s="20">
        <f t="shared" si="15"/>
        <v>0</v>
      </c>
      <c r="Y72" s="20">
        <f t="shared" si="16"/>
        <v>0</v>
      </c>
      <c r="Z72" s="31" t="e">
        <f t="shared" si="17"/>
        <v>#DIV/0!</v>
      </c>
      <c r="AA72" s="20">
        <f t="shared" si="18"/>
        <v>124088400</v>
      </c>
      <c r="AB72" s="20">
        <f t="shared" si="19"/>
        <v>114796575.46000001</v>
      </c>
      <c r="AC72" s="20">
        <f t="shared" si="20"/>
        <v>52752375.470000006</v>
      </c>
      <c r="AD72" s="31">
        <f t="shared" si="21"/>
        <v>0.45952917374596397</v>
      </c>
      <c r="AE72" s="24"/>
      <c r="AF72" s="24"/>
      <c r="AG72" s="67"/>
    </row>
    <row r="73" spans="1:37" x14ac:dyDescent="0.2">
      <c r="A73" s="78" t="str">
        <f>"404.02.01.01"</f>
        <v>404.02.01.01</v>
      </c>
      <c r="B73" s="72" t="s">
        <v>748</v>
      </c>
      <c r="C73" s="85">
        <f>SUM(C74:C77)</f>
        <v>16388400</v>
      </c>
      <c r="D73" s="85">
        <f>SUM(D74:D77)</f>
        <v>14034327.91</v>
      </c>
      <c r="E73" s="85">
        <f>SUM(E74:E77)</f>
        <v>5840127.9100000001</v>
      </c>
      <c r="F73" s="32">
        <f t="shared" ref="F73:F140" si="60">E73/D73</f>
        <v>0.41613164146169646</v>
      </c>
      <c r="G73" s="85">
        <f>SUM(G74:G77)</f>
        <v>104250000</v>
      </c>
      <c r="H73" s="85">
        <f t="shared" ref="H73:I73" si="61">SUM(H74:H77)</f>
        <v>98418327.620000005</v>
      </c>
      <c r="I73" s="85">
        <f t="shared" si="61"/>
        <v>46293327.630000003</v>
      </c>
      <c r="J73" s="32">
        <f t="shared" ref="J73:J140" si="62">I73/H73</f>
        <v>0.47037303670452268</v>
      </c>
      <c r="K73" s="23">
        <f>SUM(K74:K77)</f>
        <v>3450000</v>
      </c>
      <c r="L73" s="23">
        <f t="shared" ref="L73:M73" si="63">SUM(L74:L77)</f>
        <v>2343919.9299999997</v>
      </c>
      <c r="M73" s="23">
        <f t="shared" si="63"/>
        <v>618919.93000000005</v>
      </c>
      <c r="N73" s="32">
        <f t="shared" ref="N73:N140" si="64">M73/L73</f>
        <v>0.26405335868277724</v>
      </c>
      <c r="O73" s="23">
        <f t="shared" ref="O73:Q140" si="65">C73+G73+K73</f>
        <v>124088400</v>
      </c>
      <c r="P73" s="23">
        <f t="shared" si="65"/>
        <v>114796575.46000001</v>
      </c>
      <c r="Q73" s="23">
        <f t="shared" si="65"/>
        <v>52752375.470000006</v>
      </c>
      <c r="R73" s="32">
        <f t="shared" ref="R73:R140" si="66">Q73/P73</f>
        <v>0.45952917374596397</v>
      </c>
      <c r="S73" s="23">
        <f>SUM(S74:S77)</f>
        <v>0</v>
      </c>
      <c r="T73" s="23">
        <f t="shared" ref="T73:U73" si="67">SUM(T74:T77)</f>
        <v>0</v>
      </c>
      <c r="U73" s="23">
        <f t="shared" si="67"/>
        <v>0</v>
      </c>
      <c r="V73" s="32" t="e">
        <f t="shared" ref="V73:V140" si="68">U73/T73</f>
        <v>#DIV/0!</v>
      </c>
      <c r="W73" s="23">
        <f t="shared" ref="W73:W140" si="69">S73</f>
        <v>0</v>
      </c>
      <c r="X73" s="23">
        <f t="shared" ref="X73:X140" si="70">T73</f>
        <v>0</v>
      </c>
      <c r="Y73" s="23">
        <f t="shared" ref="Y73:Y140" si="71">U73</f>
        <v>0</v>
      </c>
      <c r="Z73" s="32" t="e">
        <f t="shared" ref="Z73:Z140" si="72">Y73/X73</f>
        <v>#DIV/0!</v>
      </c>
      <c r="AA73" s="23">
        <f t="shared" ref="AA73:AA140" si="73">O73+W73</f>
        <v>124088400</v>
      </c>
      <c r="AB73" s="23">
        <f t="shared" ref="AB73:AB140" si="74">P73+X73</f>
        <v>114796575.46000001</v>
      </c>
      <c r="AC73" s="23">
        <f t="shared" ref="AC73:AC140" si="75">Q73+Y73</f>
        <v>52752375.470000006</v>
      </c>
      <c r="AD73" s="32">
        <f t="shared" ref="AD73:AD140" si="76">AC73/AB73</f>
        <v>0.45952917374596397</v>
      </c>
      <c r="AE73" s="24"/>
      <c r="AF73" s="24"/>
      <c r="AG73" s="67"/>
    </row>
    <row r="74" spans="1:37" s="21" customFormat="1" x14ac:dyDescent="0.2">
      <c r="A74" s="77" t="str">
        <f>"404.02.01.01.01"</f>
        <v>404.02.01.01.01</v>
      </c>
      <c r="B74" s="71" t="s">
        <v>749</v>
      </c>
      <c r="C74" s="84">
        <f>CE_RegimeContributivo!B76</f>
        <v>0</v>
      </c>
      <c r="D74" s="84">
        <f>CE_RegimeContributivo!C76</f>
        <v>0</v>
      </c>
      <c r="E74" s="84">
        <f>CE_RegimeContributivo!S76</f>
        <v>0</v>
      </c>
      <c r="F74" s="33" t="e">
        <f t="shared" si="60"/>
        <v>#DIV/0!</v>
      </c>
      <c r="G74" s="84">
        <f>CE_RegimeNaoContributivo!B76</f>
        <v>104250000</v>
      </c>
      <c r="H74" s="84">
        <f>CE_RegimeNaoContributivo!C76</f>
        <v>98418327.620000005</v>
      </c>
      <c r="I74" s="84">
        <f>CE_RegimeNaoContributivo!S76</f>
        <v>46293327.630000003</v>
      </c>
      <c r="J74" s="33">
        <f t="shared" si="62"/>
        <v>0.47037303670452268</v>
      </c>
      <c r="K74" s="20">
        <f>CE_AdministraçãoINSS!B76</f>
        <v>0</v>
      </c>
      <c r="L74" s="20">
        <f>CE_AdministraçãoINSS!C76</f>
        <v>0</v>
      </c>
      <c r="M74" s="20">
        <f>CE_AdministraçãoINSS!S76</f>
        <v>0</v>
      </c>
      <c r="N74" s="33" t="e">
        <f t="shared" si="64"/>
        <v>#DIV/0!</v>
      </c>
      <c r="O74" s="20">
        <f t="shared" si="65"/>
        <v>104250000</v>
      </c>
      <c r="P74" s="20">
        <f t="shared" si="65"/>
        <v>98418327.620000005</v>
      </c>
      <c r="Q74" s="20">
        <f t="shared" si="65"/>
        <v>46293327.630000003</v>
      </c>
      <c r="R74" s="33">
        <f t="shared" si="66"/>
        <v>0.47037303670452268</v>
      </c>
      <c r="S74" s="20">
        <f>CE_AdministraçãoFRSS!B76</f>
        <v>0</v>
      </c>
      <c r="T74" s="20">
        <f>CE_AdministraçãoFRSS!C76</f>
        <v>0</v>
      </c>
      <c r="U74" s="20">
        <f>CE_AdministraçãoFRSS!S76</f>
        <v>0</v>
      </c>
      <c r="V74" s="33" t="e">
        <f t="shared" si="68"/>
        <v>#DIV/0!</v>
      </c>
      <c r="W74" s="20">
        <f t="shared" si="69"/>
        <v>0</v>
      </c>
      <c r="X74" s="20">
        <f t="shared" si="70"/>
        <v>0</v>
      </c>
      <c r="Y74" s="20">
        <f t="shared" si="71"/>
        <v>0</v>
      </c>
      <c r="Z74" s="33" t="e">
        <f t="shared" si="72"/>
        <v>#DIV/0!</v>
      </c>
      <c r="AA74" s="20">
        <f t="shared" si="73"/>
        <v>104250000</v>
      </c>
      <c r="AB74" s="20">
        <f t="shared" si="74"/>
        <v>98418327.620000005</v>
      </c>
      <c r="AC74" s="20">
        <f t="shared" si="75"/>
        <v>46293327.630000003</v>
      </c>
      <c r="AD74" s="33">
        <f t="shared" si="76"/>
        <v>0.47037303670452268</v>
      </c>
      <c r="AE74" s="24"/>
      <c r="AF74" s="24"/>
      <c r="AG74" s="67"/>
      <c r="AH74" s="16"/>
      <c r="AI74" s="16"/>
      <c r="AJ74" s="16"/>
      <c r="AK74" s="16"/>
    </row>
    <row r="75" spans="1:37" s="21" customFormat="1" x14ac:dyDescent="0.2">
      <c r="A75" s="77" t="str">
        <f>"404.02.01.01.02"</f>
        <v>404.02.01.01.02</v>
      </c>
      <c r="B75" s="71" t="s">
        <v>750</v>
      </c>
      <c r="C75" s="84">
        <f>CE_RegimeContributivo!B77</f>
        <v>16388400</v>
      </c>
      <c r="D75" s="84">
        <f>CE_RegimeContributivo!C77</f>
        <v>14034327.91</v>
      </c>
      <c r="E75" s="84">
        <f>CE_RegimeContributivo!S77</f>
        <v>5840127.9100000001</v>
      </c>
      <c r="F75" s="33">
        <f t="shared" si="60"/>
        <v>0.41613164146169646</v>
      </c>
      <c r="G75" s="84">
        <f>CE_RegimeNaoContributivo!B77</f>
        <v>0</v>
      </c>
      <c r="H75" s="84">
        <f>CE_RegimeNaoContributivo!C77</f>
        <v>0</v>
      </c>
      <c r="I75" s="84">
        <f>CE_RegimeNaoContributivo!S77</f>
        <v>0</v>
      </c>
      <c r="J75" s="33" t="e">
        <f t="shared" si="62"/>
        <v>#DIV/0!</v>
      </c>
      <c r="K75" s="20">
        <f>CE_AdministraçãoINSS!B77</f>
        <v>0</v>
      </c>
      <c r="L75" s="20">
        <f>CE_AdministraçãoINSS!C77</f>
        <v>0</v>
      </c>
      <c r="M75" s="20">
        <f>CE_AdministraçãoINSS!S77</f>
        <v>0</v>
      </c>
      <c r="N75" s="33" t="e">
        <f t="shared" si="64"/>
        <v>#DIV/0!</v>
      </c>
      <c r="O75" s="20">
        <f t="shared" si="65"/>
        <v>16388400</v>
      </c>
      <c r="P75" s="20">
        <f t="shared" si="65"/>
        <v>14034327.91</v>
      </c>
      <c r="Q75" s="20">
        <f t="shared" si="65"/>
        <v>5840127.9100000001</v>
      </c>
      <c r="R75" s="33">
        <f t="shared" si="66"/>
        <v>0.41613164146169646</v>
      </c>
      <c r="S75" s="20">
        <f>CE_AdministraçãoFRSS!B77</f>
        <v>0</v>
      </c>
      <c r="T75" s="20">
        <f>CE_AdministraçãoFRSS!C77</f>
        <v>0</v>
      </c>
      <c r="U75" s="20">
        <f>CE_AdministraçãoFRSS!S77</f>
        <v>0</v>
      </c>
      <c r="V75" s="33" t="e">
        <f t="shared" si="68"/>
        <v>#DIV/0!</v>
      </c>
      <c r="W75" s="20">
        <f t="shared" si="69"/>
        <v>0</v>
      </c>
      <c r="X75" s="20">
        <f t="shared" si="70"/>
        <v>0</v>
      </c>
      <c r="Y75" s="20">
        <f t="shared" si="71"/>
        <v>0</v>
      </c>
      <c r="Z75" s="33" t="e">
        <f t="shared" si="72"/>
        <v>#DIV/0!</v>
      </c>
      <c r="AA75" s="20">
        <f t="shared" si="73"/>
        <v>16388400</v>
      </c>
      <c r="AB75" s="20">
        <f t="shared" si="74"/>
        <v>14034327.91</v>
      </c>
      <c r="AC75" s="20">
        <f t="shared" si="75"/>
        <v>5840127.9100000001</v>
      </c>
      <c r="AD75" s="33">
        <f t="shared" si="76"/>
        <v>0.41613164146169646</v>
      </c>
      <c r="AE75" s="24"/>
      <c r="AF75" s="24"/>
      <c r="AG75" s="67"/>
      <c r="AH75" s="16"/>
      <c r="AI75" s="16"/>
      <c r="AJ75" s="16"/>
      <c r="AK75" s="16"/>
    </row>
    <row r="76" spans="1:37" s="21" customFormat="1" x14ac:dyDescent="0.2">
      <c r="A76" s="77" t="str">
        <f>"404.02.01.01.03"</f>
        <v>404.02.01.01.03</v>
      </c>
      <c r="B76" s="71" t="s">
        <v>751</v>
      </c>
      <c r="C76" s="84">
        <f>CE_RegimeContributivo!B78</f>
        <v>0</v>
      </c>
      <c r="D76" s="84">
        <f>CE_RegimeContributivo!C78</f>
        <v>0</v>
      </c>
      <c r="E76" s="84">
        <f>CE_RegimeContributivo!S78</f>
        <v>0</v>
      </c>
      <c r="F76" s="33" t="e">
        <f t="shared" si="60"/>
        <v>#DIV/0!</v>
      </c>
      <c r="G76" s="84">
        <f>CE_RegimeNaoContributivo!B78</f>
        <v>0</v>
      </c>
      <c r="H76" s="84">
        <f>CE_RegimeNaoContributivo!C78</f>
        <v>0</v>
      </c>
      <c r="I76" s="84">
        <f>CE_RegimeNaoContributivo!S78</f>
        <v>0</v>
      </c>
      <c r="J76" s="33" t="e">
        <f t="shared" si="62"/>
        <v>#DIV/0!</v>
      </c>
      <c r="K76" s="20">
        <f>CE_AdministraçãoINSS!B78</f>
        <v>3450000</v>
      </c>
      <c r="L76" s="20">
        <f>CE_AdministraçãoINSS!C78</f>
        <v>2343919.9299999997</v>
      </c>
      <c r="M76" s="20">
        <f>CE_AdministraçãoINSS!S78</f>
        <v>618919.93000000005</v>
      </c>
      <c r="N76" s="33">
        <f t="shared" si="64"/>
        <v>0.26405335868277724</v>
      </c>
      <c r="O76" s="20">
        <f t="shared" si="65"/>
        <v>3450000</v>
      </c>
      <c r="P76" s="20">
        <f t="shared" si="65"/>
        <v>2343919.9299999997</v>
      </c>
      <c r="Q76" s="20">
        <f t="shared" si="65"/>
        <v>618919.93000000005</v>
      </c>
      <c r="R76" s="33">
        <f t="shared" si="66"/>
        <v>0.26405335868277724</v>
      </c>
      <c r="S76" s="20">
        <f>CE_AdministraçãoFRSS!B78</f>
        <v>0</v>
      </c>
      <c r="T76" s="20">
        <f>CE_AdministraçãoFRSS!C78</f>
        <v>0</v>
      </c>
      <c r="U76" s="20">
        <f>CE_AdministraçãoFRSS!S78</f>
        <v>0</v>
      </c>
      <c r="V76" s="33" t="e">
        <f t="shared" si="68"/>
        <v>#DIV/0!</v>
      </c>
      <c r="W76" s="20">
        <f t="shared" si="69"/>
        <v>0</v>
      </c>
      <c r="X76" s="20">
        <f t="shared" si="70"/>
        <v>0</v>
      </c>
      <c r="Y76" s="20">
        <f t="shared" si="71"/>
        <v>0</v>
      </c>
      <c r="Z76" s="33" t="e">
        <f t="shared" si="72"/>
        <v>#DIV/0!</v>
      </c>
      <c r="AA76" s="20">
        <f t="shared" si="73"/>
        <v>3450000</v>
      </c>
      <c r="AB76" s="20">
        <f t="shared" si="74"/>
        <v>2343919.9299999997</v>
      </c>
      <c r="AC76" s="20">
        <f t="shared" si="75"/>
        <v>618919.93000000005</v>
      </c>
      <c r="AD76" s="33">
        <f t="shared" si="76"/>
        <v>0.26405335868277724</v>
      </c>
      <c r="AE76" s="24"/>
      <c r="AF76" s="24"/>
      <c r="AG76" s="67"/>
      <c r="AH76" s="16"/>
      <c r="AI76" s="16"/>
      <c r="AJ76" s="16"/>
      <c r="AK76" s="16"/>
    </row>
    <row r="77" spans="1:37" s="21" customFormat="1" ht="30" x14ac:dyDescent="0.2">
      <c r="A77" s="77" t="str">
        <f>"404.02.01.01.04"</f>
        <v>404.02.01.01.04</v>
      </c>
      <c r="B77" s="71" t="s">
        <v>752</v>
      </c>
      <c r="C77" s="84">
        <f>CE_RegimeContributivo!B79</f>
        <v>0</v>
      </c>
      <c r="D77" s="84">
        <f>CE_RegimeContributivo!C79</f>
        <v>0</v>
      </c>
      <c r="E77" s="84">
        <f>CE_RegimeContributivo!S79</f>
        <v>0</v>
      </c>
      <c r="F77" s="33" t="e">
        <f t="shared" si="60"/>
        <v>#DIV/0!</v>
      </c>
      <c r="G77" s="84">
        <f>CE_RegimeNaoContributivo!B79</f>
        <v>0</v>
      </c>
      <c r="H77" s="84">
        <f>CE_RegimeNaoContributivo!C79</f>
        <v>0</v>
      </c>
      <c r="I77" s="84">
        <f>CE_RegimeNaoContributivo!S79</f>
        <v>0</v>
      </c>
      <c r="J77" s="33" t="e">
        <f t="shared" si="62"/>
        <v>#DIV/0!</v>
      </c>
      <c r="K77" s="20">
        <f>CE_AdministraçãoINSS!B79</f>
        <v>0</v>
      </c>
      <c r="L77" s="20">
        <f>CE_AdministraçãoINSS!C79</f>
        <v>0</v>
      </c>
      <c r="M77" s="20">
        <f>CE_AdministraçãoINSS!S79</f>
        <v>0</v>
      </c>
      <c r="N77" s="33" t="e">
        <f t="shared" si="64"/>
        <v>#DIV/0!</v>
      </c>
      <c r="O77" s="20">
        <f t="shared" si="65"/>
        <v>0</v>
      </c>
      <c r="P77" s="20">
        <f t="shared" si="65"/>
        <v>0</v>
      </c>
      <c r="Q77" s="20">
        <f t="shared" si="65"/>
        <v>0</v>
      </c>
      <c r="R77" s="33" t="e">
        <f t="shared" si="66"/>
        <v>#DIV/0!</v>
      </c>
      <c r="S77" s="20">
        <f>CE_AdministraçãoFRSS!B79</f>
        <v>0</v>
      </c>
      <c r="T77" s="20">
        <f>CE_AdministraçãoFRSS!C79</f>
        <v>0</v>
      </c>
      <c r="U77" s="20">
        <f>CE_AdministraçãoFRSS!S79</f>
        <v>0</v>
      </c>
      <c r="V77" s="33" t="e">
        <f t="shared" si="68"/>
        <v>#DIV/0!</v>
      </c>
      <c r="W77" s="20">
        <f t="shared" si="69"/>
        <v>0</v>
      </c>
      <c r="X77" s="20">
        <f t="shared" si="70"/>
        <v>0</v>
      </c>
      <c r="Y77" s="20">
        <f t="shared" si="71"/>
        <v>0</v>
      </c>
      <c r="Z77" s="33" t="e">
        <f t="shared" si="72"/>
        <v>#DIV/0!</v>
      </c>
      <c r="AA77" s="20">
        <f t="shared" si="73"/>
        <v>0</v>
      </c>
      <c r="AB77" s="20">
        <f t="shared" si="74"/>
        <v>0</v>
      </c>
      <c r="AC77" s="20">
        <f t="shared" si="75"/>
        <v>0</v>
      </c>
      <c r="AD77" s="33" t="e">
        <f t="shared" si="76"/>
        <v>#DIV/0!</v>
      </c>
      <c r="AE77" s="24"/>
      <c r="AF77" s="24"/>
      <c r="AG77" s="67"/>
      <c r="AH77" s="16"/>
      <c r="AI77" s="16"/>
      <c r="AJ77" s="16"/>
      <c r="AK77" s="16"/>
    </row>
    <row r="78" spans="1:37" s="21" customFormat="1" x14ac:dyDescent="0.2">
      <c r="A78" s="77" t="str">
        <f>"404.02.01.02"</f>
        <v>404.02.01.02</v>
      </c>
      <c r="B78" s="71" t="s">
        <v>753</v>
      </c>
      <c r="C78" s="84">
        <f>CE_RegimeContributivo!B80</f>
        <v>0</v>
      </c>
      <c r="D78" s="84">
        <f>CE_RegimeContributivo!C80</f>
        <v>0</v>
      </c>
      <c r="E78" s="84">
        <f>CE_RegimeContributivo!S80</f>
        <v>0</v>
      </c>
      <c r="F78" s="33" t="e">
        <f t="shared" si="60"/>
        <v>#DIV/0!</v>
      </c>
      <c r="G78" s="84">
        <f>CE_RegimeNaoContributivo!B80</f>
        <v>0</v>
      </c>
      <c r="H78" s="84">
        <f>CE_RegimeNaoContributivo!C80</f>
        <v>0</v>
      </c>
      <c r="I78" s="84">
        <f>CE_RegimeNaoContributivo!S80</f>
        <v>0</v>
      </c>
      <c r="J78" s="33" t="e">
        <f t="shared" si="62"/>
        <v>#DIV/0!</v>
      </c>
      <c r="K78" s="20">
        <f>CE_AdministraçãoINSS!B80</f>
        <v>0</v>
      </c>
      <c r="L78" s="20">
        <f>CE_AdministraçãoINSS!C80</f>
        <v>0</v>
      </c>
      <c r="M78" s="20">
        <f>CE_AdministraçãoINSS!S80</f>
        <v>0</v>
      </c>
      <c r="N78" s="33" t="e">
        <f t="shared" si="64"/>
        <v>#DIV/0!</v>
      </c>
      <c r="O78" s="20">
        <f t="shared" si="65"/>
        <v>0</v>
      </c>
      <c r="P78" s="20">
        <f t="shared" si="65"/>
        <v>0</v>
      </c>
      <c r="Q78" s="20">
        <f t="shared" si="65"/>
        <v>0</v>
      </c>
      <c r="R78" s="33" t="e">
        <f t="shared" si="66"/>
        <v>#DIV/0!</v>
      </c>
      <c r="S78" s="20">
        <f>CE_AdministraçãoFRSS!B80</f>
        <v>0</v>
      </c>
      <c r="T78" s="20">
        <f>CE_AdministraçãoFRSS!C80</f>
        <v>0</v>
      </c>
      <c r="U78" s="20">
        <f>CE_AdministraçãoFRSS!S80</f>
        <v>0</v>
      </c>
      <c r="V78" s="33" t="e">
        <f t="shared" si="68"/>
        <v>#DIV/0!</v>
      </c>
      <c r="W78" s="20">
        <f t="shared" si="69"/>
        <v>0</v>
      </c>
      <c r="X78" s="20">
        <f t="shared" si="70"/>
        <v>0</v>
      </c>
      <c r="Y78" s="20">
        <f t="shared" si="71"/>
        <v>0</v>
      </c>
      <c r="Z78" s="33" t="e">
        <f t="shared" si="72"/>
        <v>#DIV/0!</v>
      </c>
      <c r="AA78" s="20">
        <f t="shared" si="73"/>
        <v>0</v>
      </c>
      <c r="AB78" s="20">
        <f t="shared" si="74"/>
        <v>0</v>
      </c>
      <c r="AC78" s="20">
        <f t="shared" si="75"/>
        <v>0</v>
      </c>
      <c r="AD78" s="33" t="e">
        <f t="shared" si="76"/>
        <v>#DIV/0!</v>
      </c>
      <c r="AE78" s="24"/>
      <c r="AF78" s="24"/>
      <c r="AG78" s="67"/>
      <c r="AH78" s="16"/>
      <c r="AI78" s="16"/>
      <c r="AJ78" s="16"/>
      <c r="AK78" s="16"/>
    </row>
    <row r="79" spans="1:37" s="21" customFormat="1" x14ac:dyDescent="0.2">
      <c r="A79" s="94" t="str">
        <f>"404.02.02"</f>
        <v>404.02.02</v>
      </c>
      <c r="B79" s="95" t="s">
        <v>754</v>
      </c>
      <c r="C79" s="96">
        <f>C80+C81</f>
        <v>0</v>
      </c>
      <c r="D79" s="96">
        <f t="shared" ref="D79:E79" si="77">D80+D81</f>
        <v>3050</v>
      </c>
      <c r="E79" s="96">
        <f t="shared" si="77"/>
        <v>0</v>
      </c>
      <c r="F79" s="97">
        <f t="shared" si="60"/>
        <v>0</v>
      </c>
      <c r="G79" s="96">
        <f>G80+G81</f>
        <v>0</v>
      </c>
      <c r="H79" s="96">
        <f t="shared" ref="H79:I79" si="78">H80+H81</f>
        <v>0</v>
      </c>
      <c r="I79" s="96">
        <f t="shared" si="78"/>
        <v>0</v>
      </c>
      <c r="J79" s="97" t="e">
        <f t="shared" si="62"/>
        <v>#DIV/0!</v>
      </c>
      <c r="K79" s="96">
        <f>K80+K81</f>
        <v>0</v>
      </c>
      <c r="L79" s="96">
        <f t="shared" ref="L79:M79" si="79">L80+L81</f>
        <v>0</v>
      </c>
      <c r="M79" s="96">
        <f t="shared" si="79"/>
        <v>0</v>
      </c>
      <c r="N79" s="97" t="e">
        <f t="shared" si="64"/>
        <v>#DIV/0!</v>
      </c>
      <c r="O79" s="98">
        <f t="shared" si="65"/>
        <v>0</v>
      </c>
      <c r="P79" s="98">
        <f t="shared" si="65"/>
        <v>3050</v>
      </c>
      <c r="Q79" s="98">
        <f t="shared" si="65"/>
        <v>0</v>
      </c>
      <c r="R79" s="97">
        <f t="shared" si="66"/>
        <v>0</v>
      </c>
      <c r="S79" s="96">
        <f>S80+S81</f>
        <v>333807</v>
      </c>
      <c r="T79" s="96">
        <f t="shared" ref="T79:U79" si="80">T80+T81</f>
        <v>195404.21</v>
      </c>
      <c r="U79" s="96">
        <f t="shared" si="80"/>
        <v>112094.09400000001</v>
      </c>
      <c r="V79" s="97">
        <f t="shared" si="68"/>
        <v>0.57365239981267557</v>
      </c>
      <c r="W79" s="98">
        <f t="shared" si="69"/>
        <v>333807</v>
      </c>
      <c r="X79" s="98">
        <f t="shared" si="70"/>
        <v>195404.21</v>
      </c>
      <c r="Y79" s="98">
        <f t="shared" si="71"/>
        <v>112094.09400000001</v>
      </c>
      <c r="Z79" s="97">
        <f t="shared" si="72"/>
        <v>0.57365239981267557</v>
      </c>
      <c r="AA79" s="98">
        <f t="shared" si="73"/>
        <v>333807</v>
      </c>
      <c r="AB79" s="98">
        <f t="shared" si="74"/>
        <v>198454.21</v>
      </c>
      <c r="AC79" s="98">
        <f t="shared" si="75"/>
        <v>112094.09400000001</v>
      </c>
      <c r="AD79" s="97">
        <f t="shared" si="76"/>
        <v>0.56483605966333505</v>
      </c>
      <c r="AE79" s="24"/>
      <c r="AF79" s="24"/>
      <c r="AG79" s="67"/>
      <c r="AH79" s="16"/>
      <c r="AI79" s="16"/>
      <c r="AJ79" s="16"/>
      <c r="AK79" s="16"/>
    </row>
    <row r="80" spans="1:37" s="21" customFormat="1" x14ac:dyDescent="0.2">
      <c r="A80" s="77" t="str">
        <f>"404.02.02.01"</f>
        <v>404.02.02.01</v>
      </c>
      <c r="B80" s="71" t="s">
        <v>1405</v>
      </c>
      <c r="C80" s="84">
        <f>CE_RegimeContributivo!B82</f>
        <v>0</v>
      </c>
      <c r="D80" s="84">
        <f>CE_RegimeContributivo!C82</f>
        <v>3050</v>
      </c>
      <c r="E80" s="84">
        <f>CE_RegimeContributivo!S82</f>
        <v>0</v>
      </c>
      <c r="F80" s="31">
        <f t="shared" si="60"/>
        <v>0</v>
      </c>
      <c r="G80" s="84">
        <f>CE_RegimeNaoContributivo!B82</f>
        <v>0</v>
      </c>
      <c r="H80" s="84">
        <f>CE_RegimeNaoContributivo!C82</f>
        <v>0</v>
      </c>
      <c r="I80" s="84">
        <f>CE_RegimeNaoContributivo!S82</f>
        <v>0</v>
      </c>
      <c r="J80" s="31" t="e">
        <f t="shared" si="62"/>
        <v>#DIV/0!</v>
      </c>
      <c r="K80" s="20">
        <f>CE_AdministraçãoINSS!B82</f>
        <v>0</v>
      </c>
      <c r="L80" s="20">
        <f>CE_AdministraçãoINSS!C82</f>
        <v>0</v>
      </c>
      <c r="M80" s="20">
        <f>CE_AdministraçãoINSS!S82</f>
        <v>0</v>
      </c>
      <c r="N80" s="31" t="e">
        <f t="shared" si="64"/>
        <v>#DIV/0!</v>
      </c>
      <c r="O80" s="20">
        <f t="shared" ref="O80:O81" si="81">C80+G80+K80</f>
        <v>0</v>
      </c>
      <c r="P80" s="20">
        <f t="shared" ref="P80:P81" si="82">D80+H80+L80</f>
        <v>3050</v>
      </c>
      <c r="Q80" s="20">
        <f t="shared" ref="Q80:Q81" si="83">E80+I80+M80</f>
        <v>0</v>
      </c>
      <c r="R80" s="31">
        <f t="shared" ref="R80:R81" si="84">Q80/P80</f>
        <v>0</v>
      </c>
      <c r="S80" s="20">
        <f>CE_AdministraçãoFRSS!B82</f>
        <v>333807</v>
      </c>
      <c r="T80" s="20">
        <f>CE_AdministraçãoFRSS!C82</f>
        <v>195404.21</v>
      </c>
      <c r="U80" s="20">
        <f>CE_AdministraçãoFRSS!S82</f>
        <v>112094.09400000001</v>
      </c>
      <c r="V80" s="31">
        <f t="shared" si="68"/>
        <v>0.57365239981267557</v>
      </c>
      <c r="W80" s="20">
        <f t="shared" ref="W80:W81" si="85">S80</f>
        <v>333807</v>
      </c>
      <c r="X80" s="20">
        <f t="shared" ref="X80:X81" si="86">T80</f>
        <v>195404.21</v>
      </c>
      <c r="Y80" s="20">
        <f t="shared" ref="Y80:Y81" si="87">U80</f>
        <v>112094.09400000001</v>
      </c>
      <c r="Z80" s="31">
        <f t="shared" ref="Z80:Z81" si="88">Y80/X80</f>
        <v>0.57365239981267557</v>
      </c>
      <c r="AA80" s="20">
        <f t="shared" ref="AA80:AA81" si="89">O80+W80</f>
        <v>333807</v>
      </c>
      <c r="AB80" s="20">
        <f t="shared" ref="AB80:AB81" si="90">P80+X80</f>
        <v>198454.21</v>
      </c>
      <c r="AC80" s="20">
        <f t="shared" ref="AC80:AC81" si="91">Q80+Y80</f>
        <v>112094.09400000001</v>
      </c>
      <c r="AD80" s="31">
        <f t="shared" ref="AD80:AD81" si="92">AC80/AB80</f>
        <v>0.56483605966333505</v>
      </c>
      <c r="AE80" s="24"/>
      <c r="AF80" s="24"/>
      <c r="AG80" s="67"/>
      <c r="AH80" s="16"/>
      <c r="AI80" s="16"/>
      <c r="AJ80" s="16"/>
      <c r="AK80" s="16"/>
    </row>
    <row r="81" spans="1:37" s="21" customFormat="1" x14ac:dyDescent="0.2">
      <c r="A81" s="77" t="str">
        <f>"404.02.02.02"</f>
        <v>404.02.02.02</v>
      </c>
      <c r="B81" s="71" t="s">
        <v>1406</v>
      </c>
      <c r="C81" s="84">
        <f>CE_RegimeContributivo!B83</f>
        <v>0</v>
      </c>
      <c r="D81" s="84">
        <f>CE_RegimeContributivo!C83</f>
        <v>0</v>
      </c>
      <c r="E81" s="84">
        <f>CE_RegimeContributivo!S83</f>
        <v>0</v>
      </c>
      <c r="F81" s="31" t="e">
        <f t="shared" si="60"/>
        <v>#DIV/0!</v>
      </c>
      <c r="G81" s="84">
        <f>CE_RegimeNaoContributivo!B83</f>
        <v>0</v>
      </c>
      <c r="H81" s="84">
        <f>CE_RegimeNaoContributivo!C83</f>
        <v>0</v>
      </c>
      <c r="I81" s="84">
        <f>CE_RegimeNaoContributivo!S83</f>
        <v>0</v>
      </c>
      <c r="J81" s="31" t="e">
        <f t="shared" si="62"/>
        <v>#DIV/0!</v>
      </c>
      <c r="K81" s="20">
        <f>CE_AdministraçãoINSS!B83</f>
        <v>0</v>
      </c>
      <c r="L81" s="20">
        <f>CE_AdministraçãoINSS!C83</f>
        <v>0</v>
      </c>
      <c r="M81" s="20">
        <f>CE_AdministraçãoINSS!S83</f>
        <v>0</v>
      </c>
      <c r="N81" s="31" t="e">
        <f t="shared" si="64"/>
        <v>#DIV/0!</v>
      </c>
      <c r="O81" s="20">
        <f t="shared" si="81"/>
        <v>0</v>
      </c>
      <c r="P81" s="20">
        <f t="shared" si="82"/>
        <v>0</v>
      </c>
      <c r="Q81" s="20">
        <f t="shared" si="83"/>
        <v>0</v>
      </c>
      <c r="R81" s="31" t="e">
        <f t="shared" si="84"/>
        <v>#DIV/0!</v>
      </c>
      <c r="S81" s="20">
        <f>CE_AdministraçãoFRSS!B83</f>
        <v>0</v>
      </c>
      <c r="T81" s="20">
        <f>CE_AdministraçãoFRSS!C83</f>
        <v>0</v>
      </c>
      <c r="U81" s="20">
        <f>CE_AdministraçãoFRSS!S83</f>
        <v>0</v>
      </c>
      <c r="V81" s="31" t="e">
        <f t="shared" si="68"/>
        <v>#DIV/0!</v>
      </c>
      <c r="W81" s="20">
        <f t="shared" si="85"/>
        <v>0</v>
      </c>
      <c r="X81" s="20">
        <f t="shared" si="86"/>
        <v>0</v>
      </c>
      <c r="Y81" s="20">
        <f t="shared" si="87"/>
        <v>0</v>
      </c>
      <c r="Z81" s="31" t="e">
        <f t="shared" si="88"/>
        <v>#DIV/0!</v>
      </c>
      <c r="AA81" s="20">
        <f t="shared" si="89"/>
        <v>0</v>
      </c>
      <c r="AB81" s="20">
        <f t="shared" si="90"/>
        <v>0</v>
      </c>
      <c r="AC81" s="20">
        <f t="shared" si="91"/>
        <v>0</v>
      </c>
      <c r="AD81" s="31" t="e">
        <f t="shared" si="92"/>
        <v>#DIV/0!</v>
      </c>
      <c r="AE81" s="24"/>
      <c r="AF81" s="24"/>
      <c r="AG81" s="67"/>
      <c r="AH81" s="16"/>
      <c r="AI81" s="16"/>
      <c r="AJ81" s="16"/>
      <c r="AK81" s="16"/>
    </row>
    <row r="82" spans="1:37" s="21" customFormat="1" ht="15" customHeight="1" x14ac:dyDescent="0.2">
      <c r="A82" s="77" t="str">
        <f>"404.02.03"</f>
        <v>404.02.03</v>
      </c>
      <c r="B82" s="71" t="s">
        <v>755</v>
      </c>
      <c r="C82" s="84">
        <f>CE_RegimeContributivo!B84</f>
        <v>0</v>
      </c>
      <c r="D82" s="84">
        <f>CE_RegimeContributivo!C84</f>
        <v>0</v>
      </c>
      <c r="E82" s="84">
        <f>CE_RegimeContributivo!S84</f>
        <v>0</v>
      </c>
      <c r="F82" s="31" t="e">
        <f t="shared" si="60"/>
        <v>#DIV/0!</v>
      </c>
      <c r="G82" s="84">
        <f>CE_RegimeNaoContributivo!B84</f>
        <v>0</v>
      </c>
      <c r="H82" s="84">
        <f>CE_RegimeNaoContributivo!C84</f>
        <v>0</v>
      </c>
      <c r="I82" s="84">
        <f>CE_RegimeNaoContributivo!S84</f>
        <v>0</v>
      </c>
      <c r="J82" s="31" t="e">
        <f t="shared" si="62"/>
        <v>#DIV/0!</v>
      </c>
      <c r="K82" s="20">
        <f>CE_AdministraçãoINSS!B84</f>
        <v>0</v>
      </c>
      <c r="L82" s="20">
        <f>CE_AdministraçãoINSS!C84</f>
        <v>0</v>
      </c>
      <c r="M82" s="20">
        <f>CE_AdministraçãoINSS!S84</f>
        <v>0</v>
      </c>
      <c r="N82" s="31" t="e">
        <f t="shared" si="64"/>
        <v>#DIV/0!</v>
      </c>
      <c r="O82" s="20">
        <f t="shared" si="65"/>
        <v>0</v>
      </c>
      <c r="P82" s="20">
        <f t="shared" si="65"/>
        <v>0</v>
      </c>
      <c r="Q82" s="20">
        <f t="shared" si="65"/>
        <v>0</v>
      </c>
      <c r="R82" s="31" t="e">
        <f t="shared" si="66"/>
        <v>#DIV/0!</v>
      </c>
      <c r="S82" s="20">
        <f>CE_AdministraçãoFRSS!B84</f>
        <v>0</v>
      </c>
      <c r="T82" s="20">
        <f>CE_AdministraçãoFRSS!C84</f>
        <v>0</v>
      </c>
      <c r="U82" s="20">
        <f>CE_AdministraçãoFRSS!S84</f>
        <v>0</v>
      </c>
      <c r="V82" s="31" t="e">
        <f t="shared" si="68"/>
        <v>#DIV/0!</v>
      </c>
      <c r="W82" s="20">
        <f t="shared" si="69"/>
        <v>0</v>
      </c>
      <c r="X82" s="20">
        <f t="shared" si="70"/>
        <v>0</v>
      </c>
      <c r="Y82" s="20">
        <f t="shared" si="71"/>
        <v>0</v>
      </c>
      <c r="Z82" s="31" t="e">
        <f t="shared" si="72"/>
        <v>#DIV/0!</v>
      </c>
      <c r="AA82" s="20">
        <f t="shared" si="73"/>
        <v>0</v>
      </c>
      <c r="AB82" s="20">
        <f t="shared" si="74"/>
        <v>0</v>
      </c>
      <c r="AC82" s="20">
        <f t="shared" si="75"/>
        <v>0</v>
      </c>
      <c r="AD82" s="31" t="e">
        <f t="shared" si="76"/>
        <v>#DIV/0!</v>
      </c>
      <c r="AE82" s="24"/>
      <c r="AF82" s="24"/>
      <c r="AG82" s="67"/>
      <c r="AH82" s="16"/>
      <c r="AI82" s="16"/>
      <c r="AJ82" s="16"/>
      <c r="AK82" s="16"/>
    </row>
    <row r="83" spans="1:37" s="21" customFormat="1" ht="15" customHeight="1" x14ac:dyDescent="0.2">
      <c r="A83" s="77" t="str">
        <f>"404.02.04"</f>
        <v>404.02.04</v>
      </c>
      <c r="B83" s="71" t="s">
        <v>756</v>
      </c>
      <c r="C83" s="84">
        <f>CE_RegimeContributivo!B85</f>
        <v>0</v>
      </c>
      <c r="D83" s="84">
        <f>CE_RegimeContributivo!C85</f>
        <v>0</v>
      </c>
      <c r="E83" s="84">
        <f>CE_RegimeContributivo!S85</f>
        <v>0</v>
      </c>
      <c r="F83" s="31" t="e">
        <f t="shared" si="60"/>
        <v>#DIV/0!</v>
      </c>
      <c r="G83" s="84">
        <f>CE_RegimeNaoContributivo!B85</f>
        <v>0</v>
      </c>
      <c r="H83" s="84">
        <f>CE_RegimeNaoContributivo!C85</f>
        <v>0</v>
      </c>
      <c r="I83" s="84">
        <f>CE_RegimeNaoContributivo!S85</f>
        <v>0</v>
      </c>
      <c r="J83" s="31" t="e">
        <f t="shared" si="62"/>
        <v>#DIV/0!</v>
      </c>
      <c r="K83" s="20">
        <f>CE_AdministraçãoINSS!B85</f>
        <v>0</v>
      </c>
      <c r="L83" s="20">
        <f>CE_AdministraçãoINSS!C85</f>
        <v>0</v>
      </c>
      <c r="M83" s="20">
        <f>CE_AdministraçãoINSS!S85</f>
        <v>0</v>
      </c>
      <c r="N83" s="31" t="e">
        <f t="shared" si="64"/>
        <v>#DIV/0!</v>
      </c>
      <c r="O83" s="20">
        <f t="shared" si="65"/>
        <v>0</v>
      </c>
      <c r="P83" s="20">
        <f t="shared" si="65"/>
        <v>0</v>
      </c>
      <c r="Q83" s="20">
        <f t="shared" si="65"/>
        <v>0</v>
      </c>
      <c r="R83" s="31" t="e">
        <f t="shared" si="66"/>
        <v>#DIV/0!</v>
      </c>
      <c r="S83" s="20">
        <f>CE_AdministraçãoFRSS!B85</f>
        <v>0</v>
      </c>
      <c r="T83" s="20">
        <f>CE_AdministraçãoFRSS!C85</f>
        <v>0</v>
      </c>
      <c r="U83" s="20">
        <f>CE_AdministraçãoFRSS!S85</f>
        <v>0</v>
      </c>
      <c r="V83" s="31" t="e">
        <f t="shared" si="68"/>
        <v>#DIV/0!</v>
      </c>
      <c r="W83" s="20">
        <f t="shared" si="69"/>
        <v>0</v>
      </c>
      <c r="X83" s="20">
        <f t="shared" si="70"/>
        <v>0</v>
      </c>
      <c r="Y83" s="20">
        <f t="shared" si="71"/>
        <v>0</v>
      </c>
      <c r="Z83" s="31" t="e">
        <f t="shared" si="72"/>
        <v>#DIV/0!</v>
      </c>
      <c r="AA83" s="20">
        <f t="shared" si="73"/>
        <v>0</v>
      </c>
      <c r="AB83" s="20">
        <f t="shared" si="74"/>
        <v>0</v>
      </c>
      <c r="AC83" s="20">
        <f t="shared" si="75"/>
        <v>0</v>
      </c>
      <c r="AD83" s="31" t="e">
        <f t="shared" si="76"/>
        <v>#DIV/0!</v>
      </c>
      <c r="AE83" s="24"/>
      <c r="AF83" s="24"/>
      <c r="AG83" s="67"/>
      <c r="AH83" s="16"/>
      <c r="AI83" s="16"/>
      <c r="AJ83" s="16"/>
      <c r="AK83" s="16"/>
    </row>
    <row r="84" spans="1:37" ht="15" customHeight="1" x14ac:dyDescent="0.2">
      <c r="A84" s="76" t="str">
        <f>"404.03"</f>
        <v>404.03</v>
      </c>
      <c r="B84" s="70" t="s">
        <v>757</v>
      </c>
      <c r="C84" s="83">
        <f>CE_RegimeContributivo!B86</f>
        <v>0</v>
      </c>
      <c r="D84" s="83">
        <f>CE_RegimeContributivo!C86</f>
        <v>0</v>
      </c>
      <c r="E84" s="83">
        <f>CE_RegimeContributivo!S86</f>
        <v>0</v>
      </c>
      <c r="F84" s="30" t="e">
        <f t="shared" si="60"/>
        <v>#DIV/0!</v>
      </c>
      <c r="G84" s="83">
        <f>CE_RegimeNaoContributivo!B86</f>
        <v>0</v>
      </c>
      <c r="H84" s="83">
        <f>CE_RegimeNaoContributivo!C86</f>
        <v>0</v>
      </c>
      <c r="I84" s="83">
        <f>CE_RegimeNaoContributivo!S86</f>
        <v>0</v>
      </c>
      <c r="J84" s="30" t="e">
        <f t="shared" si="62"/>
        <v>#DIV/0!</v>
      </c>
      <c r="K84" s="19">
        <f>CE_AdministraçãoINSS!B86</f>
        <v>0</v>
      </c>
      <c r="L84" s="19">
        <f>CE_AdministraçãoINSS!C86</f>
        <v>0</v>
      </c>
      <c r="M84" s="19">
        <f>CE_AdministraçãoINSS!S86</f>
        <v>0</v>
      </c>
      <c r="N84" s="30" t="e">
        <f t="shared" si="64"/>
        <v>#DIV/0!</v>
      </c>
      <c r="O84" s="19">
        <f t="shared" si="65"/>
        <v>0</v>
      </c>
      <c r="P84" s="19">
        <f t="shared" si="65"/>
        <v>0</v>
      </c>
      <c r="Q84" s="19">
        <f t="shared" si="65"/>
        <v>0</v>
      </c>
      <c r="R84" s="30" t="e">
        <f t="shared" si="66"/>
        <v>#DIV/0!</v>
      </c>
      <c r="S84" s="19">
        <f>CE_AdministraçãoFRSS!B86</f>
        <v>0</v>
      </c>
      <c r="T84" s="19">
        <f>CE_AdministraçãoFRSS!C86</f>
        <v>0</v>
      </c>
      <c r="U84" s="19">
        <f>CE_AdministraçãoFRSS!S86</f>
        <v>0</v>
      </c>
      <c r="V84" s="30" t="e">
        <f t="shared" si="68"/>
        <v>#DIV/0!</v>
      </c>
      <c r="W84" s="19">
        <f t="shared" si="69"/>
        <v>0</v>
      </c>
      <c r="X84" s="19">
        <f t="shared" si="70"/>
        <v>0</v>
      </c>
      <c r="Y84" s="19">
        <f t="shared" si="71"/>
        <v>0</v>
      </c>
      <c r="Z84" s="30" t="e">
        <f t="shared" si="72"/>
        <v>#DIV/0!</v>
      </c>
      <c r="AA84" s="19">
        <f t="shared" si="73"/>
        <v>0</v>
      </c>
      <c r="AB84" s="19">
        <f t="shared" si="74"/>
        <v>0</v>
      </c>
      <c r="AC84" s="19">
        <f t="shared" si="75"/>
        <v>0</v>
      </c>
      <c r="AD84" s="30" t="e">
        <f t="shared" si="76"/>
        <v>#DIV/0!</v>
      </c>
      <c r="AE84" s="24"/>
      <c r="AF84" s="24"/>
      <c r="AG84" s="67"/>
    </row>
    <row r="85" spans="1:37" ht="15" customHeight="1" x14ac:dyDescent="0.2">
      <c r="A85" s="76" t="str">
        <f>"404.04"</f>
        <v>404.04</v>
      </c>
      <c r="B85" s="70" t="s">
        <v>758</v>
      </c>
      <c r="C85" s="83">
        <f>CE_RegimeContributivo!B87</f>
        <v>0</v>
      </c>
      <c r="D85" s="83">
        <f>CE_RegimeContributivo!C87</f>
        <v>0</v>
      </c>
      <c r="E85" s="83">
        <f>CE_RegimeContributivo!S87</f>
        <v>5079.7</v>
      </c>
      <c r="F85" s="30" t="e">
        <f t="shared" si="60"/>
        <v>#DIV/0!</v>
      </c>
      <c r="G85" s="83">
        <f>CE_RegimeNaoContributivo!B87</f>
        <v>0</v>
      </c>
      <c r="H85" s="83">
        <f>CE_RegimeNaoContributivo!C87</f>
        <v>0</v>
      </c>
      <c r="I85" s="83">
        <f>CE_RegimeNaoContributivo!S87</f>
        <v>13580735.559999999</v>
      </c>
      <c r="J85" s="30" t="e">
        <f t="shared" si="62"/>
        <v>#DIV/0!</v>
      </c>
      <c r="K85" s="19">
        <f>CE_AdministraçãoINSS!B87</f>
        <v>0</v>
      </c>
      <c r="L85" s="19">
        <f>CE_AdministraçãoINSS!C87</f>
        <v>0</v>
      </c>
      <c r="M85" s="19">
        <f>CE_AdministraçãoINSS!S87</f>
        <v>0</v>
      </c>
      <c r="N85" s="30" t="e">
        <f t="shared" si="64"/>
        <v>#DIV/0!</v>
      </c>
      <c r="O85" s="19">
        <f t="shared" si="65"/>
        <v>0</v>
      </c>
      <c r="P85" s="19">
        <f t="shared" si="65"/>
        <v>0</v>
      </c>
      <c r="Q85" s="19">
        <f t="shared" si="65"/>
        <v>13585815.259999998</v>
      </c>
      <c r="R85" s="30" t="e">
        <f t="shared" si="66"/>
        <v>#DIV/0!</v>
      </c>
      <c r="S85" s="19">
        <f>CE_AdministraçãoFRSS!B87</f>
        <v>0</v>
      </c>
      <c r="T85" s="19">
        <f>CE_AdministraçãoFRSS!C87</f>
        <v>0</v>
      </c>
      <c r="U85" s="19">
        <f>CE_AdministraçãoFRSS!S87</f>
        <v>0</v>
      </c>
      <c r="V85" s="30" t="e">
        <f t="shared" si="68"/>
        <v>#DIV/0!</v>
      </c>
      <c r="W85" s="19">
        <f t="shared" si="69"/>
        <v>0</v>
      </c>
      <c r="X85" s="19">
        <f t="shared" si="70"/>
        <v>0</v>
      </c>
      <c r="Y85" s="19">
        <f t="shared" si="71"/>
        <v>0</v>
      </c>
      <c r="Z85" s="30" t="e">
        <f t="shared" si="72"/>
        <v>#DIV/0!</v>
      </c>
      <c r="AA85" s="19">
        <f t="shared" si="73"/>
        <v>0</v>
      </c>
      <c r="AB85" s="19">
        <f t="shared" si="74"/>
        <v>0</v>
      </c>
      <c r="AC85" s="19">
        <f t="shared" si="75"/>
        <v>13585815.259999998</v>
      </c>
      <c r="AD85" s="30" t="e">
        <f t="shared" si="76"/>
        <v>#DIV/0!</v>
      </c>
      <c r="AE85" s="24"/>
      <c r="AF85" s="24"/>
      <c r="AG85" s="67"/>
    </row>
    <row r="86" spans="1:37" x14ac:dyDescent="0.2">
      <c r="A86" s="76" t="str">
        <f>"404.05"</f>
        <v>404.05</v>
      </c>
      <c r="B86" s="70" t="s">
        <v>759</v>
      </c>
      <c r="C86" s="83">
        <f t="shared" ref="C86:E86" si="93">C87+C88+C89</f>
        <v>0</v>
      </c>
      <c r="D86" s="83">
        <f t="shared" si="93"/>
        <v>0</v>
      </c>
      <c r="E86" s="83">
        <f t="shared" si="93"/>
        <v>0</v>
      </c>
      <c r="F86" s="30" t="e">
        <f t="shared" si="60"/>
        <v>#DIV/0!</v>
      </c>
      <c r="G86" s="83">
        <f t="shared" ref="G86:I86" si="94">G87+G88+G89</f>
        <v>0</v>
      </c>
      <c r="H86" s="83">
        <f t="shared" si="94"/>
        <v>0</v>
      </c>
      <c r="I86" s="83">
        <f t="shared" si="94"/>
        <v>0</v>
      </c>
      <c r="J86" s="30" t="e">
        <f t="shared" si="62"/>
        <v>#DIV/0!</v>
      </c>
      <c r="K86" s="19">
        <f>K87+K88+K89</f>
        <v>0</v>
      </c>
      <c r="L86" s="19">
        <f t="shared" ref="L86:M86" si="95">L87+L88+L89</f>
        <v>0</v>
      </c>
      <c r="M86" s="19">
        <f t="shared" si="95"/>
        <v>0</v>
      </c>
      <c r="N86" s="30" t="e">
        <f t="shared" si="64"/>
        <v>#DIV/0!</v>
      </c>
      <c r="O86" s="19">
        <f t="shared" si="65"/>
        <v>0</v>
      </c>
      <c r="P86" s="19">
        <f t="shared" si="65"/>
        <v>0</v>
      </c>
      <c r="Q86" s="19">
        <f t="shared" si="65"/>
        <v>0</v>
      </c>
      <c r="R86" s="30" t="e">
        <f t="shared" si="66"/>
        <v>#DIV/0!</v>
      </c>
      <c r="S86" s="19">
        <f>S87+S88+S89</f>
        <v>0</v>
      </c>
      <c r="T86" s="19">
        <f t="shared" ref="T86:U86" si="96">T87+T88+T89</f>
        <v>0</v>
      </c>
      <c r="U86" s="19">
        <f t="shared" si="96"/>
        <v>0</v>
      </c>
      <c r="V86" s="30" t="e">
        <f t="shared" si="68"/>
        <v>#DIV/0!</v>
      </c>
      <c r="W86" s="19">
        <f t="shared" si="69"/>
        <v>0</v>
      </c>
      <c r="X86" s="19">
        <f t="shared" si="70"/>
        <v>0</v>
      </c>
      <c r="Y86" s="19">
        <f t="shared" si="71"/>
        <v>0</v>
      </c>
      <c r="Z86" s="30" t="e">
        <f t="shared" si="72"/>
        <v>#DIV/0!</v>
      </c>
      <c r="AA86" s="19">
        <f t="shared" si="73"/>
        <v>0</v>
      </c>
      <c r="AB86" s="19">
        <f t="shared" si="74"/>
        <v>0</v>
      </c>
      <c r="AC86" s="19">
        <f t="shared" si="75"/>
        <v>0</v>
      </c>
      <c r="AD86" s="30" t="e">
        <f t="shared" si="76"/>
        <v>#DIV/0!</v>
      </c>
      <c r="AE86" s="24"/>
      <c r="AF86" s="24"/>
      <c r="AG86" s="67"/>
    </row>
    <row r="87" spans="1:37" s="21" customFormat="1" ht="15" customHeight="1" x14ac:dyDescent="0.2">
      <c r="A87" s="77" t="str">
        <f>"404.05.01"</f>
        <v>404.05.01</v>
      </c>
      <c r="B87" s="71" t="s">
        <v>760</v>
      </c>
      <c r="C87" s="84">
        <f>CE_RegimeContributivo!B89</f>
        <v>0</v>
      </c>
      <c r="D87" s="84">
        <f>CE_RegimeContributivo!C89</f>
        <v>0</v>
      </c>
      <c r="E87" s="84">
        <f>CE_RegimeContributivo!S89</f>
        <v>0</v>
      </c>
      <c r="F87" s="31" t="e">
        <f t="shared" si="60"/>
        <v>#DIV/0!</v>
      </c>
      <c r="G87" s="84">
        <f>CE_RegimeNaoContributivo!B89</f>
        <v>0</v>
      </c>
      <c r="H87" s="84">
        <f>CE_RegimeNaoContributivo!C89</f>
        <v>0</v>
      </c>
      <c r="I87" s="84">
        <f>CE_RegimeNaoContributivo!S89</f>
        <v>0</v>
      </c>
      <c r="J87" s="31" t="e">
        <f t="shared" si="62"/>
        <v>#DIV/0!</v>
      </c>
      <c r="K87" s="20">
        <f>CE_AdministraçãoINSS!B89</f>
        <v>0</v>
      </c>
      <c r="L87" s="20">
        <f>CE_AdministraçãoINSS!C89</f>
        <v>0</v>
      </c>
      <c r="M87" s="20">
        <f>CE_AdministraçãoINSS!S89</f>
        <v>0</v>
      </c>
      <c r="N87" s="31" t="e">
        <f t="shared" si="64"/>
        <v>#DIV/0!</v>
      </c>
      <c r="O87" s="20">
        <f t="shared" si="65"/>
        <v>0</v>
      </c>
      <c r="P87" s="20">
        <f t="shared" si="65"/>
        <v>0</v>
      </c>
      <c r="Q87" s="20">
        <f t="shared" si="65"/>
        <v>0</v>
      </c>
      <c r="R87" s="31" t="e">
        <f t="shared" si="66"/>
        <v>#DIV/0!</v>
      </c>
      <c r="S87" s="20">
        <f>CE_AdministraçãoFRSS!B89</f>
        <v>0</v>
      </c>
      <c r="T87" s="20">
        <f>CE_AdministraçãoFRSS!C89</f>
        <v>0</v>
      </c>
      <c r="U87" s="20">
        <f>CE_AdministraçãoFRSS!S89</f>
        <v>0</v>
      </c>
      <c r="V87" s="31" t="e">
        <f t="shared" si="68"/>
        <v>#DIV/0!</v>
      </c>
      <c r="W87" s="20">
        <f t="shared" si="69"/>
        <v>0</v>
      </c>
      <c r="X87" s="20">
        <f t="shared" si="70"/>
        <v>0</v>
      </c>
      <c r="Y87" s="20">
        <f t="shared" si="71"/>
        <v>0</v>
      </c>
      <c r="Z87" s="31" t="e">
        <f t="shared" si="72"/>
        <v>#DIV/0!</v>
      </c>
      <c r="AA87" s="20">
        <f t="shared" si="73"/>
        <v>0</v>
      </c>
      <c r="AB87" s="20">
        <f t="shared" si="74"/>
        <v>0</v>
      </c>
      <c r="AC87" s="20">
        <f t="shared" si="75"/>
        <v>0</v>
      </c>
      <c r="AD87" s="31" t="e">
        <f t="shared" si="76"/>
        <v>#DIV/0!</v>
      </c>
      <c r="AE87" s="24"/>
      <c r="AF87" s="24"/>
      <c r="AG87" s="67"/>
      <c r="AH87" s="16"/>
      <c r="AI87" s="16"/>
      <c r="AJ87" s="16"/>
      <c r="AK87" s="16"/>
    </row>
    <row r="88" spans="1:37" s="21" customFormat="1" ht="15" customHeight="1" x14ac:dyDescent="0.2">
      <c r="A88" s="77" t="str">
        <f t="shared" ref="A88:A89" si="97">"404.05.01"</f>
        <v>404.05.01</v>
      </c>
      <c r="B88" s="71" t="s">
        <v>761</v>
      </c>
      <c r="C88" s="84">
        <f>CE_RegimeContributivo!B90</f>
        <v>0</v>
      </c>
      <c r="D88" s="84">
        <f>CE_RegimeContributivo!C90</f>
        <v>0</v>
      </c>
      <c r="E88" s="84">
        <f>CE_RegimeContributivo!S90</f>
        <v>0</v>
      </c>
      <c r="F88" s="31" t="e">
        <f t="shared" si="60"/>
        <v>#DIV/0!</v>
      </c>
      <c r="G88" s="84">
        <f>CE_RegimeNaoContributivo!B90</f>
        <v>0</v>
      </c>
      <c r="H88" s="84">
        <f>CE_RegimeNaoContributivo!C90</f>
        <v>0</v>
      </c>
      <c r="I88" s="84">
        <f>CE_RegimeNaoContributivo!S90</f>
        <v>0</v>
      </c>
      <c r="J88" s="31" t="e">
        <f t="shared" si="62"/>
        <v>#DIV/0!</v>
      </c>
      <c r="K88" s="20">
        <f>CE_AdministraçãoINSS!B90</f>
        <v>0</v>
      </c>
      <c r="L88" s="20">
        <f>CE_AdministraçãoINSS!C90</f>
        <v>0</v>
      </c>
      <c r="M88" s="20">
        <f>CE_AdministraçãoINSS!S90</f>
        <v>0</v>
      </c>
      <c r="N88" s="31" t="e">
        <f t="shared" si="64"/>
        <v>#DIV/0!</v>
      </c>
      <c r="O88" s="20">
        <f t="shared" si="65"/>
        <v>0</v>
      </c>
      <c r="P88" s="20">
        <f t="shared" si="65"/>
        <v>0</v>
      </c>
      <c r="Q88" s="20">
        <f t="shared" si="65"/>
        <v>0</v>
      </c>
      <c r="R88" s="31" t="e">
        <f t="shared" si="66"/>
        <v>#DIV/0!</v>
      </c>
      <c r="S88" s="20">
        <f>CE_AdministraçãoFRSS!B90</f>
        <v>0</v>
      </c>
      <c r="T88" s="20">
        <f>CE_AdministraçãoFRSS!C90</f>
        <v>0</v>
      </c>
      <c r="U88" s="20">
        <f>CE_AdministraçãoFRSS!S90</f>
        <v>0</v>
      </c>
      <c r="V88" s="31" t="e">
        <f t="shared" si="68"/>
        <v>#DIV/0!</v>
      </c>
      <c r="W88" s="20">
        <f t="shared" si="69"/>
        <v>0</v>
      </c>
      <c r="X88" s="20">
        <f t="shared" si="70"/>
        <v>0</v>
      </c>
      <c r="Y88" s="20">
        <f t="shared" si="71"/>
        <v>0</v>
      </c>
      <c r="Z88" s="31" t="e">
        <f t="shared" si="72"/>
        <v>#DIV/0!</v>
      </c>
      <c r="AA88" s="20">
        <f t="shared" si="73"/>
        <v>0</v>
      </c>
      <c r="AB88" s="20">
        <f t="shared" si="74"/>
        <v>0</v>
      </c>
      <c r="AC88" s="20">
        <f t="shared" si="75"/>
        <v>0</v>
      </c>
      <c r="AD88" s="31" t="e">
        <f t="shared" si="76"/>
        <v>#DIV/0!</v>
      </c>
      <c r="AE88" s="24"/>
      <c r="AF88" s="24"/>
      <c r="AG88" s="67"/>
      <c r="AH88" s="16"/>
      <c r="AI88" s="16"/>
      <c r="AJ88" s="16"/>
      <c r="AK88" s="16"/>
    </row>
    <row r="89" spans="1:37" s="21" customFormat="1" ht="30" customHeight="1" x14ac:dyDescent="0.2">
      <c r="A89" s="77" t="str">
        <f t="shared" si="97"/>
        <v>404.05.01</v>
      </c>
      <c r="B89" s="71" t="s">
        <v>762</v>
      </c>
      <c r="C89" s="84">
        <f>CE_RegimeContributivo!B91</f>
        <v>0</v>
      </c>
      <c r="D89" s="84">
        <f>CE_RegimeContributivo!C91</f>
        <v>0</v>
      </c>
      <c r="E89" s="84">
        <f>CE_RegimeContributivo!S91</f>
        <v>0</v>
      </c>
      <c r="F89" s="31" t="e">
        <f t="shared" si="60"/>
        <v>#DIV/0!</v>
      </c>
      <c r="G89" s="84">
        <f>CE_RegimeNaoContributivo!B91</f>
        <v>0</v>
      </c>
      <c r="H89" s="84">
        <f>CE_RegimeNaoContributivo!C91</f>
        <v>0</v>
      </c>
      <c r="I89" s="84">
        <f>CE_RegimeNaoContributivo!S91</f>
        <v>0</v>
      </c>
      <c r="J89" s="31" t="e">
        <f t="shared" si="62"/>
        <v>#DIV/0!</v>
      </c>
      <c r="K89" s="20">
        <f>CE_AdministraçãoINSS!B91</f>
        <v>0</v>
      </c>
      <c r="L89" s="20">
        <f>CE_AdministraçãoINSS!C91</f>
        <v>0</v>
      </c>
      <c r="M89" s="20">
        <f>CE_AdministraçãoINSS!S91</f>
        <v>0</v>
      </c>
      <c r="N89" s="31" t="e">
        <f t="shared" si="64"/>
        <v>#DIV/0!</v>
      </c>
      <c r="O89" s="20">
        <f t="shared" si="65"/>
        <v>0</v>
      </c>
      <c r="P89" s="20">
        <f t="shared" si="65"/>
        <v>0</v>
      </c>
      <c r="Q89" s="20">
        <f t="shared" si="65"/>
        <v>0</v>
      </c>
      <c r="R89" s="31" t="e">
        <f t="shared" si="66"/>
        <v>#DIV/0!</v>
      </c>
      <c r="S89" s="20">
        <f>CE_AdministraçãoFRSS!B91</f>
        <v>0</v>
      </c>
      <c r="T89" s="20">
        <f>CE_AdministraçãoFRSS!C91</f>
        <v>0</v>
      </c>
      <c r="U89" s="20">
        <f>CE_AdministraçãoFRSS!S91</f>
        <v>0</v>
      </c>
      <c r="V89" s="31" t="e">
        <f t="shared" si="68"/>
        <v>#DIV/0!</v>
      </c>
      <c r="W89" s="20">
        <f t="shared" si="69"/>
        <v>0</v>
      </c>
      <c r="X89" s="20">
        <f t="shared" si="70"/>
        <v>0</v>
      </c>
      <c r="Y89" s="20">
        <f t="shared" si="71"/>
        <v>0</v>
      </c>
      <c r="Z89" s="31" t="e">
        <f t="shared" si="72"/>
        <v>#DIV/0!</v>
      </c>
      <c r="AA89" s="20">
        <f t="shared" si="73"/>
        <v>0</v>
      </c>
      <c r="AB89" s="20">
        <f t="shared" si="74"/>
        <v>0</v>
      </c>
      <c r="AC89" s="20">
        <f t="shared" si="75"/>
        <v>0</v>
      </c>
      <c r="AD89" s="31" t="e">
        <f t="shared" si="76"/>
        <v>#DIV/0!</v>
      </c>
      <c r="AE89" s="24"/>
      <c r="AF89" s="24"/>
      <c r="AG89" s="67"/>
      <c r="AH89" s="16"/>
      <c r="AI89" s="16"/>
      <c r="AJ89" s="16"/>
      <c r="AK89" s="16"/>
    </row>
    <row r="90" spans="1:37" x14ac:dyDescent="0.2">
      <c r="A90" s="76" t="str">
        <f>"404.06"</f>
        <v>404.06</v>
      </c>
      <c r="B90" s="70" t="s">
        <v>763</v>
      </c>
      <c r="C90" s="83">
        <f t="shared" ref="C90:E90" si="98">C91+C92+C93</f>
        <v>0</v>
      </c>
      <c r="D90" s="83">
        <f t="shared" si="98"/>
        <v>0</v>
      </c>
      <c r="E90" s="83">
        <f t="shared" si="98"/>
        <v>0</v>
      </c>
      <c r="F90" s="30" t="e">
        <f t="shared" si="60"/>
        <v>#DIV/0!</v>
      </c>
      <c r="G90" s="83">
        <f t="shared" ref="G90:I90" si="99">G91+G92+G93</f>
        <v>0</v>
      </c>
      <c r="H90" s="83">
        <f t="shared" si="99"/>
        <v>0</v>
      </c>
      <c r="I90" s="83">
        <f t="shared" si="99"/>
        <v>0</v>
      </c>
      <c r="J90" s="30" t="e">
        <f t="shared" si="62"/>
        <v>#DIV/0!</v>
      </c>
      <c r="K90" s="19">
        <f>K91+K92+K93</f>
        <v>0</v>
      </c>
      <c r="L90" s="19">
        <f t="shared" ref="L90:M90" si="100">L91+L92+L93</f>
        <v>0</v>
      </c>
      <c r="M90" s="19">
        <f t="shared" si="100"/>
        <v>0</v>
      </c>
      <c r="N90" s="30" t="e">
        <f t="shared" si="64"/>
        <v>#DIV/0!</v>
      </c>
      <c r="O90" s="19">
        <f t="shared" si="65"/>
        <v>0</v>
      </c>
      <c r="P90" s="19">
        <f t="shared" si="65"/>
        <v>0</v>
      </c>
      <c r="Q90" s="19">
        <f t="shared" si="65"/>
        <v>0</v>
      </c>
      <c r="R90" s="30" t="e">
        <f t="shared" si="66"/>
        <v>#DIV/0!</v>
      </c>
      <c r="S90" s="19">
        <f>S91+S92+S93</f>
        <v>0</v>
      </c>
      <c r="T90" s="19">
        <f t="shared" ref="T90:U90" si="101">T91+T92+T93</f>
        <v>0</v>
      </c>
      <c r="U90" s="19">
        <f t="shared" si="101"/>
        <v>0</v>
      </c>
      <c r="V90" s="30" t="e">
        <f t="shared" si="68"/>
        <v>#DIV/0!</v>
      </c>
      <c r="W90" s="19">
        <f t="shared" si="69"/>
        <v>0</v>
      </c>
      <c r="X90" s="19">
        <f t="shared" si="70"/>
        <v>0</v>
      </c>
      <c r="Y90" s="19">
        <f t="shared" si="71"/>
        <v>0</v>
      </c>
      <c r="Z90" s="30" t="e">
        <f t="shared" si="72"/>
        <v>#DIV/0!</v>
      </c>
      <c r="AA90" s="19">
        <f t="shared" si="73"/>
        <v>0</v>
      </c>
      <c r="AB90" s="19">
        <f t="shared" si="74"/>
        <v>0</v>
      </c>
      <c r="AC90" s="19">
        <f t="shared" si="75"/>
        <v>0</v>
      </c>
      <c r="AD90" s="30" t="e">
        <f t="shared" si="76"/>
        <v>#DIV/0!</v>
      </c>
      <c r="AE90" s="24"/>
      <c r="AF90" s="24"/>
      <c r="AG90" s="67"/>
    </row>
    <row r="91" spans="1:37" s="21" customFormat="1" x14ac:dyDescent="0.2">
      <c r="A91" s="77" t="str">
        <f>"404.06.01"</f>
        <v>404.06.01</v>
      </c>
      <c r="B91" s="71" t="s">
        <v>764</v>
      </c>
      <c r="C91" s="84">
        <f>CE_RegimeContributivo!B93</f>
        <v>0</v>
      </c>
      <c r="D91" s="84">
        <f>CE_RegimeContributivo!C93</f>
        <v>0</v>
      </c>
      <c r="E91" s="84">
        <f>CE_RegimeContributivo!S93</f>
        <v>0</v>
      </c>
      <c r="F91" s="31" t="e">
        <f t="shared" si="60"/>
        <v>#DIV/0!</v>
      </c>
      <c r="G91" s="84">
        <f>CE_RegimeNaoContributivo!B93</f>
        <v>0</v>
      </c>
      <c r="H91" s="84">
        <f>CE_RegimeNaoContributivo!C93</f>
        <v>0</v>
      </c>
      <c r="I91" s="84">
        <f>CE_RegimeNaoContributivo!S93</f>
        <v>0</v>
      </c>
      <c r="J91" s="31" t="e">
        <f t="shared" si="62"/>
        <v>#DIV/0!</v>
      </c>
      <c r="K91" s="20">
        <f>CE_AdministraçãoINSS!B93</f>
        <v>0</v>
      </c>
      <c r="L91" s="20">
        <f>CE_AdministraçãoINSS!C93</f>
        <v>0</v>
      </c>
      <c r="M91" s="20">
        <f>CE_AdministraçãoINSS!S93</f>
        <v>0</v>
      </c>
      <c r="N91" s="31" t="e">
        <f t="shared" si="64"/>
        <v>#DIV/0!</v>
      </c>
      <c r="O91" s="20">
        <f t="shared" si="65"/>
        <v>0</v>
      </c>
      <c r="P91" s="20">
        <f t="shared" si="65"/>
        <v>0</v>
      </c>
      <c r="Q91" s="20">
        <f t="shared" si="65"/>
        <v>0</v>
      </c>
      <c r="R91" s="31" t="e">
        <f t="shared" si="66"/>
        <v>#DIV/0!</v>
      </c>
      <c r="S91" s="20">
        <f>CE_AdministraçãoFRSS!B93</f>
        <v>0</v>
      </c>
      <c r="T91" s="20">
        <f>CE_AdministraçãoFRSS!C93</f>
        <v>0</v>
      </c>
      <c r="U91" s="20">
        <f>CE_AdministraçãoFRSS!S93</f>
        <v>0</v>
      </c>
      <c r="V91" s="31" t="e">
        <f t="shared" si="68"/>
        <v>#DIV/0!</v>
      </c>
      <c r="W91" s="20">
        <f t="shared" si="69"/>
        <v>0</v>
      </c>
      <c r="X91" s="20">
        <f t="shared" si="70"/>
        <v>0</v>
      </c>
      <c r="Y91" s="20">
        <f t="shared" si="71"/>
        <v>0</v>
      </c>
      <c r="Z91" s="31" t="e">
        <f t="shared" si="72"/>
        <v>#DIV/0!</v>
      </c>
      <c r="AA91" s="20">
        <f t="shared" si="73"/>
        <v>0</v>
      </c>
      <c r="AB91" s="20">
        <f t="shared" si="74"/>
        <v>0</v>
      </c>
      <c r="AC91" s="20">
        <f t="shared" si="75"/>
        <v>0</v>
      </c>
      <c r="AD91" s="31" t="e">
        <f t="shared" si="76"/>
        <v>#DIV/0!</v>
      </c>
      <c r="AE91" s="24"/>
      <c r="AF91" s="24"/>
      <c r="AG91" s="67"/>
      <c r="AH91" s="16"/>
      <c r="AI91" s="16"/>
      <c r="AJ91" s="16"/>
      <c r="AK91" s="16"/>
    </row>
    <row r="92" spans="1:37" s="21" customFormat="1" x14ac:dyDescent="0.2">
      <c r="A92" s="77" t="str">
        <f>"404.06.02"</f>
        <v>404.06.02</v>
      </c>
      <c r="B92" s="71" t="s">
        <v>765</v>
      </c>
      <c r="C92" s="84">
        <f>CE_RegimeContributivo!B94</f>
        <v>0</v>
      </c>
      <c r="D92" s="84">
        <f>CE_RegimeContributivo!C94</f>
        <v>0</v>
      </c>
      <c r="E92" s="84">
        <f>CE_RegimeContributivo!S94</f>
        <v>0</v>
      </c>
      <c r="F92" s="31" t="e">
        <f t="shared" si="60"/>
        <v>#DIV/0!</v>
      </c>
      <c r="G92" s="84">
        <f>CE_RegimeNaoContributivo!B94</f>
        <v>0</v>
      </c>
      <c r="H92" s="84">
        <f>CE_RegimeNaoContributivo!C94</f>
        <v>0</v>
      </c>
      <c r="I92" s="84">
        <f>CE_RegimeNaoContributivo!S94</f>
        <v>0</v>
      </c>
      <c r="J92" s="31" t="e">
        <f t="shared" si="62"/>
        <v>#DIV/0!</v>
      </c>
      <c r="K92" s="20">
        <f>CE_AdministraçãoINSS!B94</f>
        <v>0</v>
      </c>
      <c r="L92" s="20">
        <f>CE_AdministraçãoINSS!C94</f>
        <v>0</v>
      </c>
      <c r="M92" s="20">
        <f>CE_AdministraçãoINSS!S94</f>
        <v>0</v>
      </c>
      <c r="N92" s="31" t="e">
        <f t="shared" si="64"/>
        <v>#DIV/0!</v>
      </c>
      <c r="O92" s="20">
        <f t="shared" si="65"/>
        <v>0</v>
      </c>
      <c r="P92" s="20">
        <f t="shared" si="65"/>
        <v>0</v>
      </c>
      <c r="Q92" s="20">
        <f t="shared" si="65"/>
        <v>0</v>
      </c>
      <c r="R92" s="31" t="e">
        <f t="shared" si="66"/>
        <v>#DIV/0!</v>
      </c>
      <c r="S92" s="20">
        <f>CE_AdministraçãoFRSS!B94</f>
        <v>0</v>
      </c>
      <c r="T92" s="20">
        <f>CE_AdministraçãoFRSS!C94</f>
        <v>0</v>
      </c>
      <c r="U92" s="20">
        <f>CE_AdministraçãoFRSS!S94</f>
        <v>0</v>
      </c>
      <c r="V92" s="31" t="e">
        <f t="shared" si="68"/>
        <v>#DIV/0!</v>
      </c>
      <c r="W92" s="20">
        <f t="shared" si="69"/>
        <v>0</v>
      </c>
      <c r="X92" s="20">
        <f t="shared" si="70"/>
        <v>0</v>
      </c>
      <c r="Y92" s="20">
        <f t="shared" si="71"/>
        <v>0</v>
      </c>
      <c r="Z92" s="31" t="e">
        <f t="shared" si="72"/>
        <v>#DIV/0!</v>
      </c>
      <c r="AA92" s="20">
        <f t="shared" si="73"/>
        <v>0</v>
      </c>
      <c r="AB92" s="20">
        <f t="shared" si="74"/>
        <v>0</v>
      </c>
      <c r="AC92" s="20">
        <f t="shared" si="75"/>
        <v>0</v>
      </c>
      <c r="AD92" s="31" t="e">
        <f t="shared" si="76"/>
        <v>#DIV/0!</v>
      </c>
      <c r="AE92" s="24"/>
      <c r="AF92" s="24"/>
      <c r="AG92" s="67"/>
      <c r="AH92" s="16"/>
      <c r="AI92" s="16"/>
      <c r="AJ92" s="16"/>
      <c r="AK92" s="16"/>
    </row>
    <row r="93" spans="1:37" s="21" customFormat="1" ht="15" customHeight="1" x14ac:dyDescent="0.2">
      <c r="A93" s="77" t="str">
        <f>"404.06.03"</f>
        <v>404.06.03</v>
      </c>
      <c r="B93" s="71" t="s">
        <v>766</v>
      </c>
      <c r="C93" s="84">
        <f>CE_RegimeContributivo!B95</f>
        <v>0</v>
      </c>
      <c r="D93" s="84">
        <f>CE_RegimeContributivo!C95</f>
        <v>0</v>
      </c>
      <c r="E93" s="84">
        <f>CE_RegimeContributivo!S95</f>
        <v>0</v>
      </c>
      <c r="F93" s="31" t="e">
        <f t="shared" si="60"/>
        <v>#DIV/0!</v>
      </c>
      <c r="G93" s="84">
        <f>CE_RegimeNaoContributivo!B95</f>
        <v>0</v>
      </c>
      <c r="H93" s="84">
        <f>CE_RegimeNaoContributivo!C95</f>
        <v>0</v>
      </c>
      <c r="I93" s="84">
        <f>CE_RegimeNaoContributivo!S95</f>
        <v>0</v>
      </c>
      <c r="J93" s="31" t="e">
        <f t="shared" si="62"/>
        <v>#DIV/0!</v>
      </c>
      <c r="K93" s="20">
        <f>CE_AdministraçãoINSS!B95</f>
        <v>0</v>
      </c>
      <c r="L93" s="20">
        <f>CE_AdministraçãoINSS!C95</f>
        <v>0</v>
      </c>
      <c r="M93" s="20">
        <f>CE_AdministraçãoINSS!S95</f>
        <v>0</v>
      </c>
      <c r="N93" s="31" t="e">
        <f t="shared" si="64"/>
        <v>#DIV/0!</v>
      </c>
      <c r="O93" s="20">
        <f t="shared" si="65"/>
        <v>0</v>
      </c>
      <c r="P93" s="20">
        <f t="shared" si="65"/>
        <v>0</v>
      </c>
      <c r="Q93" s="20">
        <f t="shared" si="65"/>
        <v>0</v>
      </c>
      <c r="R93" s="31" t="e">
        <f t="shared" si="66"/>
        <v>#DIV/0!</v>
      </c>
      <c r="S93" s="20">
        <f>CE_AdministraçãoFRSS!B95</f>
        <v>0</v>
      </c>
      <c r="T93" s="20">
        <f>CE_AdministraçãoFRSS!C95</f>
        <v>0</v>
      </c>
      <c r="U93" s="20">
        <f>CE_AdministraçãoFRSS!S95</f>
        <v>0</v>
      </c>
      <c r="V93" s="31" t="e">
        <f t="shared" si="68"/>
        <v>#DIV/0!</v>
      </c>
      <c r="W93" s="20">
        <f t="shared" si="69"/>
        <v>0</v>
      </c>
      <c r="X93" s="20">
        <f t="shared" si="70"/>
        <v>0</v>
      </c>
      <c r="Y93" s="20">
        <f t="shared" si="71"/>
        <v>0</v>
      </c>
      <c r="Z93" s="31" t="e">
        <f t="shared" si="72"/>
        <v>#DIV/0!</v>
      </c>
      <c r="AA93" s="20">
        <f t="shared" si="73"/>
        <v>0</v>
      </c>
      <c r="AB93" s="20">
        <f t="shared" si="74"/>
        <v>0</v>
      </c>
      <c r="AC93" s="20">
        <f t="shared" si="75"/>
        <v>0</v>
      </c>
      <c r="AD93" s="31" t="e">
        <f t="shared" si="76"/>
        <v>#DIV/0!</v>
      </c>
      <c r="AE93" s="24"/>
      <c r="AF93" s="24"/>
      <c r="AG93" s="67"/>
      <c r="AH93" s="16"/>
      <c r="AI93" s="16"/>
      <c r="AJ93" s="16"/>
      <c r="AK93" s="16"/>
    </row>
    <row r="94" spans="1:37" s="22" customFormat="1" ht="15" customHeight="1" x14ac:dyDescent="0.2">
      <c r="A94" s="76" t="str">
        <f>"404.07"</f>
        <v>404.07</v>
      </c>
      <c r="B94" s="70" t="s">
        <v>767</v>
      </c>
      <c r="C94" s="83">
        <f>CE_RegimeContributivo!B96</f>
        <v>0</v>
      </c>
      <c r="D94" s="83">
        <f>CE_RegimeContributivo!C96</f>
        <v>0</v>
      </c>
      <c r="E94" s="83">
        <f>CE_RegimeContributivo!S96</f>
        <v>0</v>
      </c>
      <c r="F94" s="30" t="e">
        <f t="shared" si="60"/>
        <v>#DIV/0!</v>
      </c>
      <c r="G94" s="83">
        <f>CE_RegimeNaoContributivo!B96</f>
        <v>0</v>
      </c>
      <c r="H94" s="83">
        <f>CE_RegimeNaoContributivo!C96</f>
        <v>0</v>
      </c>
      <c r="I94" s="83">
        <f>CE_RegimeNaoContributivo!S96</f>
        <v>0</v>
      </c>
      <c r="J94" s="30" t="e">
        <f t="shared" si="62"/>
        <v>#DIV/0!</v>
      </c>
      <c r="K94" s="19">
        <f>CE_AdministraçãoINSS!B96</f>
        <v>0</v>
      </c>
      <c r="L94" s="19">
        <f>CE_AdministraçãoINSS!C96</f>
        <v>0</v>
      </c>
      <c r="M94" s="19">
        <f>CE_AdministraçãoINSS!S96</f>
        <v>0</v>
      </c>
      <c r="N94" s="30" t="e">
        <f t="shared" si="64"/>
        <v>#DIV/0!</v>
      </c>
      <c r="O94" s="19">
        <f t="shared" si="65"/>
        <v>0</v>
      </c>
      <c r="P94" s="19">
        <f t="shared" si="65"/>
        <v>0</v>
      </c>
      <c r="Q94" s="19">
        <f t="shared" si="65"/>
        <v>0</v>
      </c>
      <c r="R94" s="30" t="e">
        <f t="shared" si="66"/>
        <v>#DIV/0!</v>
      </c>
      <c r="S94" s="19">
        <f>CE_AdministraçãoFRSS!B96</f>
        <v>0</v>
      </c>
      <c r="T94" s="19">
        <f>CE_AdministraçãoFRSS!C96</f>
        <v>0</v>
      </c>
      <c r="U94" s="19">
        <f>CE_AdministraçãoFRSS!S96</f>
        <v>0</v>
      </c>
      <c r="V94" s="30" t="e">
        <f t="shared" si="68"/>
        <v>#DIV/0!</v>
      </c>
      <c r="W94" s="19">
        <f t="shared" si="69"/>
        <v>0</v>
      </c>
      <c r="X94" s="19">
        <f t="shared" si="70"/>
        <v>0</v>
      </c>
      <c r="Y94" s="19">
        <f t="shared" si="71"/>
        <v>0</v>
      </c>
      <c r="Z94" s="30" t="e">
        <f t="shared" si="72"/>
        <v>#DIV/0!</v>
      </c>
      <c r="AA94" s="19">
        <f t="shared" si="73"/>
        <v>0</v>
      </c>
      <c r="AB94" s="19">
        <f t="shared" si="74"/>
        <v>0</v>
      </c>
      <c r="AC94" s="19">
        <f t="shared" si="75"/>
        <v>0</v>
      </c>
      <c r="AD94" s="30" t="e">
        <f t="shared" si="76"/>
        <v>#DIV/0!</v>
      </c>
      <c r="AE94" s="90"/>
      <c r="AF94" s="90"/>
      <c r="AG94" s="91"/>
    </row>
    <row r="95" spans="1:37" ht="30" customHeight="1" x14ac:dyDescent="0.2">
      <c r="A95" s="76" t="str">
        <f>"404.08"</f>
        <v>404.08</v>
      </c>
      <c r="B95" s="70" t="s">
        <v>768</v>
      </c>
      <c r="C95" s="83">
        <f>CE_RegimeContributivo!B97</f>
        <v>0</v>
      </c>
      <c r="D95" s="83">
        <f>CE_RegimeContributivo!C97</f>
        <v>0</v>
      </c>
      <c r="E95" s="83">
        <f>CE_RegimeContributivo!S97</f>
        <v>0</v>
      </c>
      <c r="F95" s="30" t="e">
        <f t="shared" si="60"/>
        <v>#DIV/0!</v>
      </c>
      <c r="G95" s="83">
        <f>CE_RegimeNaoContributivo!B97</f>
        <v>0</v>
      </c>
      <c r="H95" s="83">
        <f>CE_RegimeNaoContributivo!C97</f>
        <v>0</v>
      </c>
      <c r="I95" s="83">
        <f>CE_RegimeNaoContributivo!S97</f>
        <v>0</v>
      </c>
      <c r="J95" s="30" t="e">
        <f t="shared" si="62"/>
        <v>#DIV/0!</v>
      </c>
      <c r="K95" s="19">
        <f>CE_AdministraçãoINSS!B97</f>
        <v>0</v>
      </c>
      <c r="L95" s="19">
        <f>CE_AdministraçãoINSS!C97</f>
        <v>0</v>
      </c>
      <c r="M95" s="19">
        <f>CE_AdministraçãoINSS!S97</f>
        <v>0</v>
      </c>
      <c r="N95" s="30" t="e">
        <f t="shared" si="64"/>
        <v>#DIV/0!</v>
      </c>
      <c r="O95" s="20">
        <f t="shared" si="65"/>
        <v>0</v>
      </c>
      <c r="P95" s="20">
        <f t="shared" si="65"/>
        <v>0</v>
      </c>
      <c r="Q95" s="20">
        <f t="shared" si="65"/>
        <v>0</v>
      </c>
      <c r="R95" s="30" t="e">
        <f t="shared" si="66"/>
        <v>#DIV/0!</v>
      </c>
      <c r="S95" s="19">
        <f>CE_AdministraçãoFRSS!B97</f>
        <v>0</v>
      </c>
      <c r="T95" s="19">
        <f>CE_AdministraçãoFRSS!C97</f>
        <v>0</v>
      </c>
      <c r="U95" s="19">
        <f>CE_AdministraçãoFRSS!S97</f>
        <v>0</v>
      </c>
      <c r="V95" s="30" t="e">
        <f t="shared" si="68"/>
        <v>#DIV/0!</v>
      </c>
      <c r="W95" s="19">
        <f t="shared" si="69"/>
        <v>0</v>
      </c>
      <c r="X95" s="19">
        <f t="shared" si="70"/>
        <v>0</v>
      </c>
      <c r="Y95" s="19">
        <f t="shared" si="71"/>
        <v>0</v>
      </c>
      <c r="Z95" s="30" t="e">
        <f t="shared" si="72"/>
        <v>#DIV/0!</v>
      </c>
      <c r="AA95" s="19">
        <f t="shared" si="73"/>
        <v>0</v>
      </c>
      <c r="AB95" s="19">
        <f t="shared" si="74"/>
        <v>0</v>
      </c>
      <c r="AC95" s="19">
        <f t="shared" si="75"/>
        <v>0</v>
      </c>
      <c r="AD95" s="30" t="e">
        <f t="shared" si="76"/>
        <v>#DIV/0!</v>
      </c>
      <c r="AE95" s="24"/>
      <c r="AF95" s="24"/>
      <c r="AG95" s="67"/>
    </row>
    <row r="96" spans="1:37" x14ac:dyDescent="0.2">
      <c r="A96" s="76" t="str">
        <f>"404.09"</f>
        <v>404.09</v>
      </c>
      <c r="B96" s="70" t="s">
        <v>769</v>
      </c>
      <c r="C96" s="83">
        <f>C97+C98+C101+C102</f>
        <v>0</v>
      </c>
      <c r="D96" s="83">
        <f t="shared" ref="D96:E96" si="102">D97+D98+D101+D102</f>
        <v>0</v>
      </c>
      <c r="E96" s="83">
        <f t="shared" si="102"/>
        <v>0</v>
      </c>
      <c r="F96" s="30" t="e">
        <f t="shared" si="60"/>
        <v>#DIV/0!</v>
      </c>
      <c r="G96" s="83">
        <f>G97+G98+G101+G102</f>
        <v>0</v>
      </c>
      <c r="H96" s="83">
        <f t="shared" ref="H96:I96" si="103">H97+H98+H101+H102</f>
        <v>0</v>
      </c>
      <c r="I96" s="83">
        <f t="shared" si="103"/>
        <v>0</v>
      </c>
      <c r="J96" s="30" t="e">
        <f t="shared" si="62"/>
        <v>#DIV/0!</v>
      </c>
      <c r="K96" s="83">
        <f>K97+K98+K101+K102</f>
        <v>0</v>
      </c>
      <c r="L96" s="83">
        <f t="shared" ref="L96:M96" si="104">L97+L98+L101+L102</f>
        <v>0</v>
      </c>
      <c r="M96" s="83">
        <f t="shared" si="104"/>
        <v>0</v>
      </c>
      <c r="N96" s="30" t="e">
        <f t="shared" si="64"/>
        <v>#DIV/0!</v>
      </c>
      <c r="O96" s="19">
        <f t="shared" si="65"/>
        <v>0</v>
      </c>
      <c r="P96" s="19">
        <f t="shared" si="65"/>
        <v>0</v>
      </c>
      <c r="Q96" s="19">
        <f t="shared" si="65"/>
        <v>0</v>
      </c>
      <c r="R96" s="30" t="e">
        <f t="shared" si="66"/>
        <v>#DIV/0!</v>
      </c>
      <c r="S96" s="83">
        <f>S97+S98+S101+S102</f>
        <v>0</v>
      </c>
      <c r="T96" s="83">
        <f t="shared" ref="T96:U96" si="105">T97+T98+T101+T102</f>
        <v>0</v>
      </c>
      <c r="U96" s="83">
        <f t="shared" si="105"/>
        <v>0</v>
      </c>
      <c r="V96" s="30" t="e">
        <f t="shared" si="68"/>
        <v>#DIV/0!</v>
      </c>
      <c r="W96" s="19">
        <f t="shared" si="69"/>
        <v>0</v>
      </c>
      <c r="X96" s="19">
        <f t="shared" si="70"/>
        <v>0</v>
      </c>
      <c r="Y96" s="19">
        <f t="shared" si="71"/>
        <v>0</v>
      </c>
      <c r="Z96" s="30" t="e">
        <f t="shared" si="72"/>
        <v>#DIV/0!</v>
      </c>
      <c r="AA96" s="19">
        <f t="shared" si="73"/>
        <v>0</v>
      </c>
      <c r="AB96" s="19">
        <f t="shared" si="74"/>
        <v>0</v>
      </c>
      <c r="AC96" s="19">
        <f t="shared" si="75"/>
        <v>0</v>
      </c>
      <c r="AD96" s="30" t="e">
        <f t="shared" si="76"/>
        <v>#DIV/0!</v>
      </c>
      <c r="AE96" s="24"/>
      <c r="AF96" s="24"/>
      <c r="AG96" s="67"/>
    </row>
    <row r="97" spans="1:37" s="21" customFormat="1" x14ac:dyDescent="0.2">
      <c r="A97" s="77" t="str">
        <f>"404.09.01"</f>
        <v>404.09.01</v>
      </c>
      <c r="B97" s="71" t="s">
        <v>770</v>
      </c>
      <c r="C97" s="84">
        <f>CE_RegimeContributivo!B99</f>
        <v>0</v>
      </c>
      <c r="D97" s="84">
        <f>CE_RegimeContributivo!C99</f>
        <v>0</v>
      </c>
      <c r="E97" s="84">
        <f>CE_RegimeContributivo!S99</f>
        <v>0</v>
      </c>
      <c r="F97" s="31" t="e">
        <f t="shared" si="60"/>
        <v>#DIV/0!</v>
      </c>
      <c r="G97" s="84">
        <f>CE_RegimeNaoContributivo!B99</f>
        <v>0</v>
      </c>
      <c r="H97" s="84">
        <f>CE_RegimeNaoContributivo!C99</f>
        <v>0</v>
      </c>
      <c r="I97" s="84">
        <f>CE_RegimeNaoContributivo!S99</f>
        <v>0</v>
      </c>
      <c r="J97" s="31" t="e">
        <f t="shared" si="62"/>
        <v>#DIV/0!</v>
      </c>
      <c r="K97" s="20">
        <f>CE_AdministraçãoINSS!B99</f>
        <v>0</v>
      </c>
      <c r="L97" s="20">
        <f>CE_AdministraçãoINSS!C99</f>
        <v>0</v>
      </c>
      <c r="M97" s="20">
        <f>CE_AdministraçãoINSS!S99</f>
        <v>0</v>
      </c>
      <c r="N97" s="31" t="e">
        <f t="shared" si="64"/>
        <v>#DIV/0!</v>
      </c>
      <c r="O97" s="20">
        <f t="shared" si="65"/>
        <v>0</v>
      </c>
      <c r="P97" s="20">
        <f t="shared" si="65"/>
        <v>0</v>
      </c>
      <c r="Q97" s="20">
        <f t="shared" si="65"/>
        <v>0</v>
      </c>
      <c r="R97" s="31" t="e">
        <f t="shared" si="66"/>
        <v>#DIV/0!</v>
      </c>
      <c r="S97" s="20">
        <f>CE_AdministraçãoFRSS!B99</f>
        <v>0</v>
      </c>
      <c r="T97" s="20">
        <f>CE_AdministraçãoFRSS!C99</f>
        <v>0</v>
      </c>
      <c r="U97" s="20">
        <f>CE_AdministraçãoFRSS!S99</f>
        <v>0</v>
      </c>
      <c r="V97" s="31" t="e">
        <f t="shared" si="68"/>
        <v>#DIV/0!</v>
      </c>
      <c r="W97" s="20">
        <f t="shared" si="69"/>
        <v>0</v>
      </c>
      <c r="X97" s="20">
        <f t="shared" si="70"/>
        <v>0</v>
      </c>
      <c r="Y97" s="20">
        <f t="shared" si="71"/>
        <v>0</v>
      </c>
      <c r="Z97" s="31" t="e">
        <f t="shared" si="72"/>
        <v>#DIV/0!</v>
      </c>
      <c r="AA97" s="20">
        <f t="shared" si="73"/>
        <v>0</v>
      </c>
      <c r="AB97" s="20">
        <f t="shared" si="74"/>
        <v>0</v>
      </c>
      <c r="AC97" s="20">
        <f t="shared" si="75"/>
        <v>0</v>
      </c>
      <c r="AD97" s="31" t="e">
        <f t="shared" si="76"/>
        <v>#DIV/0!</v>
      </c>
      <c r="AE97" s="24"/>
      <c r="AF97" s="24"/>
      <c r="AG97" s="67"/>
      <c r="AH97" s="16"/>
      <c r="AI97" s="16"/>
      <c r="AJ97" s="16"/>
      <c r="AK97" s="16"/>
    </row>
    <row r="98" spans="1:37" s="21" customFormat="1" x14ac:dyDescent="0.2">
      <c r="A98" s="94" t="str">
        <f>"404.09.02"</f>
        <v>404.09.02</v>
      </c>
      <c r="B98" s="95" t="s">
        <v>771</v>
      </c>
      <c r="C98" s="96">
        <f>C99+C100</f>
        <v>0</v>
      </c>
      <c r="D98" s="96">
        <f t="shared" ref="D98:E98" si="106">D99+D100</f>
        <v>0</v>
      </c>
      <c r="E98" s="96">
        <f t="shared" si="106"/>
        <v>0</v>
      </c>
      <c r="F98" s="97" t="e">
        <f t="shared" si="60"/>
        <v>#DIV/0!</v>
      </c>
      <c r="G98" s="96">
        <f>G99+G100</f>
        <v>0</v>
      </c>
      <c r="H98" s="96">
        <f t="shared" ref="H98:I98" si="107">H99+H100</f>
        <v>0</v>
      </c>
      <c r="I98" s="96">
        <f t="shared" si="107"/>
        <v>0</v>
      </c>
      <c r="J98" s="97" t="e">
        <f t="shared" si="62"/>
        <v>#DIV/0!</v>
      </c>
      <c r="K98" s="96">
        <f>K99+K100</f>
        <v>0</v>
      </c>
      <c r="L98" s="96">
        <f t="shared" ref="L98:M98" si="108">L99+L100</f>
        <v>0</v>
      </c>
      <c r="M98" s="96">
        <f t="shared" si="108"/>
        <v>0</v>
      </c>
      <c r="N98" s="97" t="e">
        <f t="shared" si="64"/>
        <v>#DIV/0!</v>
      </c>
      <c r="O98" s="98">
        <f t="shared" si="65"/>
        <v>0</v>
      </c>
      <c r="P98" s="98">
        <f t="shared" si="65"/>
        <v>0</v>
      </c>
      <c r="Q98" s="98">
        <f t="shared" si="65"/>
        <v>0</v>
      </c>
      <c r="R98" s="97" t="e">
        <f t="shared" si="66"/>
        <v>#DIV/0!</v>
      </c>
      <c r="S98" s="96">
        <f>S99+S100</f>
        <v>0</v>
      </c>
      <c r="T98" s="96">
        <f t="shared" ref="T98:U98" si="109">T99+T100</f>
        <v>0</v>
      </c>
      <c r="U98" s="96">
        <f t="shared" si="109"/>
        <v>0</v>
      </c>
      <c r="V98" s="97" t="e">
        <f t="shared" si="68"/>
        <v>#DIV/0!</v>
      </c>
      <c r="W98" s="98">
        <f t="shared" si="69"/>
        <v>0</v>
      </c>
      <c r="X98" s="98">
        <f t="shared" si="70"/>
        <v>0</v>
      </c>
      <c r="Y98" s="98">
        <f t="shared" si="71"/>
        <v>0</v>
      </c>
      <c r="Z98" s="97" t="e">
        <f t="shared" si="72"/>
        <v>#DIV/0!</v>
      </c>
      <c r="AA98" s="98">
        <f t="shared" si="73"/>
        <v>0</v>
      </c>
      <c r="AB98" s="98">
        <f t="shared" si="74"/>
        <v>0</v>
      </c>
      <c r="AC98" s="98">
        <f t="shared" si="75"/>
        <v>0</v>
      </c>
      <c r="AD98" s="97" t="e">
        <f t="shared" si="76"/>
        <v>#DIV/0!</v>
      </c>
      <c r="AE98" s="24"/>
      <c r="AF98" s="24"/>
      <c r="AG98" s="67"/>
      <c r="AH98" s="16"/>
      <c r="AI98" s="16"/>
      <c r="AJ98" s="16"/>
      <c r="AK98" s="16"/>
    </row>
    <row r="99" spans="1:37" s="21" customFormat="1" x14ac:dyDescent="0.2">
      <c r="A99" s="77" t="str">
        <f>"404.09.02.01"</f>
        <v>404.09.02.01</v>
      </c>
      <c r="B99" s="71" t="s">
        <v>1405</v>
      </c>
      <c r="C99" s="84">
        <f>CE_RegimeContributivo!B101</f>
        <v>0</v>
      </c>
      <c r="D99" s="84">
        <f>CE_RegimeContributivo!C101</f>
        <v>0</v>
      </c>
      <c r="E99" s="84">
        <f>CE_RegimeContributivo!S101</f>
        <v>0</v>
      </c>
      <c r="F99" s="31" t="e">
        <f t="shared" si="60"/>
        <v>#DIV/0!</v>
      </c>
      <c r="G99" s="84">
        <f>CE_RegimeNaoContributivo!B101</f>
        <v>0</v>
      </c>
      <c r="H99" s="84">
        <f>CE_RegimeNaoContributivo!C101</f>
        <v>0</v>
      </c>
      <c r="I99" s="84">
        <f>CE_RegimeNaoContributivo!S101</f>
        <v>0</v>
      </c>
      <c r="J99" s="31" t="e">
        <f t="shared" si="62"/>
        <v>#DIV/0!</v>
      </c>
      <c r="K99" s="20">
        <f>CE_AdministraçãoINSS!B101</f>
        <v>0</v>
      </c>
      <c r="L99" s="20">
        <f>CE_AdministraçãoINSS!C101</f>
        <v>0</v>
      </c>
      <c r="M99" s="20">
        <f>CE_AdministraçãoINSS!S101</f>
        <v>0</v>
      </c>
      <c r="N99" s="31" t="e">
        <f t="shared" si="64"/>
        <v>#DIV/0!</v>
      </c>
      <c r="O99" s="20">
        <f t="shared" ref="O99:O100" si="110">C99+G99+K99</f>
        <v>0</v>
      </c>
      <c r="P99" s="20">
        <f t="shared" ref="P99:P100" si="111">D99+H99+L99</f>
        <v>0</v>
      </c>
      <c r="Q99" s="20">
        <f t="shared" ref="Q99:Q100" si="112">E99+I99+M99</f>
        <v>0</v>
      </c>
      <c r="R99" s="31" t="e">
        <f t="shared" ref="R99:R100" si="113">Q99/P99</f>
        <v>#DIV/0!</v>
      </c>
      <c r="S99" s="20">
        <f>CE_AdministraçãoFRSS!B101</f>
        <v>0</v>
      </c>
      <c r="T99" s="20">
        <f>CE_AdministraçãoFRSS!C101</f>
        <v>0</v>
      </c>
      <c r="U99" s="20">
        <f>CE_AdministraçãoFRSS!S101</f>
        <v>0</v>
      </c>
      <c r="V99" s="31" t="e">
        <f t="shared" si="68"/>
        <v>#DIV/0!</v>
      </c>
      <c r="W99" s="20">
        <f t="shared" ref="W99:W101" si="114">S99</f>
        <v>0</v>
      </c>
      <c r="X99" s="20">
        <f t="shared" ref="X99:X101" si="115">T99</f>
        <v>0</v>
      </c>
      <c r="Y99" s="20">
        <f t="shared" ref="Y99:Y101" si="116">U99</f>
        <v>0</v>
      </c>
      <c r="Z99" s="31" t="e">
        <f t="shared" ref="Z99:Z101" si="117">Y99/X99</f>
        <v>#DIV/0!</v>
      </c>
      <c r="AA99" s="20">
        <f t="shared" ref="AA99:AA100" si="118">O99+W99</f>
        <v>0</v>
      </c>
      <c r="AB99" s="20">
        <f t="shared" ref="AB99:AB100" si="119">P99+X99</f>
        <v>0</v>
      </c>
      <c r="AC99" s="20">
        <f t="shared" ref="AC99:AC100" si="120">Q99+Y99</f>
        <v>0</v>
      </c>
      <c r="AD99" s="31" t="e">
        <f t="shared" ref="AD99:AD100" si="121">AC99/AB99</f>
        <v>#DIV/0!</v>
      </c>
      <c r="AE99" s="24"/>
      <c r="AF99" s="24"/>
      <c r="AG99" s="67"/>
      <c r="AH99" s="16"/>
      <c r="AI99" s="16"/>
      <c r="AJ99" s="16"/>
      <c r="AK99" s="16"/>
    </row>
    <row r="100" spans="1:37" s="21" customFormat="1" x14ac:dyDescent="0.2">
      <c r="A100" s="77" t="str">
        <f>"404.09.02.02"</f>
        <v>404.09.02.02</v>
      </c>
      <c r="B100" s="71" t="s">
        <v>1406</v>
      </c>
      <c r="C100" s="84">
        <f>CE_RegimeContributivo!B102</f>
        <v>0</v>
      </c>
      <c r="D100" s="84">
        <f>CE_RegimeContributivo!C102</f>
        <v>0</v>
      </c>
      <c r="E100" s="84">
        <f>CE_RegimeContributivo!S102</f>
        <v>0</v>
      </c>
      <c r="F100" s="31" t="e">
        <f t="shared" si="60"/>
        <v>#DIV/0!</v>
      </c>
      <c r="G100" s="84">
        <f>CE_RegimeNaoContributivo!B102</f>
        <v>0</v>
      </c>
      <c r="H100" s="84">
        <f>CE_RegimeNaoContributivo!C102</f>
        <v>0</v>
      </c>
      <c r="I100" s="84">
        <f>CE_RegimeNaoContributivo!S102</f>
        <v>0</v>
      </c>
      <c r="J100" s="31" t="e">
        <f t="shared" si="62"/>
        <v>#DIV/0!</v>
      </c>
      <c r="K100" s="20">
        <f>CE_AdministraçãoINSS!B102</f>
        <v>0</v>
      </c>
      <c r="L100" s="20">
        <f>CE_AdministraçãoINSS!C102</f>
        <v>0</v>
      </c>
      <c r="M100" s="20">
        <f>CE_AdministraçãoINSS!S102</f>
        <v>0</v>
      </c>
      <c r="N100" s="31" t="e">
        <f t="shared" si="64"/>
        <v>#DIV/0!</v>
      </c>
      <c r="O100" s="20">
        <f t="shared" si="110"/>
        <v>0</v>
      </c>
      <c r="P100" s="20">
        <f t="shared" si="111"/>
        <v>0</v>
      </c>
      <c r="Q100" s="20">
        <f t="shared" si="112"/>
        <v>0</v>
      </c>
      <c r="R100" s="31" t="e">
        <f t="shared" si="113"/>
        <v>#DIV/0!</v>
      </c>
      <c r="S100" s="20">
        <f>CE_AdministraçãoFRSS!B102</f>
        <v>0</v>
      </c>
      <c r="T100" s="20">
        <f>CE_AdministraçãoFRSS!C102</f>
        <v>0</v>
      </c>
      <c r="U100" s="20">
        <f>CE_AdministraçãoFRSS!S102</f>
        <v>0</v>
      </c>
      <c r="V100" s="31" t="e">
        <f t="shared" si="68"/>
        <v>#DIV/0!</v>
      </c>
      <c r="W100" s="20">
        <f t="shared" si="114"/>
        <v>0</v>
      </c>
      <c r="X100" s="20">
        <f t="shared" si="115"/>
        <v>0</v>
      </c>
      <c r="Y100" s="20">
        <f t="shared" si="116"/>
        <v>0</v>
      </c>
      <c r="Z100" s="31" t="e">
        <f t="shared" si="117"/>
        <v>#DIV/0!</v>
      </c>
      <c r="AA100" s="20">
        <f t="shared" si="118"/>
        <v>0</v>
      </c>
      <c r="AB100" s="20">
        <f t="shared" si="119"/>
        <v>0</v>
      </c>
      <c r="AC100" s="20">
        <f t="shared" si="120"/>
        <v>0</v>
      </c>
      <c r="AD100" s="31" t="e">
        <f t="shared" si="121"/>
        <v>#DIV/0!</v>
      </c>
      <c r="AE100" s="24"/>
      <c r="AF100" s="24"/>
      <c r="AG100" s="67"/>
      <c r="AH100" s="16"/>
      <c r="AI100" s="16"/>
      <c r="AJ100" s="16"/>
      <c r="AK100" s="16"/>
    </row>
    <row r="101" spans="1:37" s="21" customFormat="1" ht="15" customHeight="1" x14ac:dyDescent="0.2">
      <c r="A101" s="77" t="str">
        <f>"404.09.03"</f>
        <v>404.09.03</v>
      </c>
      <c r="B101" s="71" t="s">
        <v>772</v>
      </c>
      <c r="C101" s="84">
        <f>CE_RegimeContributivo!B103</f>
        <v>0</v>
      </c>
      <c r="D101" s="84">
        <f>CE_RegimeContributivo!C103</f>
        <v>0</v>
      </c>
      <c r="E101" s="84">
        <f>CE_RegimeContributivo!S103</f>
        <v>0</v>
      </c>
      <c r="F101" s="31" t="e">
        <f t="shared" si="60"/>
        <v>#DIV/0!</v>
      </c>
      <c r="G101" s="84">
        <f>CE_RegimeNaoContributivo!B103</f>
        <v>0</v>
      </c>
      <c r="H101" s="84">
        <f>CE_RegimeNaoContributivo!C103</f>
        <v>0</v>
      </c>
      <c r="I101" s="84">
        <f>CE_RegimeNaoContributivo!S103</f>
        <v>0</v>
      </c>
      <c r="J101" s="31" t="e">
        <f t="shared" si="62"/>
        <v>#DIV/0!</v>
      </c>
      <c r="K101" s="20">
        <f>CE_AdministraçãoINSS!B103</f>
        <v>0</v>
      </c>
      <c r="L101" s="20">
        <f>CE_AdministraçãoINSS!C103</f>
        <v>0</v>
      </c>
      <c r="M101" s="20">
        <f>CE_AdministraçãoINSS!S103</f>
        <v>0</v>
      </c>
      <c r="N101" s="31" t="e">
        <f t="shared" si="64"/>
        <v>#DIV/0!</v>
      </c>
      <c r="O101" s="20">
        <f t="shared" si="65"/>
        <v>0</v>
      </c>
      <c r="P101" s="20">
        <f t="shared" si="65"/>
        <v>0</v>
      </c>
      <c r="Q101" s="20">
        <f t="shared" si="65"/>
        <v>0</v>
      </c>
      <c r="R101" s="31" t="e">
        <f t="shared" si="66"/>
        <v>#DIV/0!</v>
      </c>
      <c r="S101" s="20">
        <f>CE_AdministraçãoFRSS!B103</f>
        <v>0</v>
      </c>
      <c r="T101" s="20">
        <f>CE_AdministraçãoFRSS!C103</f>
        <v>0</v>
      </c>
      <c r="U101" s="20">
        <f>CE_AdministraçãoFRSS!S103</f>
        <v>0</v>
      </c>
      <c r="V101" s="31" t="e">
        <f t="shared" si="68"/>
        <v>#DIV/0!</v>
      </c>
      <c r="W101" s="20">
        <f t="shared" si="114"/>
        <v>0</v>
      </c>
      <c r="X101" s="20">
        <f t="shared" si="115"/>
        <v>0</v>
      </c>
      <c r="Y101" s="20">
        <f t="shared" si="116"/>
        <v>0</v>
      </c>
      <c r="Z101" s="31" t="e">
        <f t="shared" si="117"/>
        <v>#DIV/0!</v>
      </c>
      <c r="AA101" s="20">
        <f t="shared" si="73"/>
        <v>0</v>
      </c>
      <c r="AB101" s="20">
        <f t="shared" si="74"/>
        <v>0</v>
      </c>
      <c r="AC101" s="20">
        <f t="shared" si="75"/>
        <v>0</v>
      </c>
      <c r="AD101" s="31" t="e">
        <f t="shared" si="76"/>
        <v>#DIV/0!</v>
      </c>
      <c r="AE101" s="24"/>
      <c r="AF101" s="24"/>
      <c r="AG101" s="67"/>
      <c r="AH101" s="16"/>
      <c r="AI101" s="16"/>
      <c r="AJ101" s="16"/>
      <c r="AK101" s="16"/>
    </row>
    <row r="102" spans="1:37" s="21" customFormat="1" ht="15" customHeight="1" x14ac:dyDescent="0.2">
      <c r="A102" s="77" t="str">
        <f>"404.09.04"</f>
        <v>404.09.04</v>
      </c>
      <c r="B102" s="71" t="s">
        <v>773</v>
      </c>
      <c r="C102" s="84">
        <f>CE_RegimeContributivo!B104</f>
        <v>0</v>
      </c>
      <c r="D102" s="84">
        <f>CE_RegimeContributivo!C104</f>
        <v>0</v>
      </c>
      <c r="E102" s="84">
        <f>CE_RegimeContributivo!S104</f>
        <v>0</v>
      </c>
      <c r="F102" s="31" t="e">
        <f t="shared" si="60"/>
        <v>#DIV/0!</v>
      </c>
      <c r="G102" s="84">
        <f>CE_RegimeNaoContributivo!B104</f>
        <v>0</v>
      </c>
      <c r="H102" s="84">
        <f>CE_RegimeNaoContributivo!C104</f>
        <v>0</v>
      </c>
      <c r="I102" s="84">
        <f>CE_RegimeNaoContributivo!S104</f>
        <v>0</v>
      </c>
      <c r="J102" s="31" t="e">
        <f t="shared" si="62"/>
        <v>#DIV/0!</v>
      </c>
      <c r="K102" s="20">
        <f>CE_AdministraçãoINSS!B104</f>
        <v>0</v>
      </c>
      <c r="L102" s="20">
        <f>CE_AdministraçãoINSS!C104</f>
        <v>0</v>
      </c>
      <c r="M102" s="20">
        <f>CE_AdministraçãoINSS!S104</f>
        <v>0</v>
      </c>
      <c r="N102" s="31" t="e">
        <f t="shared" si="64"/>
        <v>#DIV/0!</v>
      </c>
      <c r="O102" s="20">
        <f t="shared" si="65"/>
        <v>0</v>
      </c>
      <c r="P102" s="20">
        <f t="shared" si="65"/>
        <v>0</v>
      </c>
      <c r="Q102" s="20">
        <f t="shared" si="65"/>
        <v>0</v>
      </c>
      <c r="R102" s="31" t="e">
        <f t="shared" si="66"/>
        <v>#DIV/0!</v>
      </c>
      <c r="S102" s="20">
        <f>CE_AdministraçãoFRSS!B104</f>
        <v>0</v>
      </c>
      <c r="T102" s="20">
        <f>CE_AdministraçãoFRSS!C104</f>
        <v>0</v>
      </c>
      <c r="U102" s="20">
        <f>CE_AdministraçãoFRSS!S104</f>
        <v>0</v>
      </c>
      <c r="V102" s="31" t="e">
        <f t="shared" si="68"/>
        <v>#DIV/0!</v>
      </c>
      <c r="W102" s="20">
        <f t="shared" si="69"/>
        <v>0</v>
      </c>
      <c r="X102" s="20">
        <f t="shared" si="70"/>
        <v>0</v>
      </c>
      <c r="Y102" s="20">
        <f t="shared" si="71"/>
        <v>0</v>
      </c>
      <c r="Z102" s="31" t="e">
        <f t="shared" si="72"/>
        <v>#DIV/0!</v>
      </c>
      <c r="AA102" s="20">
        <f t="shared" si="73"/>
        <v>0</v>
      </c>
      <c r="AB102" s="20">
        <f t="shared" si="74"/>
        <v>0</v>
      </c>
      <c r="AC102" s="20">
        <f t="shared" si="75"/>
        <v>0</v>
      </c>
      <c r="AD102" s="31" t="e">
        <f t="shared" si="76"/>
        <v>#DIV/0!</v>
      </c>
      <c r="AE102" s="24"/>
      <c r="AF102" s="24"/>
      <c r="AG102" s="67"/>
      <c r="AH102" s="16"/>
      <c r="AI102" s="16"/>
      <c r="AJ102" s="16"/>
      <c r="AK102" s="16"/>
    </row>
    <row r="103" spans="1:37" s="22" customFormat="1" ht="15" customHeight="1" x14ac:dyDescent="0.2">
      <c r="A103" s="76" t="str">
        <f>"404.10"</f>
        <v>404.10</v>
      </c>
      <c r="B103" s="70" t="s">
        <v>774</v>
      </c>
      <c r="C103" s="83">
        <f>CE_RegimeContributivo!B105</f>
        <v>0</v>
      </c>
      <c r="D103" s="83">
        <f>CE_RegimeContributivo!C105</f>
        <v>0</v>
      </c>
      <c r="E103" s="83">
        <f>CE_RegimeContributivo!S105</f>
        <v>0</v>
      </c>
      <c r="F103" s="30" t="e">
        <f t="shared" si="60"/>
        <v>#DIV/0!</v>
      </c>
      <c r="G103" s="83">
        <f>CE_RegimeNaoContributivo!B105</f>
        <v>0</v>
      </c>
      <c r="H103" s="83">
        <f>CE_RegimeNaoContributivo!C105</f>
        <v>0</v>
      </c>
      <c r="I103" s="83">
        <f>CE_RegimeNaoContributivo!S105</f>
        <v>0</v>
      </c>
      <c r="J103" s="30" t="e">
        <f t="shared" si="62"/>
        <v>#DIV/0!</v>
      </c>
      <c r="K103" s="19">
        <f>CE_AdministraçãoINSS!B105</f>
        <v>0</v>
      </c>
      <c r="L103" s="19">
        <f>CE_AdministraçãoINSS!C105</f>
        <v>0</v>
      </c>
      <c r="M103" s="19">
        <f>CE_AdministraçãoINSS!S105</f>
        <v>0</v>
      </c>
      <c r="N103" s="30" t="e">
        <f t="shared" si="64"/>
        <v>#DIV/0!</v>
      </c>
      <c r="O103" s="19">
        <f t="shared" si="65"/>
        <v>0</v>
      </c>
      <c r="P103" s="19">
        <f t="shared" si="65"/>
        <v>0</v>
      </c>
      <c r="Q103" s="19">
        <f t="shared" si="65"/>
        <v>0</v>
      </c>
      <c r="R103" s="30" t="e">
        <f t="shared" si="66"/>
        <v>#DIV/0!</v>
      </c>
      <c r="S103" s="19">
        <f>CE_AdministraçãoFRSS!B105</f>
        <v>0</v>
      </c>
      <c r="T103" s="19">
        <f>CE_AdministraçãoFRSS!C105</f>
        <v>0</v>
      </c>
      <c r="U103" s="19">
        <f>CE_AdministraçãoFRSS!S105</f>
        <v>0</v>
      </c>
      <c r="V103" s="30" t="e">
        <f t="shared" si="68"/>
        <v>#DIV/0!</v>
      </c>
      <c r="W103" s="19">
        <f t="shared" si="69"/>
        <v>0</v>
      </c>
      <c r="X103" s="19">
        <f t="shared" si="70"/>
        <v>0</v>
      </c>
      <c r="Y103" s="19">
        <f t="shared" si="71"/>
        <v>0</v>
      </c>
      <c r="Z103" s="30" t="e">
        <f t="shared" si="72"/>
        <v>#DIV/0!</v>
      </c>
      <c r="AA103" s="19">
        <f t="shared" si="73"/>
        <v>0</v>
      </c>
      <c r="AB103" s="19">
        <f t="shared" si="74"/>
        <v>0</v>
      </c>
      <c r="AC103" s="19">
        <f t="shared" si="75"/>
        <v>0</v>
      </c>
      <c r="AD103" s="30" t="e">
        <f t="shared" si="76"/>
        <v>#DIV/0!</v>
      </c>
      <c r="AE103" s="90"/>
      <c r="AF103" s="90"/>
      <c r="AG103" s="91"/>
    </row>
    <row r="104" spans="1:37" x14ac:dyDescent="0.2">
      <c r="A104" s="75">
        <v>405</v>
      </c>
      <c r="B104" s="69" t="s">
        <v>775</v>
      </c>
      <c r="C104" s="82">
        <f>C105+C116+C134+C145</f>
        <v>0</v>
      </c>
      <c r="D104" s="82">
        <f>D105+D116+D134+D145</f>
        <v>0</v>
      </c>
      <c r="E104" s="82">
        <f>E105+E116+E134+E145</f>
        <v>0</v>
      </c>
      <c r="F104" s="29" t="e">
        <f t="shared" si="60"/>
        <v>#DIV/0!</v>
      </c>
      <c r="G104" s="82">
        <f>G105+G116+G134+G145</f>
        <v>0</v>
      </c>
      <c r="H104" s="82">
        <f t="shared" ref="H104:I104" si="122">H105+H116+H134+H145</f>
        <v>0</v>
      </c>
      <c r="I104" s="82">
        <f t="shared" si="122"/>
        <v>0</v>
      </c>
      <c r="J104" s="29" t="e">
        <f t="shared" si="62"/>
        <v>#DIV/0!</v>
      </c>
      <c r="K104" s="18">
        <f>K105+K116+K134+K145</f>
        <v>0</v>
      </c>
      <c r="L104" s="18">
        <f t="shared" ref="L104:M104" si="123">L105+L116+L134+L145</f>
        <v>0</v>
      </c>
      <c r="M104" s="18">
        <f t="shared" si="123"/>
        <v>0</v>
      </c>
      <c r="N104" s="29" t="e">
        <f t="shared" si="64"/>
        <v>#DIV/0!</v>
      </c>
      <c r="O104" s="18">
        <f t="shared" si="65"/>
        <v>0</v>
      </c>
      <c r="P104" s="18">
        <f t="shared" si="65"/>
        <v>0</v>
      </c>
      <c r="Q104" s="18">
        <f t="shared" si="65"/>
        <v>0</v>
      </c>
      <c r="R104" s="29" t="e">
        <f t="shared" si="66"/>
        <v>#DIV/0!</v>
      </c>
      <c r="S104" s="18">
        <f>S105+S116+S134+S145</f>
        <v>0</v>
      </c>
      <c r="T104" s="18">
        <f t="shared" ref="T104:U104" si="124">T105+T116+T134+T145</f>
        <v>0</v>
      </c>
      <c r="U104" s="18">
        <f t="shared" si="124"/>
        <v>0</v>
      </c>
      <c r="V104" s="29" t="e">
        <f t="shared" si="68"/>
        <v>#DIV/0!</v>
      </c>
      <c r="W104" s="18">
        <f t="shared" si="69"/>
        <v>0</v>
      </c>
      <c r="X104" s="18">
        <f t="shared" si="70"/>
        <v>0</v>
      </c>
      <c r="Y104" s="18">
        <f t="shared" si="71"/>
        <v>0</v>
      </c>
      <c r="Z104" s="29" t="e">
        <f t="shared" si="72"/>
        <v>#DIV/0!</v>
      </c>
      <c r="AA104" s="18">
        <f t="shared" si="73"/>
        <v>0</v>
      </c>
      <c r="AB104" s="18">
        <f t="shared" si="74"/>
        <v>0</v>
      </c>
      <c r="AC104" s="18">
        <f t="shared" si="75"/>
        <v>0</v>
      </c>
      <c r="AD104" s="29" t="e">
        <f t="shared" si="76"/>
        <v>#DIV/0!</v>
      </c>
      <c r="AE104" s="24"/>
      <c r="AF104" s="24"/>
      <c r="AG104" s="67"/>
    </row>
    <row r="105" spans="1:37" ht="15" customHeight="1" x14ac:dyDescent="0.2">
      <c r="A105" s="76" t="str">
        <f>"405.01"</f>
        <v>405.01</v>
      </c>
      <c r="B105" s="70" t="s">
        <v>776</v>
      </c>
      <c r="C105" s="83">
        <f>SUM(C106:C115)</f>
        <v>0</v>
      </c>
      <c r="D105" s="83">
        <f>SUM(D106:D115)</f>
        <v>0</v>
      </c>
      <c r="E105" s="83">
        <f>SUM(E106:E115)</f>
        <v>0</v>
      </c>
      <c r="F105" s="30" t="e">
        <f t="shared" si="60"/>
        <v>#DIV/0!</v>
      </c>
      <c r="G105" s="83">
        <f>SUM(G106:G115)</f>
        <v>0</v>
      </c>
      <c r="H105" s="83">
        <f t="shared" ref="H105:I105" si="125">SUM(H106:H115)</f>
        <v>0</v>
      </c>
      <c r="I105" s="83">
        <f t="shared" si="125"/>
        <v>0</v>
      </c>
      <c r="J105" s="30" t="e">
        <f t="shared" si="62"/>
        <v>#DIV/0!</v>
      </c>
      <c r="K105" s="19">
        <f>SUM(K106:K115)</f>
        <v>0</v>
      </c>
      <c r="L105" s="19">
        <f t="shared" ref="L105:M105" si="126">SUM(L106:L115)</f>
        <v>0</v>
      </c>
      <c r="M105" s="19">
        <f t="shared" si="126"/>
        <v>0</v>
      </c>
      <c r="N105" s="30" t="e">
        <f t="shared" si="64"/>
        <v>#DIV/0!</v>
      </c>
      <c r="O105" s="19">
        <f t="shared" si="65"/>
        <v>0</v>
      </c>
      <c r="P105" s="19">
        <f t="shared" si="65"/>
        <v>0</v>
      </c>
      <c r="Q105" s="19">
        <f t="shared" si="65"/>
        <v>0</v>
      </c>
      <c r="R105" s="30" t="e">
        <f t="shared" si="66"/>
        <v>#DIV/0!</v>
      </c>
      <c r="S105" s="19">
        <f>SUM(S106:S115)</f>
        <v>0</v>
      </c>
      <c r="T105" s="19">
        <f t="shared" ref="T105:U105" si="127">SUM(T106:T115)</f>
        <v>0</v>
      </c>
      <c r="U105" s="19">
        <f t="shared" si="127"/>
        <v>0</v>
      </c>
      <c r="V105" s="30" t="e">
        <f t="shared" si="68"/>
        <v>#DIV/0!</v>
      </c>
      <c r="W105" s="19">
        <f t="shared" si="69"/>
        <v>0</v>
      </c>
      <c r="X105" s="19">
        <f t="shared" si="70"/>
        <v>0</v>
      </c>
      <c r="Y105" s="19">
        <f t="shared" si="71"/>
        <v>0</v>
      </c>
      <c r="Z105" s="30" t="e">
        <f t="shared" si="72"/>
        <v>#DIV/0!</v>
      </c>
      <c r="AA105" s="19">
        <f t="shared" si="73"/>
        <v>0</v>
      </c>
      <c r="AB105" s="19">
        <f t="shared" si="74"/>
        <v>0</v>
      </c>
      <c r="AC105" s="19">
        <f t="shared" si="75"/>
        <v>0</v>
      </c>
      <c r="AD105" s="30" t="e">
        <f t="shared" si="76"/>
        <v>#DIV/0!</v>
      </c>
      <c r="AE105" s="24"/>
      <c r="AF105" s="24"/>
      <c r="AG105" s="67"/>
    </row>
    <row r="106" spans="1:37" s="21" customFormat="1" ht="15" customHeight="1" x14ac:dyDescent="0.2">
      <c r="A106" s="77" t="str">
        <f>"405.01.01"</f>
        <v>405.01.01</v>
      </c>
      <c r="B106" s="71" t="s">
        <v>777</v>
      </c>
      <c r="C106" s="84">
        <f>CE_RegimeContributivo!B108</f>
        <v>0</v>
      </c>
      <c r="D106" s="84">
        <f>CE_RegimeContributivo!C108</f>
        <v>0</v>
      </c>
      <c r="E106" s="84">
        <f>CE_RegimeContributivo!S108</f>
        <v>0</v>
      </c>
      <c r="F106" s="31" t="e">
        <f t="shared" si="60"/>
        <v>#DIV/0!</v>
      </c>
      <c r="G106" s="84">
        <f>CE_RegimeNaoContributivo!B108</f>
        <v>0</v>
      </c>
      <c r="H106" s="84">
        <f>CE_RegimeNaoContributivo!C108</f>
        <v>0</v>
      </c>
      <c r="I106" s="84">
        <f>CE_RegimeNaoContributivo!S108</f>
        <v>0</v>
      </c>
      <c r="J106" s="31" t="e">
        <f t="shared" si="62"/>
        <v>#DIV/0!</v>
      </c>
      <c r="K106" s="20">
        <f>CE_AdministraçãoINSS!B108</f>
        <v>0</v>
      </c>
      <c r="L106" s="20">
        <f>CE_AdministraçãoINSS!C108</f>
        <v>0</v>
      </c>
      <c r="M106" s="20">
        <f>CE_AdministraçãoINSS!S108</f>
        <v>0</v>
      </c>
      <c r="N106" s="31" t="e">
        <f t="shared" si="64"/>
        <v>#DIV/0!</v>
      </c>
      <c r="O106" s="20">
        <f t="shared" si="65"/>
        <v>0</v>
      </c>
      <c r="P106" s="20">
        <f t="shared" si="65"/>
        <v>0</v>
      </c>
      <c r="Q106" s="20">
        <f t="shared" si="65"/>
        <v>0</v>
      </c>
      <c r="R106" s="31" t="e">
        <f t="shared" si="66"/>
        <v>#DIV/0!</v>
      </c>
      <c r="S106" s="20">
        <f>CE_AdministraçãoFRSS!B108</f>
        <v>0</v>
      </c>
      <c r="T106" s="20">
        <f>CE_AdministraçãoFRSS!C108</f>
        <v>0</v>
      </c>
      <c r="U106" s="20">
        <f>CE_AdministraçãoFRSS!S108</f>
        <v>0</v>
      </c>
      <c r="V106" s="31" t="e">
        <f t="shared" si="68"/>
        <v>#DIV/0!</v>
      </c>
      <c r="W106" s="20">
        <f t="shared" si="69"/>
        <v>0</v>
      </c>
      <c r="X106" s="20">
        <f t="shared" si="70"/>
        <v>0</v>
      </c>
      <c r="Y106" s="20">
        <f t="shared" si="71"/>
        <v>0</v>
      </c>
      <c r="Z106" s="31" t="e">
        <f t="shared" si="72"/>
        <v>#DIV/0!</v>
      </c>
      <c r="AA106" s="20">
        <f t="shared" si="73"/>
        <v>0</v>
      </c>
      <c r="AB106" s="20">
        <f t="shared" si="74"/>
        <v>0</v>
      </c>
      <c r="AC106" s="20">
        <f t="shared" si="75"/>
        <v>0</v>
      </c>
      <c r="AD106" s="31" t="e">
        <f t="shared" si="76"/>
        <v>#DIV/0!</v>
      </c>
      <c r="AE106" s="24"/>
      <c r="AF106" s="24"/>
      <c r="AG106" s="67"/>
      <c r="AH106" s="16"/>
      <c r="AI106" s="16"/>
      <c r="AJ106" s="16"/>
      <c r="AK106" s="16"/>
    </row>
    <row r="107" spans="1:37" s="21" customFormat="1" ht="15" customHeight="1" x14ac:dyDescent="0.2">
      <c r="A107" s="77" t="str">
        <f>"405.01.02"</f>
        <v>405.01.02</v>
      </c>
      <c r="B107" s="71" t="s">
        <v>778</v>
      </c>
      <c r="C107" s="84">
        <f>CE_RegimeContributivo!B109</f>
        <v>0</v>
      </c>
      <c r="D107" s="84">
        <f>CE_RegimeContributivo!C109</f>
        <v>0</v>
      </c>
      <c r="E107" s="84">
        <f>CE_RegimeContributivo!S109</f>
        <v>0</v>
      </c>
      <c r="F107" s="31" t="e">
        <f t="shared" si="60"/>
        <v>#DIV/0!</v>
      </c>
      <c r="G107" s="84">
        <f>CE_RegimeNaoContributivo!B109</f>
        <v>0</v>
      </c>
      <c r="H107" s="84">
        <f>CE_RegimeNaoContributivo!C109</f>
        <v>0</v>
      </c>
      <c r="I107" s="84">
        <f>CE_RegimeNaoContributivo!S109</f>
        <v>0</v>
      </c>
      <c r="J107" s="31" t="e">
        <f t="shared" si="62"/>
        <v>#DIV/0!</v>
      </c>
      <c r="K107" s="20">
        <f>CE_AdministraçãoINSS!B109</f>
        <v>0</v>
      </c>
      <c r="L107" s="20">
        <f>CE_AdministraçãoINSS!C109</f>
        <v>0</v>
      </c>
      <c r="M107" s="20">
        <f>CE_AdministraçãoINSS!S109</f>
        <v>0</v>
      </c>
      <c r="N107" s="31" t="e">
        <f t="shared" si="64"/>
        <v>#DIV/0!</v>
      </c>
      <c r="O107" s="20">
        <f t="shared" si="65"/>
        <v>0</v>
      </c>
      <c r="P107" s="20">
        <f t="shared" si="65"/>
        <v>0</v>
      </c>
      <c r="Q107" s="20">
        <f t="shared" si="65"/>
        <v>0</v>
      </c>
      <c r="R107" s="31" t="e">
        <f t="shared" si="66"/>
        <v>#DIV/0!</v>
      </c>
      <c r="S107" s="20">
        <f>CE_AdministraçãoFRSS!B109</f>
        <v>0</v>
      </c>
      <c r="T107" s="20">
        <f>CE_AdministraçãoFRSS!C109</f>
        <v>0</v>
      </c>
      <c r="U107" s="20">
        <f>CE_AdministraçãoFRSS!S109</f>
        <v>0</v>
      </c>
      <c r="V107" s="31" t="e">
        <f t="shared" si="68"/>
        <v>#DIV/0!</v>
      </c>
      <c r="W107" s="20">
        <f t="shared" si="69"/>
        <v>0</v>
      </c>
      <c r="X107" s="20">
        <f t="shared" si="70"/>
        <v>0</v>
      </c>
      <c r="Y107" s="20">
        <f t="shared" si="71"/>
        <v>0</v>
      </c>
      <c r="Z107" s="31" t="e">
        <f t="shared" si="72"/>
        <v>#DIV/0!</v>
      </c>
      <c r="AA107" s="20">
        <f t="shared" si="73"/>
        <v>0</v>
      </c>
      <c r="AB107" s="20">
        <f t="shared" si="74"/>
        <v>0</v>
      </c>
      <c r="AC107" s="20">
        <f t="shared" si="75"/>
        <v>0</v>
      </c>
      <c r="AD107" s="31" t="e">
        <f t="shared" si="76"/>
        <v>#DIV/0!</v>
      </c>
      <c r="AE107" s="24"/>
      <c r="AF107" s="24"/>
      <c r="AG107" s="67"/>
      <c r="AH107" s="16"/>
      <c r="AI107" s="16"/>
      <c r="AJ107" s="16"/>
      <c r="AK107" s="16"/>
    </row>
    <row r="108" spans="1:37" s="21" customFormat="1" ht="15" customHeight="1" x14ac:dyDescent="0.2">
      <c r="A108" s="77" t="str">
        <f>"405.01.03"</f>
        <v>405.01.03</v>
      </c>
      <c r="B108" s="71" t="s">
        <v>118</v>
      </c>
      <c r="C108" s="84">
        <f>CE_RegimeContributivo!B110</f>
        <v>0</v>
      </c>
      <c r="D108" s="84">
        <f>CE_RegimeContributivo!C110</f>
        <v>0</v>
      </c>
      <c r="E108" s="84">
        <f>CE_RegimeContributivo!S110</f>
        <v>0</v>
      </c>
      <c r="F108" s="31" t="e">
        <f t="shared" si="60"/>
        <v>#DIV/0!</v>
      </c>
      <c r="G108" s="84">
        <f>CE_RegimeNaoContributivo!B110</f>
        <v>0</v>
      </c>
      <c r="H108" s="84">
        <f>CE_RegimeNaoContributivo!C110</f>
        <v>0</v>
      </c>
      <c r="I108" s="84">
        <f>CE_RegimeNaoContributivo!S110</f>
        <v>0</v>
      </c>
      <c r="J108" s="31" t="e">
        <f t="shared" si="62"/>
        <v>#DIV/0!</v>
      </c>
      <c r="K108" s="20">
        <f>CE_AdministraçãoINSS!B110</f>
        <v>0</v>
      </c>
      <c r="L108" s="20">
        <f>CE_AdministraçãoINSS!C110</f>
        <v>0</v>
      </c>
      <c r="M108" s="20">
        <f>CE_AdministraçãoINSS!S110</f>
        <v>0</v>
      </c>
      <c r="N108" s="31" t="e">
        <f t="shared" si="64"/>
        <v>#DIV/0!</v>
      </c>
      <c r="O108" s="20">
        <f t="shared" si="65"/>
        <v>0</v>
      </c>
      <c r="P108" s="20">
        <f t="shared" si="65"/>
        <v>0</v>
      </c>
      <c r="Q108" s="20">
        <f t="shared" si="65"/>
        <v>0</v>
      </c>
      <c r="R108" s="31" t="e">
        <f t="shared" si="66"/>
        <v>#DIV/0!</v>
      </c>
      <c r="S108" s="20">
        <f>CE_AdministraçãoFRSS!B110</f>
        <v>0</v>
      </c>
      <c r="T108" s="20">
        <f>CE_AdministraçãoFRSS!C110</f>
        <v>0</v>
      </c>
      <c r="U108" s="20">
        <f>CE_AdministraçãoFRSS!S110</f>
        <v>0</v>
      </c>
      <c r="V108" s="31" t="e">
        <f t="shared" si="68"/>
        <v>#DIV/0!</v>
      </c>
      <c r="W108" s="20">
        <f t="shared" si="69"/>
        <v>0</v>
      </c>
      <c r="X108" s="20">
        <f t="shared" si="70"/>
        <v>0</v>
      </c>
      <c r="Y108" s="20">
        <f t="shared" si="71"/>
        <v>0</v>
      </c>
      <c r="Z108" s="31" t="e">
        <f t="shared" si="72"/>
        <v>#DIV/0!</v>
      </c>
      <c r="AA108" s="20">
        <f t="shared" si="73"/>
        <v>0</v>
      </c>
      <c r="AB108" s="20">
        <f t="shared" si="74"/>
        <v>0</v>
      </c>
      <c r="AC108" s="20">
        <f t="shared" si="75"/>
        <v>0</v>
      </c>
      <c r="AD108" s="31" t="e">
        <f t="shared" si="76"/>
        <v>#DIV/0!</v>
      </c>
      <c r="AE108" s="24"/>
      <c r="AF108" s="24"/>
      <c r="AG108" s="67"/>
      <c r="AH108" s="16"/>
      <c r="AI108" s="16"/>
      <c r="AJ108" s="16"/>
      <c r="AK108" s="16"/>
    </row>
    <row r="109" spans="1:37" s="21" customFormat="1" ht="15" customHeight="1" x14ac:dyDescent="0.2">
      <c r="A109" s="77" t="str">
        <f>"405.01.04"</f>
        <v>405.01.04</v>
      </c>
      <c r="B109" s="71" t="s">
        <v>779</v>
      </c>
      <c r="C109" s="84">
        <f>CE_RegimeContributivo!B111</f>
        <v>0</v>
      </c>
      <c r="D109" s="84">
        <f>CE_RegimeContributivo!C111</f>
        <v>0</v>
      </c>
      <c r="E109" s="84">
        <f>CE_RegimeContributivo!S111</f>
        <v>0</v>
      </c>
      <c r="F109" s="31" t="e">
        <f t="shared" si="60"/>
        <v>#DIV/0!</v>
      </c>
      <c r="G109" s="84">
        <f>CE_RegimeNaoContributivo!B111</f>
        <v>0</v>
      </c>
      <c r="H109" s="84">
        <f>CE_RegimeNaoContributivo!C111</f>
        <v>0</v>
      </c>
      <c r="I109" s="84">
        <f>CE_RegimeNaoContributivo!S111</f>
        <v>0</v>
      </c>
      <c r="J109" s="31" t="e">
        <f t="shared" si="62"/>
        <v>#DIV/0!</v>
      </c>
      <c r="K109" s="20">
        <f>CE_AdministraçãoINSS!B111</f>
        <v>0</v>
      </c>
      <c r="L109" s="20">
        <f>CE_AdministraçãoINSS!C111</f>
        <v>0</v>
      </c>
      <c r="M109" s="20">
        <f>CE_AdministraçãoINSS!S111</f>
        <v>0</v>
      </c>
      <c r="N109" s="31" t="e">
        <f t="shared" si="64"/>
        <v>#DIV/0!</v>
      </c>
      <c r="O109" s="20">
        <f t="shared" si="65"/>
        <v>0</v>
      </c>
      <c r="P109" s="20">
        <f t="shared" si="65"/>
        <v>0</v>
      </c>
      <c r="Q109" s="20">
        <f t="shared" si="65"/>
        <v>0</v>
      </c>
      <c r="R109" s="31" t="e">
        <f t="shared" si="66"/>
        <v>#DIV/0!</v>
      </c>
      <c r="S109" s="20">
        <f>CE_AdministraçãoFRSS!B111</f>
        <v>0</v>
      </c>
      <c r="T109" s="20">
        <f>CE_AdministraçãoFRSS!C111</f>
        <v>0</v>
      </c>
      <c r="U109" s="20">
        <f>CE_AdministraçãoFRSS!S111</f>
        <v>0</v>
      </c>
      <c r="V109" s="31" t="e">
        <f t="shared" si="68"/>
        <v>#DIV/0!</v>
      </c>
      <c r="W109" s="20">
        <f t="shared" si="69"/>
        <v>0</v>
      </c>
      <c r="X109" s="20">
        <f t="shared" si="70"/>
        <v>0</v>
      </c>
      <c r="Y109" s="20">
        <f t="shared" si="71"/>
        <v>0</v>
      </c>
      <c r="Z109" s="31" t="e">
        <f t="shared" si="72"/>
        <v>#DIV/0!</v>
      </c>
      <c r="AA109" s="20">
        <f t="shared" si="73"/>
        <v>0</v>
      </c>
      <c r="AB109" s="20">
        <f t="shared" si="74"/>
        <v>0</v>
      </c>
      <c r="AC109" s="20">
        <f t="shared" si="75"/>
        <v>0</v>
      </c>
      <c r="AD109" s="31" t="e">
        <f t="shared" si="76"/>
        <v>#DIV/0!</v>
      </c>
      <c r="AE109" s="24"/>
      <c r="AF109" s="24"/>
      <c r="AG109" s="67"/>
      <c r="AH109" s="16"/>
      <c r="AI109" s="16"/>
      <c r="AJ109" s="16"/>
      <c r="AK109" s="16"/>
    </row>
    <row r="110" spans="1:37" s="21" customFormat="1" ht="15" customHeight="1" x14ac:dyDescent="0.2">
      <c r="A110" s="77" t="str">
        <f>"405.01.05"</f>
        <v>405.01.05</v>
      </c>
      <c r="B110" s="71" t="s">
        <v>780</v>
      </c>
      <c r="C110" s="84">
        <f>CE_RegimeContributivo!B112</f>
        <v>0</v>
      </c>
      <c r="D110" s="84">
        <f>CE_RegimeContributivo!C112</f>
        <v>0</v>
      </c>
      <c r="E110" s="84">
        <f>CE_RegimeContributivo!S112</f>
        <v>0</v>
      </c>
      <c r="F110" s="31" t="e">
        <f t="shared" si="60"/>
        <v>#DIV/0!</v>
      </c>
      <c r="G110" s="84">
        <f>CE_RegimeNaoContributivo!B112</f>
        <v>0</v>
      </c>
      <c r="H110" s="84">
        <f>CE_RegimeNaoContributivo!C112</f>
        <v>0</v>
      </c>
      <c r="I110" s="84">
        <f>CE_RegimeNaoContributivo!S112</f>
        <v>0</v>
      </c>
      <c r="J110" s="31" t="e">
        <f t="shared" si="62"/>
        <v>#DIV/0!</v>
      </c>
      <c r="K110" s="20">
        <f>CE_AdministraçãoINSS!B112</f>
        <v>0</v>
      </c>
      <c r="L110" s="20">
        <f>CE_AdministraçãoINSS!C112</f>
        <v>0</v>
      </c>
      <c r="M110" s="20">
        <f>CE_AdministraçãoINSS!S112</f>
        <v>0</v>
      </c>
      <c r="N110" s="31" t="e">
        <f t="shared" si="64"/>
        <v>#DIV/0!</v>
      </c>
      <c r="O110" s="20">
        <f t="shared" si="65"/>
        <v>0</v>
      </c>
      <c r="P110" s="20">
        <f t="shared" si="65"/>
        <v>0</v>
      </c>
      <c r="Q110" s="20">
        <f t="shared" si="65"/>
        <v>0</v>
      </c>
      <c r="R110" s="31" t="e">
        <f t="shared" si="66"/>
        <v>#DIV/0!</v>
      </c>
      <c r="S110" s="20">
        <f>CE_AdministraçãoFRSS!B112</f>
        <v>0</v>
      </c>
      <c r="T110" s="20">
        <f>CE_AdministraçãoFRSS!C112</f>
        <v>0</v>
      </c>
      <c r="U110" s="20">
        <f>CE_AdministraçãoFRSS!S112</f>
        <v>0</v>
      </c>
      <c r="V110" s="31" t="e">
        <f t="shared" si="68"/>
        <v>#DIV/0!</v>
      </c>
      <c r="W110" s="20">
        <f t="shared" si="69"/>
        <v>0</v>
      </c>
      <c r="X110" s="20">
        <f t="shared" si="70"/>
        <v>0</v>
      </c>
      <c r="Y110" s="20">
        <f t="shared" si="71"/>
        <v>0</v>
      </c>
      <c r="Z110" s="31" t="e">
        <f t="shared" si="72"/>
        <v>#DIV/0!</v>
      </c>
      <c r="AA110" s="20">
        <f t="shared" si="73"/>
        <v>0</v>
      </c>
      <c r="AB110" s="20">
        <f t="shared" si="74"/>
        <v>0</v>
      </c>
      <c r="AC110" s="20">
        <f t="shared" si="75"/>
        <v>0</v>
      </c>
      <c r="AD110" s="31" t="e">
        <f t="shared" si="76"/>
        <v>#DIV/0!</v>
      </c>
      <c r="AE110" s="24"/>
      <c r="AF110" s="24"/>
      <c r="AG110" s="67"/>
      <c r="AH110" s="16"/>
      <c r="AI110" s="16"/>
      <c r="AJ110" s="16"/>
      <c r="AK110" s="16"/>
    </row>
    <row r="111" spans="1:37" s="21" customFormat="1" ht="15" customHeight="1" x14ac:dyDescent="0.2">
      <c r="A111" s="77" t="str">
        <f>"405.01.06"</f>
        <v>405.01.06</v>
      </c>
      <c r="B111" s="71" t="s">
        <v>781</v>
      </c>
      <c r="C111" s="84">
        <f>CE_RegimeContributivo!B113</f>
        <v>0</v>
      </c>
      <c r="D111" s="84">
        <f>CE_RegimeContributivo!C113</f>
        <v>0</v>
      </c>
      <c r="E111" s="84">
        <f>CE_RegimeContributivo!S113</f>
        <v>0</v>
      </c>
      <c r="F111" s="31" t="e">
        <f t="shared" si="60"/>
        <v>#DIV/0!</v>
      </c>
      <c r="G111" s="84">
        <f>CE_RegimeNaoContributivo!B113</f>
        <v>0</v>
      </c>
      <c r="H111" s="84">
        <f>CE_RegimeNaoContributivo!C113</f>
        <v>0</v>
      </c>
      <c r="I111" s="84">
        <f>CE_RegimeNaoContributivo!S113</f>
        <v>0</v>
      </c>
      <c r="J111" s="31" t="e">
        <f t="shared" si="62"/>
        <v>#DIV/0!</v>
      </c>
      <c r="K111" s="20">
        <f>CE_AdministraçãoINSS!B113</f>
        <v>0</v>
      </c>
      <c r="L111" s="20">
        <f>CE_AdministraçãoINSS!C113</f>
        <v>0</v>
      </c>
      <c r="M111" s="20">
        <f>CE_AdministraçãoINSS!S113</f>
        <v>0</v>
      </c>
      <c r="N111" s="31" t="e">
        <f t="shared" si="64"/>
        <v>#DIV/0!</v>
      </c>
      <c r="O111" s="20">
        <f t="shared" si="65"/>
        <v>0</v>
      </c>
      <c r="P111" s="20">
        <f t="shared" si="65"/>
        <v>0</v>
      </c>
      <c r="Q111" s="20">
        <f t="shared" si="65"/>
        <v>0</v>
      </c>
      <c r="R111" s="31" t="e">
        <f t="shared" si="66"/>
        <v>#DIV/0!</v>
      </c>
      <c r="S111" s="20">
        <f>CE_AdministraçãoFRSS!B113</f>
        <v>0</v>
      </c>
      <c r="T111" s="20">
        <f>CE_AdministraçãoFRSS!C113</f>
        <v>0</v>
      </c>
      <c r="U111" s="20">
        <f>CE_AdministraçãoFRSS!S113</f>
        <v>0</v>
      </c>
      <c r="V111" s="31" t="e">
        <f t="shared" si="68"/>
        <v>#DIV/0!</v>
      </c>
      <c r="W111" s="20">
        <f t="shared" si="69"/>
        <v>0</v>
      </c>
      <c r="X111" s="20">
        <f t="shared" si="70"/>
        <v>0</v>
      </c>
      <c r="Y111" s="20">
        <f t="shared" si="71"/>
        <v>0</v>
      </c>
      <c r="Z111" s="31" t="e">
        <f t="shared" si="72"/>
        <v>#DIV/0!</v>
      </c>
      <c r="AA111" s="20">
        <f t="shared" si="73"/>
        <v>0</v>
      </c>
      <c r="AB111" s="20">
        <f t="shared" si="74"/>
        <v>0</v>
      </c>
      <c r="AC111" s="20">
        <f t="shared" si="75"/>
        <v>0</v>
      </c>
      <c r="AD111" s="31" t="e">
        <f t="shared" si="76"/>
        <v>#DIV/0!</v>
      </c>
      <c r="AE111" s="24"/>
      <c r="AF111" s="24"/>
      <c r="AG111" s="67"/>
      <c r="AH111" s="16"/>
      <c r="AI111" s="16"/>
      <c r="AJ111" s="16"/>
      <c r="AK111" s="16"/>
    </row>
    <row r="112" spans="1:37" s="21" customFormat="1" ht="15" customHeight="1" x14ac:dyDescent="0.2">
      <c r="A112" s="77" t="str">
        <f>"405.01.07"</f>
        <v>405.01.07</v>
      </c>
      <c r="B112" s="71" t="s">
        <v>782</v>
      </c>
      <c r="C112" s="84">
        <f>CE_RegimeContributivo!B114</f>
        <v>0</v>
      </c>
      <c r="D112" s="84">
        <f>CE_RegimeContributivo!C114</f>
        <v>0</v>
      </c>
      <c r="E112" s="84">
        <f>CE_RegimeContributivo!S114</f>
        <v>0</v>
      </c>
      <c r="F112" s="31" t="e">
        <f t="shared" si="60"/>
        <v>#DIV/0!</v>
      </c>
      <c r="G112" s="84">
        <f>CE_RegimeNaoContributivo!B114</f>
        <v>0</v>
      </c>
      <c r="H112" s="84">
        <f>CE_RegimeNaoContributivo!C114</f>
        <v>0</v>
      </c>
      <c r="I112" s="84">
        <f>CE_RegimeNaoContributivo!S114</f>
        <v>0</v>
      </c>
      <c r="J112" s="31" t="e">
        <f t="shared" si="62"/>
        <v>#DIV/0!</v>
      </c>
      <c r="K112" s="20">
        <f>CE_AdministraçãoINSS!B114</f>
        <v>0</v>
      </c>
      <c r="L112" s="20">
        <f>CE_AdministraçãoINSS!C114</f>
        <v>0</v>
      </c>
      <c r="M112" s="20">
        <f>CE_AdministraçãoINSS!S114</f>
        <v>0</v>
      </c>
      <c r="N112" s="31" t="e">
        <f t="shared" si="64"/>
        <v>#DIV/0!</v>
      </c>
      <c r="O112" s="20">
        <f t="shared" si="65"/>
        <v>0</v>
      </c>
      <c r="P112" s="20">
        <f t="shared" si="65"/>
        <v>0</v>
      </c>
      <c r="Q112" s="20">
        <f t="shared" si="65"/>
        <v>0</v>
      </c>
      <c r="R112" s="31" t="e">
        <f t="shared" si="66"/>
        <v>#DIV/0!</v>
      </c>
      <c r="S112" s="20">
        <f>CE_AdministraçãoFRSS!B114</f>
        <v>0</v>
      </c>
      <c r="T112" s="20">
        <f>CE_AdministraçãoFRSS!C114</f>
        <v>0</v>
      </c>
      <c r="U112" s="20">
        <f>CE_AdministraçãoFRSS!S114</f>
        <v>0</v>
      </c>
      <c r="V112" s="31" t="e">
        <f t="shared" si="68"/>
        <v>#DIV/0!</v>
      </c>
      <c r="W112" s="20">
        <f t="shared" si="69"/>
        <v>0</v>
      </c>
      <c r="X112" s="20">
        <f t="shared" si="70"/>
        <v>0</v>
      </c>
      <c r="Y112" s="20">
        <f t="shared" si="71"/>
        <v>0</v>
      </c>
      <c r="Z112" s="31" t="e">
        <f t="shared" si="72"/>
        <v>#DIV/0!</v>
      </c>
      <c r="AA112" s="20">
        <f t="shared" si="73"/>
        <v>0</v>
      </c>
      <c r="AB112" s="20">
        <f t="shared" si="74"/>
        <v>0</v>
      </c>
      <c r="AC112" s="20">
        <f t="shared" si="75"/>
        <v>0</v>
      </c>
      <c r="AD112" s="31" t="e">
        <f t="shared" si="76"/>
        <v>#DIV/0!</v>
      </c>
      <c r="AE112" s="24"/>
      <c r="AF112" s="24"/>
      <c r="AG112" s="67"/>
      <c r="AH112" s="16"/>
      <c r="AI112" s="16"/>
      <c r="AJ112" s="16"/>
      <c r="AK112" s="16"/>
    </row>
    <row r="113" spans="1:37" s="21" customFormat="1" ht="15" customHeight="1" x14ac:dyDescent="0.2">
      <c r="A113" s="77" t="str">
        <f>"405.01.08"</f>
        <v>405.01.08</v>
      </c>
      <c r="B113" s="71" t="s">
        <v>783</v>
      </c>
      <c r="C113" s="84">
        <f>CE_RegimeContributivo!B115</f>
        <v>0</v>
      </c>
      <c r="D113" s="84">
        <f>CE_RegimeContributivo!C115</f>
        <v>0</v>
      </c>
      <c r="E113" s="84">
        <f>CE_RegimeContributivo!S115</f>
        <v>0</v>
      </c>
      <c r="F113" s="31" t="e">
        <f t="shared" si="60"/>
        <v>#DIV/0!</v>
      </c>
      <c r="G113" s="84">
        <f>CE_RegimeNaoContributivo!B115</f>
        <v>0</v>
      </c>
      <c r="H113" s="84">
        <f>CE_RegimeNaoContributivo!C115</f>
        <v>0</v>
      </c>
      <c r="I113" s="84">
        <f>CE_RegimeNaoContributivo!S115</f>
        <v>0</v>
      </c>
      <c r="J113" s="31" t="e">
        <f t="shared" si="62"/>
        <v>#DIV/0!</v>
      </c>
      <c r="K113" s="20">
        <f>CE_AdministraçãoINSS!B115</f>
        <v>0</v>
      </c>
      <c r="L113" s="20">
        <f>CE_AdministraçãoINSS!C115</f>
        <v>0</v>
      </c>
      <c r="M113" s="20">
        <f>CE_AdministraçãoINSS!S115</f>
        <v>0</v>
      </c>
      <c r="N113" s="31" t="e">
        <f t="shared" si="64"/>
        <v>#DIV/0!</v>
      </c>
      <c r="O113" s="20">
        <f t="shared" si="65"/>
        <v>0</v>
      </c>
      <c r="P113" s="20">
        <f t="shared" si="65"/>
        <v>0</v>
      </c>
      <c r="Q113" s="20">
        <f t="shared" si="65"/>
        <v>0</v>
      </c>
      <c r="R113" s="31" t="e">
        <f t="shared" si="66"/>
        <v>#DIV/0!</v>
      </c>
      <c r="S113" s="20">
        <f>CE_AdministraçãoFRSS!B115</f>
        <v>0</v>
      </c>
      <c r="T113" s="20">
        <f>CE_AdministraçãoFRSS!C115</f>
        <v>0</v>
      </c>
      <c r="U113" s="20">
        <f>CE_AdministraçãoFRSS!S115</f>
        <v>0</v>
      </c>
      <c r="V113" s="31" t="e">
        <f t="shared" si="68"/>
        <v>#DIV/0!</v>
      </c>
      <c r="W113" s="20">
        <f t="shared" si="69"/>
        <v>0</v>
      </c>
      <c r="X113" s="20">
        <f t="shared" si="70"/>
        <v>0</v>
      </c>
      <c r="Y113" s="20">
        <f t="shared" si="71"/>
        <v>0</v>
      </c>
      <c r="Z113" s="31" t="e">
        <f t="shared" si="72"/>
        <v>#DIV/0!</v>
      </c>
      <c r="AA113" s="20">
        <f t="shared" si="73"/>
        <v>0</v>
      </c>
      <c r="AB113" s="20">
        <f t="shared" si="74"/>
        <v>0</v>
      </c>
      <c r="AC113" s="20">
        <f t="shared" si="75"/>
        <v>0</v>
      </c>
      <c r="AD113" s="31" t="e">
        <f t="shared" si="76"/>
        <v>#DIV/0!</v>
      </c>
      <c r="AE113" s="24"/>
      <c r="AF113" s="24"/>
      <c r="AG113" s="67"/>
      <c r="AH113" s="16"/>
      <c r="AI113" s="16"/>
      <c r="AJ113" s="16"/>
      <c r="AK113" s="16"/>
    </row>
    <row r="114" spans="1:37" s="21" customFormat="1" ht="15" customHeight="1" x14ac:dyDescent="0.2">
      <c r="A114" s="77" t="str">
        <f>"405.01.09"</f>
        <v>405.01.09</v>
      </c>
      <c r="B114" s="71" t="s">
        <v>784</v>
      </c>
      <c r="C114" s="84">
        <f>CE_RegimeContributivo!B116</f>
        <v>0</v>
      </c>
      <c r="D114" s="84">
        <f>CE_RegimeContributivo!C116</f>
        <v>0</v>
      </c>
      <c r="E114" s="84">
        <f>CE_RegimeContributivo!S116</f>
        <v>0</v>
      </c>
      <c r="F114" s="31" t="e">
        <f t="shared" si="60"/>
        <v>#DIV/0!</v>
      </c>
      <c r="G114" s="84">
        <f>CE_RegimeNaoContributivo!B116</f>
        <v>0</v>
      </c>
      <c r="H114" s="84">
        <f>CE_RegimeNaoContributivo!C116</f>
        <v>0</v>
      </c>
      <c r="I114" s="84">
        <f>CE_RegimeNaoContributivo!S116</f>
        <v>0</v>
      </c>
      <c r="J114" s="31" t="e">
        <f t="shared" si="62"/>
        <v>#DIV/0!</v>
      </c>
      <c r="K114" s="20">
        <f>CE_AdministraçãoINSS!B116</f>
        <v>0</v>
      </c>
      <c r="L114" s="20">
        <f>CE_AdministraçãoINSS!C116</f>
        <v>0</v>
      </c>
      <c r="M114" s="20">
        <f>CE_AdministraçãoINSS!S116</f>
        <v>0</v>
      </c>
      <c r="N114" s="31" t="e">
        <f t="shared" si="64"/>
        <v>#DIV/0!</v>
      </c>
      <c r="O114" s="20">
        <f t="shared" si="65"/>
        <v>0</v>
      </c>
      <c r="P114" s="20">
        <f t="shared" si="65"/>
        <v>0</v>
      </c>
      <c r="Q114" s="20">
        <f t="shared" si="65"/>
        <v>0</v>
      </c>
      <c r="R114" s="31" t="e">
        <f t="shared" si="66"/>
        <v>#DIV/0!</v>
      </c>
      <c r="S114" s="20">
        <f>CE_AdministraçãoFRSS!B116</f>
        <v>0</v>
      </c>
      <c r="T114" s="20">
        <f>CE_AdministraçãoFRSS!C116</f>
        <v>0</v>
      </c>
      <c r="U114" s="20">
        <f>CE_AdministraçãoFRSS!S116</f>
        <v>0</v>
      </c>
      <c r="V114" s="31" t="e">
        <f t="shared" si="68"/>
        <v>#DIV/0!</v>
      </c>
      <c r="W114" s="20">
        <f t="shared" si="69"/>
        <v>0</v>
      </c>
      <c r="X114" s="20">
        <f t="shared" si="70"/>
        <v>0</v>
      </c>
      <c r="Y114" s="20">
        <f t="shared" si="71"/>
        <v>0</v>
      </c>
      <c r="Z114" s="31" t="e">
        <f t="shared" si="72"/>
        <v>#DIV/0!</v>
      </c>
      <c r="AA114" s="20">
        <f t="shared" si="73"/>
        <v>0</v>
      </c>
      <c r="AB114" s="20">
        <f t="shared" si="74"/>
        <v>0</v>
      </c>
      <c r="AC114" s="20">
        <f t="shared" si="75"/>
        <v>0</v>
      </c>
      <c r="AD114" s="31" t="e">
        <f t="shared" si="76"/>
        <v>#DIV/0!</v>
      </c>
      <c r="AE114" s="24"/>
      <c r="AF114" s="24"/>
      <c r="AG114" s="67"/>
      <c r="AH114" s="16"/>
      <c r="AI114" s="16"/>
      <c r="AJ114" s="16"/>
      <c r="AK114" s="16"/>
    </row>
    <row r="115" spans="1:37" s="21" customFormat="1" ht="15" customHeight="1" x14ac:dyDescent="0.2">
      <c r="A115" s="77" t="str">
        <f>"405.01.10"</f>
        <v>405.01.10</v>
      </c>
      <c r="B115" s="71" t="s">
        <v>785</v>
      </c>
      <c r="C115" s="84">
        <f>CE_RegimeContributivo!B117</f>
        <v>0</v>
      </c>
      <c r="D115" s="84">
        <f>CE_RegimeContributivo!C117</f>
        <v>0</v>
      </c>
      <c r="E115" s="84">
        <f>CE_RegimeContributivo!S117</f>
        <v>0</v>
      </c>
      <c r="F115" s="31" t="e">
        <f t="shared" si="60"/>
        <v>#DIV/0!</v>
      </c>
      <c r="G115" s="84">
        <f>CE_RegimeNaoContributivo!B117</f>
        <v>0</v>
      </c>
      <c r="H115" s="84">
        <f>CE_RegimeNaoContributivo!C117</f>
        <v>0</v>
      </c>
      <c r="I115" s="84">
        <f>CE_RegimeNaoContributivo!S117</f>
        <v>0</v>
      </c>
      <c r="J115" s="31" t="e">
        <f t="shared" si="62"/>
        <v>#DIV/0!</v>
      </c>
      <c r="K115" s="20">
        <f>CE_AdministraçãoINSS!B117</f>
        <v>0</v>
      </c>
      <c r="L115" s="20">
        <f>CE_AdministraçãoINSS!C117</f>
        <v>0</v>
      </c>
      <c r="M115" s="20">
        <f>CE_AdministraçãoINSS!S117</f>
        <v>0</v>
      </c>
      <c r="N115" s="31" t="e">
        <f t="shared" si="64"/>
        <v>#DIV/0!</v>
      </c>
      <c r="O115" s="20">
        <f t="shared" si="65"/>
        <v>0</v>
      </c>
      <c r="P115" s="20">
        <f t="shared" si="65"/>
        <v>0</v>
      </c>
      <c r="Q115" s="20">
        <f t="shared" si="65"/>
        <v>0</v>
      </c>
      <c r="R115" s="31" t="e">
        <f t="shared" si="66"/>
        <v>#DIV/0!</v>
      </c>
      <c r="S115" s="20">
        <f>CE_AdministraçãoFRSS!B117</f>
        <v>0</v>
      </c>
      <c r="T115" s="20">
        <f>CE_AdministraçãoFRSS!C117</f>
        <v>0</v>
      </c>
      <c r="U115" s="20">
        <f>CE_AdministraçãoFRSS!S117</f>
        <v>0</v>
      </c>
      <c r="V115" s="31" t="e">
        <f t="shared" si="68"/>
        <v>#DIV/0!</v>
      </c>
      <c r="W115" s="20">
        <f t="shared" si="69"/>
        <v>0</v>
      </c>
      <c r="X115" s="20">
        <f t="shared" si="70"/>
        <v>0</v>
      </c>
      <c r="Y115" s="20">
        <f t="shared" si="71"/>
        <v>0</v>
      </c>
      <c r="Z115" s="31" t="e">
        <f t="shared" si="72"/>
        <v>#DIV/0!</v>
      </c>
      <c r="AA115" s="20">
        <f t="shared" si="73"/>
        <v>0</v>
      </c>
      <c r="AB115" s="20">
        <f t="shared" si="74"/>
        <v>0</v>
      </c>
      <c r="AC115" s="20">
        <f t="shared" si="75"/>
        <v>0</v>
      </c>
      <c r="AD115" s="31" t="e">
        <f t="shared" si="76"/>
        <v>#DIV/0!</v>
      </c>
      <c r="AE115" s="24"/>
      <c r="AF115" s="24"/>
      <c r="AG115" s="67"/>
      <c r="AH115" s="16"/>
      <c r="AI115" s="16"/>
      <c r="AJ115" s="16"/>
      <c r="AK115" s="16"/>
    </row>
    <row r="116" spans="1:37" x14ac:dyDescent="0.2">
      <c r="A116" s="76" t="str">
        <f>"405.02"</f>
        <v>405.02</v>
      </c>
      <c r="B116" s="70" t="s">
        <v>119</v>
      </c>
      <c r="C116" s="83">
        <f>SUM(C117:C133)</f>
        <v>0</v>
      </c>
      <c r="D116" s="83">
        <f>SUM(D117:D133)</f>
        <v>0</v>
      </c>
      <c r="E116" s="83">
        <f>SUM(E117:E133)</f>
        <v>0</v>
      </c>
      <c r="F116" s="30" t="e">
        <f t="shared" si="60"/>
        <v>#DIV/0!</v>
      </c>
      <c r="G116" s="83">
        <f>SUM(G117:G133)</f>
        <v>0</v>
      </c>
      <c r="H116" s="83">
        <f t="shared" ref="H116:I116" si="128">SUM(H117:H133)</f>
        <v>0</v>
      </c>
      <c r="I116" s="83">
        <f t="shared" si="128"/>
        <v>0</v>
      </c>
      <c r="J116" s="30" t="e">
        <f t="shared" si="62"/>
        <v>#DIV/0!</v>
      </c>
      <c r="K116" s="19">
        <f>SUM(K117:K133)</f>
        <v>0</v>
      </c>
      <c r="L116" s="19">
        <f t="shared" ref="L116:M116" si="129">SUM(L117:L133)</f>
        <v>0</v>
      </c>
      <c r="M116" s="19">
        <f t="shared" si="129"/>
        <v>0</v>
      </c>
      <c r="N116" s="30" t="e">
        <f t="shared" si="64"/>
        <v>#DIV/0!</v>
      </c>
      <c r="O116" s="19">
        <f t="shared" si="65"/>
        <v>0</v>
      </c>
      <c r="P116" s="19">
        <f t="shared" si="65"/>
        <v>0</v>
      </c>
      <c r="Q116" s="19">
        <f t="shared" si="65"/>
        <v>0</v>
      </c>
      <c r="R116" s="30" t="e">
        <f t="shared" si="66"/>
        <v>#DIV/0!</v>
      </c>
      <c r="S116" s="19">
        <f>SUM(S117:S133)</f>
        <v>0</v>
      </c>
      <c r="T116" s="19">
        <f t="shared" ref="T116:U116" si="130">SUM(T117:T133)</f>
        <v>0</v>
      </c>
      <c r="U116" s="19">
        <f t="shared" si="130"/>
        <v>0</v>
      </c>
      <c r="V116" s="30" t="e">
        <f t="shared" si="68"/>
        <v>#DIV/0!</v>
      </c>
      <c r="W116" s="19">
        <f t="shared" si="69"/>
        <v>0</v>
      </c>
      <c r="X116" s="19">
        <f t="shared" si="70"/>
        <v>0</v>
      </c>
      <c r="Y116" s="19">
        <f t="shared" si="71"/>
        <v>0</v>
      </c>
      <c r="Z116" s="30" t="e">
        <f t="shared" si="72"/>
        <v>#DIV/0!</v>
      </c>
      <c r="AA116" s="19">
        <f t="shared" si="73"/>
        <v>0</v>
      </c>
      <c r="AB116" s="19">
        <f t="shared" si="74"/>
        <v>0</v>
      </c>
      <c r="AC116" s="19">
        <f t="shared" si="75"/>
        <v>0</v>
      </c>
      <c r="AD116" s="30" t="e">
        <f t="shared" si="76"/>
        <v>#DIV/0!</v>
      </c>
      <c r="AE116" s="24"/>
      <c r="AF116" s="24"/>
      <c r="AG116" s="67"/>
    </row>
    <row r="117" spans="1:37" s="21" customFormat="1" ht="15" customHeight="1" x14ac:dyDescent="0.2">
      <c r="A117" s="77" t="str">
        <f>"405.02.01"</f>
        <v>405.02.01</v>
      </c>
      <c r="B117" s="71" t="s">
        <v>786</v>
      </c>
      <c r="C117" s="84">
        <f>CE_RegimeContributivo!B119</f>
        <v>0</v>
      </c>
      <c r="D117" s="84">
        <f>CE_RegimeContributivo!C119</f>
        <v>0</v>
      </c>
      <c r="E117" s="84">
        <f>CE_RegimeContributivo!S119</f>
        <v>0</v>
      </c>
      <c r="F117" s="31" t="e">
        <f t="shared" si="60"/>
        <v>#DIV/0!</v>
      </c>
      <c r="G117" s="84">
        <f>CE_RegimeNaoContributivo!B119</f>
        <v>0</v>
      </c>
      <c r="H117" s="84">
        <f>CE_RegimeNaoContributivo!C119</f>
        <v>0</v>
      </c>
      <c r="I117" s="84">
        <f>CE_RegimeNaoContributivo!S119</f>
        <v>0</v>
      </c>
      <c r="J117" s="31" t="e">
        <f t="shared" si="62"/>
        <v>#DIV/0!</v>
      </c>
      <c r="K117" s="20">
        <f>CE_AdministraçãoINSS!B119</f>
        <v>0</v>
      </c>
      <c r="L117" s="20">
        <f>CE_AdministraçãoINSS!C119</f>
        <v>0</v>
      </c>
      <c r="M117" s="20">
        <f>CE_AdministraçãoINSS!S119</f>
        <v>0</v>
      </c>
      <c r="N117" s="31" t="e">
        <f t="shared" si="64"/>
        <v>#DIV/0!</v>
      </c>
      <c r="O117" s="20">
        <f t="shared" si="65"/>
        <v>0</v>
      </c>
      <c r="P117" s="20">
        <f t="shared" si="65"/>
        <v>0</v>
      </c>
      <c r="Q117" s="20">
        <f t="shared" si="65"/>
        <v>0</v>
      </c>
      <c r="R117" s="31" t="e">
        <f t="shared" si="66"/>
        <v>#DIV/0!</v>
      </c>
      <c r="S117" s="20">
        <f>CE_AdministraçãoFRSS!B119</f>
        <v>0</v>
      </c>
      <c r="T117" s="20">
        <f>CE_AdministraçãoFRSS!C119</f>
        <v>0</v>
      </c>
      <c r="U117" s="20">
        <f>CE_AdministraçãoFRSS!S119</f>
        <v>0</v>
      </c>
      <c r="V117" s="31" t="e">
        <f t="shared" si="68"/>
        <v>#DIV/0!</v>
      </c>
      <c r="W117" s="20">
        <f t="shared" si="69"/>
        <v>0</v>
      </c>
      <c r="X117" s="20">
        <f t="shared" si="70"/>
        <v>0</v>
      </c>
      <c r="Y117" s="20">
        <f t="shared" si="71"/>
        <v>0</v>
      </c>
      <c r="Z117" s="31" t="e">
        <f t="shared" si="72"/>
        <v>#DIV/0!</v>
      </c>
      <c r="AA117" s="20">
        <f t="shared" si="73"/>
        <v>0</v>
      </c>
      <c r="AB117" s="20">
        <f t="shared" si="74"/>
        <v>0</v>
      </c>
      <c r="AC117" s="20">
        <f t="shared" si="75"/>
        <v>0</v>
      </c>
      <c r="AD117" s="31" t="e">
        <f t="shared" si="76"/>
        <v>#DIV/0!</v>
      </c>
      <c r="AE117" s="24"/>
      <c r="AF117" s="24"/>
      <c r="AG117" s="67"/>
      <c r="AH117" s="16"/>
      <c r="AI117" s="16"/>
      <c r="AJ117" s="16"/>
      <c r="AK117" s="16"/>
    </row>
    <row r="118" spans="1:37" s="21" customFormat="1" ht="15" customHeight="1" x14ac:dyDescent="0.2">
      <c r="A118" s="77" t="str">
        <f>"405.02.02"</f>
        <v>405.02.02</v>
      </c>
      <c r="B118" s="71" t="s">
        <v>787</v>
      </c>
      <c r="C118" s="84">
        <f>CE_RegimeContributivo!B120</f>
        <v>0</v>
      </c>
      <c r="D118" s="84">
        <f>CE_RegimeContributivo!C120</f>
        <v>0</v>
      </c>
      <c r="E118" s="84">
        <f>CE_RegimeContributivo!S120</f>
        <v>0</v>
      </c>
      <c r="F118" s="31" t="e">
        <f t="shared" si="60"/>
        <v>#DIV/0!</v>
      </c>
      <c r="G118" s="84">
        <f>CE_RegimeNaoContributivo!B120</f>
        <v>0</v>
      </c>
      <c r="H118" s="84">
        <f>CE_RegimeNaoContributivo!C120</f>
        <v>0</v>
      </c>
      <c r="I118" s="84">
        <f>CE_RegimeNaoContributivo!S120</f>
        <v>0</v>
      </c>
      <c r="J118" s="31" t="e">
        <f t="shared" si="62"/>
        <v>#DIV/0!</v>
      </c>
      <c r="K118" s="20">
        <f>CE_AdministraçãoINSS!B120</f>
        <v>0</v>
      </c>
      <c r="L118" s="20">
        <f>CE_AdministraçãoINSS!C120</f>
        <v>0</v>
      </c>
      <c r="M118" s="20">
        <f>CE_AdministraçãoINSS!S120</f>
        <v>0</v>
      </c>
      <c r="N118" s="31" t="e">
        <f t="shared" si="64"/>
        <v>#DIV/0!</v>
      </c>
      <c r="O118" s="20">
        <f t="shared" si="65"/>
        <v>0</v>
      </c>
      <c r="P118" s="20">
        <f t="shared" si="65"/>
        <v>0</v>
      </c>
      <c r="Q118" s="20">
        <f t="shared" si="65"/>
        <v>0</v>
      </c>
      <c r="R118" s="31" t="e">
        <f t="shared" si="66"/>
        <v>#DIV/0!</v>
      </c>
      <c r="S118" s="20">
        <f>CE_AdministraçãoFRSS!B120</f>
        <v>0</v>
      </c>
      <c r="T118" s="20">
        <f>CE_AdministraçãoFRSS!C120</f>
        <v>0</v>
      </c>
      <c r="U118" s="20">
        <f>CE_AdministraçãoFRSS!S120</f>
        <v>0</v>
      </c>
      <c r="V118" s="31" t="e">
        <f t="shared" si="68"/>
        <v>#DIV/0!</v>
      </c>
      <c r="W118" s="20">
        <f t="shared" si="69"/>
        <v>0</v>
      </c>
      <c r="X118" s="20">
        <f t="shared" si="70"/>
        <v>0</v>
      </c>
      <c r="Y118" s="20">
        <f t="shared" si="71"/>
        <v>0</v>
      </c>
      <c r="Z118" s="31" t="e">
        <f t="shared" si="72"/>
        <v>#DIV/0!</v>
      </c>
      <c r="AA118" s="20">
        <f t="shared" si="73"/>
        <v>0</v>
      </c>
      <c r="AB118" s="20">
        <f t="shared" si="74"/>
        <v>0</v>
      </c>
      <c r="AC118" s="20">
        <f t="shared" si="75"/>
        <v>0</v>
      </c>
      <c r="AD118" s="31" t="e">
        <f t="shared" si="76"/>
        <v>#DIV/0!</v>
      </c>
      <c r="AE118" s="24"/>
      <c r="AF118" s="24"/>
      <c r="AG118" s="67"/>
      <c r="AH118" s="16"/>
      <c r="AI118" s="16"/>
      <c r="AJ118" s="16"/>
      <c r="AK118" s="16"/>
    </row>
    <row r="119" spans="1:37" s="21" customFormat="1" ht="15" customHeight="1" x14ac:dyDescent="0.2">
      <c r="A119" s="77" t="str">
        <f>"405.02.03"</f>
        <v>405.02.03</v>
      </c>
      <c r="B119" s="71" t="s">
        <v>788</v>
      </c>
      <c r="C119" s="84">
        <f>CE_RegimeContributivo!B121</f>
        <v>0</v>
      </c>
      <c r="D119" s="84">
        <f>CE_RegimeContributivo!C121</f>
        <v>0</v>
      </c>
      <c r="E119" s="84">
        <f>CE_RegimeContributivo!S121</f>
        <v>0</v>
      </c>
      <c r="F119" s="31" t="e">
        <f t="shared" si="60"/>
        <v>#DIV/0!</v>
      </c>
      <c r="G119" s="84">
        <f>CE_RegimeNaoContributivo!B121</f>
        <v>0</v>
      </c>
      <c r="H119" s="84">
        <f>CE_RegimeNaoContributivo!C121</f>
        <v>0</v>
      </c>
      <c r="I119" s="84">
        <f>CE_RegimeNaoContributivo!S121</f>
        <v>0</v>
      </c>
      <c r="J119" s="31" t="e">
        <f t="shared" si="62"/>
        <v>#DIV/0!</v>
      </c>
      <c r="K119" s="20">
        <f>CE_AdministraçãoINSS!B121</f>
        <v>0</v>
      </c>
      <c r="L119" s="20">
        <f>CE_AdministraçãoINSS!C121</f>
        <v>0</v>
      </c>
      <c r="M119" s="20">
        <f>CE_AdministraçãoINSS!S121</f>
        <v>0</v>
      </c>
      <c r="N119" s="31" t="e">
        <f t="shared" si="64"/>
        <v>#DIV/0!</v>
      </c>
      <c r="O119" s="20">
        <f t="shared" si="65"/>
        <v>0</v>
      </c>
      <c r="P119" s="20">
        <f t="shared" si="65"/>
        <v>0</v>
      </c>
      <c r="Q119" s="20">
        <f t="shared" si="65"/>
        <v>0</v>
      </c>
      <c r="R119" s="31" t="e">
        <f t="shared" si="66"/>
        <v>#DIV/0!</v>
      </c>
      <c r="S119" s="20">
        <f>CE_AdministraçãoFRSS!B121</f>
        <v>0</v>
      </c>
      <c r="T119" s="20">
        <f>CE_AdministraçãoFRSS!C121</f>
        <v>0</v>
      </c>
      <c r="U119" s="20">
        <f>CE_AdministraçãoFRSS!S121</f>
        <v>0</v>
      </c>
      <c r="V119" s="31" t="e">
        <f t="shared" si="68"/>
        <v>#DIV/0!</v>
      </c>
      <c r="W119" s="20">
        <f t="shared" si="69"/>
        <v>0</v>
      </c>
      <c r="X119" s="20">
        <f t="shared" si="70"/>
        <v>0</v>
      </c>
      <c r="Y119" s="20">
        <f t="shared" si="71"/>
        <v>0</v>
      </c>
      <c r="Z119" s="31" t="e">
        <f t="shared" si="72"/>
        <v>#DIV/0!</v>
      </c>
      <c r="AA119" s="20">
        <f t="shared" si="73"/>
        <v>0</v>
      </c>
      <c r="AB119" s="20">
        <f t="shared" si="74"/>
        <v>0</v>
      </c>
      <c r="AC119" s="20">
        <f t="shared" si="75"/>
        <v>0</v>
      </c>
      <c r="AD119" s="31" t="e">
        <f t="shared" si="76"/>
        <v>#DIV/0!</v>
      </c>
      <c r="AE119" s="24"/>
      <c r="AF119" s="24"/>
      <c r="AG119" s="67"/>
      <c r="AH119" s="16"/>
      <c r="AI119" s="16"/>
      <c r="AJ119" s="16"/>
      <c r="AK119" s="16"/>
    </row>
    <row r="120" spans="1:37" s="21" customFormat="1" ht="15" customHeight="1" x14ac:dyDescent="0.2">
      <c r="A120" s="77" t="str">
        <f>"405.02.04"</f>
        <v>405.02.04</v>
      </c>
      <c r="B120" s="71" t="s">
        <v>789</v>
      </c>
      <c r="C120" s="84">
        <f>CE_RegimeContributivo!B122</f>
        <v>0</v>
      </c>
      <c r="D120" s="84">
        <f>CE_RegimeContributivo!C122</f>
        <v>0</v>
      </c>
      <c r="E120" s="84">
        <f>CE_RegimeContributivo!S122</f>
        <v>0</v>
      </c>
      <c r="F120" s="31" t="e">
        <f t="shared" si="60"/>
        <v>#DIV/0!</v>
      </c>
      <c r="G120" s="84">
        <f>CE_RegimeNaoContributivo!B122</f>
        <v>0</v>
      </c>
      <c r="H120" s="84">
        <f>CE_RegimeNaoContributivo!C122</f>
        <v>0</v>
      </c>
      <c r="I120" s="84">
        <f>CE_RegimeNaoContributivo!S122</f>
        <v>0</v>
      </c>
      <c r="J120" s="31" t="e">
        <f t="shared" si="62"/>
        <v>#DIV/0!</v>
      </c>
      <c r="K120" s="20">
        <f>CE_AdministraçãoINSS!B122</f>
        <v>0</v>
      </c>
      <c r="L120" s="20">
        <f>CE_AdministraçãoINSS!C122</f>
        <v>0</v>
      </c>
      <c r="M120" s="20">
        <f>CE_AdministraçãoINSS!S122</f>
        <v>0</v>
      </c>
      <c r="N120" s="31" t="e">
        <f t="shared" si="64"/>
        <v>#DIV/0!</v>
      </c>
      <c r="O120" s="20">
        <f t="shared" si="65"/>
        <v>0</v>
      </c>
      <c r="P120" s="20">
        <f t="shared" si="65"/>
        <v>0</v>
      </c>
      <c r="Q120" s="20">
        <f t="shared" si="65"/>
        <v>0</v>
      </c>
      <c r="R120" s="31" t="e">
        <f t="shared" si="66"/>
        <v>#DIV/0!</v>
      </c>
      <c r="S120" s="20">
        <f>CE_AdministraçãoFRSS!B122</f>
        <v>0</v>
      </c>
      <c r="T120" s="20">
        <f>CE_AdministraçãoFRSS!C122</f>
        <v>0</v>
      </c>
      <c r="U120" s="20">
        <f>CE_AdministraçãoFRSS!S122</f>
        <v>0</v>
      </c>
      <c r="V120" s="31" t="e">
        <f t="shared" si="68"/>
        <v>#DIV/0!</v>
      </c>
      <c r="W120" s="20">
        <f t="shared" si="69"/>
        <v>0</v>
      </c>
      <c r="X120" s="20">
        <f t="shared" si="70"/>
        <v>0</v>
      </c>
      <c r="Y120" s="20">
        <f t="shared" si="71"/>
        <v>0</v>
      </c>
      <c r="Z120" s="31" t="e">
        <f t="shared" si="72"/>
        <v>#DIV/0!</v>
      </c>
      <c r="AA120" s="20">
        <f t="shared" si="73"/>
        <v>0</v>
      </c>
      <c r="AB120" s="20">
        <f t="shared" si="74"/>
        <v>0</v>
      </c>
      <c r="AC120" s="20">
        <f t="shared" si="75"/>
        <v>0</v>
      </c>
      <c r="AD120" s="31" t="e">
        <f t="shared" si="76"/>
        <v>#DIV/0!</v>
      </c>
      <c r="AE120" s="24"/>
      <c r="AF120" s="24"/>
      <c r="AG120" s="67"/>
      <c r="AH120" s="16"/>
      <c r="AI120" s="16"/>
      <c r="AJ120" s="16"/>
      <c r="AK120" s="16"/>
    </row>
    <row r="121" spans="1:37" s="21" customFormat="1" ht="15" customHeight="1" x14ac:dyDescent="0.2">
      <c r="A121" s="77" t="str">
        <f>"405.02.05"</f>
        <v>405.02.05</v>
      </c>
      <c r="B121" s="71" t="s">
        <v>790</v>
      </c>
      <c r="C121" s="84">
        <f>CE_RegimeContributivo!B123</f>
        <v>0</v>
      </c>
      <c r="D121" s="84">
        <f>CE_RegimeContributivo!C123</f>
        <v>0</v>
      </c>
      <c r="E121" s="84">
        <f>CE_RegimeContributivo!S123</f>
        <v>0</v>
      </c>
      <c r="F121" s="31" t="e">
        <f t="shared" si="60"/>
        <v>#DIV/0!</v>
      </c>
      <c r="G121" s="84">
        <f>CE_RegimeNaoContributivo!B123</f>
        <v>0</v>
      </c>
      <c r="H121" s="84">
        <f>CE_RegimeNaoContributivo!C123</f>
        <v>0</v>
      </c>
      <c r="I121" s="84">
        <f>CE_RegimeNaoContributivo!S123</f>
        <v>0</v>
      </c>
      <c r="J121" s="31" t="e">
        <f t="shared" si="62"/>
        <v>#DIV/0!</v>
      </c>
      <c r="K121" s="20">
        <f>CE_AdministraçãoINSS!B123</f>
        <v>0</v>
      </c>
      <c r="L121" s="20">
        <f>CE_AdministraçãoINSS!C123</f>
        <v>0</v>
      </c>
      <c r="M121" s="20">
        <f>CE_AdministraçãoINSS!S123</f>
        <v>0</v>
      </c>
      <c r="N121" s="31" t="e">
        <f t="shared" si="64"/>
        <v>#DIV/0!</v>
      </c>
      <c r="O121" s="20">
        <f t="shared" si="65"/>
        <v>0</v>
      </c>
      <c r="P121" s="20">
        <f t="shared" si="65"/>
        <v>0</v>
      </c>
      <c r="Q121" s="20">
        <f t="shared" si="65"/>
        <v>0</v>
      </c>
      <c r="R121" s="31" t="e">
        <f t="shared" si="66"/>
        <v>#DIV/0!</v>
      </c>
      <c r="S121" s="20">
        <f>CE_AdministraçãoFRSS!B123</f>
        <v>0</v>
      </c>
      <c r="T121" s="20">
        <f>CE_AdministraçãoFRSS!C123</f>
        <v>0</v>
      </c>
      <c r="U121" s="20">
        <f>CE_AdministraçãoFRSS!S123</f>
        <v>0</v>
      </c>
      <c r="V121" s="31" t="e">
        <f t="shared" si="68"/>
        <v>#DIV/0!</v>
      </c>
      <c r="W121" s="20">
        <f t="shared" si="69"/>
        <v>0</v>
      </c>
      <c r="X121" s="20">
        <f t="shared" si="70"/>
        <v>0</v>
      </c>
      <c r="Y121" s="20">
        <f t="shared" si="71"/>
        <v>0</v>
      </c>
      <c r="Z121" s="31" t="e">
        <f t="shared" si="72"/>
        <v>#DIV/0!</v>
      </c>
      <c r="AA121" s="20">
        <f t="shared" si="73"/>
        <v>0</v>
      </c>
      <c r="AB121" s="20">
        <f t="shared" si="74"/>
        <v>0</v>
      </c>
      <c r="AC121" s="20">
        <f t="shared" si="75"/>
        <v>0</v>
      </c>
      <c r="AD121" s="31" t="e">
        <f t="shared" si="76"/>
        <v>#DIV/0!</v>
      </c>
      <c r="AE121" s="24"/>
      <c r="AF121" s="24"/>
      <c r="AG121" s="67"/>
      <c r="AH121" s="16"/>
      <c r="AI121" s="16"/>
      <c r="AJ121" s="16"/>
      <c r="AK121" s="16"/>
    </row>
    <row r="122" spans="1:37" s="21" customFormat="1" ht="15" customHeight="1" x14ac:dyDescent="0.2">
      <c r="A122" s="77" t="str">
        <f>"405.02.06"</f>
        <v>405.02.06</v>
      </c>
      <c r="B122" s="71" t="s">
        <v>791</v>
      </c>
      <c r="C122" s="84">
        <f>CE_RegimeContributivo!B124</f>
        <v>0</v>
      </c>
      <c r="D122" s="84">
        <f>CE_RegimeContributivo!C124</f>
        <v>0</v>
      </c>
      <c r="E122" s="84">
        <f>CE_RegimeContributivo!S124</f>
        <v>0</v>
      </c>
      <c r="F122" s="31" t="e">
        <f t="shared" si="60"/>
        <v>#DIV/0!</v>
      </c>
      <c r="G122" s="84">
        <f>CE_RegimeNaoContributivo!B124</f>
        <v>0</v>
      </c>
      <c r="H122" s="84">
        <f>CE_RegimeNaoContributivo!C124</f>
        <v>0</v>
      </c>
      <c r="I122" s="84">
        <f>CE_RegimeNaoContributivo!S124</f>
        <v>0</v>
      </c>
      <c r="J122" s="31" t="e">
        <f t="shared" si="62"/>
        <v>#DIV/0!</v>
      </c>
      <c r="K122" s="20">
        <f>CE_AdministraçãoINSS!B124</f>
        <v>0</v>
      </c>
      <c r="L122" s="20">
        <f>CE_AdministraçãoINSS!C124</f>
        <v>0</v>
      </c>
      <c r="M122" s="20">
        <f>CE_AdministraçãoINSS!S124</f>
        <v>0</v>
      </c>
      <c r="N122" s="31" t="e">
        <f t="shared" si="64"/>
        <v>#DIV/0!</v>
      </c>
      <c r="O122" s="20">
        <f t="shared" si="65"/>
        <v>0</v>
      </c>
      <c r="P122" s="20">
        <f t="shared" si="65"/>
        <v>0</v>
      </c>
      <c r="Q122" s="20">
        <f t="shared" si="65"/>
        <v>0</v>
      </c>
      <c r="R122" s="31" t="e">
        <f t="shared" si="66"/>
        <v>#DIV/0!</v>
      </c>
      <c r="S122" s="20">
        <f>CE_AdministraçãoFRSS!B124</f>
        <v>0</v>
      </c>
      <c r="T122" s="20">
        <f>CE_AdministraçãoFRSS!C124</f>
        <v>0</v>
      </c>
      <c r="U122" s="20">
        <f>CE_AdministraçãoFRSS!S124</f>
        <v>0</v>
      </c>
      <c r="V122" s="31" t="e">
        <f t="shared" si="68"/>
        <v>#DIV/0!</v>
      </c>
      <c r="W122" s="20">
        <f t="shared" si="69"/>
        <v>0</v>
      </c>
      <c r="X122" s="20">
        <f t="shared" si="70"/>
        <v>0</v>
      </c>
      <c r="Y122" s="20">
        <f t="shared" si="71"/>
        <v>0</v>
      </c>
      <c r="Z122" s="31" t="e">
        <f t="shared" si="72"/>
        <v>#DIV/0!</v>
      </c>
      <c r="AA122" s="20">
        <f t="shared" si="73"/>
        <v>0</v>
      </c>
      <c r="AB122" s="20">
        <f t="shared" si="74"/>
        <v>0</v>
      </c>
      <c r="AC122" s="20">
        <f t="shared" si="75"/>
        <v>0</v>
      </c>
      <c r="AD122" s="31" t="e">
        <f t="shared" si="76"/>
        <v>#DIV/0!</v>
      </c>
      <c r="AE122" s="24"/>
      <c r="AF122" s="24"/>
      <c r="AG122" s="67"/>
      <c r="AH122" s="16"/>
      <c r="AI122" s="16"/>
      <c r="AJ122" s="16"/>
      <c r="AK122" s="16"/>
    </row>
    <row r="123" spans="1:37" s="21" customFormat="1" ht="15" customHeight="1" x14ac:dyDescent="0.2">
      <c r="A123" s="77" t="str">
        <f>"405.02.07"</f>
        <v>405.02.07</v>
      </c>
      <c r="B123" s="71" t="s">
        <v>792</v>
      </c>
      <c r="C123" s="84">
        <f>CE_RegimeContributivo!B125</f>
        <v>0</v>
      </c>
      <c r="D123" s="84">
        <f>CE_RegimeContributivo!C125</f>
        <v>0</v>
      </c>
      <c r="E123" s="84">
        <f>CE_RegimeContributivo!S125</f>
        <v>0</v>
      </c>
      <c r="F123" s="31" t="e">
        <f t="shared" si="60"/>
        <v>#DIV/0!</v>
      </c>
      <c r="G123" s="84">
        <f>CE_RegimeNaoContributivo!B125</f>
        <v>0</v>
      </c>
      <c r="H123" s="84">
        <f>CE_RegimeNaoContributivo!C125</f>
        <v>0</v>
      </c>
      <c r="I123" s="84">
        <f>CE_RegimeNaoContributivo!S125</f>
        <v>0</v>
      </c>
      <c r="J123" s="31" t="e">
        <f t="shared" si="62"/>
        <v>#DIV/0!</v>
      </c>
      <c r="K123" s="20">
        <f>CE_AdministraçãoINSS!B125</f>
        <v>0</v>
      </c>
      <c r="L123" s="20">
        <f>CE_AdministraçãoINSS!C125</f>
        <v>0</v>
      </c>
      <c r="M123" s="20">
        <f>CE_AdministraçãoINSS!S125</f>
        <v>0</v>
      </c>
      <c r="N123" s="31" t="e">
        <f t="shared" si="64"/>
        <v>#DIV/0!</v>
      </c>
      <c r="O123" s="20">
        <f t="shared" si="65"/>
        <v>0</v>
      </c>
      <c r="P123" s="20">
        <f t="shared" si="65"/>
        <v>0</v>
      </c>
      <c r="Q123" s="20">
        <f t="shared" si="65"/>
        <v>0</v>
      </c>
      <c r="R123" s="31" t="e">
        <f t="shared" si="66"/>
        <v>#DIV/0!</v>
      </c>
      <c r="S123" s="20">
        <f>CE_AdministraçãoFRSS!B125</f>
        <v>0</v>
      </c>
      <c r="T123" s="20">
        <f>CE_AdministraçãoFRSS!C125</f>
        <v>0</v>
      </c>
      <c r="U123" s="20">
        <f>CE_AdministraçãoFRSS!S125</f>
        <v>0</v>
      </c>
      <c r="V123" s="31" t="e">
        <f t="shared" si="68"/>
        <v>#DIV/0!</v>
      </c>
      <c r="W123" s="20">
        <f t="shared" si="69"/>
        <v>0</v>
      </c>
      <c r="X123" s="20">
        <f t="shared" si="70"/>
        <v>0</v>
      </c>
      <c r="Y123" s="20">
        <f t="shared" si="71"/>
        <v>0</v>
      </c>
      <c r="Z123" s="31" t="e">
        <f t="shared" si="72"/>
        <v>#DIV/0!</v>
      </c>
      <c r="AA123" s="20">
        <f t="shared" si="73"/>
        <v>0</v>
      </c>
      <c r="AB123" s="20">
        <f t="shared" si="74"/>
        <v>0</v>
      </c>
      <c r="AC123" s="20">
        <f t="shared" si="75"/>
        <v>0</v>
      </c>
      <c r="AD123" s="31" t="e">
        <f t="shared" si="76"/>
        <v>#DIV/0!</v>
      </c>
      <c r="AE123" s="24"/>
      <c r="AF123" s="24"/>
      <c r="AG123" s="67"/>
      <c r="AH123" s="16"/>
      <c r="AI123" s="16"/>
      <c r="AJ123" s="16"/>
      <c r="AK123" s="16"/>
    </row>
    <row r="124" spans="1:37" s="21" customFormat="1" ht="15" customHeight="1" x14ac:dyDescent="0.2">
      <c r="A124" s="77" t="str">
        <f>"405.02.08"</f>
        <v>405.02.08</v>
      </c>
      <c r="B124" s="71" t="s">
        <v>793</v>
      </c>
      <c r="C124" s="84">
        <f>CE_RegimeContributivo!B126</f>
        <v>0</v>
      </c>
      <c r="D124" s="84">
        <f>CE_RegimeContributivo!C126</f>
        <v>0</v>
      </c>
      <c r="E124" s="84">
        <f>CE_RegimeContributivo!S126</f>
        <v>0</v>
      </c>
      <c r="F124" s="31" t="e">
        <f t="shared" si="60"/>
        <v>#DIV/0!</v>
      </c>
      <c r="G124" s="84">
        <f>CE_RegimeNaoContributivo!B126</f>
        <v>0</v>
      </c>
      <c r="H124" s="84">
        <f>CE_RegimeNaoContributivo!C126</f>
        <v>0</v>
      </c>
      <c r="I124" s="84">
        <f>CE_RegimeNaoContributivo!S126</f>
        <v>0</v>
      </c>
      <c r="J124" s="31" t="e">
        <f t="shared" si="62"/>
        <v>#DIV/0!</v>
      </c>
      <c r="K124" s="20">
        <f>CE_AdministraçãoINSS!B126</f>
        <v>0</v>
      </c>
      <c r="L124" s="20">
        <f>CE_AdministraçãoINSS!C126</f>
        <v>0</v>
      </c>
      <c r="M124" s="20">
        <f>CE_AdministraçãoINSS!S126</f>
        <v>0</v>
      </c>
      <c r="N124" s="31" t="e">
        <f t="shared" si="64"/>
        <v>#DIV/0!</v>
      </c>
      <c r="O124" s="20">
        <f t="shared" si="65"/>
        <v>0</v>
      </c>
      <c r="P124" s="20">
        <f t="shared" si="65"/>
        <v>0</v>
      </c>
      <c r="Q124" s="20">
        <f t="shared" si="65"/>
        <v>0</v>
      </c>
      <c r="R124" s="31" t="e">
        <f t="shared" si="66"/>
        <v>#DIV/0!</v>
      </c>
      <c r="S124" s="20">
        <f>CE_AdministraçãoFRSS!B126</f>
        <v>0</v>
      </c>
      <c r="T124" s="20">
        <f>CE_AdministraçãoFRSS!C126</f>
        <v>0</v>
      </c>
      <c r="U124" s="20">
        <f>CE_AdministraçãoFRSS!S126</f>
        <v>0</v>
      </c>
      <c r="V124" s="31" t="e">
        <f t="shared" si="68"/>
        <v>#DIV/0!</v>
      </c>
      <c r="W124" s="20">
        <f t="shared" si="69"/>
        <v>0</v>
      </c>
      <c r="X124" s="20">
        <f t="shared" si="70"/>
        <v>0</v>
      </c>
      <c r="Y124" s="20">
        <f t="shared" si="71"/>
        <v>0</v>
      </c>
      <c r="Z124" s="31" t="e">
        <f t="shared" si="72"/>
        <v>#DIV/0!</v>
      </c>
      <c r="AA124" s="20">
        <f t="shared" si="73"/>
        <v>0</v>
      </c>
      <c r="AB124" s="20">
        <f t="shared" si="74"/>
        <v>0</v>
      </c>
      <c r="AC124" s="20">
        <f t="shared" si="75"/>
        <v>0</v>
      </c>
      <c r="AD124" s="31" t="e">
        <f t="shared" si="76"/>
        <v>#DIV/0!</v>
      </c>
      <c r="AE124" s="24"/>
      <c r="AF124" s="24"/>
      <c r="AG124" s="67"/>
      <c r="AH124" s="16"/>
      <c r="AI124" s="16"/>
      <c r="AJ124" s="16"/>
      <c r="AK124" s="16"/>
    </row>
    <row r="125" spans="1:37" s="21" customFormat="1" ht="15" customHeight="1" x14ac:dyDescent="0.2">
      <c r="A125" s="77" t="str">
        <f>"405.02.09"</f>
        <v>405.02.09</v>
      </c>
      <c r="B125" s="71" t="s">
        <v>794</v>
      </c>
      <c r="C125" s="84">
        <f>CE_RegimeContributivo!B127</f>
        <v>0</v>
      </c>
      <c r="D125" s="84">
        <f>CE_RegimeContributivo!C127</f>
        <v>0</v>
      </c>
      <c r="E125" s="84">
        <f>CE_RegimeContributivo!S127</f>
        <v>0</v>
      </c>
      <c r="F125" s="31" t="e">
        <f t="shared" si="60"/>
        <v>#DIV/0!</v>
      </c>
      <c r="G125" s="84">
        <f>CE_RegimeNaoContributivo!B127</f>
        <v>0</v>
      </c>
      <c r="H125" s="84">
        <f>CE_RegimeNaoContributivo!C127</f>
        <v>0</v>
      </c>
      <c r="I125" s="84">
        <f>CE_RegimeNaoContributivo!S127</f>
        <v>0</v>
      </c>
      <c r="J125" s="31" t="e">
        <f t="shared" si="62"/>
        <v>#DIV/0!</v>
      </c>
      <c r="K125" s="20">
        <f>CE_AdministraçãoINSS!B127</f>
        <v>0</v>
      </c>
      <c r="L125" s="20">
        <f>CE_AdministraçãoINSS!C127</f>
        <v>0</v>
      </c>
      <c r="M125" s="20">
        <f>CE_AdministraçãoINSS!S127</f>
        <v>0</v>
      </c>
      <c r="N125" s="31" t="e">
        <f t="shared" si="64"/>
        <v>#DIV/0!</v>
      </c>
      <c r="O125" s="20">
        <f t="shared" si="65"/>
        <v>0</v>
      </c>
      <c r="P125" s="20">
        <f t="shared" si="65"/>
        <v>0</v>
      </c>
      <c r="Q125" s="20">
        <f t="shared" si="65"/>
        <v>0</v>
      </c>
      <c r="R125" s="31" t="e">
        <f t="shared" si="66"/>
        <v>#DIV/0!</v>
      </c>
      <c r="S125" s="20">
        <f>CE_AdministraçãoFRSS!B127</f>
        <v>0</v>
      </c>
      <c r="T125" s="20">
        <f>CE_AdministraçãoFRSS!C127</f>
        <v>0</v>
      </c>
      <c r="U125" s="20">
        <f>CE_AdministraçãoFRSS!S127</f>
        <v>0</v>
      </c>
      <c r="V125" s="31" t="e">
        <f t="shared" si="68"/>
        <v>#DIV/0!</v>
      </c>
      <c r="W125" s="20">
        <f t="shared" si="69"/>
        <v>0</v>
      </c>
      <c r="X125" s="20">
        <f t="shared" si="70"/>
        <v>0</v>
      </c>
      <c r="Y125" s="20">
        <f t="shared" si="71"/>
        <v>0</v>
      </c>
      <c r="Z125" s="31" t="e">
        <f t="shared" si="72"/>
        <v>#DIV/0!</v>
      </c>
      <c r="AA125" s="20">
        <f t="shared" si="73"/>
        <v>0</v>
      </c>
      <c r="AB125" s="20">
        <f t="shared" si="74"/>
        <v>0</v>
      </c>
      <c r="AC125" s="20">
        <f t="shared" si="75"/>
        <v>0</v>
      </c>
      <c r="AD125" s="31" t="e">
        <f t="shared" si="76"/>
        <v>#DIV/0!</v>
      </c>
      <c r="AE125" s="24"/>
      <c r="AF125" s="24"/>
      <c r="AG125" s="67"/>
      <c r="AH125" s="16"/>
      <c r="AI125" s="16"/>
      <c r="AJ125" s="16"/>
      <c r="AK125" s="16"/>
    </row>
    <row r="126" spans="1:37" s="21" customFormat="1" ht="15" customHeight="1" x14ac:dyDescent="0.2">
      <c r="A126" s="77" t="str">
        <f>"405.02.10"</f>
        <v>405.02.10</v>
      </c>
      <c r="B126" s="71" t="s">
        <v>795</v>
      </c>
      <c r="C126" s="84">
        <f>CE_RegimeContributivo!B128</f>
        <v>0</v>
      </c>
      <c r="D126" s="84">
        <f>CE_RegimeContributivo!C128</f>
        <v>0</v>
      </c>
      <c r="E126" s="84">
        <f>CE_RegimeContributivo!S128</f>
        <v>0</v>
      </c>
      <c r="F126" s="31" t="e">
        <f t="shared" si="60"/>
        <v>#DIV/0!</v>
      </c>
      <c r="G126" s="84">
        <f>CE_RegimeNaoContributivo!B128</f>
        <v>0</v>
      </c>
      <c r="H126" s="84">
        <f>CE_RegimeNaoContributivo!C128</f>
        <v>0</v>
      </c>
      <c r="I126" s="84">
        <f>CE_RegimeNaoContributivo!S128</f>
        <v>0</v>
      </c>
      <c r="J126" s="31" t="e">
        <f t="shared" si="62"/>
        <v>#DIV/0!</v>
      </c>
      <c r="K126" s="20">
        <f>CE_AdministraçãoINSS!B128</f>
        <v>0</v>
      </c>
      <c r="L126" s="20">
        <f>CE_AdministraçãoINSS!C128</f>
        <v>0</v>
      </c>
      <c r="M126" s="20">
        <f>CE_AdministraçãoINSS!S128</f>
        <v>0</v>
      </c>
      <c r="N126" s="31" t="e">
        <f t="shared" si="64"/>
        <v>#DIV/0!</v>
      </c>
      <c r="O126" s="20">
        <f t="shared" si="65"/>
        <v>0</v>
      </c>
      <c r="P126" s="20">
        <f t="shared" si="65"/>
        <v>0</v>
      </c>
      <c r="Q126" s="20">
        <f t="shared" si="65"/>
        <v>0</v>
      </c>
      <c r="R126" s="31" t="e">
        <f t="shared" si="66"/>
        <v>#DIV/0!</v>
      </c>
      <c r="S126" s="20">
        <f>CE_AdministraçãoFRSS!B128</f>
        <v>0</v>
      </c>
      <c r="T126" s="20">
        <f>CE_AdministraçãoFRSS!C128</f>
        <v>0</v>
      </c>
      <c r="U126" s="20">
        <f>CE_AdministraçãoFRSS!S128</f>
        <v>0</v>
      </c>
      <c r="V126" s="31" t="e">
        <f t="shared" si="68"/>
        <v>#DIV/0!</v>
      </c>
      <c r="W126" s="20">
        <f t="shared" si="69"/>
        <v>0</v>
      </c>
      <c r="X126" s="20">
        <f t="shared" si="70"/>
        <v>0</v>
      </c>
      <c r="Y126" s="20">
        <f t="shared" si="71"/>
        <v>0</v>
      </c>
      <c r="Z126" s="31" t="e">
        <f t="shared" si="72"/>
        <v>#DIV/0!</v>
      </c>
      <c r="AA126" s="20">
        <f t="shared" si="73"/>
        <v>0</v>
      </c>
      <c r="AB126" s="20">
        <f t="shared" si="74"/>
        <v>0</v>
      </c>
      <c r="AC126" s="20">
        <f t="shared" si="75"/>
        <v>0</v>
      </c>
      <c r="AD126" s="31" t="e">
        <f t="shared" si="76"/>
        <v>#DIV/0!</v>
      </c>
      <c r="AE126" s="24"/>
      <c r="AF126" s="24"/>
      <c r="AG126" s="67"/>
      <c r="AH126" s="16"/>
      <c r="AI126" s="16"/>
      <c r="AJ126" s="16"/>
      <c r="AK126" s="16"/>
    </row>
    <row r="127" spans="1:37" s="21" customFormat="1" ht="15" customHeight="1" x14ac:dyDescent="0.2">
      <c r="A127" s="77" t="str">
        <f>"405.02.11"</f>
        <v>405.02.11</v>
      </c>
      <c r="B127" s="71" t="s">
        <v>796</v>
      </c>
      <c r="C127" s="84">
        <f>CE_RegimeContributivo!B129</f>
        <v>0</v>
      </c>
      <c r="D127" s="84">
        <f>CE_RegimeContributivo!C129</f>
        <v>0</v>
      </c>
      <c r="E127" s="84">
        <f>CE_RegimeContributivo!S129</f>
        <v>0</v>
      </c>
      <c r="F127" s="31" t="e">
        <f t="shared" si="60"/>
        <v>#DIV/0!</v>
      </c>
      <c r="G127" s="84">
        <f>CE_RegimeNaoContributivo!B129</f>
        <v>0</v>
      </c>
      <c r="H127" s="84">
        <f>CE_RegimeNaoContributivo!C129</f>
        <v>0</v>
      </c>
      <c r="I127" s="84">
        <f>CE_RegimeNaoContributivo!S129</f>
        <v>0</v>
      </c>
      <c r="J127" s="31" t="e">
        <f t="shared" si="62"/>
        <v>#DIV/0!</v>
      </c>
      <c r="K127" s="20">
        <f>CE_AdministraçãoINSS!B129</f>
        <v>0</v>
      </c>
      <c r="L127" s="20">
        <f>CE_AdministraçãoINSS!C129</f>
        <v>0</v>
      </c>
      <c r="M127" s="20">
        <f>CE_AdministraçãoINSS!S129</f>
        <v>0</v>
      </c>
      <c r="N127" s="31" t="e">
        <f t="shared" si="64"/>
        <v>#DIV/0!</v>
      </c>
      <c r="O127" s="20">
        <f t="shared" si="65"/>
        <v>0</v>
      </c>
      <c r="P127" s="20">
        <f t="shared" si="65"/>
        <v>0</v>
      </c>
      <c r="Q127" s="20">
        <f t="shared" si="65"/>
        <v>0</v>
      </c>
      <c r="R127" s="31" t="e">
        <f t="shared" si="66"/>
        <v>#DIV/0!</v>
      </c>
      <c r="S127" s="20">
        <f>CE_AdministraçãoFRSS!B129</f>
        <v>0</v>
      </c>
      <c r="T127" s="20">
        <f>CE_AdministraçãoFRSS!C129</f>
        <v>0</v>
      </c>
      <c r="U127" s="20">
        <f>CE_AdministraçãoFRSS!S129</f>
        <v>0</v>
      </c>
      <c r="V127" s="31" t="e">
        <f t="shared" si="68"/>
        <v>#DIV/0!</v>
      </c>
      <c r="W127" s="20">
        <f t="shared" si="69"/>
        <v>0</v>
      </c>
      <c r="X127" s="20">
        <f t="shared" si="70"/>
        <v>0</v>
      </c>
      <c r="Y127" s="20">
        <f t="shared" si="71"/>
        <v>0</v>
      </c>
      <c r="Z127" s="31" t="e">
        <f t="shared" si="72"/>
        <v>#DIV/0!</v>
      </c>
      <c r="AA127" s="20">
        <f t="shared" si="73"/>
        <v>0</v>
      </c>
      <c r="AB127" s="20">
        <f t="shared" si="74"/>
        <v>0</v>
      </c>
      <c r="AC127" s="20">
        <f t="shared" si="75"/>
        <v>0</v>
      </c>
      <c r="AD127" s="31" t="e">
        <f t="shared" si="76"/>
        <v>#DIV/0!</v>
      </c>
      <c r="AE127" s="24"/>
      <c r="AF127" s="24"/>
      <c r="AG127" s="67"/>
      <c r="AH127" s="16"/>
      <c r="AI127" s="16"/>
      <c r="AJ127" s="16"/>
      <c r="AK127" s="16"/>
    </row>
    <row r="128" spans="1:37" s="21" customFormat="1" ht="15" customHeight="1" x14ac:dyDescent="0.2">
      <c r="A128" s="77" t="str">
        <f>"405.02.12"</f>
        <v>405.02.12</v>
      </c>
      <c r="B128" s="71" t="s">
        <v>797</v>
      </c>
      <c r="C128" s="84">
        <f>CE_RegimeContributivo!B130</f>
        <v>0</v>
      </c>
      <c r="D128" s="84">
        <f>CE_RegimeContributivo!C130</f>
        <v>0</v>
      </c>
      <c r="E128" s="84">
        <f>CE_RegimeContributivo!S130</f>
        <v>0</v>
      </c>
      <c r="F128" s="31" t="e">
        <f t="shared" si="60"/>
        <v>#DIV/0!</v>
      </c>
      <c r="G128" s="84">
        <f>CE_RegimeNaoContributivo!B130</f>
        <v>0</v>
      </c>
      <c r="H128" s="84">
        <f>CE_RegimeNaoContributivo!C130</f>
        <v>0</v>
      </c>
      <c r="I128" s="84">
        <f>CE_RegimeNaoContributivo!S130</f>
        <v>0</v>
      </c>
      <c r="J128" s="31" t="e">
        <f t="shared" si="62"/>
        <v>#DIV/0!</v>
      </c>
      <c r="K128" s="20">
        <f>CE_AdministraçãoINSS!B130</f>
        <v>0</v>
      </c>
      <c r="L128" s="20">
        <f>CE_AdministraçãoINSS!C130</f>
        <v>0</v>
      </c>
      <c r="M128" s="20">
        <f>CE_AdministraçãoINSS!S130</f>
        <v>0</v>
      </c>
      <c r="N128" s="31" t="e">
        <f t="shared" si="64"/>
        <v>#DIV/0!</v>
      </c>
      <c r="O128" s="20">
        <f t="shared" si="65"/>
        <v>0</v>
      </c>
      <c r="P128" s="20">
        <f t="shared" si="65"/>
        <v>0</v>
      </c>
      <c r="Q128" s="20">
        <f t="shared" si="65"/>
        <v>0</v>
      </c>
      <c r="R128" s="31" t="e">
        <f t="shared" si="66"/>
        <v>#DIV/0!</v>
      </c>
      <c r="S128" s="20">
        <f>CE_AdministraçãoFRSS!B130</f>
        <v>0</v>
      </c>
      <c r="T128" s="20">
        <f>CE_AdministraçãoFRSS!C130</f>
        <v>0</v>
      </c>
      <c r="U128" s="20">
        <f>CE_AdministraçãoFRSS!S130</f>
        <v>0</v>
      </c>
      <c r="V128" s="31" t="e">
        <f t="shared" si="68"/>
        <v>#DIV/0!</v>
      </c>
      <c r="W128" s="20">
        <f t="shared" si="69"/>
        <v>0</v>
      </c>
      <c r="X128" s="20">
        <f t="shared" si="70"/>
        <v>0</v>
      </c>
      <c r="Y128" s="20">
        <f t="shared" si="71"/>
        <v>0</v>
      </c>
      <c r="Z128" s="31" t="e">
        <f t="shared" si="72"/>
        <v>#DIV/0!</v>
      </c>
      <c r="AA128" s="20">
        <f t="shared" si="73"/>
        <v>0</v>
      </c>
      <c r="AB128" s="20">
        <f t="shared" si="74"/>
        <v>0</v>
      </c>
      <c r="AC128" s="20">
        <f t="shared" si="75"/>
        <v>0</v>
      </c>
      <c r="AD128" s="31" t="e">
        <f t="shared" si="76"/>
        <v>#DIV/0!</v>
      </c>
      <c r="AE128" s="24"/>
      <c r="AF128" s="24"/>
      <c r="AG128" s="67"/>
      <c r="AH128" s="16"/>
      <c r="AI128" s="16"/>
      <c r="AJ128" s="16"/>
      <c r="AK128" s="16"/>
    </row>
    <row r="129" spans="1:37" s="21" customFormat="1" ht="15" customHeight="1" x14ac:dyDescent="0.2">
      <c r="A129" s="77" t="str">
        <f>"405.02.13"</f>
        <v>405.02.13</v>
      </c>
      <c r="B129" s="71" t="s">
        <v>798</v>
      </c>
      <c r="C129" s="84">
        <f>CE_RegimeContributivo!B131</f>
        <v>0</v>
      </c>
      <c r="D129" s="84">
        <f>CE_RegimeContributivo!C131</f>
        <v>0</v>
      </c>
      <c r="E129" s="84">
        <f>CE_RegimeContributivo!S131</f>
        <v>0</v>
      </c>
      <c r="F129" s="31" t="e">
        <f t="shared" si="60"/>
        <v>#DIV/0!</v>
      </c>
      <c r="G129" s="84">
        <f>CE_RegimeNaoContributivo!B131</f>
        <v>0</v>
      </c>
      <c r="H129" s="84">
        <f>CE_RegimeNaoContributivo!C131</f>
        <v>0</v>
      </c>
      <c r="I129" s="84">
        <f>CE_RegimeNaoContributivo!S131</f>
        <v>0</v>
      </c>
      <c r="J129" s="31" t="e">
        <f t="shared" si="62"/>
        <v>#DIV/0!</v>
      </c>
      <c r="K129" s="20">
        <f>CE_AdministraçãoINSS!B131</f>
        <v>0</v>
      </c>
      <c r="L129" s="20">
        <f>CE_AdministraçãoINSS!C131</f>
        <v>0</v>
      </c>
      <c r="M129" s="20">
        <f>CE_AdministraçãoINSS!S131</f>
        <v>0</v>
      </c>
      <c r="N129" s="31" t="e">
        <f t="shared" si="64"/>
        <v>#DIV/0!</v>
      </c>
      <c r="O129" s="20">
        <f t="shared" si="65"/>
        <v>0</v>
      </c>
      <c r="P129" s="20">
        <f t="shared" si="65"/>
        <v>0</v>
      </c>
      <c r="Q129" s="20">
        <f t="shared" si="65"/>
        <v>0</v>
      </c>
      <c r="R129" s="31" t="e">
        <f t="shared" si="66"/>
        <v>#DIV/0!</v>
      </c>
      <c r="S129" s="20">
        <f>CE_AdministraçãoFRSS!B131</f>
        <v>0</v>
      </c>
      <c r="T129" s="20">
        <f>CE_AdministraçãoFRSS!C131</f>
        <v>0</v>
      </c>
      <c r="U129" s="20">
        <f>CE_AdministraçãoFRSS!S131</f>
        <v>0</v>
      </c>
      <c r="V129" s="31" t="e">
        <f t="shared" si="68"/>
        <v>#DIV/0!</v>
      </c>
      <c r="W129" s="20">
        <f t="shared" si="69"/>
        <v>0</v>
      </c>
      <c r="X129" s="20">
        <f t="shared" si="70"/>
        <v>0</v>
      </c>
      <c r="Y129" s="20">
        <f t="shared" si="71"/>
        <v>0</v>
      </c>
      <c r="Z129" s="31" t="e">
        <f t="shared" si="72"/>
        <v>#DIV/0!</v>
      </c>
      <c r="AA129" s="20">
        <f t="shared" si="73"/>
        <v>0</v>
      </c>
      <c r="AB129" s="20">
        <f t="shared" si="74"/>
        <v>0</v>
      </c>
      <c r="AC129" s="20">
        <f t="shared" si="75"/>
        <v>0</v>
      </c>
      <c r="AD129" s="31" t="e">
        <f t="shared" si="76"/>
        <v>#DIV/0!</v>
      </c>
      <c r="AE129" s="24"/>
      <c r="AF129" s="24"/>
      <c r="AG129" s="67"/>
      <c r="AH129" s="16"/>
      <c r="AI129" s="16"/>
      <c r="AJ129" s="16"/>
      <c r="AK129" s="16"/>
    </row>
    <row r="130" spans="1:37" s="21" customFormat="1" ht="15" customHeight="1" x14ac:dyDescent="0.2">
      <c r="A130" s="77" t="str">
        <f>"405.02.14"</f>
        <v>405.02.14</v>
      </c>
      <c r="B130" s="71" t="s">
        <v>799</v>
      </c>
      <c r="C130" s="84">
        <f>CE_RegimeContributivo!B132</f>
        <v>0</v>
      </c>
      <c r="D130" s="84">
        <f>CE_RegimeContributivo!C132</f>
        <v>0</v>
      </c>
      <c r="E130" s="84">
        <f>CE_RegimeContributivo!S132</f>
        <v>0</v>
      </c>
      <c r="F130" s="31" t="e">
        <f t="shared" si="60"/>
        <v>#DIV/0!</v>
      </c>
      <c r="G130" s="84">
        <f>CE_RegimeNaoContributivo!B132</f>
        <v>0</v>
      </c>
      <c r="H130" s="84">
        <f>CE_RegimeNaoContributivo!C132</f>
        <v>0</v>
      </c>
      <c r="I130" s="84">
        <f>CE_RegimeNaoContributivo!S132</f>
        <v>0</v>
      </c>
      <c r="J130" s="31" t="e">
        <f t="shared" si="62"/>
        <v>#DIV/0!</v>
      </c>
      <c r="K130" s="20">
        <f>CE_AdministraçãoINSS!B132</f>
        <v>0</v>
      </c>
      <c r="L130" s="20">
        <f>CE_AdministraçãoINSS!C132</f>
        <v>0</v>
      </c>
      <c r="M130" s="20">
        <f>CE_AdministraçãoINSS!S132</f>
        <v>0</v>
      </c>
      <c r="N130" s="31" t="e">
        <f t="shared" si="64"/>
        <v>#DIV/0!</v>
      </c>
      <c r="O130" s="20">
        <f t="shared" si="65"/>
        <v>0</v>
      </c>
      <c r="P130" s="20">
        <f t="shared" si="65"/>
        <v>0</v>
      </c>
      <c r="Q130" s="20">
        <f t="shared" si="65"/>
        <v>0</v>
      </c>
      <c r="R130" s="31" t="e">
        <f t="shared" si="66"/>
        <v>#DIV/0!</v>
      </c>
      <c r="S130" s="20">
        <f>CE_AdministraçãoFRSS!B132</f>
        <v>0</v>
      </c>
      <c r="T130" s="20">
        <f>CE_AdministraçãoFRSS!C132</f>
        <v>0</v>
      </c>
      <c r="U130" s="20">
        <f>CE_AdministraçãoFRSS!S132</f>
        <v>0</v>
      </c>
      <c r="V130" s="31" t="e">
        <f t="shared" si="68"/>
        <v>#DIV/0!</v>
      </c>
      <c r="W130" s="20">
        <f t="shared" si="69"/>
        <v>0</v>
      </c>
      <c r="X130" s="20">
        <f t="shared" si="70"/>
        <v>0</v>
      </c>
      <c r="Y130" s="20">
        <f t="shared" si="71"/>
        <v>0</v>
      </c>
      <c r="Z130" s="31" t="e">
        <f t="shared" si="72"/>
        <v>#DIV/0!</v>
      </c>
      <c r="AA130" s="20">
        <f t="shared" si="73"/>
        <v>0</v>
      </c>
      <c r="AB130" s="20">
        <f t="shared" si="74"/>
        <v>0</v>
      </c>
      <c r="AC130" s="20">
        <f t="shared" si="75"/>
        <v>0</v>
      </c>
      <c r="AD130" s="31" t="e">
        <f t="shared" si="76"/>
        <v>#DIV/0!</v>
      </c>
      <c r="AE130" s="24"/>
      <c r="AF130" s="24"/>
      <c r="AG130" s="67"/>
      <c r="AH130" s="16"/>
      <c r="AI130" s="16"/>
      <c r="AJ130" s="16"/>
      <c r="AK130" s="16"/>
    </row>
    <row r="131" spans="1:37" ht="15" customHeight="1" x14ac:dyDescent="0.2">
      <c r="A131" s="77" t="str">
        <f>"405.02.15"</f>
        <v>405.02.15</v>
      </c>
      <c r="B131" s="71" t="s">
        <v>120</v>
      </c>
      <c r="C131" s="84">
        <f>CE_RegimeContributivo!B133</f>
        <v>0</v>
      </c>
      <c r="D131" s="84">
        <f>CE_RegimeContributivo!C133</f>
        <v>0</v>
      </c>
      <c r="E131" s="84">
        <f>CE_RegimeContributivo!S133</f>
        <v>0</v>
      </c>
      <c r="F131" s="31" t="e">
        <f t="shared" si="60"/>
        <v>#DIV/0!</v>
      </c>
      <c r="G131" s="84">
        <f>CE_RegimeNaoContributivo!B133</f>
        <v>0</v>
      </c>
      <c r="H131" s="84">
        <f>CE_RegimeNaoContributivo!C133</f>
        <v>0</v>
      </c>
      <c r="I131" s="84">
        <f>CE_RegimeNaoContributivo!S133</f>
        <v>0</v>
      </c>
      <c r="J131" s="31" t="e">
        <f t="shared" si="62"/>
        <v>#DIV/0!</v>
      </c>
      <c r="K131" s="20">
        <f>CE_AdministraçãoINSS!B133</f>
        <v>0</v>
      </c>
      <c r="L131" s="20">
        <f>CE_AdministraçãoINSS!C133</f>
        <v>0</v>
      </c>
      <c r="M131" s="20">
        <f>CE_AdministraçãoINSS!S133</f>
        <v>0</v>
      </c>
      <c r="N131" s="31" t="e">
        <f t="shared" si="64"/>
        <v>#DIV/0!</v>
      </c>
      <c r="O131" s="20">
        <f t="shared" si="65"/>
        <v>0</v>
      </c>
      <c r="P131" s="20">
        <f t="shared" si="65"/>
        <v>0</v>
      </c>
      <c r="Q131" s="20">
        <f t="shared" si="65"/>
        <v>0</v>
      </c>
      <c r="R131" s="31" t="e">
        <f t="shared" si="66"/>
        <v>#DIV/0!</v>
      </c>
      <c r="S131" s="20">
        <f>CE_AdministraçãoFRSS!B133</f>
        <v>0</v>
      </c>
      <c r="T131" s="20">
        <f>CE_AdministraçãoFRSS!C133</f>
        <v>0</v>
      </c>
      <c r="U131" s="20">
        <f>CE_AdministraçãoFRSS!S133</f>
        <v>0</v>
      </c>
      <c r="V131" s="31" t="e">
        <f t="shared" si="68"/>
        <v>#DIV/0!</v>
      </c>
      <c r="W131" s="20">
        <f t="shared" si="69"/>
        <v>0</v>
      </c>
      <c r="X131" s="20">
        <f t="shared" si="70"/>
        <v>0</v>
      </c>
      <c r="Y131" s="20">
        <f t="shared" si="71"/>
        <v>0</v>
      </c>
      <c r="Z131" s="31" t="e">
        <f t="shared" si="72"/>
        <v>#DIV/0!</v>
      </c>
      <c r="AA131" s="20">
        <f t="shared" si="73"/>
        <v>0</v>
      </c>
      <c r="AB131" s="20">
        <f t="shared" si="74"/>
        <v>0</v>
      </c>
      <c r="AC131" s="20">
        <f t="shared" si="75"/>
        <v>0</v>
      </c>
      <c r="AD131" s="31" t="e">
        <f t="shared" si="76"/>
        <v>#DIV/0!</v>
      </c>
      <c r="AE131" s="24"/>
      <c r="AF131" s="24"/>
      <c r="AG131" s="67"/>
    </row>
    <row r="132" spans="1:37" ht="15" customHeight="1" x14ac:dyDescent="0.2">
      <c r="A132" s="77" t="str">
        <f>"405.02.16"</f>
        <v>405.02.16</v>
      </c>
      <c r="B132" s="71" t="s">
        <v>115</v>
      </c>
      <c r="C132" s="84">
        <f>CE_RegimeContributivo!B134</f>
        <v>0</v>
      </c>
      <c r="D132" s="84">
        <f>CE_RegimeContributivo!C134</f>
        <v>0</v>
      </c>
      <c r="E132" s="84">
        <f>CE_RegimeContributivo!S134</f>
        <v>0</v>
      </c>
      <c r="F132" s="31" t="e">
        <f t="shared" si="60"/>
        <v>#DIV/0!</v>
      </c>
      <c r="G132" s="84">
        <f>CE_RegimeNaoContributivo!B134</f>
        <v>0</v>
      </c>
      <c r="H132" s="84">
        <f>CE_RegimeNaoContributivo!C134</f>
        <v>0</v>
      </c>
      <c r="I132" s="84">
        <f>CE_RegimeNaoContributivo!S134</f>
        <v>0</v>
      </c>
      <c r="J132" s="31" t="e">
        <f t="shared" si="62"/>
        <v>#DIV/0!</v>
      </c>
      <c r="K132" s="20">
        <f>CE_AdministraçãoINSS!B134</f>
        <v>0</v>
      </c>
      <c r="L132" s="20">
        <f>CE_AdministraçãoINSS!C134</f>
        <v>0</v>
      </c>
      <c r="M132" s="20">
        <f>CE_AdministraçãoINSS!S134</f>
        <v>0</v>
      </c>
      <c r="N132" s="31" t="e">
        <f t="shared" si="64"/>
        <v>#DIV/0!</v>
      </c>
      <c r="O132" s="20">
        <f t="shared" si="65"/>
        <v>0</v>
      </c>
      <c r="P132" s="20">
        <f t="shared" si="65"/>
        <v>0</v>
      </c>
      <c r="Q132" s="20">
        <f t="shared" si="65"/>
        <v>0</v>
      </c>
      <c r="R132" s="31" t="e">
        <f t="shared" si="66"/>
        <v>#DIV/0!</v>
      </c>
      <c r="S132" s="20">
        <f>CE_AdministraçãoFRSS!B134</f>
        <v>0</v>
      </c>
      <c r="T132" s="20">
        <f>CE_AdministraçãoFRSS!C134</f>
        <v>0</v>
      </c>
      <c r="U132" s="20">
        <f>CE_AdministraçãoFRSS!S134</f>
        <v>0</v>
      </c>
      <c r="V132" s="31" t="e">
        <f t="shared" si="68"/>
        <v>#DIV/0!</v>
      </c>
      <c r="W132" s="20">
        <f t="shared" si="69"/>
        <v>0</v>
      </c>
      <c r="X132" s="20">
        <f t="shared" si="70"/>
        <v>0</v>
      </c>
      <c r="Y132" s="20">
        <f t="shared" si="71"/>
        <v>0</v>
      </c>
      <c r="Z132" s="31" t="e">
        <f t="shared" si="72"/>
        <v>#DIV/0!</v>
      </c>
      <c r="AA132" s="20">
        <f t="shared" si="73"/>
        <v>0</v>
      </c>
      <c r="AB132" s="20">
        <f t="shared" si="74"/>
        <v>0</v>
      </c>
      <c r="AC132" s="20">
        <f t="shared" si="75"/>
        <v>0</v>
      </c>
      <c r="AD132" s="31" t="e">
        <f t="shared" si="76"/>
        <v>#DIV/0!</v>
      </c>
      <c r="AE132" s="24"/>
      <c r="AF132" s="24"/>
      <c r="AG132" s="67"/>
    </row>
    <row r="133" spans="1:37" ht="15" customHeight="1" x14ac:dyDescent="0.2">
      <c r="A133" s="77" t="str">
        <f>"405.02.17"</f>
        <v>405.02.17</v>
      </c>
      <c r="B133" s="71" t="s">
        <v>800</v>
      </c>
      <c r="C133" s="84">
        <f>CE_RegimeContributivo!B135</f>
        <v>0</v>
      </c>
      <c r="D133" s="84">
        <f>CE_RegimeContributivo!C135</f>
        <v>0</v>
      </c>
      <c r="E133" s="84">
        <f>CE_RegimeContributivo!S135</f>
        <v>0</v>
      </c>
      <c r="F133" s="31" t="e">
        <f t="shared" si="60"/>
        <v>#DIV/0!</v>
      </c>
      <c r="G133" s="84">
        <f>CE_RegimeNaoContributivo!B135</f>
        <v>0</v>
      </c>
      <c r="H133" s="84">
        <f>CE_RegimeNaoContributivo!C135</f>
        <v>0</v>
      </c>
      <c r="I133" s="84">
        <f>CE_RegimeNaoContributivo!S135</f>
        <v>0</v>
      </c>
      <c r="J133" s="31" t="e">
        <f t="shared" si="62"/>
        <v>#DIV/0!</v>
      </c>
      <c r="K133" s="20">
        <f>CE_AdministraçãoINSS!B135</f>
        <v>0</v>
      </c>
      <c r="L133" s="20">
        <f>CE_AdministraçãoINSS!C135</f>
        <v>0</v>
      </c>
      <c r="M133" s="20">
        <f>CE_AdministraçãoINSS!S135</f>
        <v>0</v>
      </c>
      <c r="N133" s="31" t="e">
        <f t="shared" si="64"/>
        <v>#DIV/0!</v>
      </c>
      <c r="O133" s="20">
        <f t="shared" si="65"/>
        <v>0</v>
      </c>
      <c r="P133" s="20">
        <f t="shared" si="65"/>
        <v>0</v>
      </c>
      <c r="Q133" s="20">
        <f t="shared" si="65"/>
        <v>0</v>
      </c>
      <c r="R133" s="31" t="e">
        <f t="shared" si="66"/>
        <v>#DIV/0!</v>
      </c>
      <c r="S133" s="20">
        <f>CE_AdministraçãoFRSS!B135</f>
        <v>0</v>
      </c>
      <c r="T133" s="20">
        <f>CE_AdministraçãoFRSS!C135</f>
        <v>0</v>
      </c>
      <c r="U133" s="20">
        <f>CE_AdministraçãoFRSS!S135</f>
        <v>0</v>
      </c>
      <c r="V133" s="31" t="e">
        <f t="shared" si="68"/>
        <v>#DIV/0!</v>
      </c>
      <c r="W133" s="20">
        <f t="shared" si="69"/>
        <v>0</v>
      </c>
      <c r="X133" s="20">
        <f t="shared" si="70"/>
        <v>0</v>
      </c>
      <c r="Y133" s="20">
        <f t="shared" si="71"/>
        <v>0</v>
      </c>
      <c r="Z133" s="31" t="e">
        <f t="shared" si="72"/>
        <v>#DIV/0!</v>
      </c>
      <c r="AA133" s="20">
        <f t="shared" si="73"/>
        <v>0</v>
      </c>
      <c r="AB133" s="20">
        <f t="shared" si="74"/>
        <v>0</v>
      </c>
      <c r="AC133" s="20">
        <f t="shared" si="75"/>
        <v>0</v>
      </c>
      <c r="AD133" s="31" t="e">
        <f t="shared" si="76"/>
        <v>#DIV/0!</v>
      </c>
      <c r="AE133" s="24"/>
      <c r="AF133" s="24"/>
      <c r="AG133" s="67"/>
    </row>
    <row r="134" spans="1:37" ht="15" customHeight="1" x14ac:dyDescent="0.2">
      <c r="A134" s="76" t="str">
        <f>"405.03"</f>
        <v>405.03</v>
      </c>
      <c r="B134" s="70" t="s">
        <v>801</v>
      </c>
      <c r="C134" s="83">
        <f>SUM(C135:C144)</f>
        <v>0</v>
      </c>
      <c r="D134" s="83">
        <f>SUM(D135:D144)</f>
        <v>0</v>
      </c>
      <c r="E134" s="83">
        <f>SUM(E135:E144)</f>
        <v>0</v>
      </c>
      <c r="F134" s="30" t="e">
        <f t="shared" si="60"/>
        <v>#DIV/0!</v>
      </c>
      <c r="G134" s="83">
        <f>SUM(G135:G144)</f>
        <v>0</v>
      </c>
      <c r="H134" s="83">
        <f t="shared" ref="H134:I134" si="131">SUM(H135:H144)</f>
        <v>0</v>
      </c>
      <c r="I134" s="83">
        <f t="shared" si="131"/>
        <v>0</v>
      </c>
      <c r="J134" s="30" t="e">
        <f t="shared" si="62"/>
        <v>#DIV/0!</v>
      </c>
      <c r="K134" s="19">
        <f>SUM(K135:K144)</f>
        <v>0</v>
      </c>
      <c r="L134" s="19">
        <f t="shared" ref="L134:M134" si="132">SUM(L135:L144)</f>
        <v>0</v>
      </c>
      <c r="M134" s="19">
        <f t="shared" si="132"/>
        <v>0</v>
      </c>
      <c r="N134" s="30" t="e">
        <f t="shared" si="64"/>
        <v>#DIV/0!</v>
      </c>
      <c r="O134" s="19">
        <f t="shared" si="65"/>
        <v>0</v>
      </c>
      <c r="P134" s="19">
        <f t="shared" si="65"/>
        <v>0</v>
      </c>
      <c r="Q134" s="19">
        <f t="shared" si="65"/>
        <v>0</v>
      </c>
      <c r="R134" s="30" t="e">
        <f t="shared" si="66"/>
        <v>#DIV/0!</v>
      </c>
      <c r="S134" s="19">
        <f>SUM(S135:S144)</f>
        <v>0</v>
      </c>
      <c r="T134" s="19">
        <f t="shared" ref="T134:U134" si="133">SUM(T135:T144)</f>
        <v>0</v>
      </c>
      <c r="U134" s="19">
        <f t="shared" si="133"/>
        <v>0</v>
      </c>
      <c r="V134" s="30" t="e">
        <f t="shared" si="68"/>
        <v>#DIV/0!</v>
      </c>
      <c r="W134" s="19">
        <f t="shared" si="69"/>
        <v>0</v>
      </c>
      <c r="X134" s="19">
        <f t="shared" si="70"/>
        <v>0</v>
      </c>
      <c r="Y134" s="19">
        <f t="shared" si="71"/>
        <v>0</v>
      </c>
      <c r="Z134" s="30" t="e">
        <f t="shared" si="72"/>
        <v>#DIV/0!</v>
      </c>
      <c r="AA134" s="19">
        <f t="shared" si="73"/>
        <v>0</v>
      </c>
      <c r="AB134" s="19">
        <f t="shared" si="74"/>
        <v>0</v>
      </c>
      <c r="AC134" s="19">
        <f t="shared" si="75"/>
        <v>0</v>
      </c>
      <c r="AD134" s="30" t="e">
        <f t="shared" si="76"/>
        <v>#DIV/0!</v>
      </c>
      <c r="AE134" s="24"/>
      <c r="AF134" s="24"/>
      <c r="AG134" s="67"/>
    </row>
    <row r="135" spans="1:37" s="21" customFormat="1" ht="15" customHeight="1" x14ac:dyDescent="0.2">
      <c r="A135" s="77" t="str">
        <f>"405.03.01"</f>
        <v>405.03.01</v>
      </c>
      <c r="B135" s="71" t="s">
        <v>802</v>
      </c>
      <c r="C135" s="84">
        <f>CE_RegimeContributivo!B137</f>
        <v>0</v>
      </c>
      <c r="D135" s="84">
        <f>CE_RegimeContributivo!C137</f>
        <v>0</v>
      </c>
      <c r="E135" s="84">
        <f>CE_RegimeContributivo!S137</f>
        <v>0</v>
      </c>
      <c r="F135" s="31" t="e">
        <f t="shared" si="60"/>
        <v>#DIV/0!</v>
      </c>
      <c r="G135" s="84">
        <f>CE_RegimeNaoContributivo!B137</f>
        <v>0</v>
      </c>
      <c r="H135" s="84">
        <f>CE_RegimeNaoContributivo!C137</f>
        <v>0</v>
      </c>
      <c r="I135" s="84">
        <f>CE_RegimeNaoContributivo!S137</f>
        <v>0</v>
      </c>
      <c r="J135" s="31" t="e">
        <f t="shared" si="62"/>
        <v>#DIV/0!</v>
      </c>
      <c r="K135" s="20">
        <f>CE_AdministraçãoINSS!B137</f>
        <v>0</v>
      </c>
      <c r="L135" s="20">
        <f>CE_AdministraçãoINSS!C137</f>
        <v>0</v>
      </c>
      <c r="M135" s="20">
        <f>CE_AdministraçãoINSS!S137</f>
        <v>0</v>
      </c>
      <c r="N135" s="31" t="e">
        <f t="shared" si="64"/>
        <v>#DIV/0!</v>
      </c>
      <c r="O135" s="20">
        <f t="shared" si="65"/>
        <v>0</v>
      </c>
      <c r="P135" s="20">
        <f t="shared" si="65"/>
        <v>0</v>
      </c>
      <c r="Q135" s="20">
        <f t="shared" si="65"/>
        <v>0</v>
      </c>
      <c r="R135" s="31" t="e">
        <f t="shared" si="66"/>
        <v>#DIV/0!</v>
      </c>
      <c r="S135" s="20">
        <f>CE_AdministraçãoFRSS!B137</f>
        <v>0</v>
      </c>
      <c r="T135" s="20">
        <f>CE_AdministraçãoFRSS!C137</f>
        <v>0</v>
      </c>
      <c r="U135" s="20">
        <f>CE_AdministraçãoFRSS!S137</f>
        <v>0</v>
      </c>
      <c r="V135" s="31" t="e">
        <f t="shared" si="68"/>
        <v>#DIV/0!</v>
      </c>
      <c r="W135" s="20">
        <f t="shared" si="69"/>
        <v>0</v>
      </c>
      <c r="X135" s="20">
        <f t="shared" si="70"/>
        <v>0</v>
      </c>
      <c r="Y135" s="20">
        <f t="shared" si="71"/>
        <v>0</v>
      </c>
      <c r="Z135" s="31" t="e">
        <f t="shared" si="72"/>
        <v>#DIV/0!</v>
      </c>
      <c r="AA135" s="20">
        <f t="shared" si="73"/>
        <v>0</v>
      </c>
      <c r="AB135" s="20">
        <f t="shared" si="74"/>
        <v>0</v>
      </c>
      <c r="AC135" s="20">
        <f t="shared" si="75"/>
        <v>0</v>
      </c>
      <c r="AD135" s="31" t="e">
        <f t="shared" si="76"/>
        <v>#DIV/0!</v>
      </c>
      <c r="AE135" s="24"/>
      <c r="AF135" s="24"/>
      <c r="AG135" s="67"/>
      <c r="AH135" s="16"/>
      <c r="AI135" s="16"/>
      <c r="AJ135" s="16"/>
      <c r="AK135" s="16"/>
    </row>
    <row r="136" spans="1:37" s="21" customFormat="1" ht="15" customHeight="1" x14ac:dyDescent="0.2">
      <c r="A136" s="77" t="str">
        <f>"405.03.02"</f>
        <v>405.03.02</v>
      </c>
      <c r="B136" s="71" t="s">
        <v>803</v>
      </c>
      <c r="C136" s="84">
        <f>CE_RegimeContributivo!B138</f>
        <v>0</v>
      </c>
      <c r="D136" s="84">
        <f>CE_RegimeContributivo!C138</f>
        <v>0</v>
      </c>
      <c r="E136" s="84">
        <f>CE_RegimeContributivo!S138</f>
        <v>0</v>
      </c>
      <c r="F136" s="31" t="e">
        <f t="shared" si="60"/>
        <v>#DIV/0!</v>
      </c>
      <c r="G136" s="84">
        <f>CE_RegimeNaoContributivo!B138</f>
        <v>0</v>
      </c>
      <c r="H136" s="84">
        <f>CE_RegimeNaoContributivo!C138</f>
        <v>0</v>
      </c>
      <c r="I136" s="84">
        <f>CE_RegimeNaoContributivo!S138</f>
        <v>0</v>
      </c>
      <c r="J136" s="31" t="e">
        <f t="shared" si="62"/>
        <v>#DIV/0!</v>
      </c>
      <c r="K136" s="20">
        <f>CE_AdministraçãoINSS!B138</f>
        <v>0</v>
      </c>
      <c r="L136" s="20">
        <f>CE_AdministraçãoINSS!C138</f>
        <v>0</v>
      </c>
      <c r="M136" s="20">
        <f>CE_AdministraçãoINSS!S138</f>
        <v>0</v>
      </c>
      <c r="N136" s="31" t="e">
        <f t="shared" si="64"/>
        <v>#DIV/0!</v>
      </c>
      <c r="O136" s="20">
        <f t="shared" si="65"/>
        <v>0</v>
      </c>
      <c r="P136" s="20">
        <f t="shared" si="65"/>
        <v>0</v>
      </c>
      <c r="Q136" s="20">
        <f t="shared" si="65"/>
        <v>0</v>
      </c>
      <c r="R136" s="31" t="e">
        <f t="shared" si="66"/>
        <v>#DIV/0!</v>
      </c>
      <c r="S136" s="20">
        <f>CE_AdministraçãoFRSS!B138</f>
        <v>0</v>
      </c>
      <c r="T136" s="20">
        <f>CE_AdministraçãoFRSS!C138</f>
        <v>0</v>
      </c>
      <c r="U136" s="20">
        <f>CE_AdministraçãoFRSS!S138</f>
        <v>0</v>
      </c>
      <c r="V136" s="31" t="e">
        <f t="shared" si="68"/>
        <v>#DIV/0!</v>
      </c>
      <c r="W136" s="20">
        <f t="shared" si="69"/>
        <v>0</v>
      </c>
      <c r="X136" s="20">
        <f t="shared" si="70"/>
        <v>0</v>
      </c>
      <c r="Y136" s="20">
        <f t="shared" si="71"/>
        <v>0</v>
      </c>
      <c r="Z136" s="31" t="e">
        <f t="shared" si="72"/>
        <v>#DIV/0!</v>
      </c>
      <c r="AA136" s="20">
        <f t="shared" si="73"/>
        <v>0</v>
      </c>
      <c r="AB136" s="20">
        <f t="shared" si="74"/>
        <v>0</v>
      </c>
      <c r="AC136" s="20">
        <f t="shared" si="75"/>
        <v>0</v>
      </c>
      <c r="AD136" s="31" t="e">
        <f t="shared" si="76"/>
        <v>#DIV/0!</v>
      </c>
      <c r="AE136" s="24"/>
      <c r="AF136" s="24"/>
      <c r="AG136" s="67"/>
      <c r="AH136" s="16"/>
      <c r="AI136" s="16"/>
      <c r="AJ136" s="16"/>
      <c r="AK136" s="16"/>
    </row>
    <row r="137" spans="1:37" s="21" customFormat="1" ht="15" customHeight="1" x14ac:dyDescent="0.2">
      <c r="A137" s="77" t="str">
        <f>"405.03.03"</f>
        <v>405.03.03</v>
      </c>
      <c r="B137" s="71" t="s">
        <v>804</v>
      </c>
      <c r="C137" s="84">
        <f>CE_RegimeContributivo!B139</f>
        <v>0</v>
      </c>
      <c r="D137" s="84">
        <f>CE_RegimeContributivo!C139</f>
        <v>0</v>
      </c>
      <c r="E137" s="84">
        <f>CE_RegimeContributivo!S139</f>
        <v>0</v>
      </c>
      <c r="F137" s="31" t="e">
        <f t="shared" si="60"/>
        <v>#DIV/0!</v>
      </c>
      <c r="G137" s="84">
        <f>CE_RegimeNaoContributivo!B139</f>
        <v>0</v>
      </c>
      <c r="H137" s="84">
        <f>CE_RegimeNaoContributivo!C139</f>
        <v>0</v>
      </c>
      <c r="I137" s="84">
        <f>CE_RegimeNaoContributivo!S139</f>
        <v>0</v>
      </c>
      <c r="J137" s="31" t="e">
        <f t="shared" si="62"/>
        <v>#DIV/0!</v>
      </c>
      <c r="K137" s="20">
        <f>CE_AdministraçãoINSS!B139</f>
        <v>0</v>
      </c>
      <c r="L137" s="20">
        <f>CE_AdministraçãoINSS!C139</f>
        <v>0</v>
      </c>
      <c r="M137" s="20">
        <f>CE_AdministraçãoINSS!S139</f>
        <v>0</v>
      </c>
      <c r="N137" s="31" t="e">
        <f t="shared" si="64"/>
        <v>#DIV/0!</v>
      </c>
      <c r="O137" s="20">
        <f t="shared" si="65"/>
        <v>0</v>
      </c>
      <c r="P137" s="20">
        <f t="shared" si="65"/>
        <v>0</v>
      </c>
      <c r="Q137" s="20">
        <f t="shared" si="65"/>
        <v>0</v>
      </c>
      <c r="R137" s="31" t="e">
        <f t="shared" si="66"/>
        <v>#DIV/0!</v>
      </c>
      <c r="S137" s="20">
        <f>CE_AdministraçãoFRSS!B139</f>
        <v>0</v>
      </c>
      <c r="T137" s="20">
        <f>CE_AdministraçãoFRSS!C139</f>
        <v>0</v>
      </c>
      <c r="U137" s="20">
        <f>CE_AdministraçãoFRSS!S139</f>
        <v>0</v>
      </c>
      <c r="V137" s="31" t="e">
        <f t="shared" si="68"/>
        <v>#DIV/0!</v>
      </c>
      <c r="W137" s="20">
        <f t="shared" si="69"/>
        <v>0</v>
      </c>
      <c r="X137" s="20">
        <f t="shared" si="70"/>
        <v>0</v>
      </c>
      <c r="Y137" s="20">
        <f t="shared" si="71"/>
        <v>0</v>
      </c>
      <c r="Z137" s="31" t="e">
        <f t="shared" si="72"/>
        <v>#DIV/0!</v>
      </c>
      <c r="AA137" s="20">
        <f t="shared" si="73"/>
        <v>0</v>
      </c>
      <c r="AB137" s="20">
        <f t="shared" si="74"/>
        <v>0</v>
      </c>
      <c r="AC137" s="20">
        <f t="shared" si="75"/>
        <v>0</v>
      </c>
      <c r="AD137" s="31" t="e">
        <f t="shared" si="76"/>
        <v>#DIV/0!</v>
      </c>
      <c r="AE137" s="24"/>
      <c r="AF137" s="24"/>
      <c r="AG137" s="67"/>
      <c r="AH137" s="16"/>
      <c r="AI137" s="16"/>
      <c r="AJ137" s="16"/>
      <c r="AK137" s="16"/>
    </row>
    <row r="138" spans="1:37" s="21" customFormat="1" ht="15" customHeight="1" x14ac:dyDescent="0.2">
      <c r="A138" s="77" t="str">
        <f>"405.03.04"</f>
        <v>405.03.04</v>
      </c>
      <c r="B138" s="71" t="s">
        <v>805</v>
      </c>
      <c r="C138" s="84">
        <f>CE_RegimeContributivo!B140</f>
        <v>0</v>
      </c>
      <c r="D138" s="84">
        <f>CE_RegimeContributivo!C140</f>
        <v>0</v>
      </c>
      <c r="E138" s="84">
        <f>CE_RegimeContributivo!S140</f>
        <v>0</v>
      </c>
      <c r="F138" s="31" t="e">
        <f t="shared" si="60"/>
        <v>#DIV/0!</v>
      </c>
      <c r="G138" s="84">
        <f>CE_RegimeNaoContributivo!B140</f>
        <v>0</v>
      </c>
      <c r="H138" s="84">
        <f>CE_RegimeNaoContributivo!C140</f>
        <v>0</v>
      </c>
      <c r="I138" s="84">
        <f>CE_RegimeNaoContributivo!S140</f>
        <v>0</v>
      </c>
      <c r="J138" s="31" t="e">
        <f t="shared" si="62"/>
        <v>#DIV/0!</v>
      </c>
      <c r="K138" s="20">
        <f>CE_AdministraçãoINSS!B140</f>
        <v>0</v>
      </c>
      <c r="L138" s="20">
        <f>CE_AdministraçãoINSS!C140</f>
        <v>0</v>
      </c>
      <c r="M138" s="20">
        <f>CE_AdministraçãoINSS!S140</f>
        <v>0</v>
      </c>
      <c r="N138" s="31" t="e">
        <f t="shared" si="64"/>
        <v>#DIV/0!</v>
      </c>
      <c r="O138" s="20">
        <f t="shared" si="65"/>
        <v>0</v>
      </c>
      <c r="P138" s="20">
        <f t="shared" si="65"/>
        <v>0</v>
      </c>
      <c r="Q138" s="20">
        <f t="shared" si="65"/>
        <v>0</v>
      </c>
      <c r="R138" s="31" t="e">
        <f t="shared" si="66"/>
        <v>#DIV/0!</v>
      </c>
      <c r="S138" s="20">
        <f>CE_AdministraçãoFRSS!B140</f>
        <v>0</v>
      </c>
      <c r="T138" s="20">
        <f>CE_AdministraçãoFRSS!C140</f>
        <v>0</v>
      </c>
      <c r="U138" s="20">
        <f>CE_AdministraçãoFRSS!S140</f>
        <v>0</v>
      </c>
      <c r="V138" s="31" t="e">
        <f t="shared" si="68"/>
        <v>#DIV/0!</v>
      </c>
      <c r="W138" s="20">
        <f t="shared" si="69"/>
        <v>0</v>
      </c>
      <c r="X138" s="20">
        <f t="shared" si="70"/>
        <v>0</v>
      </c>
      <c r="Y138" s="20">
        <f t="shared" si="71"/>
        <v>0</v>
      </c>
      <c r="Z138" s="31" t="e">
        <f t="shared" si="72"/>
        <v>#DIV/0!</v>
      </c>
      <c r="AA138" s="20">
        <f t="shared" si="73"/>
        <v>0</v>
      </c>
      <c r="AB138" s="20">
        <f t="shared" si="74"/>
        <v>0</v>
      </c>
      <c r="AC138" s="20">
        <f t="shared" si="75"/>
        <v>0</v>
      </c>
      <c r="AD138" s="31" t="e">
        <f t="shared" si="76"/>
        <v>#DIV/0!</v>
      </c>
      <c r="AE138" s="24"/>
      <c r="AF138" s="24"/>
      <c r="AG138" s="67"/>
      <c r="AH138" s="16"/>
      <c r="AI138" s="16"/>
      <c r="AJ138" s="16"/>
      <c r="AK138" s="16"/>
    </row>
    <row r="139" spans="1:37" s="21" customFormat="1" ht="15" customHeight="1" x14ac:dyDescent="0.2">
      <c r="A139" s="77" t="str">
        <f>"405.03.05"</f>
        <v>405.03.05</v>
      </c>
      <c r="B139" s="71" t="s">
        <v>806</v>
      </c>
      <c r="C139" s="84">
        <f>CE_RegimeContributivo!B141</f>
        <v>0</v>
      </c>
      <c r="D139" s="84">
        <f>CE_RegimeContributivo!C141</f>
        <v>0</v>
      </c>
      <c r="E139" s="84">
        <f>CE_RegimeContributivo!S141</f>
        <v>0</v>
      </c>
      <c r="F139" s="31" t="e">
        <f t="shared" si="60"/>
        <v>#DIV/0!</v>
      </c>
      <c r="G139" s="84">
        <f>CE_RegimeNaoContributivo!B141</f>
        <v>0</v>
      </c>
      <c r="H139" s="84">
        <f>CE_RegimeNaoContributivo!C141</f>
        <v>0</v>
      </c>
      <c r="I139" s="84">
        <f>CE_RegimeNaoContributivo!S141</f>
        <v>0</v>
      </c>
      <c r="J139" s="31" t="e">
        <f t="shared" si="62"/>
        <v>#DIV/0!</v>
      </c>
      <c r="K139" s="20">
        <f>CE_AdministraçãoINSS!B141</f>
        <v>0</v>
      </c>
      <c r="L139" s="20">
        <f>CE_AdministraçãoINSS!C141</f>
        <v>0</v>
      </c>
      <c r="M139" s="20">
        <f>CE_AdministraçãoINSS!S141</f>
        <v>0</v>
      </c>
      <c r="N139" s="31" t="e">
        <f t="shared" si="64"/>
        <v>#DIV/0!</v>
      </c>
      <c r="O139" s="20">
        <f t="shared" si="65"/>
        <v>0</v>
      </c>
      <c r="P139" s="20">
        <f t="shared" si="65"/>
        <v>0</v>
      </c>
      <c r="Q139" s="20">
        <f t="shared" si="65"/>
        <v>0</v>
      </c>
      <c r="R139" s="31" t="e">
        <f t="shared" si="66"/>
        <v>#DIV/0!</v>
      </c>
      <c r="S139" s="20">
        <f>CE_AdministraçãoFRSS!B141</f>
        <v>0</v>
      </c>
      <c r="T139" s="20">
        <f>CE_AdministraçãoFRSS!C141</f>
        <v>0</v>
      </c>
      <c r="U139" s="20">
        <f>CE_AdministraçãoFRSS!S141</f>
        <v>0</v>
      </c>
      <c r="V139" s="31" t="e">
        <f t="shared" si="68"/>
        <v>#DIV/0!</v>
      </c>
      <c r="W139" s="20">
        <f t="shared" si="69"/>
        <v>0</v>
      </c>
      <c r="X139" s="20">
        <f t="shared" si="70"/>
        <v>0</v>
      </c>
      <c r="Y139" s="20">
        <f t="shared" si="71"/>
        <v>0</v>
      </c>
      <c r="Z139" s="31" t="e">
        <f t="shared" si="72"/>
        <v>#DIV/0!</v>
      </c>
      <c r="AA139" s="20">
        <f t="shared" si="73"/>
        <v>0</v>
      </c>
      <c r="AB139" s="20">
        <f t="shared" si="74"/>
        <v>0</v>
      </c>
      <c r="AC139" s="20">
        <f t="shared" si="75"/>
        <v>0</v>
      </c>
      <c r="AD139" s="31" t="e">
        <f t="shared" si="76"/>
        <v>#DIV/0!</v>
      </c>
      <c r="AE139" s="24"/>
      <c r="AF139" s="24"/>
      <c r="AG139" s="67"/>
      <c r="AH139" s="16"/>
      <c r="AI139" s="16"/>
      <c r="AJ139" s="16"/>
      <c r="AK139" s="16"/>
    </row>
    <row r="140" spans="1:37" s="21" customFormat="1" ht="15" customHeight="1" x14ac:dyDescent="0.2">
      <c r="A140" s="77" t="str">
        <f>"405.03.06"</f>
        <v>405.03.06</v>
      </c>
      <c r="B140" s="71" t="s">
        <v>807</v>
      </c>
      <c r="C140" s="84">
        <f>CE_RegimeContributivo!B142</f>
        <v>0</v>
      </c>
      <c r="D140" s="84">
        <f>CE_RegimeContributivo!C142</f>
        <v>0</v>
      </c>
      <c r="E140" s="84">
        <f>CE_RegimeContributivo!S142</f>
        <v>0</v>
      </c>
      <c r="F140" s="31" t="e">
        <f t="shared" si="60"/>
        <v>#DIV/0!</v>
      </c>
      <c r="G140" s="84">
        <f>CE_RegimeNaoContributivo!B142</f>
        <v>0</v>
      </c>
      <c r="H140" s="84">
        <f>CE_RegimeNaoContributivo!C142</f>
        <v>0</v>
      </c>
      <c r="I140" s="84">
        <f>CE_RegimeNaoContributivo!S142</f>
        <v>0</v>
      </c>
      <c r="J140" s="31" t="e">
        <f t="shared" si="62"/>
        <v>#DIV/0!</v>
      </c>
      <c r="K140" s="20">
        <f>CE_AdministraçãoINSS!B142</f>
        <v>0</v>
      </c>
      <c r="L140" s="20">
        <f>CE_AdministraçãoINSS!C142</f>
        <v>0</v>
      </c>
      <c r="M140" s="20">
        <f>CE_AdministraçãoINSS!S142</f>
        <v>0</v>
      </c>
      <c r="N140" s="31" t="e">
        <f t="shared" si="64"/>
        <v>#DIV/0!</v>
      </c>
      <c r="O140" s="20">
        <f t="shared" si="65"/>
        <v>0</v>
      </c>
      <c r="P140" s="20">
        <f t="shared" si="65"/>
        <v>0</v>
      </c>
      <c r="Q140" s="20">
        <f t="shared" si="65"/>
        <v>0</v>
      </c>
      <c r="R140" s="31" t="e">
        <f t="shared" si="66"/>
        <v>#DIV/0!</v>
      </c>
      <c r="S140" s="20">
        <f>CE_AdministraçãoFRSS!B142</f>
        <v>0</v>
      </c>
      <c r="T140" s="20">
        <f>CE_AdministraçãoFRSS!C142</f>
        <v>0</v>
      </c>
      <c r="U140" s="20">
        <f>CE_AdministraçãoFRSS!S142</f>
        <v>0</v>
      </c>
      <c r="V140" s="31" t="e">
        <f t="shared" si="68"/>
        <v>#DIV/0!</v>
      </c>
      <c r="W140" s="20">
        <f t="shared" si="69"/>
        <v>0</v>
      </c>
      <c r="X140" s="20">
        <f t="shared" si="70"/>
        <v>0</v>
      </c>
      <c r="Y140" s="20">
        <f t="shared" si="71"/>
        <v>0</v>
      </c>
      <c r="Z140" s="31" t="e">
        <f t="shared" si="72"/>
        <v>#DIV/0!</v>
      </c>
      <c r="AA140" s="20">
        <f t="shared" si="73"/>
        <v>0</v>
      </c>
      <c r="AB140" s="20">
        <f t="shared" si="74"/>
        <v>0</v>
      </c>
      <c r="AC140" s="20">
        <f t="shared" si="75"/>
        <v>0</v>
      </c>
      <c r="AD140" s="31" t="e">
        <f t="shared" si="76"/>
        <v>#DIV/0!</v>
      </c>
      <c r="AE140" s="24"/>
      <c r="AF140" s="24"/>
      <c r="AG140" s="67"/>
      <c r="AH140" s="16"/>
      <c r="AI140" s="16"/>
      <c r="AJ140" s="16"/>
      <c r="AK140" s="16"/>
    </row>
    <row r="141" spans="1:37" s="21" customFormat="1" ht="15" customHeight="1" x14ac:dyDescent="0.2">
      <c r="A141" s="77" t="str">
        <f>"405.03.07"</f>
        <v>405.03.07</v>
      </c>
      <c r="B141" s="71" t="s">
        <v>808</v>
      </c>
      <c r="C141" s="84">
        <f>CE_RegimeContributivo!B143</f>
        <v>0</v>
      </c>
      <c r="D141" s="84">
        <f>CE_RegimeContributivo!C143</f>
        <v>0</v>
      </c>
      <c r="E141" s="84">
        <f>CE_RegimeContributivo!S143</f>
        <v>0</v>
      </c>
      <c r="F141" s="31" t="e">
        <f t="shared" ref="F141:F170" si="134">E141/D141</f>
        <v>#DIV/0!</v>
      </c>
      <c r="G141" s="84">
        <f>CE_RegimeNaoContributivo!B143</f>
        <v>0</v>
      </c>
      <c r="H141" s="84">
        <f>CE_RegimeNaoContributivo!C143</f>
        <v>0</v>
      </c>
      <c r="I141" s="84">
        <f>CE_RegimeNaoContributivo!S143</f>
        <v>0</v>
      </c>
      <c r="J141" s="31" t="e">
        <f t="shared" ref="J141:J170" si="135">I141/H141</f>
        <v>#DIV/0!</v>
      </c>
      <c r="K141" s="20">
        <f>CE_AdministraçãoINSS!B143</f>
        <v>0</v>
      </c>
      <c r="L141" s="20">
        <f>CE_AdministraçãoINSS!C143</f>
        <v>0</v>
      </c>
      <c r="M141" s="20">
        <f>CE_AdministraçãoINSS!S143</f>
        <v>0</v>
      </c>
      <c r="N141" s="31" t="e">
        <f t="shared" ref="N141:N170" si="136">M141/L141</f>
        <v>#DIV/0!</v>
      </c>
      <c r="O141" s="20">
        <f t="shared" ref="O141:Q170" si="137">C141+G141+K141</f>
        <v>0</v>
      </c>
      <c r="P141" s="20">
        <f t="shared" si="137"/>
        <v>0</v>
      </c>
      <c r="Q141" s="20">
        <f t="shared" si="137"/>
        <v>0</v>
      </c>
      <c r="R141" s="31" t="e">
        <f t="shared" ref="R141:R170" si="138">Q141/P141</f>
        <v>#DIV/0!</v>
      </c>
      <c r="S141" s="20">
        <f>CE_AdministraçãoFRSS!B143</f>
        <v>0</v>
      </c>
      <c r="T141" s="20">
        <f>CE_AdministraçãoFRSS!C143</f>
        <v>0</v>
      </c>
      <c r="U141" s="20">
        <f>CE_AdministraçãoFRSS!S143</f>
        <v>0</v>
      </c>
      <c r="V141" s="31" t="e">
        <f t="shared" ref="V141:V170" si="139">U141/T141</f>
        <v>#DIV/0!</v>
      </c>
      <c r="W141" s="20">
        <f t="shared" ref="W141:W170" si="140">S141</f>
        <v>0</v>
      </c>
      <c r="X141" s="20">
        <f t="shared" ref="X141:X170" si="141">T141</f>
        <v>0</v>
      </c>
      <c r="Y141" s="20">
        <f t="shared" ref="Y141:Y170" si="142">U141</f>
        <v>0</v>
      </c>
      <c r="Z141" s="31" t="e">
        <f t="shared" ref="Z141:Z170" si="143">Y141/X141</f>
        <v>#DIV/0!</v>
      </c>
      <c r="AA141" s="20">
        <f t="shared" ref="AA141:AA170" si="144">O141+W141</f>
        <v>0</v>
      </c>
      <c r="AB141" s="20">
        <f t="shared" ref="AB141:AB170" si="145">P141+X141</f>
        <v>0</v>
      </c>
      <c r="AC141" s="20">
        <f t="shared" ref="AC141:AC170" si="146">Q141+Y141</f>
        <v>0</v>
      </c>
      <c r="AD141" s="31" t="e">
        <f t="shared" ref="AD141:AD170" si="147">AC141/AB141</f>
        <v>#DIV/0!</v>
      </c>
      <c r="AE141" s="24"/>
      <c r="AF141" s="24"/>
      <c r="AG141" s="67"/>
      <c r="AH141" s="16"/>
      <c r="AI141" s="16"/>
      <c r="AJ141" s="16"/>
      <c r="AK141" s="16"/>
    </row>
    <row r="142" spans="1:37" s="21" customFormat="1" x14ac:dyDescent="0.2">
      <c r="A142" s="77" t="str">
        <f>"405.03.08"</f>
        <v>405.03.08</v>
      </c>
      <c r="B142" s="71" t="s">
        <v>809</v>
      </c>
      <c r="C142" s="84">
        <f>CE_RegimeContributivo!B144</f>
        <v>0</v>
      </c>
      <c r="D142" s="84">
        <f>CE_RegimeContributivo!C144</f>
        <v>0</v>
      </c>
      <c r="E142" s="84">
        <f>CE_RegimeContributivo!S144</f>
        <v>0</v>
      </c>
      <c r="F142" s="31" t="e">
        <f t="shared" si="134"/>
        <v>#DIV/0!</v>
      </c>
      <c r="G142" s="84">
        <f>CE_RegimeNaoContributivo!B144</f>
        <v>0</v>
      </c>
      <c r="H142" s="84">
        <f>CE_RegimeNaoContributivo!C144</f>
        <v>0</v>
      </c>
      <c r="I142" s="84">
        <f>CE_RegimeNaoContributivo!S144</f>
        <v>0</v>
      </c>
      <c r="J142" s="31" t="e">
        <f t="shared" si="135"/>
        <v>#DIV/0!</v>
      </c>
      <c r="K142" s="20">
        <f>CE_AdministraçãoINSS!B144</f>
        <v>0</v>
      </c>
      <c r="L142" s="20">
        <f>CE_AdministraçãoINSS!C144</f>
        <v>0</v>
      </c>
      <c r="M142" s="20">
        <f>CE_AdministraçãoINSS!S144</f>
        <v>0</v>
      </c>
      <c r="N142" s="31" t="e">
        <f t="shared" si="136"/>
        <v>#DIV/0!</v>
      </c>
      <c r="O142" s="20">
        <f t="shared" si="137"/>
        <v>0</v>
      </c>
      <c r="P142" s="20">
        <f t="shared" si="137"/>
        <v>0</v>
      </c>
      <c r="Q142" s="20">
        <f t="shared" si="137"/>
        <v>0</v>
      </c>
      <c r="R142" s="31" t="e">
        <f t="shared" si="138"/>
        <v>#DIV/0!</v>
      </c>
      <c r="S142" s="20">
        <f>CE_AdministraçãoFRSS!B144</f>
        <v>0</v>
      </c>
      <c r="T142" s="20">
        <f>CE_AdministraçãoFRSS!C144</f>
        <v>0</v>
      </c>
      <c r="U142" s="20">
        <f>CE_AdministraçãoFRSS!S144</f>
        <v>0</v>
      </c>
      <c r="V142" s="31" t="e">
        <f t="shared" si="139"/>
        <v>#DIV/0!</v>
      </c>
      <c r="W142" s="20">
        <f t="shared" si="140"/>
        <v>0</v>
      </c>
      <c r="X142" s="20">
        <f t="shared" si="141"/>
        <v>0</v>
      </c>
      <c r="Y142" s="20">
        <f t="shared" si="142"/>
        <v>0</v>
      </c>
      <c r="Z142" s="31" t="e">
        <f t="shared" si="143"/>
        <v>#DIV/0!</v>
      </c>
      <c r="AA142" s="20">
        <f t="shared" si="144"/>
        <v>0</v>
      </c>
      <c r="AB142" s="20">
        <f t="shared" si="145"/>
        <v>0</v>
      </c>
      <c r="AC142" s="20">
        <f t="shared" si="146"/>
        <v>0</v>
      </c>
      <c r="AD142" s="31" t="e">
        <f t="shared" si="147"/>
        <v>#DIV/0!</v>
      </c>
      <c r="AE142" s="24"/>
      <c r="AF142" s="24"/>
      <c r="AG142" s="67"/>
      <c r="AH142" s="16"/>
      <c r="AI142" s="16"/>
      <c r="AJ142" s="16"/>
      <c r="AK142" s="16"/>
    </row>
    <row r="143" spans="1:37" s="21" customFormat="1" x14ac:dyDescent="0.2">
      <c r="A143" s="77" t="str">
        <f>"405.03.09"</f>
        <v>405.03.09</v>
      </c>
      <c r="B143" s="71" t="s">
        <v>810</v>
      </c>
      <c r="C143" s="84">
        <f>CE_RegimeContributivo!B145</f>
        <v>0</v>
      </c>
      <c r="D143" s="84">
        <f>CE_RegimeContributivo!C145</f>
        <v>0</v>
      </c>
      <c r="E143" s="84">
        <f>CE_RegimeContributivo!S145</f>
        <v>0</v>
      </c>
      <c r="F143" s="31" t="e">
        <f t="shared" si="134"/>
        <v>#DIV/0!</v>
      </c>
      <c r="G143" s="84">
        <f>CE_RegimeNaoContributivo!B145</f>
        <v>0</v>
      </c>
      <c r="H143" s="84">
        <f>CE_RegimeNaoContributivo!C145</f>
        <v>0</v>
      </c>
      <c r="I143" s="84">
        <f>CE_RegimeNaoContributivo!S145</f>
        <v>0</v>
      </c>
      <c r="J143" s="31" t="e">
        <f t="shared" si="135"/>
        <v>#DIV/0!</v>
      </c>
      <c r="K143" s="20">
        <f>CE_AdministraçãoINSS!B145</f>
        <v>0</v>
      </c>
      <c r="L143" s="20">
        <f>CE_AdministraçãoINSS!C145</f>
        <v>0</v>
      </c>
      <c r="M143" s="20">
        <f>CE_AdministraçãoINSS!S145</f>
        <v>0</v>
      </c>
      <c r="N143" s="31" t="e">
        <f t="shared" si="136"/>
        <v>#DIV/0!</v>
      </c>
      <c r="O143" s="20">
        <f t="shared" si="137"/>
        <v>0</v>
      </c>
      <c r="P143" s="20">
        <f t="shared" si="137"/>
        <v>0</v>
      </c>
      <c r="Q143" s="20">
        <f t="shared" si="137"/>
        <v>0</v>
      </c>
      <c r="R143" s="31" t="e">
        <f t="shared" si="138"/>
        <v>#DIV/0!</v>
      </c>
      <c r="S143" s="20">
        <f>CE_AdministraçãoFRSS!B145</f>
        <v>0</v>
      </c>
      <c r="T143" s="20">
        <f>CE_AdministraçãoFRSS!C145</f>
        <v>0</v>
      </c>
      <c r="U143" s="20">
        <f>CE_AdministraçãoFRSS!S145</f>
        <v>0</v>
      </c>
      <c r="V143" s="31" t="e">
        <f t="shared" si="139"/>
        <v>#DIV/0!</v>
      </c>
      <c r="W143" s="20">
        <f t="shared" si="140"/>
        <v>0</v>
      </c>
      <c r="X143" s="20">
        <f t="shared" si="141"/>
        <v>0</v>
      </c>
      <c r="Y143" s="20">
        <f t="shared" si="142"/>
        <v>0</v>
      </c>
      <c r="Z143" s="31" t="e">
        <f t="shared" si="143"/>
        <v>#DIV/0!</v>
      </c>
      <c r="AA143" s="20">
        <f t="shared" si="144"/>
        <v>0</v>
      </c>
      <c r="AB143" s="20">
        <f t="shared" si="145"/>
        <v>0</v>
      </c>
      <c r="AC143" s="20">
        <f t="shared" si="146"/>
        <v>0</v>
      </c>
      <c r="AD143" s="31" t="e">
        <f t="shared" si="147"/>
        <v>#DIV/0!</v>
      </c>
      <c r="AE143" s="24"/>
      <c r="AF143" s="24"/>
      <c r="AG143" s="67"/>
      <c r="AH143" s="16"/>
      <c r="AI143" s="16"/>
      <c r="AJ143" s="16"/>
      <c r="AK143" s="16"/>
    </row>
    <row r="144" spans="1:37" s="21" customFormat="1" ht="15" customHeight="1" x14ac:dyDescent="0.2">
      <c r="A144" s="77" t="str">
        <f>"405.03.10"</f>
        <v>405.03.10</v>
      </c>
      <c r="B144" s="71" t="s">
        <v>811</v>
      </c>
      <c r="C144" s="84">
        <f>CE_RegimeContributivo!B146</f>
        <v>0</v>
      </c>
      <c r="D144" s="84">
        <f>CE_RegimeContributivo!C146</f>
        <v>0</v>
      </c>
      <c r="E144" s="84">
        <f>CE_RegimeContributivo!S146</f>
        <v>0</v>
      </c>
      <c r="F144" s="31" t="e">
        <f t="shared" si="134"/>
        <v>#DIV/0!</v>
      </c>
      <c r="G144" s="84">
        <f>CE_RegimeNaoContributivo!B146</f>
        <v>0</v>
      </c>
      <c r="H144" s="84">
        <f>CE_RegimeNaoContributivo!C146</f>
        <v>0</v>
      </c>
      <c r="I144" s="84">
        <f>CE_RegimeNaoContributivo!S146</f>
        <v>0</v>
      </c>
      <c r="J144" s="31" t="e">
        <f t="shared" si="135"/>
        <v>#DIV/0!</v>
      </c>
      <c r="K144" s="20">
        <f>CE_AdministraçãoINSS!B146</f>
        <v>0</v>
      </c>
      <c r="L144" s="20">
        <f>CE_AdministraçãoINSS!C146</f>
        <v>0</v>
      </c>
      <c r="M144" s="20">
        <f>CE_AdministraçãoINSS!S146</f>
        <v>0</v>
      </c>
      <c r="N144" s="31" t="e">
        <f t="shared" si="136"/>
        <v>#DIV/0!</v>
      </c>
      <c r="O144" s="20">
        <f t="shared" si="137"/>
        <v>0</v>
      </c>
      <c r="P144" s="20">
        <f t="shared" si="137"/>
        <v>0</v>
      </c>
      <c r="Q144" s="20">
        <f t="shared" si="137"/>
        <v>0</v>
      </c>
      <c r="R144" s="31" t="e">
        <f t="shared" si="138"/>
        <v>#DIV/0!</v>
      </c>
      <c r="S144" s="20">
        <f>CE_AdministraçãoFRSS!B146</f>
        <v>0</v>
      </c>
      <c r="T144" s="20">
        <f>CE_AdministraçãoFRSS!C146</f>
        <v>0</v>
      </c>
      <c r="U144" s="20">
        <f>CE_AdministraçãoFRSS!S146</f>
        <v>0</v>
      </c>
      <c r="V144" s="31" t="e">
        <f t="shared" si="139"/>
        <v>#DIV/0!</v>
      </c>
      <c r="W144" s="20">
        <f t="shared" si="140"/>
        <v>0</v>
      </c>
      <c r="X144" s="20">
        <f t="shared" si="141"/>
        <v>0</v>
      </c>
      <c r="Y144" s="20">
        <f t="shared" si="142"/>
        <v>0</v>
      </c>
      <c r="Z144" s="31" t="e">
        <f t="shared" si="143"/>
        <v>#DIV/0!</v>
      </c>
      <c r="AA144" s="20">
        <f t="shared" si="144"/>
        <v>0</v>
      </c>
      <c r="AB144" s="20">
        <f t="shared" si="145"/>
        <v>0</v>
      </c>
      <c r="AC144" s="20">
        <f t="shared" si="146"/>
        <v>0</v>
      </c>
      <c r="AD144" s="31" t="e">
        <f t="shared" si="147"/>
        <v>#DIV/0!</v>
      </c>
      <c r="AE144" s="24"/>
      <c r="AF144" s="24"/>
      <c r="AG144" s="67"/>
      <c r="AH144" s="16"/>
      <c r="AI144" s="16"/>
      <c r="AJ144" s="16"/>
      <c r="AK144" s="16"/>
    </row>
    <row r="145" spans="1:37" x14ac:dyDescent="0.2">
      <c r="A145" s="76" t="str">
        <f>"405.04"</f>
        <v>405.04</v>
      </c>
      <c r="B145" s="70" t="s">
        <v>812</v>
      </c>
      <c r="C145" s="83">
        <f>CE_RegimeContributivo!B147</f>
        <v>0</v>
      </c>
      <c r="D145" s="83">
        <f>CE_RegimeContributivo!C147</f>
        <v>0</v>
      </c>
      <c r="E145" s="83">
        <f>CE_RegimeContributivo!S147</f>
        <v>0</v>
      </c>
      <c r="F145" s="30" t="e">
        <f t="shared" si="134"/>
        <v>#DIV/0!</v>
      </c>
      <c r="G145" s="83">
        <f>CE_RegimeNaoContributivo!B147</f>
        <v>0</v>
      </c>
      <c r="H145" s="83">
        <f>CE_RegimeNaoContributivo!C147</f>
        <v>0</v>
      </c>
      <c r="I145" s="83">
        <f>CE_RegimeNaoContributivo!S147</f>
        <v>0</v>
      </c>
      <c r="J145" s="30" t="e">
        <f t="shared" si="135"/>
        <v>#DIV/0!</v>
      </c>
      <c r="K145" s="19">
        <f>CE_AdministraçãoINSS!B147</f>
        <v>0</v>
      </c>
      <c r="L145" s="19">
        <f>CE_AdministraçãoINSS!C147</f>
        <v>0</v>
      </c>
      <c r="M145" s="19">
        <f>CE_AdministraçãoINSS!S147</f>
        <v>0</v>
      </c>
      <c r="N145" s="30" t="e">
        <f t="shared" si="136"/>
        <v>#DIV/0!</v>
      </c>
      <c r="O145" s="19">
        <f t="shared" si="137"/>
        <v>0</v>
      </c>
      <c r="P145" s="19">
        <f t="shared" si="137"/>
        <v>0</v>
      </c>
      <c r="Q145" s="19">
        <f t="shared" si="137"/>
        <v>0</v>
      </c>
      <c r="R145" s="30" t="e">
        <f t="shared" si="138"/>
        <v>#DIV/0!</v>
      </c>
      <c r="S145" s="19">
        <f>CE_AdministraçãoFRSS!B147</f>
        <v>0</v>
      </c>
      <c r="T145" s="19">
        <f>CE_AdministraçãoFRSS!C147</f>
        <v>0</v>
      </c>
      <c r="U145" s="19">
        <f>CE_AdministraçãoFRSS!S147</f>
        <v>0</v>
      </c>
      <c r="V145" s="30" t="e">
        <f t="shared" si="139"/>
        <v>#DIV/0!</v>
      </c>
      <c r="W145" s="20">
        <f t="shared" si="140"/>
        <v>0</v>
      </c>
      <c r="X145" s="20">
        <f t="shared" si="141"/>
        <v>0</v>
      </c>
      <c r="Y145" s="20">
        <f t="shared" si="142"/>
        <v>0</v>
      </c>
      <c r="Z145" s="30" t="e">
        <f t="shared" si="143"/>
        <v>#DIV/0!</v>
      </c>
      <c r="AA145" s="20">
        <f t="shared" si="144"/>
        <v>0</v>
      </c>
      <c r="AB145" s="20">
        <f t="shared" si="145"/>
        <v>0</v>
      </c>
      <c r="AC145" s="20">
        <f t="shared" si="146"/>
        <v>0</v>
      </c>
      <c r="AD145" s="30" t="e">
        <f t="shared" si="147"/>
        <v>#DIV/0!</v>
      </c>
      <c r="AE145" s="24"/>
      <c r="AF145" s="24"/>
      <c r="AG145" s="67"/>
    </row>
    <row r="146" spans="1:37" x14ac:dyDescent="0.2">
      <c r="A146" s="75">
        <v>406</v>
      </c>
      <c r="B146" s="69" t="s">
        <v>813</v>
      </c>
      <c r="C146" s="82">
        <f>C147+C154</f>
        <v>0</v>
      </c>
      <c r="D146" s="82">
        <f>D147+D154</f>
        <v>0</v>
      </c>
      <c r="E146" s="82">
        <f>E147+E154</f>
        <v>0</v>
      </c>
      <c r="F146" s="29" t="e">
        <f t="shared" si="134"/>
        <v>#DIV/0!</v>
      </c>
      <c r="G146" s="82">
        <f>G147+G154</f>
        <v>0</v>
      </c>
      <c r="H146" s="82">
        <f t="shared" ref="H146:I146" si="148">H147+H154</f>
        <v>0</v>
      </c>
      <c r="I146" s="82">
        <f t="shared" si="148"/>
        <v>0</v>
      </c>
      <c r="J146" s="29" t="e">
        <f t="shared" si="135"/>
        <v>#DIV/0!</v>
      </c>
      <c r="K146" s="18">
        <f>K147+K154</f>
        <v>0</v>
      </c>
      <c r="L146" s="18">
        <f t="shared" ref="L146:M146" si="149">L147+L154</f>
        <v>0</v>
      </c>
      <c r="M146" s="18">
        <f t="shared" si="149"/>
        <v>0</v>
      </c>
      <c r="N146" s="29" t="e">
        <f t="shared" si="136"/>
        <v>#DIV/0!</v>
      </c>
      <c r="O146" s="18">
        <f t="shared" si="137"/>
        <v>0</v>
      </c>
      <c r="P146" s="18">
        <f t="shared" si="137"/>
        <v>0</v>
      </c>
      <c r="Q146" s="18">
        <f t="shared" si="137"/>
        <v>0</v>
      </c>
      <c r="R146" s="29" t="e">
        <f t="shared" si="138"/>
        <v>#DIV/0!</v>
      </c>
      <c r="S146" s="18">
        <f>S147+S154</f>
        <v>0</v>
      </c>
      <c r="T146" s="18">
        <f t="shared" ref="T146:U146" si="150">T147+T154</f>
        <v>0</v>
      </c>
      <c r="U146" s="18">
        <f t="shared" si="150"/>
        <v>0</v>
      </c>
      <c r="V146" s="29" t="e">
        <f t="shared" si="139"/>
        <v>#DIV/0!</v>
      </c>
      <c r="W146" s="18">
        <f t="shared" si="140"/>
        <v>0</v>
      </c>
      <c r="X146" s="18">
        <f t="shared" si="141"/>
        <v>0</v>
      </c>
      <c r="Y146" s="18">
        <f t="shared" si="142"/>
        <v>0</v>
      </c>
      <c r="Z146" s="29" t="e">
        <f t="shared" si="143"/>
        <v>#DIV/0!</v>
      </c>
      <c r="AA146" s="18">
        <f t="shared" si="144"/>
        <v>0</v>
      </c>
      <c r="AB146" s="18">
        <f t="shared" si="145"/>
        <v>0</v>
      </c>
      <c r="AC146" s="18">
        <f t="shared" si="146"/>
        <v>0</v>
      </c>
      <c r="AD146" s="29" t="e">
        <f t="shared" si="147"/>
        <v>#DIV/0!</v>
      </c>
      <c r="AE146" s="24"/>
      <c r="AF146" s="24"/>
      <c r="AG146" s="67"/>
    </row>
    <row r="147" spans="1:37" x14ac:dyDescent="0.2">
      <c r="A147" s="76" t="str">
        <f>"406.01"</f>
        <v>406.01</v>
      </c>
      <c r="B147" s="70" t="s">
        <v>814</v>
      </c>
      <c r="C147" s="86">
        <f>SUM(C148:C153)</f>
        <v>0</v>
      </c>
      <c r="D147" s="86">
        <f>SUM(D148:D153)</f>
        <v>0</v>
      </c>
      <c r="E147" s="86">
        <f>SUM(E148:E153)</f>
        <v>0</v>
      </c>
      <c r="F147" s="30" t="e">
        <f t="shared" si="134"/>
        <v>#DIV/0!</v>
      </c>
      <c r="G147" s="86">
        <f>SUM(G148:G153)</f>
        <v>0</v>
      </c>
      <c r="H147" s="86">
        <f t="shared" ref="H147:I147" si="151">SUM(H148:H153)</f>
        <v>0</v>
      </c>
      <c r="I147" s="86">
        <f t="shared" si="151"/>
        <v>0</v>
      </c>
      <c r="J147" s="30" t="e">
        <f t="shared" si="135"/>
        <v>#DIV/0!</v>
      </c>
      <c r="K147" s="25">
        <f>SUM(K148:K153)</f>
        <v>0</v>
      </c>
      <c r="L147" s="25">
        <f t="shared" ref="L147:M147" si="152">SUM(L148:L153)</f>
        <v>0</v>
      </c>
      <c r="M147" s="25">
        <f t="shared" si="152"/>
        <v>0</v>
      </c>
      <c r="N147" s="30" t="e">
        <f t="shared" si="136"/>
        <v>#DIV/0!</v>
      </c>
      <c r="O147" s="25">
        <f t="shared" si="137"/>
        <v>0</v>
      </c>
      <c r="P147" s="25">
        <f t="shared" si="137"/>
        <v>0</v>
      </c>
      <c r="Q147" s="25">
        <f t="shared" si="137"/>
        <v>0</v>
      </c>
      <c r="R147" s="30" t="e">
        <f t="shared" si="138"/>
        <v>#DIV/0!</v>
      </c>
      <c r="S147" s="25">
        <f>SUM(S148:S153)</f>
        <v>0</v>
      </c>
      <c r="T147" s="25">
        <f t="shared" ref="T147:U147" si="153">SUM(T148:T153)</f>
        <v>0</v>
      </c>
      <c r="U147" s="25">
        <f t="shared" si="153"/>
        <v>0</v>
      </c>
      <c r="V147" s="30" t="e">
        <f t="shared" si="139"/>
        <v>#DIV/0!</v>
      </c>
      <c r="W147" s="25">
        <f t="shared" si="140"/>
        <v>0</v>
      </c>
      <c r="X147" s="25">
        <f t="shared" si="141"/>
        <v>0</v>
      </c>
      <c r="Y147" s="25">
        <f t="shared" si="142"/>
        <v>0</v>
      </c>
      <c r="Z147" s="30" t="e">
        <f t="shared" si="143"/>
        <v>#DIV/0!</v>
      </c>
      <c r="AA147" s="25">
        <f t="shared" si="144"/>
        <v>0</v>
      </c>
      <c r="AB147" s="25">
        <f t="shared" si="145"/>
        <v>0</v>
      </c>
      <c r="AC147" s="25">
        <f t="shared" si="146"/>
        <v>0</v>
      </c>
      <c r="AD147" s="30" t="e">
        <f t="shared" si="147"/>
        <v>#DIV/0!</v>
      </c>
      <c r="AE147" s="24"/>
      <c r="AF147" s="24"/>
      <c r="AG147" s="67"/>
    </row>
    <row r="148" spans="1:37" s="21" customFormat="1" x14ac:dyDescent="0.2">
      <c r="A148" s="77" t="str">
        <f>"406.01.01"</f>
        <v>406.01.01</v>
      </c>
      <c r="B148" s="71" t="s">
        <v>815</v>
      </c>
      <c r="C148" s="84">
        <f>CE_RegimeContributivo!B150</f>
        <v>0</v>
      </c>
      <c r="D148" s="84">
        <f>CE_RegimeContributivo!C150</f>
        <v>0</v>
      </c>
      <c r="E148" s="84">
        <f>CE_RegimeContributivo!S150</f>
        <v>0</v>
      </c>
      <c r="F148" s="31" t="e">
        <f t="shared" si="134"/>
        <v>#DIV/0!</v>
      </c>
      <c r="G148" s="84">
        <f>CE_RegimeNaoContributivo!B150</f>
        <v>0</v>
      </c>
      <c r="H148" s="84">
        <f>CE_RegimeNaoContributivo!C150</f>
        <v>0</v>
      </c>
      <c r="I148" s="84">
        <f>CE_RegimeNaoContributivo!S150</f>
        <v>0</v>
      </c>
      <c r="J148" s="31" t="e">
        <f t="shared" si="135"/>
        <v>#DIV/0!</v>
      </c>
      <c r="K148" s="20">
        <f>CE_AdministraçãoINSS!B150</f>
        <v>0</v>
      </c>
      <c r="L148" s="20">
        <f>CE_AdministraçãoINSS!C150</f>
        <v>0</v>
      </c>
      <c r="M148" s="20">
        <f>CE_AdministraçãoINSS!S150</f>
        <v>0</v>
      </c>
      <c r="N148" s="31" t="e">
        <f t="shared" si="136"/>
        <v>#DIV/0!</v>
      </c>
      <c r="O148" s="20">
        <f t="shared" si="137"/>
        <v>0</v>
      </c>
      <c r="P148" s="20">
        <f t="shared" si="137"/>
        <v>0</v>
      </c>
      <c r="Q148" s="20">
        <f t="shared" si="137"/>
        <v>0</v>
      </c>
      <c r="R148" s="31" t="e">
        <f t="shared" si="138"/>
        <v>#DIV/0!</v>
      </c>
      <c r="S148" s="20">
        <f>CE_AdministraçãoFRSS!B150</f>
        <v>0</v>
      </c>
      <c r="T148" s="20">
        <f>CE_AdministraçãoFRSS!C150</f>
        <v>0</v>
      </c>
      <c r="U148" s="20">
        <f>CE_AdministraçãoFRSS!S150</f>
        <v>0</v>
      </c>
      <c r="V148" s="31" t="e">
        <f t="shared" si="139"/>
        <v>#DIV/0!</v>
      </c>
      <c r="W148" s="20">
        <f t="shared" si="140"/>
        <v>0</v>
      </c>
      <c r="X148" s="20">
        <f t="shared" si="141"/>
        <v>0</v>
      </c>
      <c r="Y148" s="20">
        <f t="shared" si="142"/>
        <v>0</v>
      </c>
      <c r="Z148" s="31" t="e">
        <f t="shared" si="143"/>
        <v>#DIV/0!</v>
      </c>
      <c r="AA148" s="20">
        <f t="shared" si="144"/>
        <v>0</v>
      </c>
      <c r="AB148" s="20">
        <f t="shared" si="145"/>
        <v>0</v>
      </c>
      <c r="AC148" s="20">
        <f t="shared" si="146"/>
        <v>0</v>
      </c>
      <c r="AD148" s="31" t="e">
        <f t="shared" si="147"/>
        <v>#DIV/0!</v>
      </c>
      <c r="AE148" s="24"/>
      <c r="AF148" s="24"/>
      <c r="AG148" s="67"/>
      <c r="AH148" s="16"/>
      <c r="AI148" s="16"/>
      <c r="AJ148" s="16"/>
      <c r="AK148" s="16"/>
    </row>
    <row r="149" spans="1:37" s="21" customFormat="1" x14ac:dyDescent="0.2">
      <c r="A149" s="77" t="str">
        <f>"406.01.02"</f>
        <v>406.01.02</v>
      </c>
      <c r="B149" s="71" t="s">
        <v>121</v>
      </c>
      <c r="C149" s="84">
        <f>CE_RegimeContributivo!B151</f>
        <v>0</v>
      </c>
      <c r="D149" s="84">
        <f>CE_RegimeContributivo!C151</f>
        <v>0</v>
      </c>
      <c r="E149" s="84">
        <f>CE_RegimeContributivo!S151</f>
        <v>0</v>
      </c>
      <c r="F149" s="31" t="e">
        <f t="shared" si="134"/>
        <v>#DIV/0!</v>
      </c>
      <c r="G149" s="84">
        <f>CE_RegimeNaoContributivo!B151</f>
        <v>0</v>
      </c>
      <c r="H149" s="84">
        <f>CE_RegimeNaoContributivo!C151</f>
        <v>0</v>
      </c>
      <c r="I149" s="84">
        <f>CE_RegimeNaoContributivo!S151</f>
        <v>0</v>
      </c>
      <c r="J149" s="31" t="e">
        <f t="shared" si="135"/>
        <v>#DIV/0!</v>
      </c>
      <c r="K149" s="20">
        <f>CE_AdministraçãoINSS!B151</f>
        <v>0</v>
      </c>
      <c r="L149" s="20">
        <f>CE_AdministraçãoINSS!C151</f>
        <v>0</v>
      </c>
      <c r="M149" s="20">
        <f>CE_AdministraçãoINSS!S151</f>
        <v>0</v>
      </c>
      <c r="N149" s="31" t="e">
        <f t="shared" si="136"/>
        <v>#DIV/0!</v>
      </c>
      <c r="O149" s="20">
        <f t="shared" si="137"/>
        <v>0</v>
      </c>
      <c r="P149" s="20">
        <f t="shared" si="137"/>
        <v>0</v>
      </c>
      <c r="Q149" s="20">
        <f t="shared" si="137"/>
        <v>0</v>
      </c>
      <c r="R149" s="31" t="e">
        <f t="shared" si="138"/>
        <v>#DIV/0!</v>
      </c>
      <c r="S149" s="20">
        <f>CE_AdministraçãoFRSS!B151</f>
        <v>0</v>
      </c>
      <c r="T149" s="20">
        <f>CE_AdministraçãoFRSS!C151</f>
        <v>0</v>
      </c>
      <c r="U149" s="20">
        <f>CE_AdministraçãoFRSS!S151</f>
        <v>0</v>
      </c>
      <c r="V149" s="31" t="e">
        <f t="shared" si="139"/>
        <v>#DIV/0!</v>
      </c>
      <c r="W149" s="20">
        <f t="shared" si="140"/>
        <v>0</v>
      </c>
      <c r="X149" s="20">
        <f t="shared" si="141"/>
        <v>0</v>
      </c>
      <c r="Y149" s="20">
        <f t="shared" si="142"/>
        <v>0</v>
      </c>
      <c r="Z149" s="31" t="e">
        <f t="shared" si="143"/>
        <v>#DIV/0!</v>
      </c>
      <c r="AA149" s="20">
        <f t="shared" si="144"/>
        <v>0</v>
      </c>
      <c r="AB149" s="20">
        <f t="shared" si="145"/>
        <v>0</v>
      </c>
      <c r="AC149" s="20">
        <f t="shared" si="146"/>
        <v>0</v>
      </c>
      <c r="AD149" s="31" t="e">
        <f t="shared" si="147"/>
        <v>#DIV/0!</v>
      </c>
      <c r="AE149" s="24"/>
      <c r="AF149" s="24"/>
      <c r="AG149" s="67"/>
      <c r="AH149" s="16"/>
      <c r="AI149" s="16"/>
      <c r="AJ149" s="16"/>
      <c r="AK149" s="16"/>
    </row>
    <row r="150" spans="1:37" s="21" customFormat="1" x14ac:dyDescent="0.2">
      <c r="A150" s="77" t="str">
        <f>"406.01.03"</f>
        <v>406.01.03</v>
      </c>
      <c r="B150" s="71" t="s">
        <v>816</v>
      </c>
      <c r="C150" s="84">
        <f>CE_RegimeContributivo!B152</f>
        <v>0</v>
      </c>
      <c r="D150" s="84">
        <f>CE_RegimeContributivo!C152</f>
        <v>0</v>
      </c>
      <c r="E150" s="84">
        <f>CE_RegimeContributivo!S152</f>
        <v>0</v>
      </c>
      <c r="F150" s="31" t="e">
        <f t="shared" si="134"/>
        <v>#DIV/0!</v>
      </c>
      <c r="G150" s="84">
        <f>CE_RegimeNaoContributivo!B152</f>
        <v>0</v>
      </c>
      <c r="H150" s="84">
        <f>CE_RegimeNaoContributivo!C152</f>
        <v>0</v>
      </c>
      <c r="I150" s="84">
        <f>CE_RegimeNaoContributivo!S152</f>
        <v>0</v>
      </c>
      <c r="J150" s="31" t="e">
        <f t="shared" si="135"/>
        <v>#DIV/0!</v>
      </c>
      <c r="K150" s="20">
        <f>CE_AdministraçãoINSS!B152</f>
        <v>0</v>
      </c>
      <c r="L150" s="20">
        <f>CE_AdministraçãoINSS!C152</f>
        <v>0</v>
      </c>
      <c r="M150" s="20">
        <f>CE_AdministraçãoINSS!S152</f>
        <v>0</v>
      </c>
      <c r="N150" s="31" t="e">
        <f t="shared" si="136"/>
        <v>#DIV/0!</v>
      </c>
      <c r="O150" s="20">
        <f t="shared" si="137"/>
        <v>0</v>
      </c>
      <c r="P150" s="20">
        <f t="shared" si="137"/>
        <v>0</v>
      </c>
      <c r="Q150" s="20">
        <f t="shared" si="137"/>
        <v>0</v>
      </c>
      <c r="R150" s="31" t="e">
        <f t="shared" si="138"/>
        <v>#DIV/0!</v>
      </c>
      <c r="S150" s="20">
        <f>CE_AdministraçãoFRSS!B152</f>
        <v>0</v>
      </c>
      <c r="T150" s="20">
        <f>CE_AdministraçãoFRSS!C152</f>
        <v>0</v>
      </c>
      <c r="U150" s="20">
        <f>CE_AdministraçãoFRSS!S152</f>
        <v>0</v>
      </c>
      <c r="V150" s="31" t="e">
        <f t="shared" si="139"/>
        <v>#DIV/0!</v>
      </c>
      <c r="W150" s="20">
        <f t="shared" si="140"/>
        <v>0</v>
      </c>
      <c r="X150" s="20">
        <f t="shared" si="141"/>
        <v>0</v>
      </c>
      <c r="Y150" s="20">
        <f t="shared" si="142"/>
        <v>0</v>
      </c>
      <c r="Z150" s="31" t="e">
        <f t="shared" si="143"/>
        <v>#DIV/0!</v>
      </c>
      <c r="AA150" s="20">
        <f t="shared" si="144"/>
        <v>0</v>
      </c>
      <c r="AB150" s="20">
        <f t="shared" si="145"/>
        <v>0</v>
      </c>
      <c r="AC150" s="20">
        <f t="shared" si="146"/>
        <v>0</v>
      </c>
      <c r="AD150" s="31" t="e">
        <f t="shared" si="147"/>
        <v>#DIV/0!</v>
      </c>
      <c r="AE150" s="24"/>
      <c r="AF150" s="24"/>
      <c r="AG150" s="67"/>
      <c r="AH150" s="16"/>
      <c r="AI150" s="16"/>
      <c r="AJ150" s="16"/>
      <c r="AK150" s="16"/>
    </row>
    <row r="151" spans="1:37" s="21" customFormat="1" x14ac:dyDescent="0.2">
      <c r="A151" s="77" t="str">
        <f>"406.01.04"</f>
        <v>406.01.04</v>
      </c>
      <c r="B151" s="71" t="s">
        <v>817</v>
      </c>
      <c r="C151" s="84">
        <f>CE_RegimeContributivo!B153</f>
        <v>0</v>
      </c>
      <c r="D151" s="84">
        <f>CE_RegimeContributivo!C153</f>
        <v>0</v>
      </c>
      <c r="E151" s="84">
        <f>CE_RegimeContributivo!S153</f>
        <v>0</v>
      </c>
      <c r="F151" s="31" t="e">
        <f t="shared" si="134"/>
        <v>#DIV/0!</v>
      </c>
      <c r="G151" s="84">
        <f>CE_RegimeNaoContributivo!B153</f>
        <v>0</v>
      </c>
      <c r="H151" s="84">
        <f>CE_RegimeNaoContributivo!C153</f>
        <v>0</v>
      </c>
      <c r="I151" s="84">
        <f>CE_RegimeNaoContributivo!S153</f>
        <v>0</v>
      </c>
      <c r="J151" s="31" t="e">
        <f t="shared" si="135"/>
        <v>#DIV/0!</v>
      </c>
      <c r="K151" s="20">
        <f>CE_AdministraçãoINSS!B153</f>
        <v>0</v>
      </c>
      <c r="L151" s="20">
        <f>CE_AdministraçãoINSS!C153</f>
        <v>0</v>
      </c>
      <c r="M151" s="20">
        <f>CE_AdministraçãoINSS!S153</f>
        <v>0</v>
      </c>
      <c r="N151" s="31" t="e">
        <f t="shared" si="136"/>
        <v>#DIV/0!</v>
      </c>
      <c r="O151" s="20">
        <f t="shared" si="137"/>
        <v>0</v>
      </c>
      <c r="P151" s="20">
        <f t="shared" si="137"/>
        <v>0</v>
      </c>
      <c r="Q151" s="20">
        <f t="shared" si="137"/>
        <v>0</v>
      </c>
      <c r="R151" s="31" t="e">
        <f t="shared" si="138"/>
        <v>#DIV/0!</v>
      </c>
      <c r="S151" s="20">
        <f>CE_AdministraçãoFRSS!B153</f>
        <v>0</v>
      </c>
      <c r="T151" s="20">
        <f>CE_AdministraçãoFRSS!C153</f>
        <v>0</v>
      </c>
      <c r="U151" s="20">
        <f>CE_AdministraçãoFRSS!S153</f>
        <v>0</v>
      </c>
      <c r="V151" s="31" t="e">
        <f t="shared" si="139"/>
        <v>#DIV/0!</v>
      </c>
      <c r="W151" s="20">
        <f t="shared" si="140"/>
        <v>0</v>
      </c>
      <c r="X151" s="20">
        <f t="shared" si="141"/>
        <v>0</v>
      </c>
      <c r="Y151" s="20">
        <f t="shared" si="142"/>
        <v>0</v>
      </c>
      <c r="Z151" s="31" t="e">
        <f t="shared" si="143"/>
        <v>#DIV/0!</v>
      </c>
      <c r="AA151" s="20">
        <f t="shared" si="144"/>
        <v>0</v>
      </c>
      <c r="AB151" s="20">
        <f t="shared" si="145"/>
        <v>0</v>
      </c>
      <c r="AC151" s="20">
        <f t="shared" si="146"/>
        <v>0</v>
      </c>
      <c r="AD151" s="31" t="e">
        <f t="shared" si="147"/>
        <v>#DIV/0!</v>
      </c>
      <c r="AE151" s="24"/>
      <c r="AF151" s="24"/>
      <c r="AG151" s="67"/>
      <c r="AH151" s="16"/>
      <c r="AI151" s="16"/>
      <c r="AJ151" s="16"/>
      <c r="AK151" s="16"/>
    </row>
    <row r="152" spans="1:37" s="21" customFormat="1" x14ac:dyDescent="0.2">
      <c r="A152" s="77" t="str">
        <f>"406.01.05"</f>
        <v>406.01.05</v>
      </c>
      <c r="B152" s="71" t="s">
        <v>818</v>
      </c>
      <c r="C152" s="84">
        <f>CE_RegimeContributivo!B154</f>
        <v>0</v>
      </c>
      <c r="D152" s="84">
        <f>CE_RegimeContributivo!C154</f>
        <v>0</v>
      </c>
      <c r="E152" s="84">
        <f>CE_RegimeContributivo!S154</f>
        <v>0</v>
      </c>
      <c r="F152" s="31" t="e">
        <f t="shared" si="134"/>
        <v>#DIV/0!</v>
      </c>
      <c r="G152" s="84">
        <f>CE_RegimeNaoContributivo!B154</f>
        <v>0</v>
      </c>
      <c r="H152" s="84">
        <f>CE_RegimeNaoContributivo!C154</f>
        <v>0</v>
      </c>
      <c r="I152" s="84">
        <f>CE_RegimeNaoContributivo!S154</f>
        <v>0</v>
      </c>
      <c r="J152" s="31" t="e">
        <f t="shared" si="135"/>
        <v>#DIV/0!</v>
      </c>
      <c r="K152" s="20">
        <f>CE_AdministraçãoINSS!B154</f>
        <v>0</v>
      </c>
      <c r="L152" s="20">
        <f>CE_AdministraçãoINSS!C154</f>
        <v>0</v>
      </c>
      <c r="M152" s="20">
        <f>CE_AdministraçãoINSS!S154</f>
        <v>0</v>
      </c>
      <c r="N152" s="31" t="e">
        <f t="shared" si="136"/>
        <v>#DIV/0!</v>
      </c>
      <c r="O152" s="20">
        <f t="shared" si="137"/>
        <v>0</v>
      </c>
      <c r="P152" s="20">
        <f t="shared" si="137"/>
        <v>0</v>
      </c>
      <c r="Q152" s="20">
        <f t="shared" si="137"/>
        <v>0</v>
      </c>
      <c r="R152" s="31" t="e">
        <f t="shared" si="138"/>
        <v>#DIV/0!</v>
      </c>
      <c r="S152" s="20">
        <f>CE_AdministraçãoFRSS!B154</f>
        <v>0</v>
      </c>
      <c r="T152" s="20">
        <f>CE_AdministraçãoFRSS!C154</f>
        <v>0</v>
      </c>
      <c r="U152" s="20">
        <f>CE_AdministraçãoFRSS!S154</f>
        <v>0</v>
      </c>
      <c r="V152" s="31" t="e">
        <f t="shared" si="139"/>
        <v>#DIV/0!</v>
      </c>
      <c r="W152" s="20">
        <f t="shared" si="140"/>
        <v>0</v>
      </c>
      <c r="X152" s="20">
        <f t="shared" si="141"/>
        <v>0</v>
      </c>
      <c r="Y152" s="20">
        <f t="shared" si="142"/>
        <v>0</v>
      </c>
      <c r="Z152" s="31" t="e">
        <f t="shared" si="143"/>
        <v>#DIV/0!</v>
      </c>
      <c r="AA152" s="20">
        <f t="shared" si="144"/>
        <v>0</v>
      </c>
      <c r="AB152" s="20">
        <f t="shared" si="145"/>
        <v>0</v>
      </c>
      <c r="AC152" s="20">
        <f t="shared" si="146"/>
        <v>0</v>
      </c>
      <c r="AD152" s="31" t="e">
        <f t="shared" si="147"/>
        <v>#DIV/0!</v>
      </c>
      <c r="AE152" s="24"/>
      <c r="AF152" s="24"/>
      <c r="AG152" s="67"/>
      <c r="AH152" s="16"/>
      <c r="AI152" s="16"/>
      <c r="AJ152" s="16"/>
      <c r="AK152" s="16"/>
    </row>
    <row r="153" spans="1:37" s="21" customFormat="1" x14ac:dyDescent="0.2">
      <c r="A153" s="77" t="str">
        <f>"406.01.06"</f>
        <v>406.01.06</v>
      </c>
      <c r="B153" s="71" t="s">
        <v>819</v>
      </c>
      <c r="C153" s="84">
        <f>CE_RegimeContributivo!B155</f>
        <v>0</v>
      </c>
      <c r="D153" s="84">
        <f>CE_RegimeContributivo!C155</f>
        <v>0</v>
      </c>
      <c r="E153" s="84">
        <f>CE_RegimeContributivo!S155</f>
        <v>0</v>
      </c>
      <c r="F153" s="31" t="e">
        <f t="shared" si="134"/>
        <v>#DIV/0!</v>
      </c>
      <c r="G153" s="84">
        <f>CE_RegimeNaoContributivo!B155</f>
        <v>0</v>
      </c>
      <c r="H153" s="84">
        <f>CE_RegimeNaoContributivo!C155</f>
        <v>0</v>
      </c>
      <c r="I153" s="84">
        <f>CE_RegimeNaoContributivo!S155</f>
        <v>0</v>
      </c>
      <c r="J153" s="31" t="e">
        <f t="shared" si="135"/>
        <v>#DIV/0!</v>
      </c>
      <c r="K153" s="20">
        <f>CE_AdministraçãoINSS!B155</f>
        <v>0</v>
      </c>
      <c r="L153" s="20">
        <f>CE_AdministraçãoINSS!C155</f>
        <v>0</v>
      </c>
      <c r="M153" s="20">
        <f>CE_AdministraçãoINSS!S155</f>
        <v>0</v>
      </c>
      <c r="N153" s="31" t="e">
        <f t="shared" si="136"/>
        <v>#DIV/0!</v>
      </c>
      <c r="O153" s="20">
        <f t="shared" si="137"/>
        <v>0</v>
      </c>
      <c r="P153" s="20">
        <f t="shared" si="137"/>
        <v>0</v>
      </c>
      <c r="Q153" s="20">
        <f t="shared" si="137"/>
        <v>0</v>
      </c>
      <c r="R153" s="31" t="e">
        <f t="shared" si="138"/>
        <v>#DIV/0!</v>
      </c>
      <c r="S153" s="20">
        <f>CE_AdministraçãoFRSS!B155</f>
        <v>0</v>
      </c>
      <c r="T153" s="20">
        <f>CE_AdministraçãoFRSS!C155</f>
        <v>0</v>
      </c>
      <c r="U153" s="20">
        <f>CE_AdministraçãoFRSS!S155</f>
        <v>0</v>
      </c>
      <c r="V153" s="31" t="e">
        <f t="shared" si="139"/>
        <v>#DIV/0!</v>
      </c>
      <c r="W153" s="20">
        <f t="shared" si="140"/>
        <v>0</v>
      </c>
      <c r="X153" s="20">
        <f t="shared" si="141"/>
        <v>0</v>
      </c>
      <c r="Y153" s="20">
        <f t="shared" si="142"/>
        <v>0</v>
      </c>
      <c r="Z153" s="31" t="e">
        <f t="shared" si="143"/>
        <v>#DIV/0!</v>
      </c>
      <c r="AA153" s="20">
        <f t="shared" si="144"/>
        <v>0</v>
      </c>
      <c r="AB153" s="20">
        <f t="shared" si="145"/>
        <v>0</v>
      </c>
      <c r="AC153" s="20">
        <f t="shared" si="146"/>
        <v>0</v>
      </c>
      <c r="AD153" s="31" t="e">
        <f t="shared" si="147"/>
        <v>#DIV/0!</v>
      </c>
      <c r="AE153" s="24"/>
      <c r="AF153" s="24"/>
      <c r="AG153" s="67"/>
      <c r="AH153" s="16"/>
      <c r="AI153" s="16"/>
      <c r="AJ153" s="16"/>
      <c r="AK153" s="16"/>
    </row>
    <row r="154" spans="1:37" x14ac:dyDescent="0.2">
      <c r="A154" s="76" t="str">
        <f>"406.02"</f>
        <v>406.02</v>
      </c>
      <c r="B154" s="70" t="s">
        <v>29</v>
      </c>
      <c r="C154" s="83">
        <f>SUM(C155:C157)</f>
        <v>0</v>
      </c>
      <c r="D154" s="83">
        <f>SUM(D155:D157)</f>
        <v>0</v>
      </c>
      <c r="E154" s="83">
        <f>SUM(E155:E157)</f>
        <v>0</v>
      </c>
      <c r="F154" s="30" t="e">
        <f t="shared" si="134"/>
        <v>#DIV/0!</v>
      </c>
      <c r="G154" s="83">
        <f>SUM(G155:G157)</f>
        <v>0</v>
      </c>
      <c r="H154" s="83">
        <f t="shared" ref="H154:I154" si="154">SUM(H155:H157)</f>
        <v>0</v>
      </c>
      <c r="I154" s="83">
        <f t="shared" si="154"/>
        <v>0</v>
      </c>
      <c r="J154" s="30" t="e">
        <f t="shared" si="135"/>
        <v>#DIV/0!</v>
      </c>
      <c r="K154" s="19">
        <f>SUM(K155:K157)</f>
        <v>0</v>
      </c>
      <c r="L154" s="19">
        <f t="shared" ref="L154:M154" si="155">SUM(L155:L157)</f>
        <v>0</v>
      </c>
      <c r="M154" s="19">
        <f t="shared" si="155"/>
        <v>0</v>
      </c>
      <c r="N154" s="30" t="e">
        <f t="shared" si="136"/>
        <v>#DIV/0!</v>
      </c>
      <c r="O154" s="19">
        <f t="shared" si="137"/>
        <v>0</v>
      </c>
      <c r="P154" s="19">
        <f t="shared" si="137"/>
        <v>0</v>
      </c>
      <c r="Q154" s="19">
        <f t="shared" si="137"/>
        <v>0</v>
      </c>
      <c r="R154" s="30" t="e">
        <f t="shared" si="138"/>
        <v>#DIV/0!</v>
      </c>
      <c r="S154" s="19">
        <f>SUM(S155:S157)</f>
        <v>0</v>
      </c>
      <c r="T154" s="19">
        <f t="shared" ref="T154:U154" si="156">SUM(T155:T157)</f>
        <v>0</v>
      </c>
      <c r="U154" s="19">
        <f t="shared" si="156"/>
        <v>0</v>
      </c>
      <c r="V154" s="30" t="e">
        <f t="shared" si="139"/>
        <v>#DIV/0!</v>
      </c>
      <c r="W154" s="19">
        <f t="shared" si="140"/>
        <v>0</v>
      </c>
      <c r="X154" s="19">
        <f t="shared" si="141"/>
        <v>0</v>
      </c>
      <c r="Y154" s="19">
        <f t="shared" si="142"/>
        <v>0</v>
      </c>
      <c r="Z154" s="30" t="e">
        <f t="shared" si="143"/>
        <v>#DIV/0!</v>
      </c>
      <c r="AA154" s="19">
        <f t="shared" si="144"/>
        <v>0</v>
      </c>
      <c r="AB154" s="19">
        <f t="shared" si="145"/>
        <v>0</v>
      </c>
      <c r="AC154" s="19">
        <f t="shared" si="146"/>
        <v>0</v>
      </c>
      <c r="AD154" s="30" t="e">
        <f t="shared" si="147"/>
        <v>#DIV/0!</v>
      </c>
      <c r="AE154" s="24"/>
      <c r="AF154" s="24"/>
      <c r="AG154" s="67"/>
    </row>
    <row r="155" spans="1:37" x14ac:dyDescent="0.2">
      <c r="A155" s="77" t="str">
        <f>"406.02.01"</f>
        <v>406.02.01</v>
      </c>
      <c r="B155" s="71" t="s">
        <v>820</v>
      </c>
      <c r="C155" s="84">
        <f>CE_RegimeContributivo!B157</f>
        <v>0</v>
      </c>
      <c r="D155" s="84">
        <f>CE_RegimeContributivo!C157</f>
        <v>0</v>
      </c>
      <c r="E155" s="84">
        <f>CE_RegimeContributivo!S157</f>
        <v>0</v>
      </c>
      <c r="F155" s="31" t="e">
        <f t="shared" si="134"/>
        <v>#DIV/0!</v>
      </c>
      <c r="G155" s="84">
        <f>CE_RegimeNaoContributivo!B157</f>
        <v>0</v>
      </c>
      <c r="H155" s="84">
        <f>CE_RegimeNaoContributivo!C157</f>
        <v>0</v>
      </c>
      <c r="I155" s="84">
        <f>CE_RegimeNaoContributivo!S157</f>
        <v>0</v>
      </c>
      <c r="J155" s="31" t="e">
        <f t="shared" si="135"/>
        <v>#DIV/0!</v>
      </c>
      <c r="K155" s="20">
        <f>CE_AdministraçãoINSS!B157</f>
        <v>0</v>
      </c>
      <c r="L155" s="20">
        <f>CE_AdministraçãoINSS!C157</f>
        <v>0</v>
      </c>
      <c r="M155" s="20">
        <f>CE_AdministraçãoINSS!S157</f>
        <v>0</v>
      </c>
      <c r="N155" s="31" t="e">
        <f t="shared" si="136"/>
        <v>#DIV/0!</v>
      </c>
      <c r="O155" s="20">
        <f t="shared" si="137"/>
        <v>0</v>
      </c>
      <c r="P155" s="20">
        <f t="shared" si="137"/>
        <v>0</v>
      </c>
      <c r="Q155" s="20">
        <f t="shared" si="137"/>
        <v>0</v>
      </c>
      <c r="R155" s="31" t="e">
        <f t="shared" si="138"/>
        <v>#DIV/0!</v>
      </c>
      <c r="S155" s="20">
        <f>CE_AdministraçãoFRSS!B157</f>
        <v>0</v>
      </c>
      <c r="T155" s="20">
        <f>CE_AdministraçãoFRSS!C157</f>
        <v>0</v>
      </c>
      <c r="U155" s="20">
        <f>CE_AdministraçãoFRSS!S157</f>
        <v>0</v>
      </c>
      <c r="V155" s="31" t="e">
        <f t="shared" si="139"/>
        <v>#DIV/0!</v>
      </c>
      <c r="W155" s="20">
        <f t="shared" si="140"/>
        <v>0</v>
      </c>
      <c r="X155" s="20">
        <f t="shared" si="141"/>
        <v>0</v>
      </c>
      <c r="Y155" s="20">
        <f t="shared" si="142"/>
        <v>0</v>
      </c>
      <c r="Z155" s="31" t="e">
        <f t="shared" si="143"/>
        <v>#DIV/0!</v>
      </c>
      <c r="AA155" s="20">
        <f t="shared" si="144"/>
        <v>0</v>
      </c>
      <c r="AB155" s="20">
        <f t="shared" si="145"/>
        <v>0</v>
      </c>
      <c r="AC155" s="20">
        <f t="shared" si="146"/>
        <v>0</v>
      </c>
      <c r="AD155" s="31" t="e">
        <f t="shared" si="147"/>
        <v>#DIV/0!</v>
      </c>
      <c r="AE155" s="24"/>
      <c r="AF155" s="24"/>
      <c r="AG155" s="67"/>
    </row>
    <row r="156" spans="1:37" x14ac:dyDescent="0.2">
      <c r="A156" s="77" t="str">
        <f>"406.02.02"</f>
        <v>406.02.02</v>
      </c>
      <c r="B156" s="71" t="s">
        <v>821</v>
      </c>
      <c r="C156" s="84">
        <f>CE_RegimeContributivo!B158</f>
        <v>0</v>
      </c>
      <c r="D156" s="84">
        <f>CE_RegimeContributivo!C158</f>
        <v>0</v>
      </c>
      <c r="E156" s="84">
        <f>CE_RegimeContributivo!S158</f>
        <v>0</v>
      </c>
      <c r="F156" s="31" t="e">
        <f t="shared" si="134"/>
        <v>#DIV/0!</v>
      </c>
      <c r="G156" s="84">
        <f>CE_RegimeNaoContributivo!B158</f>
        <v>0</v>
      </c>
      <c r="H156" s="84">
        <f>CE_RegimeNaoContributivo!C158</f>
        <v>0</v>
      </c>
      <c r="I156" s="84">
        <f>CE_RegimeNaoContributivo!S158</f>
        <v>0</v>
      </c>
      <c r="J156" s="31" t="e">
        <f t="shared" si="135"/>
        <v>#DIV/0!</v>
      </c>
      <c r="K156" s="20">
        <f>CE_AdministraçãoINSS!B158</f>
        <v>0</v>
      </c>
      <c r="L156" s="20">
        <f>CE_AdministraçãoINSS!C158</f>
        <v>0</v>
      </c>
      <c r="M156" s="20">
        <f>CE_AdministraçãoINSS!S158</f>
        <v>0</v>
      </c>
      <c r="N156" s="31" t="e">
        <f t="shared" si="136"/>
        <v>#DIV/0!</v>
      </c>
      <c r="O156" s="20">
        <f t="shared" si="137"/>
        <v>0</v>
      </c>
      <c r="P156" s="20">
        <f t="shared" si="137"/>
        <v>0</v>
      </c>
      <c r="Q156" s="20">
        <f t="shared" si="137"/>
        <v>0</v>
      </c>
      <c r="R156" s="31" t="e">
        <f t="shared" si="138"/>
        <v>#DIV/0!</v>
      </c>
      <c r="S156" s="20">
        <f>CE_AdministraçãoFRSS!B158</f>
        <v>0</v>
      </c>
      <c r="T156" s="20">
        <f>CE_AdministraçãoFRSS!C158</f>
        <v>0</v>
      </c>
      <c r="U156" s="20">
        <f>CE_AdministraçãoFRSS!S158</f>
        <v>0</v>
      </c>
      <c r="V156" s="31" t="e">
        <f t="shared" si="139"/>
        <v>#DIV/0!</v>
      </c>
      <c r="W156" s="20">
        <f t="shared" si="140"/>
        <v>0</v>
      </c>
      <c r="X156" s="20">
        <f t="shared" si="141"/>
        <v>0</v>
      </c>
      <c r="Y156" s="20">
        <f t="shared" si="142"/>
        <v>0</v>
      </c>
      <c r="Z156" s="31" t="e">
        <f t="shared" si="143"/>
        <v>#DIV/0!</v>
      </c>
      <c r="AA156" s="20">
        <f t="shared" si="144"/>
        <v>0</v>
      </c>
      <c r="AB156" s="20">
        <f t="shared" si="145"/>
        <v>0</v>
      </c>
      <c r="AC156" s="20">
        <f t="shared" si="146"/>
        <v>0</v>
      </c>
      <c r="AD156" s="31" t="e">
        <f t="shared" si="147"/>
        <v>#DIV/0!</v>
      </c>
      <c r="AE156" s="24"/>
      <c r="AF156" s="24"/>
      <c r="AG156" s="67"/>
    </row>
    <row r="157" spans="1:37" x14ac:dyDescent="0.2">
      <c r="A157" s="77" t="str">
        <f>"406.02.03"</f>
        <v>406.02.03</v>
      </c>
      <c r="B157" s="71" t="s">
        <v>822</v>
      </c>
      <c r="C157" s="84">
        <f>CE_RegimeContributivo!B159</f>
        <v>0</v>
      </c>
      <c r="D157" s="84">
        <f>CE_RegimeContributivo!C159</f>
        <v>0</v>
      </c>
      <c r="E157" s="84">
        <f>CE_RegimeContributivo!S159</f>
        <v>0</v>
      </c>
      <c r="F157" s="31" t="e">
        <f t="shared" si="134"/>
        <v>#DIV/0!</v>
      </c>
      <c r="G157" s="84">
        <f>CE_RegimeNaoContributivo!B159</f>
        <v>0</v>
      </c>
      <c r="H157" s="84">
        <f>CE_RegimeNaoContributivo!C159</f>
        <v>0</v>
      </c>
      <c r="I157" s="84">
        <f>CE_RegimeNaoContributivo!S159</f>
        <v>0</v>
      </c>
      <c r="J157" s="31" t="e">
        <f t="shared" si="135"/>
        <v>#DIV/0!</v>
      </c>
      <c r="K157" s="20">
        <f>CE_AdministraçãoINSS!B159</f>
        <v>0</v>
      </c>
      <c r="L157" s="20">
        <f>CE_AdministraçãoINSS!C159</f>
        <v>0</v>
      </c>
      <c r="M157" s="20">
        <f>CE_AdministraçãoINSS!S159</f>
        <v>0</v>
      </c>
      <c r="N157" s="31" t="e">
        <f t="shared" si="136"/>
        <v>#DIV/0!</v>
      </c>
      <c r="O157" s="20">
        <f t="shared" si="137"/>
        <v>0</v>
      </c>
      <c r="P157" s="20">
        <f t="shared" si="137"/>
        <v>0</v>
      </c>
      <c r="Q157" s="20">
        <f t="shared" si="137"/>
        <v>0</v>
      </c>
      <c r="R157" s="31" t="e">
        <f t="shared" si="138"/>
        <v>#DIV/0!</v>
      </c>
      <c r="S157" s="20">
        <f>CE_AdministraçãoFRSS!B159</f>
        <v>0</v>
      </c>
      <c r="T157" s="20">
        <f>CE_AdministraçãoFRSS!C159</f>
        <v>0</v>
      </c>
      <c r="U157" s="20">
        <f>CE_AdministraçãoFRSS!S159</f>
        <v>0</v>
      </c>
      <c r="V157" s="31" t="e">
        <f t="shared" si="139"/>
        <v>#DIV/0!</v>
      </c>
      <c r="W157" s="20">
        <f t="shared" si="140"/>
        <v>0</v>
      </c>
      <c r="X157" s="20">
        <f t="shared" si="141"/>
        <v>0</v>
      </c>
      <c r="Y157" s="20">
        <f t="shared" si="142"/>
        <v>0</v>
      </c>
      <c r="Z157" s="31" t="e">
        <f t="shared" si="143"/>
        <v>#DIV/0!</v>
      </c>
      <c r="AA157" s="20">
        <f t="shared" si="144"/>
        <v>0</v>
      </c>
      <c r="AB157" s="20">
        <f t="shared" si="145"/>
        <v>0</v>
      </c>
      <c r="AC157" s="20">
        <f t="shared" si="146"/>
        <v>0</v>
      </c>
      <c r="AD157" s="31" t="e">
        <f t="shared" si="147"/>
        <v>#DIV/0!</v>
      </c>
      <c r="AE157" s="24"/>
      <c r="AF157" s="24"/>
      <c r="AG157" s="67"/>
    </row>
    <row r="158" spans="1:37" x14ac:dyDescent="0.2">
      <c r="A158" s="75">
        <v>407</v>
      </c>
      <c r="B158" s="69" t="s">
        <v>144</v>
      </c>
      <c r="C158" s="26">
        <f>CE_RegimeContributivo!B160</f>
        <v>0</v>
      </c>
      <c r="D158" s="26">
        <f>CE_RegimeContributivo!C160</f>
        <v>0</v>
      </c>
      <c r="E158" s="26">
        <f>CE_RegimeContributivo!S160</f>
        <v>0</v>
      </c>
      <c r="F158" s="29" t="e">
        <f t="shared" si="134"/>
        <v>#DIV/0!</v>
      </c>
      <c r="G158" s="26">
        <f>CE_RegimeNaoContributivo!B160</f>
        <v>0</v>
      </c>
      <c r="H158" s="26">
        <f>CE_RegimeNaoContributivo!C160</f>
        <v>0</v>
      </c>
      <c r="I158" s="26">
        <f>CE_RegimeNaoContributivo!S160</f>
        <v>0</v>
      </c>
      <c r="J158" s="29" t="e">
        <f t="shared" si="135"/>
        <v>#DIV/0!</v>
      </c>
      <c r="K158" s="26">
        <f>CE_AdministraçãoINSS!B160</f>
        <v>0</v>
      </c>
      <c r="L158" s="26">
        <f>CE_AdministraçãoINSS!C160</f>
        <v>0</v>
      </c>
      <c r="M158" s="26">
        <f>CE_AdministraçãoINSS!S160</f>
        <v>0</v>
      </c>
      <c r="N158" s="29" t="e">
        <f t="shared" si="136"/>
        <v>#DIV/0!</v>
      </c>
      <c r="O158" s="26">
        <f t="shared" si="137"/>
        <v>0</v>
      </c>
      <c r="P158" s="26">
        <f t="shared" si="137"/>
        <v>0</v>
      </c>
      <c r="Q158" s="26">
        <f t="shared" si="137"/>
        <v>0</v>
      </c>
      <c r="R158" s="29" t="e">
        <f t="shared" si="138"/>
        <v>#DIV/0!</v>
      </c>
      <c r="S158" s="26">
        <f>CE_AdministraçãoFRSS!B160</f>
        <v>0</v>
      </c>
      <c r="T158" s="26">
        <f>CE_AdministraçãoFRSS!C160</f>
        <v>0</v>
      </c>
      <c r="U158" s="26">
        <f>CE_AdministraçãoFRSS!S160</f>
        <v>0</v>
      </c>
      <c r="V158" s="29" t="e">
        <f t="shared" si="139"/>
        <v>#DIV/0!</v>
      </c>
      <c r="W158" s="26">
        <f t="shared" si="140"/>
        <v>0</v>
      </c>
      <c r="X158" s="26">
        <f t="shared" si="141"/>
        <v>0</v>
      </c>
      <c r="Y158" s="26">
        <f t="shared" si="142"/>
        <v>0</v>
      </c>
      <c r="Z158" s="29" t="e">
        <f t="shared" si="143"/>
        <v>#DIV/0!</v>
      </c>
      <c r="AA158" s="26">
        <f t="shared" si="144"/>
        <v>0</v>
      </c>
      <c r="AB158" s="26">
        <f t="shared" si="145"/>
        <v>0</v>
      </c>
      <c r="AC158" s="26">
        <f t="shared" si="146"/>
        <v>0</v>
      </c>
      <c r="AD158" s="29" t="e">
        <f t="shared" si="147"/>
        <v>#DIV/0!</v>
      </c>
      <c r="AE158" s="24"/>
      <c r="AF158" s="24"/>
      <c r="AG158" s="67"/>
    </row>
    <row r="159" spans="1:37" x14ac:dyDescent="0.2">
      <c r="A159" s="75">
        <v>408</v>
      </c>
      <c r="B159" s="69" t="s">
        <v>47</v>
      </c>
      <c r="C159" s="26">
        <f>CE_RegimeContributivo!B161</f>
        <v>0</v>
      </c>
      <c r="D159" s="26">
        <f>CE_RegimeContributivo!C161</f>
        <v>29857586.530000001</v>
      </c>
      <c r="E159" s="26">
        <f>CE_RegimeContributivo!S161</f>
        <v>29857586.509999998</v>
      </c>
      <c r="F159" s="29">
        <f t="shared" si="134"/>
        <v>0.99999999933015338</v>
      </c>
      <c r="G159" s="26">
        <f>CE_RegimeNaoContributivo!B161</f>
        <v>0</v>
      </c>
      <c r="H159" s="26">
        <f>CE_RegimeNaoContributivo!C161</f>
        <v>5831672.3799999999</v>
      </c>
      <c r="I159" s="26">
        <f>CE_RegimeNaoContributivo!S161</f>
        <v>5831672.3799999999</v>
      </c>
      <c r="J159" s="29">
        <f t="shared" si="135"/>
        <v>1</v>
      </c>
      <c r="K159" s="26">
        <f>CE_AdministraçãoINSS!B161</f>
        <v>0</v>
      </c>
      <c r="L159" s="26">
        <f>CE_AdministraçãoINSS!C161</f>
        <v>970727.28</v>
      </c>
      <c r="M159" s="26">
        <f>CE_AdministraçãoINSS!S161</f>
        <v>970727.28</v>
      </c>
      <c r="N159" s="29">
        <f t="shared" si="136"/>
        <v>1</v>
      </c>
      <c r="O159" s="26">
        <f t="shared" si="137"/>
        <v>0</v>
      </c>
      <c r="P159" s="26">
        <f t="shared" si="137"/>
        <v>36659986.190000005</v>
      </c>
      <c r="Q159" s="26">
        <f t="shared" si="137"/>
        <v>36659986.170000002</v>
      </c>
      <c r="R159" s="29">
        <f t="shared" si="138"/>
        <v>0.99999999945444595</v>
      </c>
      <c r="S159" s="26">
        <f>CE_AdministraçãoFRSS!B161</f>
        <v>0</v>
      </c>
      <c r="T159" s="26">
        <f>CE_AdministraçãoFRSS!C161</f>
        <v>138402.79</v>
      </c>
      <c r="U159" s="26">
        <f>CE_AdministraçãoFRSS!S161</f>
        <v>138402.79</v>
      </c>
      <c r="V159" s="29">
        <f t="shared" si="139"/>
        <v>1</v>
      </c>
      <c r="W159" s="26">
        <f t="shared" si="140"/>
        <v>0</v>
      </c>
      <c r="X159" s="26">
        <f t="shared" si="141"/>
        <v>138402.79</v>
      </c>
      <c r="Y159" s="26">
        <f t="shared" si="142"/>
        <v>138402.79</v>
      </c>
      <c r="Z159" s="29">
        <f t="shared" si="143"/>
        <v>1</v>
      </c>
      <c r="AA159" s="26">
        <f t="shared" si="144"/>
        <v>0</v>
      </c>
      <c r="AB159" s="26">
        <f t="shared" si="145"/>
        <v>36798388.980000004</v>
      </c>
      <c r="AC159" s="26">
        <f t="shared" si="146"/>
        <v>36798388.960000001</v>
      </c>
      <c r="AD159" s="29">
        <f t="shared" si="147"/>
        <v>0.99999999945649787</v>
      </c>
      <c r="AE159" s="24"/>
      <c r="AF159" s="24"/>
      <c r="AG159" s="67"/>
    </row>
    <row r="160" spans="1:37" x14ac:dyDescent="0.2">
      <c r="A160" s="75">
        <v>409</v>
      </c>
      <c r="B160" s="69" t="s">
        <v>240</v>
      </c>
      <c r="C160" s="87">
        <f>C161+C162+C163+C167</f>
        <v>0</v>
      </c>
      <c r="D160" s="87">
        <f>D161+D162+D163+D167</f>
        <v>0</v>
      </c>
      <c r="E160" s="87">
        <f>E161+E162+E163+E167</f>
        <v>0</v>
      </c>
      <c r="F160" s="29" t="e">
        <f t="shared" si="134"/>
        <v>#DIV/0!</v>
      </c>
      <c r="G160" s="87">
        <f>G161+G162+G163+G167</f>
        <v>0</v>
      </c>
      <c r="H160" s="87">
        <f t="shared" ref="H160:I160" si="157">H161+H162+H163+H167</f>
        <v>0</v>
      </c>
      <c r="I160" s="87">
        <f t="shared" si="157"/>
        <v>0</v>
      </c>
      <c r="J160" s="29" t="e">
        <f t="shared" si="135"/>
        <v>#DIV/0!</v>
      </c>
      <c r="K160" s="26">
        <f>K161+K162+K163+K167</f>
        <v>0</v>
      </c>
      <c r="L160" s="26">
        <f t="shared" ref="L160:M160" si="158">L161+L162+L163+L167</f>
        <v>0</v>
      </c>
      <c r="M160" s="26">
        <f t="shared" si="158"/>
        <v>0</v>
      </c>
      <c r="N160" s="29" t="e">
        <f t="shared" si="136"/>
        <v>#DIV/0!</v>
      </c>
      <c r="O160" s="26">
        <f t="shared" si="137"/>
        <v>0</v>
      </c>
      <c r="P160" s="26">
        <f t="shared" si="137"/>
        <v>0</v>
      </c>
      <c r="Q160" s="26">
        <f t="shared" si="137"/>
        <v>0</v>
      </c>
      <c r="R160" s="29" t="e">
        <f t="shared" si="138"/>
        <v>#DIV/0!</v>
      </c>
      <c r="S160" s="26">
        <f>S161+S162+S163+S167</f>
        <v>0</v>
      </c>
      <c r="T160" s="26">
        <f t="shared" ref="T160:U160" si="159">T161+T162+T163+T167</f>
        <v>0</v>
      </c>
      <c r="U160" s="26">
        <f t="shared" si="159"/>
        <v>0</v>
      </c>
      <c r="V160" s="29" t="e">
        <f t="shared" si="139"/>
        <v>#DIV/0!</v>
      </c>
      <c r="W160" s="26">
        <f t="shared" si="140"/>
        <v>0</v>
      </c>
      <c r="X160" s="26">
        <f t="shared" si="141"/>
        <v>0</v>
      </c>
      <c r="Y160" s="26">
        <f t="shared" si="142"/>
        <v>0</v>
      </c>
      <c r="Z160" s="29" t="e">
        <f t="shared" si="143"/>
        <v>#DIV/0!</v>
      </c>
      <c r="AA160" s="26">
        <f t="shared" si="144"/>
        <v>0</v>
      </c>
      <c r="AB160" s="26">
        <f t="shared" si="145"/>
        <v>0</v>
      </c>
      <c r="AC160" s="26">
        <f t="shared" si="146"/>
        <v>0</v>
      </c>
      <c r="AD160" s="29" t="e">
        <f t="shared" si="147"/>
        <v>#DIV/0!</v>
      </c>
      <c r="AE160" s="24"/>
      <c r="AF160" s="24"/>
      <c r="AG160" s="67"/>
    </row>
    <row r="161" spans="1:33" x14ac:dyDescent="0.2">
      <c r="A161" s="76" t="str">
        <f>"409.01"</f>
        <v>409.01</v>
      </c>
      <c r="B161" s="70" t="s">
        <v>823</v>
      </c>
      <c r="C161" s="83">
        <f>CE_RegimeContributivo!B163</f>
        <v>0</v>
      </c>
      <c r="D161" s="83">
        <f>CE_RegimeContributivo!C163</f>
        <v>0</v>
      </c>
      <c r="E161" s="83">
        <f>CE_RegimeContributivo!S163</f>
        <v>0</v>
      </c>
      <c r="F161" s="30" t="e">
        <f t="shared" si="134"/>
        <v>#DIV/0!</v>
      </c>
      <c r="G161" s="83">
        <f>CE_RegimeNaoContributivo!B163</f>
        <v>0</v>
      </c>
      <c r="H161" s="83">
        <f>CE_RegimeNaoContributivo!C163</f>
        <v>0</v>
      </c>
      <c r="I161" s="83">
        <f>CE_RegimeNaoContributivo!S163</f>
        <v>0</v>
      </c>
      <c r="J161" s="30" t="e">
        <f t="shared" si="135"/>
        <v>#DIV/0!</v>
      </c>
      <c r="K161" s="19">
        <f>CE_AdministraçãoINSS!B163</f>
        <v>0</v>
      </c>
      <c r="L161" s="19">
        <f>CE_AdministraçãoINSS!C163</f>
        <v>0</v>
      </c>
      <c r="M161" s="19">
        <f>CE_AdministraçãoINSS!S163</f>
        <v>0</v>
      </c>
      <c r="N161" s="30" t="e">
        <f t="shared" si="136"/>
        <v>#DIV/0!</v>
      </c>
      <c r="O161" s="19">
        <f t="shared" si="137"/>
        <v>0</v>
      </c>
      <c r="P161" s="19">
        <f t="shared" si="137"/>
        <v>0</v>
      </c>
      <c r="Q161" s="19">
        <f t="shared" si="137"/>
        <v>0</v>
      </c>
      <c r="R161" s="30" t="e">
        <f t="shared" si="138"/>
        <v>#DIV/0!</v>
      </c>
      <c r="S161" s="19">
        <f>CE_AdministraçãoFRSS!B163</f>
        <v>0</v>
      </c>
      <c r="T161" s="19">
        <f>CE_AdministraçãoFRSS!C163</f>
        <v>0</v>
      </c>
      <c r="U161" s="19">
        <f>CE_AdministraçãoFRSS!S163</f>
        <v>0</v>
      </c>
      <c r="V161" s="30" t="e">
        <f t="shared" si="139"/>
        <v>#DIV/0!</v>
      </c>
      <c r="W161" s="19">
        <f t="shared" si="140"/>
        <v>0</v>
      </c>
      <c r="X161" s="19">
        <f t="shared" si="141"/>
        <v>0</v>
      </c>
      <c r="Y161" s="19">
        <f t="shared" si="142"/>
        <v>0</v>
      </c>
      <c r="Z161" s="30" t="e">
        <f t="shared" si="143"/>
        <v>#DIV/0!</v>
      </c>
      <c r="AA161" s="19">
        <f t="shared" si="144"/>
        <v>0</v>
      </c>
      <c r="AB161" s="19">
        <f t="shared" si="145"/>
        <v>0</v>
      </c>
      <c r="AC161" s="19">
        <f t="shared" si="146"/>
        <v>0</v>
      </c>
      <c r="AD161" s="30" t="e">
        <f t="shared" si="147"/>
        <v>#DIV/0!</v>
      </c>
      <c r="AE161" s="24"/>
      <c r="AF161" s="24"/>
      <c r="AG161" s="67"/>
    </row>
    <row r="162" spans="1:33" x14ac:dyDescent="0.2">
      <c r="A162" s="76" t="str">
        <f>"409.02"</f>
        <v>409.02</v>
      </c>
      <c r="B162" s="70" t="s">
        <v>824</v>
      </c>
      <c r="C162" s="83">
        <f>CE_RegimeContributivo!B164</f>
        <v>0</v>
      </c>
      <c r="D162" s="83">
        <f>CE_RegimeContributivo!C164</f>
        <v>0</v>
      </c>
      <c r="E162" s="83">
        <f>CE_RegimeContributivo!S164</f>
        <v>0</v>
      </c>
      <c r="F162" s="30" t="e">
        <f t="shared" si="134"/>
        <v>#DIV/0!</v>
      </c>
      <c r="G162" s="83">
        <f>CE_RegimeNaoContributivo!B164</f>
        <v>0</v>
      </c>
      <c r="H162" s="83">
        <f>CE_RegimeNaoContributivo!C164</f>
        <v>0</v>
      </c>
      <c r="I162" s="83">
        <f>CE_RegimeNaoContributivo!S164</f>
        <v>0</v>
      </c>
      <c r="J162" s="30" t="e">
        <f t="shared" si="135"/>
        <v>#DIV/0!</v>
      </c>
      <c r="K162" s="19">
        <f>CE_AdministraçãoINSS!B164</f>
        <v>0</v>
      </c>
      <c r="L162" s="19">
        <f>CE_AdministraçãoINSS!C164</f>
        <v>0</v>
      </c>
      <c r="M162" s="19">
        <f>CE_AdministraçãoINSS!S164</f>
        <v>0</v>
      </c>
      <c r="N162" s="30" t="e">
        <f t="shared" si="136"/>
        <v>#DIV/0!</v>
      </c>
      <c r="O162" s="19">
        <f t="shared" si="137"/>
        <v>0</v>
      </c>
      <c r="P162" s="19">
        <f t="shared" si="137"/>
        <v>0</v>
      </c>
      <c r="Q162" s="19">
        <f t="shared" si="137"/>
        <v>0</v>
      </c>
      <c r="R162" s="30" t="e">
        <f t="shared" si="138"/>
        <v>#DIV/0!</v>
      </c>
      <c r="S162" s="19">
        <f>CE_AdministraçãoFRSS!B164</f>
        <v>0</v>
      </c>
      <c r="T162" s="19">
        <f>CE_AdministraçãoFRSS!C164</f>
        <v>0</v>
      </c>
      <c r="U162" s="19">
        <f>CE_AdministraçãoFRSS!S164</f>
        <v>0</v>
      </c>
      <c r="V162" s="30" t="e">
        <f t="shared" si="139"/>
        <v>#DIV/0!</v>
      </c>
      <c r="W162" s="19">
        <f t="shared" si="140"/>
        <v>0</v>
      </c>
      <c r="X162" s="19">
        <f t="shared" si="141"/>
        <v>0</v>
      </c>
      <c r="Y162" s="19">
        <f t="shared" si="142"/>
        <v>0</v>
      </c>
      <c r="Z162" s="30" t="e">
        <f t="shared" si="143"/>
        <v>#DIV/0!</v>
      </c>
      <c r="AA162" s="19">
        <f t="shared" si="144"/>
        <v>0</v>
      </c>
      <c r="AB162" s="19">
        <f t="shared" si="145"/>
        <v>0</v>
      </c>
      <c r="AC162" s="19">
        <f t="shared" si="146"/>
        <v>0</v>
      </c>
      <c r="AD162" s="30" t="e">
        <f t="shared" si="147"/>
        <v>#DIV/0!</v>
      </c>
      <c r="AE162" s="24"/>
      <c r="AF162" s="24"/>
      <c r="AG162" s="67"/>
    </row>
    <row r="163" spans="1:33" x14ac:dyDescent="0.2">
      <c r="A163" s="76" t="str">
        <f>"409.03"</f>
        <v>409.03</v>
      </c>
      <c r="B163" s="70" t="s">
        <v>825</v>
      </c>
      <c r="C163" s="86">
        <f>SUM(C164:C166)</f>
        <v>0</v>
      </c>
      <c r="D163" s="86">
        <f>SUM(D164:D166)</f>
        <v>0</v>
      </c>
      <c r="E163" s="86">
        <f>SUM(E164:E166)</f>
        <v>0</v>
      </c>
      <c r="F163" s="30" t="e">
        <f t="shared" si="134"/>
        <v>#DIV/0!</v>
      </c>
      <c r="G163" s="86">
        <f>SUM(G164:G166)</f>
        <v>0</v>
      </c>
      <c r="H163" s="86">
        <f t="shared" ref="H163:I163" si="160">SUM(H164:H166)</f>
        <v>0</v>
      </c>
      <c r="I163" s="86">
        <f t="shared" si="160"/>
        <v>0</v>
      </c>
      <c r="J163" s="30" t="e">
        <f t="shared" si="135"/>
        <v>#DIV/0!</v>
      </c>
      <c r="K163" s="25">
        <f>SUM(K164:K166)</f>
        <v>0</v>
      </c>
      <c r="L163" s="25">
        <f t="shared" ref="L163:M163" si="161">SUM(L164:L166)</f>
        <v>0</v>
      </c>
      <c r="M163" s="25">
        <f t="shared" si="161"/>
        <v>0</v>
      </c>
      <c r="N163" s="30" t="e">
        <f t="shared" si="136"/>
        <v>#DIV/0!</v>
      </c>
      <c r="O163" s="25">
        <f t="shared" si="137"/>
        <v>0</v>
      </c>
      <c r="P163" s="25">
        <f t="shared" si="137"/>
        <v>0</v>
      </c>
      <c r="Q163" s="25">
        <f t="shared" si="137"/>
        <v>0</v>
      </c>
      <c r="R163" s="30" t="e">
        <f t="shared" si="138"/>
        <v>#DIV/0!</v>
      </c>
      <c r="S163" s="25">
        <f>SUM(S164:S166)</f>
        <v>0</v>
      </c>
      <c r="T163" s="25">
        <f t="shared" ref="T163:U163" si="162">SUM(T164:T166)</f>
        <v>0</v>
      </c>
      <c r="U163" s="25">
        <f t="shared" si="162"/>
        <v>0</v>
      </c>
      <c r="V163" s="30" t="e">
        <f t="shared" si="139"/>
        <v>#DIV/0!</v>
      </c>
      <c r="W163" s="25">
        <f t="shared" si="140"/>
        <v>0</v>
      </c>
      <c r="X163" s="25">
        <f t="shared" si="141"/>
        <v>0</v>
      </c>
      <c r="Y163" s="25">
        <f t="shared" si="142"/>
        <v>0</v>
      </c>
      <c r="Z163" s="30" t="e">
        <f t="shared" si="143"/>
        <v>#DIV/0!</v>
      </c>
      <c r="AA163" s="25">
        <f t="shared" si="144"/>
        <v>0</v>
      </c>
      <c r="AB163" s="25">
        <f t="shared" si="145"/>
        <v>0</v>
      </c>
      <c r="AC163" s="25">
        <f t="shared" si="146"/>
        <v>0</v>
      </c>
      <c r="AD163" s="30" t="e">
        <f t="shared" si="147"/>
        <v>#DIV/0!</v>
      </c>
      <c r="AE163" s="24"/>
      <c r="AF163" s="24"/>
      <c r="AG163" s="67"/>
    </row>
    <row r="164" spans="1:33" x14ac:dyDescent="0.2">
      <c r="A164" s="77" t="str">
        <f>"409.03.01"</f>
        <v>409.03.01</v>
      </c>
      <c r="B164" s="71" t="s">
        <v>826</v>
      </c>
      <c r="C164" s="84">
        <f>CE_RegimeContributivo!B166</f>
        <v>0</v>
      </c>
      <c r="D164" s="84">
        <f>CE_RegimeContributivo!C166</f>
        <v>0</v>
      </c>
      <c r="E164" s="84">
        <f>CE_RegimeContributivo!S166</f>
        <v>0</v>
      </c>
      <c r="F164" s="31" t="e">
        <f t="shared" si="134"/>
        <v>#DIV/0!</v>
      </c>
      <c r="G164" s="84">
        <f>CE_RegimeNaoContributivo!B166</f>
        <v>0</v>
      </c>
      <c r="H164" s="84">
        <f>CE_RegimeNaoContributivo!C166</f>
        <v>0</v>
      </c>
      <c r="I164" s="84">
        <f>CE_RegimeNaoContributivo!S166</f>
        <v>0</v>
      </c>
      <c r="J164" s="31" t="e">
        <f t="shared" si="135"/>
        <v>#DIV/0!</v>
      </c>
      <c r="K164" s="20">
        <f>CE_AdministraçãoINSS!B166</f>
        <v>0</v>
      </c>
      <c r="L164" s="20">
        <f>CE_AdministraçãoINSS!C166</f>
        <v>0</v>
      </c>
      <c r="M164" s="20">
        <f>CE_AdministraçãoINSS!S166</f>
        <v>0</v>
      </c>
      <c r="N164" s="31" t="e">
        <f t="shared" si="136"/>
        <v>#DIV/0!</v>
      </c>
      <c r="O164" s="20">
        <f t="shared" si="137"/>
        <v>0</v>
      </c>
      <c r="P164" s="20">
        <f t="shared" si="137"/>
        <v>0</v>
      </c>
      <c r="Q164" s="20">
        <f t="shared" si="137"/>
        <v>0</v>
      </c>
      <c r="R164" s="31" t="e">
        <f t="shared" si="138"/>
        <v>#DIV/0!</v>
      </c>
      <c r="S164" s="20">
        <f>CE_AdministraçãoFRSS!B166</f>
        <v>0</v>
      </c>
      <c r="T164" s="20">
        <f>CE_AdministraçãoFRSS!C166</f>
        <v>0</v>
      </c>
      <c r="U164" s="20">
        <f>CE_AdministraçãoFRSS!S166</f>
        <v>0</v>
      </c>
      <c r="V164" s="31" t="e">
        <f t="shared" si="139"/>
        <v>#DIV/0!</v>
      </c>
      <c r="W164" s="20">
        <f t="shared" si="140"/>
        <v>0</v>
      </c>
      <c r="X164" s="20">
        <f t="shared" si="141"/>
        <v>0</v>
      </c>
      <c r="Y164" s="20">
        <f t="shared" si="142"/>
        <v>0</v>
      </c>
      <c r="Z164" s="31" t="e">
        <f t="shared" si="143"/>
        <v>#DIV/0!</v>
      </c>
      <c r="AA164" s="20">
        <f t="shared" si="144"/>
        <v>0</v>
      </c>
      <c r="AB164" s="20">
        <f t="shared" si="145"/>
        <v>0</v>
      </c>
      <c r="AC164" s="20">
        <f t="shared" si="146"/>
        <v>0</v>
      </c>
      <c r="AD164" s="31" t="e">
        <f t="shared" si="147"/>
        <v>#DIV/0!</v>
      </c>
      <c r="AE164" s="24"/>
      <c r="AF164" s="24"/>
      <c r="AG164" s="67"/>
    </row>
    <row r="165" spans="1:33" x14ac:dyDescent="0.2">
      <c r="A165" s="77" t="str">
        <f>"409.03.02"</f>
        <v>409.03.02</v>
      </c>
      <c r="B165" s="71" t="s">
        <v>827</v>
      </c>
      <c r="C165" s="84">
        <f>CE_RegimeContributivo!B167</f>
        <v>0</v>
      </c>
      <c r="D165" s="84">
        <f>CE_RegimeContributivo!C167</f>
        <v>0</v>
      </c>
      <c r="E165" s="84">
        <f>CE_RegimeContributivo!S167</f>
        <v>0</v>
      </c>
      <c r="F165" s="31" t="e">
        <f t="shared" si="134"/>
        <v>#DIV/0!</v>
      </c>
      <c r="G165" s="84">
        <f>CE_RegimeNaoContributivo!B167</f>
        <v>0</v>
      </c>
      <c r="H165" s="84">
        <f>CE_RegimeNaoContributivo!C167</f>
        <v>0</v>
      </c>
      <c r="I165" s="84">
        <f>CE_RegimeNaoContributivo!S167</f>
        <v>0</v>
      </c>
      <c r="J165" s="31" t="e">
        <f t="shared" si="135"/>
        <v>#DIV/0!</v>
      </c>
      <c r="K165" s="20">
        <f>CE_AdministraçãoINSS!B167</f>
        <v>0</v>
      </c>
      <c r="L165" s="20">
        <f>CE_AdministraçãoINSS!C167</f>
        <v>0</v>
      </c>
      <c r="M165" s="20">
        <f>CE_AdministraçãoINSS!S167</f>
        <v>0</v>
      </c>
      <c r="N165" s="31" t="e">
        <f t="shared" si="136"/>
        <v>#DIV/0!</v>
      </c>
      <c r="O165" s="20">
        <f t="shared" si="137"/>
        <v>0</v>
      </c>
      <c r="P165" s="20">
        <f t="shared" si="137"/>
        <v>0</v>
      </c>
      <c r="Q165" s="20">
        <f t="shared" si="137"/>
        <v>0</v>
      </c>
      <c r="R165" s="31" t="e">
        <f t="shared" si="138"/>
        <v>#DIV/0!</v>
      </c>
      <c r="S165" s="20">
        <f>CE_AdministraçãoFRSS!B167</f>
        <v>0</v>
      </c>
      <c r="T165" s="20">
        <f>CE_AdministraçãoFRSS!C167</f>
        <v>0</v>
      </c>
      <c r="U165" s="20">
        <f>CE_AdministraçãoFRSS!S167</f>
        <v>0</v>
      </c>
      <c r="V165" s="31" t="e">
        <f t="shared" si="139"/>
        <v>#DIV/0!</v>
      </c>
      <c r="W165" s="20">
        <f t="shared" si="140"/>
        <v>0</v>
      </c>
      <c r="X165" s="20">
        <f t="shared" si="141"/>
        <v>0</v>
      </c>
      <c r="Y165" s="20">
        <f t="shared" si="142"/>
        <v>0</v>
      </c>
      <c r="Z165" s="31" t="e">
        <f t="shared" si="143"/>
        <v>#DIV/0!</v>
      </c>
      <c r="AA165" s="20">
        <f t="shared" si="144"/>
        <v>0</v>
      </c>
      <c r="AB165" s="20">
        <f t="shared" si="145"/>
        <v>0</v>
      </c>
      <c r="AC165" s="20">
        <f t="shared" si="146"/>
        <v>0</v>
      </c>
      <c r="AD165" s="31" t="e">
        <f t="shared" si="147"/>
        <v>#DIV/0!</v>
      </c>
      <c r="AE165" s="24"/>
      <c r="AF165" s="24"/>
      <c r="AG165" s="67"/>
    </row>
    <row r="166" spans="1:33" x14ac:dyDescent="0.2">
      <c r="A166" s="77" t="str">
        <f>"409.03.03"</f>
        <v>409.03.03</v>
      </c>
      <c r="B166" s="71" t="s">
        <v>828</v>
      </c>
      <c r="C166" s="84">
        <f>CE_RegimeContributivo!B168</f>
        <v>0</v>
      </c>
      <c r="D166" s="84">
        <f>CE_RegimeContributivo!C168</f>
        <v>0</v>
      </c>
      <c r="E166" s="84">
        <f>CE_RegimeContributivo!S168</f>
        <v>0</v>
      </c>
      <c r="F166" s="31" t="e">
        <f t="shared" si="134"/>
        <v>#DIV/0!</v>
      </c>
      <c r="G166" s="84">
        <f>CE_RegimeNaoContributivo!B168</f>
        <v>0</v>
      </c>
      <c r="H166" s="84">
        <f>CE_RegimeNaoContributivo!C168</f>
        <v>0</v>
      </c>
      <c r="I166" s="84">
        <f>CE_RegimeNaoContributivo!S168</f>
        <v>0</v>
      </c>
      <c r="J166" s="31" t="e">
        <f t="shared" si="135"/>
        <v>#DIV/0!</v>
      </c>
      <c r="K166" s="20">
        <f>CE_AdministraçãoINSS!B168</f>
        <v>0</v>
      </c>
      <c r="L166" s="20">
        <f>CE_AdministraçãoINSS!C168</f>
        <v>0</v>
      </c>
      <c r="M166" s="20">
        <f>CE_AdministraçãoINSS!S168</f>
        <v>0</v>
      </c>
      <c r="N166" s="31" t="e">
        <f t="shared" si="136"/>
        <v>#DIV/0!</v>
      </c>
      <c r="O166" s="20">
        <f t="shared" si="137"/>
        <v>0</v>
      </c>
      <c r="P166" s="20">
        <f t="shared" si="137"/>
        <v>0</v>
      </c>
      <c r="Q166" s="20">
        <f t="shared" si="137"/>
        <v>0</v>
      </c>
      <c r="R166" s="31" t="e">
        <f t="shared" si="138"/>
        <v>#DIV/0!</v>
      </c>
      <c r="S166" s="20">
        <f>CE_AdministraçãoFRSS!B168</f>
        <v>0</v>
      </c>
      <c r="T166" s="20">
        <f>CE_AdministraçãoFRSS!C168</f>
        <v>0</v>
      </c>
      <c r="U166" s="20">
        <f>CE_AdministraçãoFRSS!S168</f>
        <v>0</v>
      </c>
      <c r="V166" s="31" t="e">
        <f t="shared" si="139"/>
        <v>#DIV/0!</v>
      </c>
      <c r="W166" s="20">
        <f t="shared" si="140"/>
        <v>0</v>
      </c>
      <c r="X166" s="20">
        <f t="shared" si="141"/>
        <v>0</v>
      </c>
      <c r="Y166" s="20">
        <f t="shared" si="142"/>
        <v>0</v>
      </c>
      <c r="Z166" s="31" t="e">
        <f t="shared" si="143"/>
        <v>#DIV/0!</v>
      </c>
      <c r="AA166" s="20">
        <f t="shared" si="144"/>
        <v>0</v>
      </c>
      <c r="AB166" s="20">
        <f t="shared" si="145"/>
        <v>0</v>
      </c>
      <c r="AC166" s="20">
        <f t="shared" si="146"/>
        <v>0</v>
      </c>
      <c r="AD166" s="31" t="e">
        <f t="shared" si="147"/>
        <v>#DIV/0!</v>
      </c>
      <c r="AE166" s="24"/>
      <c r="AF166" s="24"/>
      <c r="AG166" s="67"/>
    </row>
    <row r="167" spans="1:33" x14ac:dyDescent="0.2">
      <c r="A167" s="76" t="str">
        <f>"409.04"</f>
        <v>409.04</v>
      </c>
      <c r="B167" s="70" t="s">
        <v>829</v>
      </c>
      <c r="C167" s="83">
        <f>CE_RegimeContributivo!B169</f>
        <v>0</v>
      </c>
      <c r="D167" s="83">
        <f>CE_RegimeContributivo!C169</f>
        <v>0</v>
      </c>
      <c r="E167" s="83">
        <f>CE_RegimeContributivo!S169</f>
        <v>0</v>
      </c>
      <c r="F167" s="30" t="e">
        <f t="shared" si="134"/>
        <v>#DIV/0!</v>
      </c>
      <c r="G167" s="83">
        <f>CE_RegimeNaoContributivo!B169</f>
        <v>0</v>
      </c>
      <c r="H167" s="83">
        <f>CE_RegimeNaoContributivo!C169</f>
        <v>0</v>
      </c>
      <c r="I167" s="83">
        <f>CE_RegimeNaoContributivo!S169</f>
        <v>0</v>
      </c>
      <c r="J167" s="30" t="e">
        <f t="shared" si="135"/>
        <v>#DIV/0!</v>
      </c>
      <c r="K167" s="19">
        <f>CE_AdministraçãoINSS!B169</f>
        <v>0</v>
      </c>
      <c r="L167" s="19">
        <f>CE_AdministraçãoINSS!C169</f>
        <v>0</v>
      </c>
      <c r="M167" s="19">
        <f>CE_AdministraçãoINSS!S169</f>
        <v>0</v>
      </c>
      <c r="N167" s="30" t="e">
        <f t="shared" si="136"/>
        <v>#DIV/0!</v>
      </c>
      <c r="O167" s="19">
        <f t="shared" si="137"/>
        <v>0</v>
      </c>
      <c r="P167" s="19">
        <f t="shared" si="137"/>
        <v>0</v>
      </c>
      <c r="Q167" s="19">
        <f t="shared" si="137"/>
        <v>0</v>
      </c>
      <c r="R167" s="30" t="e">
        <f t="shared" si="138"/>
        <v>#DIV/0!</v>
      </c>
      <c r="S167" s="19">
        <f>CE_AdministraçãoFRSS!B169</f>
        <v>0</v>
      </c>
      <c r="T167" s="19">
        <f>CE_AdministraçãoFRSS!C169</f>
        <v>0</v>
      </c>
      <c r="U167" s="19">
        <f>CE_AdministraçãoFRSS!S169</f>
        <v>0</v>
      </c>
      <c r="V167" s="30" t="e">
        <f t="shared" si="139"/>
        <v>#DIV/0!</v>
      </c>
      <c r="W167" s="19">
        <f t="shared" si="140"/>
        <v>0</v>
      </c>
      <c r="X167" s="19">
        <f t="shared" si="141"/>
        <v>0</v>
      </c>
      <c r="Y167" s="19">
        <f t="shared" si="142"/>
        <v>0</v>
      </c>
      <c r="Z167" s="30" t="e">
        <f t="shared" si="143"/>
        <v>#DIV/0!</v>
      </c>
      <c r="AA167" s="19">
        <f t="shared" si="144"/>
        <v>0</v>
      </c>
      <c r="AB167" s="19">
        <f t="shared" si="145"/>
        <v>0</v>
      </c>
      <c r="AC167" s="19">
        <f t="shared" si="146"/>
        <v>0</v>
      </c>
      <c r="AD167" s="30" t="e">
        <f t="shared" si="147"/>
        <v>#DIV/0!</v>
      </c>
      <c r="AE167" s="24"/>
      <c r="AF167" s="24"/>
      <c r="AG167" s="67"/>
    </row>
    <row r="168" spans="1:33" x14ac:dyDescent="0.2">
      <c r="A168" s="79"/>
      <c r="B168" s="73" t="s">
        <v>122</v>
      </c>
      <c r="C168" s="88">
        <f>C8+C27+C55+C69+C104+C146+C158+C159</f>
        <v>62649205</v>
      </c>
      <c r="D168" s="88">
        <f>D8+D27+D55+D69+D104+D146+D158+D159</f>
        <v>90155769.439999998</v>
      </c>
      <c r="E168" s="88">
        <f>E8+E27+E55+E69+E104+E146+E158+E159</f>
        <v>79129447.667999998</v>
      </c>
      <c r="F168" s="34">
        <f t="shared" si="134"/>
        <v>0.87769699221148367</v>
      </c>
      <c r="G168" s="88">
        <f>G8+G27+G55+G69+G104+G146+G158+G159</f>
        <v>104250000</v>
      </c>
      <c r="H168" s="88">
        <f>H8+H27+H55+H69+H104+H146+H158+H159</f>
        <v>104250000</v>
      </c>
      <c r="I168" s="88">
        <f>I8+I27+I55+I69+I104+I146+I158+I159</f>
        <v>65705735.57</v>
      </c>
      <c r="J168" s="34">
        <f t="shared" si="135"/>
        <v>0.63027084479616302</v>
      </c>
      <c r="K168" s="88">
        <f>K8+K27+K55+K69+K104+K146+K158+K159</f>
        <v>3500000</v>
      </c>
      <c r="L168" s="88">
        <f>L8+L27+L55+L69+L104+L146+L158+L159</f>
        <v>3364647.21</v>
      </c>
      <c r="M168" s="88">
        <f>M8+M27+M55+M69+M104+M146+M158+M159</f>
        <v>1589647.21</v>
      </c>
      <c r="N168" s="34">
        <f t="shared" si="136"/>
        <v>0.4724558358675589</v>
      </c>
      <c r="O168" s="27">
        <f t="shared" si="137"/>
        <v>170399205</v>
      </c>
      <c r="P168" s="27">
        <f t="shared" si="137"/>
        <v>197770416.65000001</v>
      </c>
      <c r="Q168" s="27">
        <f t="shared" si="137"/>
        <v>146424830.44800001</v>
      </c>
      <c r="R168" s="34">
        <f t="shared" si="138"/>
        <v>0.74037782256955165</v>
      </c>
      <c r="S168" s="88">
        <f>S8+S27+S55+S69+S104+S146+S158+S159</f>
        <v>333807</v>
      </c>
      <c r="T168" s="88">
        <f>T8+T27+T55+T69+T104+T146+T158+T159</f>
        <v>333807</v>
      </c>
      <c r="U168" s="88">
        <f>U8+U27+U55+U69+U104+U146+U158+U159</f>
        <v>250531.94700000001</v>
      </c>
      <c r="V168" s="34">
        <f t="shared" si="139"/>
        <v>0.75052933880955164</v>
      </c>
      <c r="W168" s="27">
        <f t="shared" si="140"/>
        <v>333807</v>
      </c>
      <c r="X168" s="27">
        <f t="shared" si="141"/>
        <v>333807</v>
      </c>
      <c r="Y168" s="27">
        <f t="shared" si="142"/>
        <v>250531.94700000001</v>
      </c>
      <c r="Z168" s="34">
        <f t="shared" si="143"/>
        <v>0.75052933880955164</v>
      </c>
      <c r="AA168" s="27">
        <f t="shared" si="144"/>
        <v>170733012</v>
      </c>
      <c r="AB168" s="27">
        <f t="shared" si="145"/>
        <v>198104223.65000001</v>
      </c>
      <c r="AC168" s="27">
        <f t="shared" si="146"/>
        <v>146675362.39500001</v>
      </c>
      <c r="AD168" s="34">
        <f t="shared" si="147"/>
        <v>0.74039492794529327</v>
      </c>
      <c r="AE168" s="24"/>
      <c r="AF168" s="24"/>
      <c r="AG168" s="67"/>
    </row>
    <row r="169" spans="1:33" x14ac:dyDescent="0.2">
      <c r="A169" s="79"/>
      <c r="B169" s="73" t="s">
        <v>46</v>
      </c>
      <c r="C169" s="88">
        <f>C168-C80-C99</f>
        <v>62649205</v>
      </c>
      <c r="D169" s="88">
        <f t="shared" ref="D169:E169" si="163">D168-D80-D99</f>
        <v>90152719.439999998</v>
      </c>
      <c r="E169" s="88">
        <f t="shared" si="163"/>
        <v>79129447.667999998</v>
      </c>
      <c r="F169" s="34">
        <f t="shared" si="134"/>
        <v>0.877726686000455</v>
      </c>
      <c r="G169" s="88">
        <f>G168-G80-G99</f>
        <v>104250000</v>
      </c>
      <c r="H169" s="88">
        <f t="shared" ref="H169:I169" si="164">H168-H80-H99</f>
        <v>104250000</v>
      </c>
      <c r="I169" s="88">
        <f t="shared" si="164"/>
        <v>65705735.57</v>
      </c>
      <c r="J169" s="34">
        <f t="shared" si="135"/>
        <v>0.63027084479616302</v>
      </c>
      <c r="K169" s="88">
        <f>K168-K80-K99</f>
        <v>3500000</v>
      </c>
      <c r="L169" s="88">
        <f t="shared" ref="L169:M169" si="165">L168-L80-L99</f>
        <v>3364647.21</v>
      </c>
      <c r="M169" s="88">
        <f t="shared" si="165"/>
        <v>1589647.21</v>
      </c>
      <c r="N169" s="34">
        <f t="shared" si="136"/>
        <v>0.4724558358675589</v>
      </c>
      <c r="O169" s="27">
        <f t="shared" si="137"/>
        <v>170399205</v>
      </c>
      <c r="P169" s="27">
        <f t="shared" si="137"/>
        <v>197767366.65000001</v>
      </c>
      <c r="Q169" s="27">
        <f t="shared" si="137"/>
        <v>146424830.44800001</v>
      </c>
      <c r="R169" s="34">
        <f t="shared" si="138"/>
        <v>0.74038924079489943</v>
      </c>
      <c r="S169" s="88">
        <f>S168-S80-S99</f>
        <v>0</v>
      </c>
      <c r="T169" s="88">
        <f t="shared" ref="T169:U169" si="166">T168-T80-T99</f>
        <v>138402.79</v>
      </c>
      <c r="U169" s="88">
        <f t="shared" si="166"/>
        <v>138437.853</v>
      </c>
      <c r="V169" s="34">
        <f t="shared" si="139"/>
        <v>1.0002533402686462</v>
      </c>
      <c r="W169" s="27">
        <f t="shared" si="140"/>
        <v>0</v>
      </c>
      <c r="X169" s="27">
        <f t="shared" si="141"/>
        <v>138402.79</v>
      </c>
      <c r="Y169" s="27">
        <f t="shared" si="142"/>
        <v>138437.853</v>
      </c>
      <c r="Z169" s="34">
        <f t="shared" si="143"/>
        <v>1.0002533402686462</v>
      </c>
      <c r="AA169" s="27">
        <f t="shared" si="144"/>
        <v>170399205</v>
      </c>
      <c r="AB169" s="27">
        <f t="shared" si="145"/>
        <v>197905769.44</v>
      </c>
      <c r="AC169" s="27">
        <f t="shared" si="146"/>
        <v>146563268.301</v>
      </c>
      <c r="AD169" s="34">
        <f t="shared" si="147"/>
        <v>0.74057097332594068</v>
      </c>
      <c r="AE169" s="24"/>
      <c r="AF169" s="24"/>
      <c r="AG169" s="67"/>
    </row>
    <row r="170" spans="1:33" x14ac:dyDescent="0.2">
      <c r="A170" s="80"/>
      <c r="B170" s="74" t="s">
        <v>245</v>
      </c>
      <c r="C170" s="89">
        <f>C169-C159-C146</f>
        <v>62649205</v>
      </c>
      <c r="D170" s="89">
        <f>D169-D159-D146</f>
        <v>60295132.909999996</v>
      </c>
      <c r="E170" s="89">
        <f>E169-E159-E146</f>
        <v>49271861.158</v>
      </c>
      <c r="F170" s="35">
        <f t="shared" si="134"/>
        <v>0.81717808353695864</v>
      </c>
      <c r="G170" s="89">
        <f>G169-G159-G146</f>
        <v>104250000</v>
      </c>
      <c r="H170" s="89">
        <f>H169-H159-H146</f>
        <v>98418327.620000005</v>
      </c>
      <c r="I170" s="89">
        <f>I169-I159-I146</f>
        <v>59874063.189999998</v>
      </c>
      <c r="J170" s="35">
        <f t="shared" si="135"/>
        <v>0.60836294050004502</v>
      </c>
      <c r="K170" s="89">
        <f>K169-K159-K146</f>
        <v>3500000</v>
      </c>
      <c r="L170" s="89">
        <f>L169-L159-L146</f>
        <v>2393919.9299999997</v>
      </c>
      <c r="M170" s="89">
        <f>M169-M159-M146</f>
        <v>618919.92999999993</v>
      </c>
      <c r="N170" s="35">
        <f t="shared" si="136"/>
        <v>0.25853827533822321</v>
      </c>
      <c r="O170" s="28">
        <f t="shared" si="137"/>
        <v>170399205</v>
      </c>
      <c r="P170" s="28">
        <f t="shared" si="137"/>
        <v>161107380.46000001</v>
      </c>
      <c r="Q170" s="28">
        <f t="shared" si="137"/>
        <v>109764844.278</v>
      </c>
      <c r="R170" s="35">
        <f t="shared" si="138"/>
        <v>0.68131480981563464</v>
      </c>
      <c r="S170" s="89">
        <f>S169-S159-S146</f>
        <v>0</v>
      </c>
      <c r="T170" s="89">
        <f>T169-T159-T146</f>
        <v>0</v>
      </c>
      <c r="U170" s="89">
        <f>U169-U159-U146</f>
        <v>35.062999999994645</v>
      </c>
      <c r="V170" s="35" t="e">
        <f t="shared" si="139"/>
        <v>#DIV/0!</v>
      </c>
      <c r="W170" s="28">
        <f t="shared" si="140"/>
        <v>0</v>
      </c>
      <c r="X170" s="28">
        <f t="shared" si="141"/>
        <v>0</v>
      </c>
      <c r="Y170" s="28">
        <f t="shared" si="142"/>
        <v>35.062999999994645</v>
      </c>
      <c r="Z170" s="35" t="e">
        <f t="shared" si="143"/>
        <v>#DIV/0!</v>
      </c>
      <c r="AA170" s="28">
        <f t="shared" si="144"/>
        <v>170399205</v>
      </c>
      <c r="AB170" s="28">
        <f t="shared" si="145"/>
        <v>161107380.46000001</v>
      </c>
      <c r="AC170" s="28">
        <f t="shared" si="146"/>
        <v>109764879.34099999</v>
      </c>
      <c r="AD170" s="35">
        <f t="shared" si="147"/>
        <v>0.68131502745308792</v>
      </c>
      <c r="AE170" s="24"/>
      <c r="AF170" s="24"/>
      <c r="AG170" s="67"/>
    </row>
    <row r="171" spans="1:33" x14ac:dyDescent="0.2">
      <c r="AC171" s="24"/>
    </row>
    <row r="172" spans="1:33" x14ac:dyDescent="0.2">
      <c r="F172" s="67"/>
      <c r="Q172" s="24"/>
      <c r="AB172" s="24"/>
      <c r="AC172" s="24"/>
    </row>
    <row r="173" spans="1:33" x14ac:dyDescent="0.2">
      <c r="F173" s="67"/>
      <c r="AB173" s="24"/>
      <c r="AC173" s="24"/>
    </row>
    <row r="174" spans="1:33" x14ac:dyDescent="0.2">
      <c r="F174" s="67"/>
      <c r="AB174" s="24"/>
    </row>
    <row r="175" spans="1:33" x14ac:dyDescent="0.2">
      <c r="F175" s="67"/>
      <c r="AB175" s="24"/>
      <c r="AC175" s="24"/>
    </row>
    <row r="176" spans="1:33" x14ac:dyDescent="0.2">
      <c r="F176" s="67"/>
      <c r="AA176" s="24"/>
      <c r="AB176" s="24"/>
    </row>
    <row r="177" spans="6:29" x14ac:dyDescent="0.2">
      <c r="F177" s="67"/>
      <c r="AA177" s="24"/>
      <c r="AB177" s="24"/>
    </row>
    <row r="178" spans="6:29" x14ac:dyDescent="0.2">
      <c r="AC178" s="24"/>
    </row>
    <row r="179" spans="6:29" x14ac:dyDescent="0.2">
      <c r="AC179" s="24"/>
    </row>
    <row r="180" spans="6:29" x14ac:dyDescent="0.2">
      <c r="AC180" s="24"/>
    </row>
    <row r="181" spans="6:29" x14ac:dyDescent="0.2">
      <c r="AB181" s="24"/>
      <c r="AC181" s="24"/>
    </row>
    <row r="182" spans="6:29" x14ac:dyDescent="0.2">
      <c r="AC182" s="24"/>
    </row>
    <row r="183" spans="6:29" x14ac:dyDescent="0.2">
      <c r="AC183" s="24"/>
    </row>
    <row r="184" spans="6:29" x14ac:dyDescent="0.2">
      <c r="AC184" s="24"/>
    </row>
  </sheetData>
  <mergeCells count="15">
    <mergeCell ref="A1:AD1"/>
    <mergeCell ref="A2:AD2"/>
    <mergeCell ref="A3:AD3"/>
    <mergeCell ref="A4:AA4"/>
    <mergeCell ref="A5:B5"/>
    <mergeCell ref="C5:AD5"/>
    <mergeCell ref="W6:Z6"/>
    <mergeCell ref="AA6:AD6"/>
    <mergeCell ref="S6:V6"/>
    <mergeCell ref="A6:A7"/>
    <mergeCell ref="B6:B7"/>
    <mergeCell ref="C6:F6"/>
    <mergeCell ref="G6:J6"/>
    <mergeCell ref="K6:N6"/>
    <mergeCell ref="O6:R6"/>
  </mergeCells>
  <pageMargins left="0.7" right="0.7" top="0.75" bottom="0.75" header="0.3" footer="0.3"/>
  <pageSetup paperSize="9" scale="77" orientation="landscape" r:id="rId1"/>
  <rowBreaks count="1" manualBreakCount="1">
    <brk id="116" max="2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3619D-5F16-4E57-A81C-8642A7C41D4D}">
  <sheetPr>
    <tabColor theme="1"/>
  </sheetPr>
  <dimension ref="A1:BF319"/>
  <sheetViews>
    <sheetView showGridLines="0" zoomScale="80" zoomScaleNormal="80" zoomScaleSheetLayoutView="80" workbookViewId="0">
      <pane xSplit="2" ySplit="3" topLeftCell="Z283" activePane="bottomRight" state="frozen"/>
      <selection pane="topRight" activeCell="C1" sqref="C1"/>
      <selection pane="bottomLeft" activeCell="A5" sqref="A5"/>
      <selection pane="bottomRight" activeCell="AM14" sqref="AM14"/>
    </sheetView>
  </sheetViews>
  <sheetFormatPr defaultColWidth="11.42578125" defaultRowHeight="15" x14ac:dyDescent="0.2"/>
  <cols>
    <col min="1" max="1" width="16" style="36" customWidth="1"/>
    <col min="2" max="2" width="58.140625" style="36" customWidth="1"/>
    <col min="3" max="4" width="14.85546875" style="36" customWidth="1"/>
    <col min="5" max="6" width="14.28515625" style="36" customWidth="1"/>
    <col min="7" max="7" width="11.5703125" style="36" customWidth="1"/>
    <col min="8" max="8" width="14.28515625" style="36" customWidth="1"/>
    <col min="9" max="10" width="14.85546875" style="36" customWidth="1"/>
    <col min="11" max="11" width="16.5703125" style="36" customWidth="1"/>
    <col min="12" max="12" width="15.140625" style="36" customWidth="1"/>
    <col min="13" max="13" width="11.5703125" style="36" customWidth="1"/>
    <col min="14" max="14" width="14.28515625" style="36" customWidth="1"/>
    <col min="15" max="16" width="13" style="36" customWidth="1"/>
    <col min="17" max="17" width="14.28515625" style="36" customWidth="1"/>
    <col min="18" max="18" width="12.42578125" style="36" customWidth="1"/>
    <col min="19" max="19" width="11.5703125" style="36" customWidth="1"/>
    <col min="20" max="20" width="14.28515625" style="36" customWidth="1"/>
    <col min="21" max="24" width="14.85546875" style="36" customWidth="1"/>
    <col min="25" max="25" width="11.140625" style="36" customWidth="1"/>
    <col min="26" max="26" width="14.140625" style="36" customWidth="1"/>
    <col min="27" max="28" width="13" style="36" customWidth="1"/>
    <col min="29" max="29" width="14.140625" style="36" customWidth="1"/>
    <col min="30" max="30" width="13.28515625" style="36" customWidth="1"/>
    <col min="31" max="31" width="11.5703125" style="36" customWidth="1"/>
    <col min="32" max="32" width="14.28515625" style="36" customWidth="1"/>
    <col min="33" max="34" width="13" style="36" customWidth="1"/>
    <col min="35" max="35" width="14.28515625" style="36" customWidth="1"/>
    <col min="36" max="36" width="11" style="36" bestFit="1" customWidth="1"/>
    <col min="37" max="37" width="11.5703125" style="36" customWidth="1"/>
    <col min="38" max="38" width="14.28515625" style="36" customWidth="1"/>
    <col min="39" max="39" width="17.5703125" style="36" customWidth="1"/>
    <col min="40" max="42" width="14.85546875" style="36" customWidth="1"/>
    <col min="43" max="43" width="11.5703125" style="36" customWidth="1"/>
    <col min="44" max="44" width="16.42578125" style="36" customWidth="1"/>
    <col min="45" max="45" width="11.42578125" style="36"/>
    <col min="46" max="49" width="12.42578125" style="36" bestFit="1" customWidth="1"/>
    <col min="50" max="50" width="11.42578125" style="36"/>
    <col min="51" max="54" width="12.42578125" style="36" bestFit="1" customWidth="1"/>
    <col min="55" max="58" width="13.42578125" style="36" bestFit="1" customWidth="1"/>
    <col min="59" max="16384" width="11.42578125" style="36"/>
  </cols>
  <sheetData>
    <row r="1" spans="1:58" ht="15" customHeight="1" x14ac:dyDescent="0.2">
      <c r="A1" s="564" t="s">
        <v>831</v>
      </c>
      <c r="B1" s="564"/>
      <c r="C1" s="564"/>
      <c r="D1" s="564"/>
      <c r="E1" s="564"/>
      <c r="F1" s="564"/>
      <c r="G1" s="564"/>
      <c r="H1" s="564"/>
      <c r="I1" s="564"/>
      <c r="J1" s="564"/>
      <c r="K1" s="564"/>
      <c r="L1" s="564"/>
      <c r="M1" s="564"/>
      <c r="N1" s="564"/>
      <c r="O1" s="564"/>
      <c r="P1" s="564"/>
      <c r="Q1" s="564"/>
      <c r="R1" s="564"/>
      <c r="S1" s="564"/>
      <c r="T1" s="564"/>
      <c r="U1" s="564"/>
      <c r="V1" s="564"/>
      <c r="W1" s="564"/>
      <c r="X1" s="564"/>
      <c r="Y1" s="564"/>
      <c r="Z1" s="564"/>
      <c r="AA1" s="564"/>
      <c r="AB1" s="564"/>
      <c r="AC1" s="564"/>
      <c r="AD1" s="564"/>
      <c r="AE1" s="564"/>
      <c r="AF1" s="564"/>
      <c r="AG1" s="564"/>
      <c r="AH1" s="564"/>
      <c r="AI1" s="564"/>
      <c r="AJ1" s="564"/>
      <c r="AK1" s="564"/>
      <c r="AL1" s="564"/>
      <c r="AM1" s="564"/>
      <c r="AN1" s="564"/>
      <c r="AO1" s="564"/>
      <c r="AP1" s="564"/>
      <c r="AQ1" s="564"/>
      <c r="AR1" s="564"/>
    </row>
    <row r="2" spans="1:58" ht="21" x14ac:dyDescent="0.2">
      <c r="A2" s="564">
        <v>2026</v>
      </c>
      <c r="B2" s="564"/>
      <c r="C2" s="564"/>
      <c r="D2" s="564"/>
      <c r="E2" s="564"/>
      <c r="F2" s="564"/>
      <c r="G2" s="564"/>
      <c r="H2" s="564"/>
      <c r="I2" s="564"/>
      <c r="J2" s="564"/>
      <c r="K2" s="564"/>
      <c r="L2" s="564"/>
      <c r="M2" s="564"/>
      <c r="N2" s="564"/>
      <c r="O2" s="564"/>
      <c r="P2" s="564"/>
      <c r="Q2" s="564"/>
      <c r="R2" s="564"/>
      <c r="S2" s="564"/>
      <c r="T2" s="564"/>
      <c r="U2" s="564"/>
      <c r="V2" s="564"/>
      <c r="W2" s="564"/>
      <c r="X2" s="564"/>
      <c r="Y2" s="564"/>
      <c r="Z2" s="564"/>
      <c r="AA2" s="564"/>
      <c r="AB2" s="564"/>
      <c r="AC2" s="564"/>
      <c r="AD2" s="564"/>
      <c r="AE2" s="564"/>
      <c r="AF2" s="564"/>
      <c r="AG2" s="564"/>
      <c r="AH2" s="564"/>
      <c r="AI2" s="564"/>
      <c r="AJ2" s="564"/>
      <c r="AK2" s="564"/>
      <c r="AL2" s="564"/>
      <c r="AM2" s="564"/>
      <c r="AN2" s="564"/>
      <c r="AO2" s="564"/>
      <c r="AP2" s="564"/>
      <c r="AQ2" s="564"/>
      <c r="AR2" s="564"/>
    </row>
    <row r="3" spans="1:58" ht="21" x14ac:dyDescent="0.2">
      <c r="A3" s="563" t="s">
        <v>1427</v>
      </c>
      <c r="B3" s="563"/>
      <c r="C3" s="563"/>
      <c r="D3" s="563"/>
      <c r="E3" s="563"/>
      <c r="F3" s="563"/>
      <c r="G3" s="563"/>
      <c r="H3" s="563"/>
      <c r="I3" s="563"/>
      <c r="J3" s="563"/>
      <c r="K3" s="563"/>
      <c r="L3" s="563"/>
      <c r="M3" s="563"/>
      <c r="N3" s="563"/>
      <c r="O3" s="563"/>
      <c r="P3" s="563"/>
      <c r="Q3" s="563"/>
      <c r="R3" s="563"/>
      <c r="S3" s="563"/>
      <c r="T3" s="563"/>
      <c r="U3" s="563"/>
      <c r="V3" s="563"/>
      <c r="W3" s="563"/>
      <c r="X3" s="563"/>
      <c r="Y3" s="563"/>
      <c r="Z3" s="563"/>
      <c r="AA3" s="563"/>
      <c r="AB3" s="563"/>
      <c r="AC3" s="563"/>
      <c r="AD3" s="563"/>
      <c r="AE3" s="563"/>
      <c r="AF3" s="563"/>
      <c r="AG3" s="563"/>
      <c r="AH3" s="563"/>
      <c r="AI3" s="563"/>
      <c r="AJ3" s="563"/>
      <c r="AK3" s="563"/>
      <c r="AL3" s="563"/>
      <c r="AM3" s="563"/>
      <c r="AN3" s="563"/>
      <c r="AO3" s="563"/>
      <c r="AP3" s="563"/>
      <c r="AQ3" s="563"/>
      <c r="AR3" s="563"/>
    </row>
    <row r="4" spans="1:58" ht="21" x14ac:dyDescent="0.2">
      <c r="A4" s="64"/>
      <c r="B4" s="64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93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93"/>
      <c r="AQ4" s="92"/>
      <c r="AR4" s="92"/>
    </row>
    <row r="5" spans="1:58" x14ac:dyDescent="0.2">
      <c r="A5" s="572" t="s">
        <v>696</v>
      </c>
      <c r="B5" s="572"/>
      <c r="C5" s="573" t="s">
        <v>830</v>
      </c>
      <c r="D5" s="574"/>
      <c r="E5" s="574"/>
      <c r="F5" s="574"/>
      <c r="G5" s="574"/>
      <c r="H5" s="574"/>
      <c r="I5" s="574"/>
      <c r="J5" s="574"/>
      <c r="K5" s="574"/>
      <c r="L5" s="574"/>
      <c r="M5" s="574"/>
      <c r="N5" s="574"/>
      <c r="O5" s="574"/>
      <c r="P5" s="574"/>
      <c r="Q5" s="574"/>
      <c r="R5" s="574"/>
      <c r="S5" s="574"/>
      <c r="T5" s="574"/>
      <c r="U5" s="574"/>
      <c r="V5" s="574"/>
      <c r="W5" s="574"/>
      <c r="X5" s="574"/>
      <c r="Y5" s="574"/>
      <c r="Z5" s="574"/>
      <c r="AA5" s="574"/>
      <c r="AB5" s="574"/>
      <c r="AC5" s="574"/>
      <c r="AD5" s="574"/>
      <c r="AE5" s="574"/>
      <c r="AF5" s="574"/>
      <c r="AG5" s="574"/>
      <c r="AH5" s="574"/>
      <c r="AI5" s="574"/>
      <c r="AJ5" s="574"/>
      <c r="AK5" s="574"/>
      <c r="AL5" s="574"/>
      <c r="AM5" s="574"/>
      <c r="AN5" s="574"/>
      <c r="AO5" s="574"/>
      <c r="AP5" s="574"/>
      <c r="AQ5" s="574"/>
      <c r="AR5" s="575"/>
    </row>
    <row r="6" spans="1:58" ht="15" customHeight="1" x14ac:dyDescent="0.2">
      <c r="A6" s="576" t="s">
        <v>101</v>
      </c>
      <c r="B6" s="576" t="s">
        <v>102</v>
      </c>
      <c r="C6" s="569" t="s">
        <v>103</v>
      </c>
      <c r="D6" s="570"/>
      <c r="E6" s="570"/>
      <c r="F6" s="570"/>
      <c r="G6" s="570"/>
      <c r="H6" s="571"/>
      <c r="I6" s="569" t="s">
        <v>104</v>
      </c>
      <c r="J6" s="570"/>
      <c r="K6" s="570"/>
      <c r="L6" s="570"/>
      <c r="M6" s="570"/>
      <c r="N6" s="571"/>
      <c r="O6" s="569" t="s">
        <v>1090</v>
      </c>
      <c r="P6" s="570"/>
      <c r="Q6" s="570"/>
      <c r="R6" s="570"/>
      <c r="S6" s="570"/>
      <c r="T6" s="571"/>
      <c r="U6" s="565" t="s">
        <v>1064</v>
      </c>
      <c r="V6" s="566"/>
      <c r="W6" s="566"/>
      <c r="X6" s="566"/>
      <c r="Y6" s="566"/>
      <c r="Z6" s="567"/>
      <c r="AA6" s="569" t="s">
        <v>1091</v>
      </c>
      <c r="AB6" s="570"/>
      <c r="AC6" s="570"/>
      <c r="AD6" s="570"/>
      <c r="AE6" s="570"/>
      <c r="AF6" s="571"/>
      <c r="AG6" s="565" t="s">
        <v>1092</v>
      </c>
      <c r="AH6" s="566"/>
      <c r="AI6" s="566"/>
      <c r="AJ6" s="566"/>
      <c r="AK6" s="566"/>
      <c r="AL6" s="567"/>
      <c r="AM6" s="568" t="s">
        <v>122</v>
      </c>
      <c r="AN6" s="568"/>
      <c r="AO6" s="568"/>
      <c r="AP6" s="568"/>
      <c r="AQ6" s="568"/>
      <c r="AR6" s="568"/>
    </row>
    <row r="7" spans="1:58" ht="30" x14ac:dyDescent="0.2">
      <c r="A7" s="577"/>
      <c r="B7" s="577"/>
      <c r="C7" s="55" t="s">
        <v>146</v>
      </c>
      <c r="D7" s="55" t="s">
        <v>147</v>
      </c>
      <c r="E7" s="55" t="s">
        <v>30</v>
      </c>
      <c r="F7" s="55" t="s">
        <v>148</v>
      </c>
      <c r="G7" s="55" t="s">
        <v>1063</v>
      </c>
      <c r="H7" s="55" t="s">
        <v>1062</v>
      </c>
      <c r="I7" s="55" t="s">
        <v>146</v>
      </c>
      <c r="J7" s="55" t="s">
        <v>147</v>
      </c>
      <c r="K7" s="55" t="s">
        <v>30</v>
      </c>
      <c r="L7" s="55" t="s">
        <v>148</v>
      </c>
      <c r="M7" s="55" t="s">
        <v>1063</v>
      </c>
      <c r="N7" s="55" t="s">
        <v>1062</v>
      </c>
      <c r="O7" s="55" t="s">
        <v>146</v>
      </c>
      <c r="P7" s="55" t="s">
        <v>147</v>
      </c>
      <c r="Q7" s="55" t="s">
        <v>30</v>
      </c>
      <c r="R7" s="55" t="s">
        <v>148</v>
      </c>
      <c r="S7" s="55" t="s">
        <v>1063</v>
      </c>
      <c r="T7" s="55" t="s">
        <v>1062</v>
      </c>
      <c r="U7" s="107" t="s">
        <v>146</v>
      </c>
      <c r="V7" s="107" t="s">
        <v>147</v>
      </c>
      <c r="W7" s="107" t="s">
        <v>30</v>
      </c>
      <c r="X7" s="107" t="s">
        <v>148</v>
      </c>
      <c r="Y7" s="107" t="s">
        <v>1063</v>
      </c>
      <c r="Z7" s="107" t="s">
        <v>1062</v>
      </c>
      <c r="AA7" s="55" t="s">
        <v>146</v>
      </c>
      <c r="AB7" s="55" t="s">
        <v>147</v>
      </c>
      <c r="AC7" s="55" t="s">
        <v>30</v>
      </c>
      <c r="AD7" s="55" t="s">
        <v>148</v>
      </c>
      <c r="AE7" s="55" t="s">
        <v>1063</v>
      </c>
      <c r="AF7" s="55" t="s">
        <v>1062</v>
      </c>
      <c r="AG7" s="107" t="s">
        <v>146</v>
      </c>
      <c r="AH7" s="107" t="s">
        <v>147</v>
      </c>
      <c r="AI7" s="107" t="s">
        <v>30</v>
      </c>
      <c r="AJ7" s="107" t="s">
        <v>148</v>
      </c>
      <c r="AK7" s="107" t="s">
        <v>1063</v>
      </c>
      <c r="AL7" s="107" t="s">
        <v>1062</v>
      </c>
      <c r="AM7" s="108" t="s">
        <v>146</v>
      </c>
      <c r="AN7" s="108" t="s">
        <v>147</v>
      </c>
      <c r="AO7" s="108" t="s">
        <v>30</v>
      </c>
      <c r="AP7" s="108" t="s">
        <v>148</v>
      </c>
      <c r="AQ7" s="108" t="s">
        <v>1063</v>
      </c>
      <c r="AR7" s="108" t="s">
        <v>1062</v>
      </c>
    </row>
    <row r="8" spans="1:58" x14ac:dyDescent="0.2">
      <c r="A8" s="39">
        <v>501</v>
      </c>
      <c r="B8" s="39" t="s">
        <v>237</v>
      </c>
      <c r="C8" s="40">
        <f>C9+C22+C32+C33</f>
        <v>0</v>
      </c>
      <c r="D8" s="40">
        <f>D9+D22+D32+D33</f>
        <v>0</v>
      </c>
      <c r="E8" s="40">
        <f>E9+E22+E32+E33</f>
        <v>0</v>
      </c>
      <c r="F8" s="40">
        <f t="shared" ref="F8" si="0">F9+F22+F32+F33</f>
        <v>0</v>
      </c>
      <c r="G8" s="58" t="e">
        <f>F8/D8</f>
        <v>#DIV/0!</v>
      </c>
      <c r="H8" s="58" t="e">
        <f>E8/D8</f>
        <v>#DIV/0!</v>
      </c>
      <c r="I8" s="40">
        <f>I9+I22+I32+I33</f>
        <v>0</v>
      </c>
      <c r="J8" s="40">
        <f>J9+J22+J32+J33</f>
        <v>0</v>
      </c>
      <c r="K8" s="40">
        <f t="shared" ref="K8:L8" si="1">K9+K22+K32+K33</f>
        <v>0</v>
      </c>
      <c r="L8" s="40">
        <f t="shared" si="1"/>
        <v>0</v>
      </c>
      <c r="M8" s="58" t="e">
        <f>L8/J8</f>
        <v>#DIV/0!</v>
      </c>
      <c r="N8" s="58" t="e">
        <f>K8/J8</f>
        <v>#DIV/0!</v>
      </c>
      <c r="O8" s="40">
        <f>O9+O22+O32+O33</f>
        <v>2017198</v>
      </c>
      <c r="P8" s="40">
        <f>P9+P22+P32+P33</f>
        <v>2017198</v>
      </c>
      <c r="Q8" s="40">
        <f t="shared" ref="Q8:R8" si="2">Q9+Q22+Q32+Q33</f>
        <v>1800553.38</v>
      </c>
      <c r="R8" s="40">
        <f t="shared" si="2"/>
        <v>1354471.6400000001</v>
      </c>
      <c r="S8" s="58">
        <f>R8/P8</f>
        <v>0.67146191895887275</v>
      </c>
      <c r="T8" s="58">
        <f>Q8/P8</f>
        <v>0.89260121217649424</v>
      </c>
      <c r="U8" s="40">
        <f>C8+I8+O8</f>
        <v>2017198</v>
      </c>
      <c r="V8" s="40">
        <f t="shared" ref="V8:X23" si="3">D8+J8+P8</f>
        <v>2017198</v>
      </c>
      <c r="W8" s="40">
        <f t="shared" si="3"/>
        <v>1800553.38</v>
      </c>
      <c r="X8" s="40">
        <f t="shared" si="3"/>
        <v>1354471.6400000001</v>
      </c>
      <c r="Y8" s="58">
        <f>X8/V8</f>
        <v>0.67146191895887275</v>
      </c>
      <c r="Z8" s="58">
        <f>W8/V8</f>
        <v>0.89260121217649424</v>
      </c>
      <c r="AA8" s="40">
        <f>AA9+AA22+AA32+AA33</f>
        <v>0</v>
      </c>
      <c r="AB8" s="40">
        <f>AB9+AB22+AB32+AB33</f>
        <v>0</v>
      </c>
      <c r="AC8" s="40">
        <f t="shared" ref="AC8:AD8" si="4">AC9+AC22+AC32+AC33</f>
        <v>0</v>
      </c>
      <c r="AD8" s="40">
        <f t="shared" si="4"/>
        <v>0</v>
      </c>
      <c r="AE8" s="58" t="e">
        <f>AD8/AB8</f>
        <v>#DIV/0!</v>
      </c>
      <c r="AF8" s="58" t="e">
        <f>AC8/AB8</f>
        <v>#DIV/0!</v>
      </c>
      <c r="AG8" s="40">
        <f>AA8</f>
        <v>0</v>
      </c>
      <c r="AH8" s="40">
        <f t="shared" ref="AH8:AJ23" si="5">AB8</f>
        <v>0</v>
      </c>
      <c r="AI8" s="40">
        <f t="shared" si="5"/>
        <v>0</v>
      </c>
      <c r="AJ8" s="40">
        <f t="shared" si="5"/>
        <v>0</v>
      </c>
      <c r="AK8" s="58" t="e">
        <f>AJ8/AH8</f>
        <v>#DIV/0!</v>
      </c>
      <c r="AL8" s="58" t="e">
        <f>AI8/AH8</f>
        <v>#DIV/0!</v>
      </c>
      <c r="AM8" s="40">
        <f>U8+AG8</f>
        <v>2017198</v>
      </c>
      <c r="AN8" s="40">
        <f t="shared" ref="AN8:AP23" si="6">V8+AH8</f>
        <v>2017198</v>
      </c>
      <c r="AO8" s="40">
        <f t="shared" si="6"/>
        <v>1800553.38</v>
      </c>
      <c r="AP8" s="40">
        <f t="shared" si="6"/>
        <v>1354471.6400000001</v>
      </c>
      <c r="AQ8" s="58">
        <f>AP8/AN8</f>
        <v>0.67146191895887275</v>
      </c>
      <c r="AR8" s="58">
        <f>AO8/AN8</f>
        <v>0.89260121217649424</v>
      </c>
      <c r="AT8" s="38"/>
      <c r="AU8" s="38"/>
      <c r="AV8" s="38"/>
      <c r="AW8" s="38"/>
      <c r="AY8" s="38"/>
      <c r="AZ8" s="38"/>
      <c r="BA8" s="38"/>
      <c r="BB8" s="38"/>
    </row>
    <row r="9" spans="1:58" s="44" customFormat="1" x14ac:dyDescent="0.2">
      <c r="A9" s="41" t="str">
        <f>"501.01"</f>
        <v>501.01</v>
      </c>
      <c r="B9" s="42" t="s">
        <v>123</v>
      </c>
      <c r="C9" s="43">
        <f>SUM(C10:C21)</f>
        <v>0</v>
      </c>
      <c r="D9" s="43">
        <f>SUM(D10:D21)</f>
        <v>0</v>
      </c>
      <c r="E9" s="43">
        <f>SUM(E10:E21)</f>
        <v>0</v>
      </c>
      <c r="F9" s="43">
        <f t="shared" ref="F9" si="7">SUM(F10:F21)</f>
        <v>0</v>
      </c>
      <c r="G9" s="59" t="e">
        <f t="shared" ref="G9:G72" si="8">F9/D9</f>
        <v>#DIV/0!</v>
      </c>
      <c r="H9" s="59" t="e">
        <f t="shared" ref="H9:H72" si="9">E9/D9</f>
        <v>#DIV/0!</v>
      </c>
      <c r="I9" s="43">
        <f>SUM(I10:I21)</f>
        <v>0</v>
      </c>
      <c r="J9" s="43">
        <f>SUM(J10:J21)</f>
        <v>0</v>
      </c>
      <c r="K9" s="43">
        <f t="shared" ref="K9:L9" si="10">SUM(K10:K21)</f>
        <v>0</v>
      </c>
      <c r="L9" s="43">
        <f t="shared" si="10"/>
        <v>0</v>
      </c>
      <c r="M9" s="59" t="e">
        <f t="shared" ref="M9:M72" si="11">L9/J9</f>
        <v>#DIV/0!</v>
      </c>
      <c r="N9" s="59" t="e">
        <f t="shared" ref="N9:N72" si="12">K9/J9</f>
        <v>#DIV/0!</v>
      </c>
      <c r="O9" s="43">
        <f>SUM(O10:O21)</f>
        <v>1855168</v>
      </c>
      <c r="P9" s="43">
        <f>SUM(P10:P21)</f>
        <v>1864298</v>
      </c>
      <c r="Q9" s="43">
        <f t="shared" ref="Q9:R9" si="13">SUM(Q10:Q21)</f>
        <v>1687657.92</v>
      </c>
      <c r="R9" s="43">
        <f t="shared" si="13"/>
        <v>1241576.18</v>
      </c>
      <c r="S9" s="59">
        <f t="shared" ref="S9:S72" si="14">R9/P9</f>
        <v>0.66597517135136119</v>
      </c>
      <c r="T9" s="59">
        <f t="shared" ref="T9:T72" si="15">Q9/P9</f>
        <v>0.9052511561992771</v>
      </c>
      <c r="U9" s="43">
        <f t="shared" ref="U9:X72" si="16">C9+I9+O9</f>
        <v>1855168</v>
      </c>
      <c r="V9" s="43">
        <f t="shared" si="3"/>
        <v>1864298</v>
      </c>
      <c r="W9" s="43">
        <f t="shared" si="3"/>
        <v>1687657.92</v>
      </c>
      <c r="X9" s="43">
        <f t="shared" si="3"/>
        <v>1241576.18</v>
      </c>
      <c r="Y9" s="59">
        <f t="shared" ref="Y9:Y72" si="17">X9/V9</f>
        <v>0.66597517135136119</v>
      </c>
      <c r="Z9" s="59">
        <f t="shared" ref="Z9:Z72" si="18">W9/V9</f>
        <v>0.9052511561992771</v>
      </c>
      <c r="AA9" s="43">
        <f>SUM(AA10:AA21)</f>
        <v>0</v>
      </c>
      <c r="AB9" s="43">
        <f>SUM(AB10:AB21)</f>
        <v>0</v>
      </c>
      <c r="AC9" s="43">
        <f t="shared" ref="AC9:AD9" si="19">SUM(AC10:AC21)</f>
        <v>0</v>
      </c>
      <c r="AD9" s="43">
        <f t="shared" si="19"/>
        <v>0</v>
      </c>
      <c r="AE9" s="59" t="e">
        <f t="shared" ref="AE9:AE72" si="20">AD9/AB9</f>
        <v>#DIV/0!</v>
      </c>
      <c r="AF9" s="59" t="e">
        <f t="shared" ref="AF9:AF72" si="21">AC9/AB9</f>
        <v>#DIV/0!</v>
      </c>
      <c r="AG9" s="43">
        <f t="shared" ref="AG9:AJ72" si="22">AA9</f>
        <v>0</v>
      </c>
      <c r="AH9" s="43">
        <f t="shared" si="5"/>
        <v>0</v>
      </c>
      <c r="AI9" s="43">
        <f t="shared" si="5"/>
        <v>0</v>
      </c>
      <c r="AJ9" s="43">
        <f t="shared" si="5"/>
        <v>0</v>
      </c>
      <c r="AK9" s="59" t="e">
        <f t="shared" ref="AK9:AK72" si="23">AJ9/AH9</f>
        <v>#DIV/0!</v>
      </c>
      <c r="AL9" s="59" t="e">
        <f t="shared" ref="AL9:AL72" si="24">AI9/AH9</f>
        <v>#DIV/0!</v>
      </c>
      <c r="AM9" s="43">
        <f t="shared" ref="AM9:AP72" si="25">U9+AG9</f>
        <v>1855168</v>
      </c>
      <c r="AN9" s="43">
        <f t="shared" si="6"/>
        <v>1864298</v>
      </c>
      <c r="AO9" s="43">
        <f t="shared" si="6"/>
        <v>1687657.92</v>
      </c>
      <c r="AP9" s="43">
        <f t="shared" si="6"/>
        <v>1241576.18</v>
      </c>
      <c r="AQ9" s="59">
        <f t="shared" ref="AQ9:AQ72" si="26">AP9/AN9</f>
        <v>0.66597517135136119</v>
      </c>
      <c r="AR9" s="59">
        <f t="shared" ref="AR9:AR72" si="27">AO9/AN9</f>
        <v>0.9052511561992771</v>
      </c>
      <c r="AT9" s="38"/>
      <c r="AU9" s="38"/>
      <c r="AV9" s="38"/>
      <c r="AW9" s="38"/>
      <c r="AY9" s="38"/>
      <c r="AZ9" s="38"/>
      <c r="BA9" s="38"/>
      <c r="BB9" s="38"/>
      <c r="BC9" s="36"/>
      <c r="BD9" s="36"/>
      <c r="BE9" s="36"/>
      <c r="BF9" s="36"/>
    </row>
    <row r="10" spans="1:58" x14ac:dyDescent="0.2">
      <c r="A10" s="45" t="str">
        <f>"501.01.01"</f>
        <v>501.01.01</v>
      </c>
      <c r="B10" s="45" t="s">
        <v>832</v>
      </c>
      <c r="C10" s="46">
        <f>CE_RegimeContributivo!B180</f>
        <v>0</v>
      </c>
      <c r="D10" s="46">
        <f>CE_RegimeContributivo!C180</f>
        <v>0</v>
      </c>
      <c r="E10" s="46">
        <f>CE_RegimeContributivo!E180</f>
        <v>0</v>
      </c>
      <c r="F10" s="46">
        <f>CE_RegimeContributivo!S180</f>
        <v>0</v>
      </c>
      <c r="G10" s="60" t="e">
        <f t="shared" si="8"/>
        <v>#DIV/0!</v>
      </c>
      <c r="H10" s="60" t="e">
        <f t="shared" si="9"/>
        <v>#DIV/0!</v>
      </c>
      <c r="I10" s="46">
        <f>CE_RegimeNaoContributivo!B180</f>
        <v>0</v>
      </c>
      <c r="J10" s="46">
        <f>CE_RegimeNaoContributivo!C180</f>
        <v>0</v>
      </c>
      <c r="K10" s="46">
        <f>CE_RegimeNaoContributivo!E180</f>
        <v>0</v>
      </c>
      <c r="L10" s="46">
        <f>CE_RegimeNaoContributivo!S180</f>
        <v>0</v>
      </c>
      <c r="M10" s="60" t="e">
        <f t="shared" si="11"/>
        <v>#DIV/0!</v>
      </c>
      <c r="N10" s="60" t="e">
        <f t="shared" si="12"/>
        <v>#DIV/0!</v>
      </c>
      <c r="O10" s="46">
        <f>CE_AdministraçãoINSS!B180</f>
        <v>0</v>
      </c>
      <c r="P10" s="46">
        <f>CE_AdministraçãoINSS!C180</f>
        <v>0</v>
      </c>
      <c r="Q10" s="46">
        <f>CE_AdministraçãoINSS!E180</f>
        <v>0</v>
      </c>
      <c r="R10" s="46">
        <f>CE_AdministraçãoINSS!S180</f>
        <v>0</v>
      </c>
      <c r="S10" s="60" t="e">
        <f t="shared" si="14"/>
        <v>#DIV/0!</v>
      </c>
      <c r="T10" s="60" t="e">
        <f t="shared" si="15"/>
        <v>#DIV/0!</v>
      </c>
      <c r="U10" s="46">
        <f t="shared" si="16"/>
        <v>0</v>
      </c>
      <c r="V10" s="46">
        <f t="shared" si="3"/>
        <v>0</v>
      </c>
      <c r="W10" s="46">
        <f t="shared" si="3"/>
        <v>0</v>
      </c>
      <c r="X10" s="46">
        <f t="shared" si="3"/>
        <v>0</v>
      </c>
      <c r="Y10" s="60" t="e">
        <f t="shared" si="17"/>
        <v>#DIV/0!</v>
      </c>
      <c r="Z10" s="60" t="e">
        <f t="shared" si="18"/>
        <v>#DIV/0!</v>
      </c>
      <c r="AA10" s="46">
        <f>CE_AdministraçãoFRSS!B180</f>
        <v>0</v>
      </c>
      <c r="AB10" s="46">
        <f>CE_AdministraçãoFRSS!C180</f>
        <v>0</v>
      </c>
      <c r="AC10" s="46">
        <f>CE_AdministraçãoFRSS!E180</f>
        <v>0</v>
      </c>
      <c r="AD10" s="46">
        <f>CE_AdministraçãoFRSS!S180</f>
        <v>0</v>
      </c>
      <c r="AE10" s="60" t="e">
        <f t="shared" si="20"/>
        <v>#DIV/0!</v>
      </c>
      <c r="AF10" s="60" t="e">
        <f t="shared" si="21"/>
        <v>#DIV/0!</v>
      </c>
      <c r="AG10" s="46">
        <f t="shared" si="22"/>
        <v>0</v>
      </c>
      <c r="AH10" s="46">
        <f t="shared" si="5"/>
        <v>0</v>
      </c>
      <c r="AI10" s="46">
        <f t="shared" si="5"/>
        <v>0</v>
      </c>
      <c r="AJ10" s="46">
        <f t="shared" si="5"/>
        <v>0</v>
      </c>
      <c r="AK10" s="60" t="e">
        <f t="shared" si="23"/>
        <v>#DIV/0!</v>
      </c>
      <c r="AL10" s="60" t="e">
        <f t="shared" si="24"/>
        <v>#DIV/0!</v>
      </c>
      <c r="AM10" s="46">
        <f t="shared" si="25"/>
        <v>0</v>
      </c>
      <c r="AN10" s="46">
        <f t="shared" si="6"/>
        <v>0</v>
      </c>
      <c r="AO10" s="46">
        <f t="shared" si="6"/>
        <v>0</v>
      </c>
      <c r="AP10" s="46">
        <f t="shared" si="6"/>
        <v>0</v>
      </c>
      <c r="AQ10" s="60" t="e">
        <f t="shared" si="26"/>
        <v>#DIV/0!</v>
      </c>
      <c r="AR10" s="60" t="e">
        <f t="shared" si="27"/>
        <v>#DIV/0!</v>
      </c>
      <c r="AT10" s="38"/>
      <c r="AU10" s="38"/>
      <c r="AV10" s="38"/>
      <c r="AW10" s="38"/>
      <c r="AY10" s="38"/>
      <c r="AZ10" s="38"/>
      <c r="BA10" s="38"/>
      <c r="BB10" s="38"/>
    </row>
    <row r="11" spans="1:58" x14ac:dyDescent="0.2">
      <c r="A11" s="45" t="str">
        <f>"501.01.02"</f>
        <v>501.01.02</v>
      </c>
      <c r="B11" s="45" t="s">
        <v>833</v>
      </c>
      <c r="C11" s="46">
        <f>CE_RegimeContributivo!B181</f>
        <v>0</v>
      </c>
      <c r="D11" s="46">
        <f>CE_RegimeContributivo!C181</f>
        <v>0</v>
      </c>
      <c r="E11" s="46">
        <f>CE_RegimeContributivo!E181</f>
        <v>0</v>
      </c>
      <c r="F11" s="46">
        <f>CE_RegimeContributivo!S181</f>
        <v>0</v>
      </c>
      <c r="G11" s="60" t="e">
        <f t="shared" si="8"/>
        <v>#DIV/0!</v>
      </c>
      <c r="H11" s="60" t="e">
        <f t="shared" si="9"/>
        <v>#DIV/0!</v>
      </c>
      <c r="I11" s="46">
        <f>CE_RegimeNaoContributivo!B181</f>
        <v>0</v>
      </c>
      <c r="J11" s="46">
        <f>CE_RegimeNaoContributivo!C181</f>
        <v>0</v>
      </c>
      <c r="K11" s="46">
        <f>CE_RegimeNaoContributivo!E181</f>
        <v>0</v>
      </c>
      <c r="L11" s="46">
        <f>CE_RegimeNaoContributivo!S181</f>
        <v>0</v>
      </c>
      <c r="M11" s="60" t="e">
        <f t="shared" si="11"/>
        <v>#DIV/0!</v>
      </c>
      <c r="N11" s="60" t="e">
        <f t="shared" si="12"/>
        <v>#DIV/0!</v>
      </c>
      <c r="O11" s="46">
        <f>CE_AdministraçãoINSS!B181</f>
        <v>87600</v>
      </c>
      <c r="P11" s="46">
        <f>CE_AdministraçãoINSS!C181</f>
        <v>87454.45</v>
      </c>
      <c r="Q11" s="46">
        <f>CE_AdministraçãoINSS!E181</f>
        <v>86873.51</v>
      </c>
      <c r="R11" s="46">
        <f>CE_AdministraçãoINSS!S181</f>
        <v>62946.960000000006</v>
      </c>
      <c r="S11" s="60">
        <f t="shared" si="14"/>
        <v>0.71976851949786447</v>
      </c>
      <c r="T11" s="60">
        <f t="shared" si="15"/>
        <v>0.99335722767680767</v>
      </c>
      <c r="U11" s="46">
        <f t="shared" si="16"/>
        <v>87600</v>
      </c>
      <c r="V11" s="46">
        <f t="shared" si="3"/>
        <v>87454.45</v>
      </c>
      <c r="W11" s="46">
        <f t="shared" si="3"/>
        <v>86873.51</v>
      </c>
      <c r="X11" s="46">
        <f t="shared" si="3"/>
        <v>62946.960000000006</v>
      </c>
      <c r="Y11" s="60">
        <f t="shared" si="17"/>
        <v>0.71976851949786447</v>
      </c>
      <c r="Z11" s="60">
        <f t="shared" si="18"/>
        <v>0.99335722767680767</v>
      </c>
      <c r="AA11" s="46">
        <f>CE_AdministraçãoFRSS!B181</f>
        <v>0</v>
      </c>
      <c r="AB11" s="46">
        <f>CE_AdministraçãoFRSS!C181</f>
        <v>0</v>
      </c>
      <c r="AC11" s="46">
        <f>CE_AdministraçãoFRSS!E181</f>
        <v>0</v>
      </c>
      <c r="AD11" s="46">
        <f>CE_AdministraçãoFRSS!S181</f>
        <v>0</v>
      </c>
      <c r="AE11" s="60" t="e">
        <f t="shared" si="20"/>
        <v>#DIV/0!</v>
      </c>
      <c r="AF11" s="60" t="e">
        <f t="shared" si="21"/>
        <v>#DIV/0!</v>
      </c>
      <c r="AG11" s="46">
        <f t="shared" si="22"/>
        <v>0</v>
      </c>
      <c r="AH11" s="46">
        <f t="shared" si="5"/>
        <v>0</v>
      </c>
      <c r="AI11" s="46">
        <f t="shared" si="5"/>
        <v>0</v>
      </c>
      <c r="AJ11" s="46">
        <f t="shared" si="5"/>
        <v>0</v>
      </c>
      <c r="AK11" s="60" t="e">
        <f t="shared" si="23"/>
        <v>#DIV/0!</v>
      </c>
      <c r="AL11" s="60" t="e">
        <f t="shared" si="24"/>
        <v>#DIV/0!</v>
      </c>
      <c r="AM11" s="46">
        <f t="shared" si="25"/>
        <v>87600</v>
      </c>
      <c r="AN11" s="46">
        <f t="shared" si="6"/>
        <v>87454.45</v>
      </c>
      <c r="AO11" s="46">
        <f t="shared" si="6"/>
        <v>86873.51</v>
      </c>
      <c r="AP11" s="46">
        <f t="shared" si="6"/>
        <v>62946.960000000006</v>
      </c>
      <c r="AQ11" s="60">
        <f t="shared" si="26"/>
        <v>0.71976851949786447</v>
      </c>
      <c r="AR11" s="60">
        <f t="shared" si="27"/>
        <v>0.99335722767680767</v>
      </c>
      <c r="AT11" s="38"/>
      <c r="AU11" s="38"/>
      <c r="AV11" s="38"/>
      <c r="AW11" s="38"/>
      <c r="AY11" s="38"/>
      <c r="AZ11" s="38"/>
      <c r="BA11" s="38"/>
      <c r="BB11" s="38"/>
    </row>
    <row r="12" spans="1:58" x14ac:dyDescent="0.2">
      <c r="A12" s="45" t="str">
        <f>"501.01.03"</f>
        <v>501.01.03</v>
      </c>
      <c r="B12" s="45" t="s">
        <v>834</v>
      </c>
      <c r="C12" s="46">
        <f>CE_RegimeContributivo!B182</f>
        <v>0</v>
      </c>
      <c r="D12" s="46">
        <f>CE_RegimeContributivo!C182</f>
        <v>0</v>
      </c>
      <c r="E12" s="46">
        <f>CE_RegimeContributivo!E182</f>
        <v>0</v>
      </c>
      <c r="F12" s="46">
        <f>CE_RegimeContributivo!S182</f>
        <v>0</v>
      </c>
      <c r="G12" s="60" t="e">
        <f t="shared" si="8"/>
        <v>#DIV/0!</v>
      </c>
      <c r="H12" s="60" t="e">
        <f t="shared" si="9"/>
        <v>#DIV/0!</v>
      </c>
      <c r="I12" s="46">
        <f>CE_RegimeNaoContributivo!B182</f>
        <v>0</v>
      </c>
      <c r="J12" s="46">
        <f>CE_RegimeNaoContributivo!C182</f>
        <v>0</v>
      </c>
      <c r="K12" s="46">
        <f>CE_RegimeNaoContributivo!E182</f>
        <v>0</v>
      </c>
      <c r="L12" s="46">
        <f>CE_RegimeNaoContributivo!S182</f>
        <v>0</v>
      </c>
      <c r="M12" s="60" t="e">
        <f t="shared" si="11"/>
        <v>#DIV/0!</v>
      </c>
      <c r="N12" s="60" t="e">
        <f t="shared" si="12"/>
        <v>#DIV/0!</v>
      </c>
      <c r="O12" s="46">
        <f>CE_AdministraçãoINSS!B182</f>
        <v>411804</v>
      </c>
      <c r="P12" s="46">
        <f>CE_AdministraçãoINSS!C182</f>
        <v>445049.55</v>
      </c>
      <c r="Q12" s="46">
        <f>CE_AdministraçãoINSS!E182</f>
        <v>444730.38999999996</v>
      </c>
      <c r="R12" s="46">
        <f>CE_AdministraçãoINSS!S182</f>
        <v>316153.37</v>
      </c>
      <c r="S12" s="60">
        <f t="shared" si="14"/>
        <v>0.71037791185273635</v>
      </c>
      <c r="T12" s="60">
        <f t="shared" si="15"/>
        <v>0.99928286636847508</v>
      </c>
      <c r="U12" s="46">
        <f t="shared" si="16"/>
        <v>411804</v>
      </c>
      <c r="V12" s="46">
        <f t="shared" si="3"/>
        <v>445049.55</v>
      </c>
      <c r="W12" s="46">
        <f t="shared" si="3"/>
        <v>444730.38999999996</v>
      </c>
      <c r="X12" s="46">
        <f t="shared" si="3"/>
        <v>316153.37</v>
      </c>
      <c r="Y12" s="60">
        <f t="shared" si="17"/>
        <v>0.71037791185273635</v>
      </c>
      <c r="Z12" s="60">
        <f t="shared" si="18"/>
        <v>0.99928286636847508</v>
      </c>
      <c r="AA12" s="46">
        <f>CE_AdministraçãoFRSS!B182</f>
        <v>0</v>
      </c>
      <c r="AB12" s="46">
        <f>CE_AdministraçãoFRSS!C182</f>
        <v>0</v>
      </c>
      <c r="AC12" s="46">
        <f>CE_AdministraçãoFRSS!E182</f>
        <v>0</v>
      </c>
      <c r="AD12" s="46">
        <f>CE_AdministraçãoFRSS!S182</f>
        <v>0</v>
      </c>
      <c r="AE12" s="60" t="e">
        <f t="shared" si="20"/>
        <v>#DIV/0!</v>
      </c>
      <c r="AF12" s="60" t="e">
        <f t="shared" si="21"/>
        <v>#DIV/0!</v>
      </c>
      <c r="AG12" s="46">
        <f t="shared" si="22"/>
        <v>0</v>
      </c>
      <c r="AH12" s="46">
        <f t="shared" si="5"/>
        <v>0</v>
      </c>
      <c r="AI12" s="46">
        <f t="shared" si="5"/>
        <v>0</v>
      </c>
      <c r="AJ12" s="46">
        <f t="shared" si="5"/>
        <v>0</v>
      </c>
      <c r="AK12" s="60" t="e">
        <f t="shared" si="23"/>
        <v>#DIV/0!</v>
      </c>
      <c r="AL12" s="60" t="e">
        <f t="shared" si="24"/>
        <v>#DIV/0!</v>
      </c>
      <c r="AM12" s="46">
        <f t="shared" si="25"/>
        <v>411804</v>
      </c>
      <c r="AN12" s="46">
        <f t="shared" si="6"/>
        <v>445049.55</v>
      </c>
      <c r="AO12" s="46">
        <f t="shared" si="6"/>
        <v>444730.38999999996</v>
      </c>
      <c r="AP12" s="46">
        <f t="shared" si="6"/>
        <v>316153.37</v>
      </c>
      <c r="AQ12" s="60">
        <f t="shared" si="26"/>
        <v>0.71037791185273635</v>
      </c>
      <c r="AR12" s="60">
        <f t="shared" si="27"/>
        <v>0.99928286636847508</v>
      </c>
      <c r="AT12" s="38"/>
      <c r="AU12" s="38"/>
      <c r="AV12" s="38"/>
      <c r="AW12" s="38"/>
      <c r="AY12" s="38"/>
      <c r="AZ12" s="38"/>
      <c r="BA12" s="38"/>
      <c r="BB12" s="38"/>
    </row>
    <row r="13" spans="1:58" x14ac:dyDescent="0.2">
      <c r="A13" s="45" t="str">
        <f>"501.01.01"</f>
        <v>501.01.01</v>
      </c>
      <c r="B13" s="45" t="s">
        <v>835</v>
      </c>
      <c r="C13" s="46">
        <f>CE_RegimeContributivo!B183</f>
        <v>0</v>
      </c>
      <c r="D13" s="46">
        <f>CE_RegimeContributivo!C183</f>
        <v>0</v>
      </c>
      <c r="E13" s="46">
        <f>CE_RegimeContributivo!E183</f>
        <v>0</v>
      </c>
      <c r="F13" s="46">
        <f>CE_RegimeContributivo!S183</f>
        <v>0</v>
      </c>
      <c r="G13" s="60" t="e">
        <f t="shared" si="8"/>
        <v>#DIV/0!</v>
      </c>
      <c r="H13" s="60" t="e">
        <f t="shared" si="9"/>
        <v>#DIV/0!</v>
      </c>
      <c r="I13" s="46">
        <f>CE_RegimeNaoContributivo!B183</f>
        <v>0</v>
      </c>
      <c r="J13" s="46">
        <f>CE_RegimeNaoContributivo!C183</f>
        <v>0</v>
      </c>
      <c r="K13" s="46">
        <f>CE_RegimeNaoContributivo!E183</f>
        <v>0</v>
      </c>
      <c r="L13" s="46">
        <f>CE_RegimeNaoContributivo!S183</f>
        <v>0</v>
      </c>
      <c r="M13" s="60" t="e">
        <f t="shared" si="11"/>
        <v>#DIV/0!</v>
      </c>
      <c r="N13" s="60" t="e">
        <f t="shared" si="12"/>
        <v>#DIV/0!</v>
      </c>
      <c r="O13" s="46">
        <f>CE_AdministraçãoINSS!B183</f>
        <v>81060</v>
      </c>
      <c r="P13" s="46">
        <f>CE_AdministraçãoINSS!C183</f>
        <v>68576</v>
      </c>
      <c r="Q13" s="46">
        <f>CE_AdministraçãoINSS!E183</f>
        <v>67552.22</v>
      </c>
      <c r="R13" s="46">
        <f>CE_AdministraçãoINSS!S183</f>
        <v>52646.180000000008</v>
      </c>
      <c r="S13" s="60">
        <f t="shared" si="14"/>
        <v>0.76770561129258064</v>
      </c>
      <c r="T13" s="60">
        <f t="shared" si="15"/>
        <v>0.98507087027531504</v>
      </c>
      <c r="U13" s="46">
        <f t="shared" si="16"/>
        <v>81060</v>
      </c>
      <c r="V13" s="46">
        <f t="shared" si="3"/>
        <v>68576</v>
      </c>
      <c r="W13" s="46">
        <f t="shared" si="3"/>
        <v>67552.22</v>
      </c>
      <c r="X13" s="46">
        <f t="shared" si="3"/>
        <v>52646.180000000008</v>
      </c>
      <c r="Y13" s="60">
        <f t="shared" si="17"/>
        <v>0.76770561129258064</v>
      </c>
      <c r="Z13" s="60">
        <f t="shared" si="18"/>
        <v>0.98507087027531504</v>
      </c>
      <c r="AA13" s="46">
        <f>CE_AdministraçãoFRSS!B183</f>
        <v>0</v>
      </c>
      <c r="AB13" s="46">
        <f>CE_AdministraçãoFRSS!C183</f>
        <v>0</v>
      </c>
      <c r="AC13" s="46">
        <f>CE_AdministraçãoFRSS!E183</f>
        <v>0</v>
      </c>
      <c r="AD13" s="46">
        <f>CE_AdministraçãoFRSS!S183</f>
        <v>0</v>
      </c>
      <c r="AE13" s="60" t="e">
        <f t="shared" si="20"/>
        <v>#DIV/0!</v>
      </c>
      <c r="AF13" s="60" t="e">
        <f t="shared" si="21"/>
        <v>#DIV/0!</v>
      </c>
      <c r="AG13" s="46">
        <f t="shared" si="22"/>
        <v>0</v>
      </c>
      <c r="AH13" s="46">
        <f t="shared" si="5"/>
        <v>0</v>
      </c>
      <c r="AI13" s="46">
        <f t="shared" si="5"/>
        <v>0</v>
      </c>
      <c r="AJ13" s="46">
        <f t="shared" si="5"/>
        <v>0</v>
      </c>
      <c r="AK13" s="60" t="e">
        <f t="shared" si="23"/>
        <v>#DIV/0!</v>
      </c>
      <c r="AL13" s="60" t="e">
        <f t="shared" si="24"/>
        <v>#DIV/0!</v>
      </c>
      <c r="AM13" s="46">
        <f t="shared" si="25"/>
        <v>81060</v>
      </c>
      <c r="AN13" s="46">
        <f t="shared" si="6"/>
        <v>68576</v>
      </c>
      <c r="AO13" s="46">
        <f t="shared" si="6"/>
        <v>67552.22</v>
      </c>
      <c r="AP13" s="46">
        <f t="shared" si="6"/>
        <v>52646.180000000008</v>
      </c>
      <c r="AQ13" s="60">
        <f t="shared" si="26"/>
        <v>0.76770561129258064</v>
      </c>
      <c r="AR13" s="60">
        <f t="shared" si="27"/>
        <v>0.98507087027531504</v>
      </c>
      <c r="AT13" s="38"/>
      <c r="AU13" s="38"/>
      <c r="AV13" s="38"/>
      <c r="AW13" s="38"/>
      <c r="AY13" s="38"/>
      <c r="AZ13" s="38"/>
      <c r="BA13" s="38"/>
      <c r="BB13" s="38"/>
    </row>
    <row r="14" spans="1:58" x14ac:dyDescent="0.2">
      <c r="A14" s="45" t="str">
        <f>"501.01.05"</f>
        <v>501.01.05</v>
      </c>
      <c r="B14" s="45" t="s">
        <v>836</v>
      </c>
      <c r="C14" s="46">
        <f>CE_RegimeContributivo!B184</f>
        <v>0</v>
      </c>
      <c r="D14" s="46">
        <f>CE_RegimeContributivo!C184</f>
        <v>0</v>
      </c>
      <c r="E14" s="46">
        <f>CE_RegimeContributivo!E184</f>
        <v>0</v>
      </c>
      <c r="F14" s="46">
        <f>CE_RegimeContributivo!S184</f>
        <v>0</v>
      </c>
      <c r="G14" s="60" t="e">
        <f t="shared" si="8"/>
        <v>#DIV/0!</v>
      </c>
      <c r="H14" s="60" t="e">
        <f t="shared" si="9"/>
        <v>#DIV/0!</v>
      </c>
      <c r="I14" s="46">
        <f>CE_RegimeNaoContributivo!B184</f>
        <v>0</v>
      </c>
      <c r="J14" s="46">
        <f>CE_RegimeNaoContributivo!C184</f>
        <v>0</v>
      </c>
      <c r="K14" s="46">
        <f>CE_RegimeNaoContributivo!E184</f>
        <v>0</v>
      </c>
      <c r="L14" s="46">
        <f>CE_RegimeNaoContributivo!S184</f>
        <v>0</v>
      </c>
      <c r="M14" s="60" t="e">
        <f t="shared" si="11"/>
        <v>#DIV/0!</v>
      </c>
      <c r="N14" s="60" t="e">
        <f t="shared" si="12"/>
        <v>#DIV/0!</v>
      </c>
      <c r="O14" s="46">
        <f>CE_AdministraçãoINSS!B184</f>
        <v>954768</v>
      </c>
      <c r="P14" s="46">
        <f>CE_AdministraçãoINSS!C184</f>
        <v>1021282</v>
      </c>
      <c r="Q14" s="46">
        <f>CE_AdministraçãoINSS!E184</f>
        <v>964101.3600000001</v>
      </c>
      <c r="R14" s="46">
        <f>CE_AdministraçãoINSS!S184</f>
        <v>714309.23</v>
      </c>
      <c r="S14" s="60">
        <f t="shared" si="14"/>
        <v>0.6994240865892084</v>
      </c>
      <c r="T14" s="60">
        <f t="shared" si="15"/>
        <v>0.94401091960888384</v>
      </c>
      <c r="U14" s="46">
        <f t="shared" si="16"/>
        <v>954768</v>
      </c>
      <c r="V14" s="46">
        <f t="shared" si="3"/>
        <v>1021282</v>
      </c>
      <c r="W14" s="46">
        <f t="shared" si="3"/>
        <v>964101.3600000001</v>
      </c>
      <c r="X14" s="46">
        <f t="shared" si="3"/>
        <v>714309.23</v>
      </c>
      <c r="Y14" s="60">
        <f t="shared" si="17"/>
        <v>0.6994240865892084</v>
      </c>
      <c r="Z14" s="60">
        <f t="shared" si="18"/>
        <v>0.94401091960888384</v>
      </c>
      <c r="AA14" s="46">
        <f>CE_AdministraçãoFRSS!B184</f>
        <v>0</v>
      </c>
      <c r="AB14" s="46">
        <f>CE_AdministraçãoFRSS!C184</f>
        <v>0</v>
      </c>
      <c r="AC14" s="46">
        <f>CE_AdministraçãoFRSS!E184</f>
        <v>0</v>
      </c>
      <c r="AD14" s="46">
        <f>CE_AdministraçãoFRSS!S184</f>
        <v>0</v>
      </c>
      <c r="AE14" s="60" t="e">
        <f t="shared" si="20"/>
        <v>#DIV/0!</v>
      </c>
      <c r="AF14" s="60" t="e">
        <f t="shared" si="21"/>
        <v>#DIV/0!</v>
      </c>
      <c r="AG14" s="46">
        <f t="shared" si="22"/>
        <v>0</v>
      </c>
      <c r="AH14" s="46">
        <f t="shared" si="5"/>
        <v>0</v>
      </c>
      <c r="AI14" s="46">
        <f t="shared" si="5"/>
        <v>0</v>
      </c>
      <c r="AJ14" s="46">
        <f t="shared" si="5"/>
        <v>0</v>
      </c>
      <c r="AK14" s="60" t="e">
        <f t="shared" si="23"/>
        <v>#DIV/0!</v>
      </c>
      <c r="AL14" s="60" t="e">
        <f t="shared" si="24"/>
        <v>#DIV/0!</v>
      </c>
      <c r="AM14" s="46">
        <f t="shared" si="25"/>
        <v>954768</v>
      </c>
      <c r="AN14" s="46">
        <f t="shared" si="6"/>
        <v>1021282</v>
      </c>
      <c r="AO14" s="46">
        <f t="shared" si="6"/>
        <v>964101.3600000001</v>
      </c>
      <c r="AP14" s="46">
        <f t="shared" si="6"/>
        <v>714309.23</v>
      </c>
      <c r="AQ14" s="60">
        <f t="shared" si="26"/>
        <v>0.6994240865892084</v>
      </c>
      <c r="AR14" s="60">
        <f t="shared" si="27"/>
        <v>0.94401091960888384</v>
      </c>
      <c r="AT14" s="38"/>
      <c r="AU14" s="38"/>
      <c r="AV14" s="38"/>
      <c r="AW14" s="38"/>
      <c r="AY14" s="38"/>
      <c r="AZ14" s="38"/>
      <c r="BA14" s="38"/>
      <c r="BB14" s="38"/>
    </row>
    <row r="15" spans="1:58" x14ac:dyDescent="0.2">
      <c r="A15" s="45" t="str">
        <f>"501.01.06"</f>
        <v>501.01.06</v>
      </c>
      <c r="B15" s="45" t="s">
        <v>837</v>
      </c>
      <c r="C15" s="46">
        <f>CE_RegimeContributivo!B185</f>
        <v>0</v>
      </c>
      <c r="D15" s="46">
        <f>CE_RegimeContributivo!C185</f>
        <v>0</v>
      </c>
      <c r="E15" s="46">
        <f>CE_RegimeContributivo!E185</f>
        <v>0</v>
      </c>
      <c r="F15" s="46">
        <f>CE_RegimeContributivo!S185</f>
        <v>0</v>
      </c>
      <c r="G15" s="60" t="e">
        <f t="shared" si="8"/>
        <v>#DIV/0!</v>
      </c>
      <c r="H15" s="60" t="e">
        <f t="shared" si="9"/>
        <v>#DIV/0!</v>
      </c>
      <c r="I15" s="46">
        <f>CE_RegimeNaoContributivo!B185</f>
        <v>0</v>
      </c>
      <c r="J15" s="46">
        <f>CE_RegimeNaoContributivo!C185</f>
        <v>0</v>
      </c>
      <c r="K15" s="46">
        <f>CE_RegimeNaoContributivo!E185</f>
        <v>0</v>
      </c>
      <c r="L15" s="46">
        <f>CE_RegimeNaoContributivo!S185</f>
        <v>0</v>
      </c>
      <c r="M15" s="60" t="e">
        <f t="shared" si="11"/>
        <v>#DIV/0!</v>
      </c>
      <c r="N15" s="60" t="e">
        <f t="shared" si="12"/>
        <v>#DIV/0!</v>
      </c>
      <c r="O15" s="46">
        <f>CE_AdministraçãoINSS!B185</f>
        <v>192000</v>
      </c>
      <c r="P15" s="46">
        <f>CE_AdministraçãoINSS!C185</f>
        <v>114000</v>
      </c>
      <c r="Q15" s="46">
        <f>CE_AdministraçãoINSS!E185</f>
        <v>114000</v>
      </c>
      <c r="R15" s="46">
        <f>CE_AdministraçãoINSS!S185</f>
        <v>85120</v>
      </c>
      <c r="S15" s="60">
        <f t="shared" si="14"/>
        <v>0.7466666666666667</v>
      </c>
      <c r="T15" s="60">
        <f t="shared" si="15"/>
        <v>1</v>
      </c>
      <c r="U15" s="46">
        <f t="shared" si="16"/>
        <v>192000</v>
      </c>
      <c r="V15" s="46">
        <f t="shared" si="3"/>
        <v>114000</v>
      </c>
      <c r="W15" s="46">
        <f t="shared" si="3"/>
        <v>114000</v>
      </c>
      <c r="X15" s="46">
        <f t="shared" si="3"/>
        <v>85120</v>
      </c>
      <c r="Y15" s="60">
        <f t="shared" si="17"/>
        <v>0.7466666666666667</v>
      </c>
      <c r="Z15" s="60">
        <f t="shared" si="18"/>
        <v>1</v>
      </c>
      <c r="AA15" s="46">
        <f>CE_AdministraçãoFRSS!B185</f>
        <v>0</v>
      </c>
      <c r="AB15" s="46">
        <f>CE_AdministraçãoFRSS!C185</f>
        <v>0</v>
      </c>
      <c r="AC15" s="46">
        <f>CE_AdministraçãoFRSS!E185</f>
        <v>0</v>
      </c>
      <c r="AD15" s="46">
        <f>CE_AdministraçãoFRSS!S185</f>
        <v>0</v>
      </c>
      <c r="AE15" s="60" t="e">
        <f t="shared" si="20"/>
        <v>#DIV/0!</v>
      </c>
      <c r="AF15" s="60" t="e">
        <f t="shared" si="21"/>
        <v>#DIV/0!</v>
      </c>
      <c r="AG15" s="46">
        <f t="shared" si="22"/>
        <v>0</v>
      </c>
      <c r="AH15" s="46">
        <f t="shared" si="5"/>
        <v>0</v>
      </c>
      <c r="AI15" s="46">
        <f t="shared" si="5"/>
        <v>0</v>
      </c>
      <c r="AJ15" s="46">
        <f t="shared" si="5"/>
        <v>0</v>
      </c>
      <c r="AK15" s="60" t="e">
        <f t="shared" si="23"/>
        <v>#DIV/0!</v>
      </c>
      <c r="AL15" s="60" t="e">
        <f t="shared" si="24"/>
        <v>#DIV/0!</v>
      </c>
      <c r="AM15" s="46">
        <f t="shared" si="25"/>
        <v>192000</v>
      </c>
      <c r="AN15" s="46">
        <f t="shared" si="6"/>
        <v>114000</v>
      </c>
      <c r="AO15" s="46">
        <f t="shared" si="6"/>
        <v>114000</v>
      </c>
      <c r="AP15" s="46">
        <f t="shared" si="6"/>
        <v>85120</v>
      </c>
      <c r="AQ15" s="60">
        <f t="shared" si="26"/>
        <v>0.7466666666666667</v>
      </c>
      <c r="AR15" s="60">
        <f t="shared" si="27"/>
        <v>1</v>
      </c>
      <c r="AT15" s="38"/>
      <c r="AU15" s="38"/>
      <c r="AV15" s="38"/>
      <c r="AW15" s="38"/>
      <c r="AY15" s="38"/>
      <c r="AZ15" s="38"/>
      <c r="BA15" s="38"/>
      <c r="BB15" s="38"/>
    </row>
    <row r="16" spans="1:58" ht="30" x14ac:dyDescent="0.2">
      <c r="A16" s="45" t="str">
        <f>"501.01.07"</f>
        <v>501.01.07</v>
      </c>
      <c r="B16" s="45" t="s">
        <v>838</v>
      </c>
      <c r="C16" s="46">
        <f>CE_RegimeContributivo!B186</f>
        <v>0</v>
      </c>
      <c r="D16" s="46">
        <f>CE_RegimeContributivo!C186</f>
        <v>0</v>
      </c>
      <c r="E16" s="46">
        <f>CE_RegimeContributivo!E186</f>
        <v>0</v>
      </c>
      <c r="F16" s="46">
        <f>CE_RegimeContributivo!S186</f>
        <v>0</v>
      </c>
      <c r="G16" s="60" t="e">
        <f t="shared" si="8"/>
        <v>#DIV/0!</v>
      </c>
      <c r="H16" s="60" t="e">
        <f t="shared" si="9"/>
        <v>#DIV/0!</v>
      </c>
      <c r="I16" s="46">
        <f>CE_RegimeNaoContributivo!B186</f>
        <v>0</v>
      </c>
      <c r="J16" s="46">
        <f>CE_RegimeNaoContributivo!C186</f>
        <v>0</v>
      </c>
      <c r="K16" s="46">
        <f>CE_RegimeNaoContributivo!E186</f>
        <v>0</v>
      </c>
      <c r="L16" s="46">
        <f>CE_RegimeNaoContributivo!S186</f>
        <v>0</v>
      </c>
      <c r="M16" s="60" t="e">
        <f t="shared" si="11"/>
        <v>#DIV/0!</v>
      </c>
      <c r="N16" s="60" t="e">
        <f t="shared" si="12"/>
        <v>#DIV/0!</v>
      </c>
      <c r="O16" s="46">
        <f>CE_AdministraçãoINSS!B186</f>
        <v>0</v>
      </c>
      <c r="P16" s="46">
        <f>CE_AdministraçãoINSS!C186</f>
        <v>0</v>
      </c>
      <c r="Q16" s="46">
        <f>CE_AdministraçãoINSS!E186</f>
        <v>0</v>
      </c>
      <c r="R16" s="46">
        <f>CE_AdministraçãoINSS!S186</f>
        <v>0</v>
      </c>
      <c r="S16" s="60" t="e">
        <f t="shared" si="14"/>
        <v>#DIV/0!</v>
      </c>
      <c r="T16" s="60" t="e">
        <f t="shared" si="15"/>
        <v>#DIV/0!</v>
      </c>
      <c r="U16" s="46">
        <f t="shared" si="16"/>
        <v>0</v>
      </c>
      <c r="V16" s="46">
        <f t="shared" si="3"/>
        <v>0</v>
      </c>
      <c r="W16" s="46">
        <f t="shared" si="3"/>
        <v>0</v>
      </c>
      <c r="X16" s="46">
        <f t="shared" si="3"/>
        <v>0</v>
      </c>
      <c r="Y16" s="60" t="e">
        <f t="shared" si="17"/>
        <v>#DIV/0!</v>
      </c>
      <c r="Z16" s="60" t="e">
        <f t="shared" si="18"/>
        <v>#DIV/0!</v>
      </c>
      <c r="AA16" s="46">
        <f>CE_AdministraçãoFRSS!B186</f>
        <v>0</v>
      </c>
      <c r="AB16" s="46">
        <f>CE_AdministraçãoFRSS!C186</f>
        <v>0</v>
      </c>
      <c r="AC16" s="46">
        <f>CE_AdministraçãoFRSS!E186</f>
        <v>0</v>
      </c>
      <c r="AD16" s="46">
        <f>CE_AdministraçãoFRSS!S186</f>
        <v>0</v>
      </c>
      <c r="AE16" s="60" t="e">
        <f t="shared" si="20"/>
        <v>#DIV/0!</v>
      </c>
      <c r="AF16" s="60" t="e">
        <f t="shared" si="21"/>
        <v>#DIV/0!</v>
      </c>
      <c r="AG16" s="46">
        <f t="shared" si="22"/>
        <v>0</v>
      </c>
      <c r="AH16" s="46">
        <f t="shared" si="5"/>
        <v>0</v>
      </c>
      <c r="AI16" s="46">
        <f t="shared" si="5"/>
        <v>0</v>
      </c>
      <c r="AJ16" s="46">
        <f t="shared" si="5"/>
        <v>0</v>
      </c>
      <c r="AK16" s="60" t="e">
        <f t="shared" si="23"/>
        <v>#DIV/0!</v>
      </c>
      <c r="AL16" s="60" t="e">
        <f t="shared" si="24"/>
        <v>#DIV/0!</v>
      </c>
      <c r="AM16" s="46">
        <f t="shared" si="25"/>
        <v>0</v>
      </c>
      <c r="AN16" s="46">
        <f t="shared" si="6"/>
        <v>0</v>
      </c>
      <c r="AO16" s="46">
        <f t="shared" si="6"/>
        <v>0</v>
      </c>
      <c r="AP16" s="46">
        <f t="shared" si="6"/>
        <v>0</v>
      </c>
      <c r="AQ16" s="60" t="e">
        <f t="shared" si="26"/>
        <v>#DIV/0!</v>
      </c>
      <c r="AR16" s="60" t="e">
        <f t="shared" si="27"/>
        <v>#DIV/0!</v>
      </c>
      <c r="AT16" s="38"/>
      <c r="AU16" s="38"/>
      <c r="AV16" s="38"/>
      <c r="AW16" s="38"/>
      <c r="AY16" s="38"/>
      <c r="AZ16" s="38"/>
      <c r="BA16" s="38"/>
      <c r="BB16" s="38"/>
    </row>
    <row r="17" spans="1:58" ht="30" x14ac:dyDescent="0.2">
      <c r="A17" s="45" t="str">
        <f>"501.01.08"</f>
        <v>501.01.08</v>
      </c>
      <c r="B17" s="45" t="s">
        <v>839</v>
      </c>
      <c r="C17" s="46">
        <f>CE_RegimeContributivo!B187</f>
        <v>0</v>
      </c>
      <c r="D17" s="46">
        <f>CE_RegimeContributivo!C187</f>
        <v>0</v>
      </c>
      <c r="E17" s="46">
        <f>CE_RegimeContributivo!E187</f>
        <v>0</v>
      </c>
      <c r="F17" s="46">
        <f>CE_RegimeContributivo!S187</f>
        <v>0</v>
      </c>
      <c r="G17" s="60" t="e">
        <f t="shared" si="8"/>
        <v>#DIV/0!</v>
      </c>
      <c r="H17" s="60" t="e">
        <f t="shared" si="9"/>
        <v>#DIV/0!</v>
      </c>
      <c r="I17" s="46">
        <f>CE_RegimeNaoContributivo!B187</f>
        <v>0</v>
      </c>
      <c r="J17" s="46">
        <f>CE_RegimeNaoContributivo!C187</f>
        <v>0</v>
      </c>
      <c r="K17" s="46">
        <f>CE_RegimeNaoContributivo!E187</f>
        <v>0</v>
      </c>
      <c r="L17" s="46">
        <f>CE_RegimeNaoContributivo!S187</f>
        <v>0</v>
      </c>
      <c r="M17" s="60" t="e">
        <f t="shared" si="11"/>
        <v>#DIV/0!</v>
      </c>
      <c r="N17" s="60" t="e">
        <f t="shared" si="12"/>
        <v>#DIV/0!</v>
      </c>
      <c r="O17" s="46">
        <f>CE_AdministraçãoINSS!B187</f>
        <v>0</v>
      </c>
      <c r="P17" s="46">
        <f>CE_AdministraçãoINSS!C187</f>
        <v>0</v>
      </c>
      <c r="Q17" s="46">
        <f>CE_AdministraçãoINSS!E187</f>
        <v>0</v>
      </c>
      <c r="R17" s="46">
        <f>CE_AdministraçãoINSS!S187</f>
        <v>0</v>
      </c>
      <c r="S17" s="60" t="e">
        <f t="shared" si="14"/>
        <v>#DIV/0!</v>
      </c>
      <c r="T17" s="60" t="e">
        <f t="shared" si="15"/>
        <v>#DIV/0!</v>
      </c>
      <c r="U17" s="46">
        <f t="shared" si="16"/>
        <v>0</v>
      </c>
      <c r="V17" s="46">
        <f t="shared" si="3"/>
        <v>0</v>
      </c>
      <c r="W17" s="46">
        <f t="shared" si="3"/>
        <v>0</v>
      </c>
      <c r="X17" s="46">
        <f t="shared" si="3"/>
        <v>0</v>
      </c>
      <c r="Y17" s="60" t="e">
        <f t="shared" si="17"/>
        <v>#DIV/0!</v>
      </c>
      <c r="Z17" s="60" t="e">
        <f t="shared" si="18"/>
        <v>#DIV/0!</v>
      </c>
      <c r="AA17" s="46">
        <f>CE_AdministraçãoFRSS!B187</f>
        <v>0</v>
      </c>
      <c r="AB17" s="46">
        <f>CE_AdministraçãoFRSS!C187</f>
        <v>0</v>
      </c>
      <c r="AC17" s="46">
        <f>CE_AdministraçãoFRSS!E187</f>
        <v>0</v>
      </c>
      <c r="AD17" s="46">
        <f>CE_AdministraçãoFRSS!S187</f>
        <v>0</v>
      </c>
      <c r="AE17" s="60" t="e">
        <f t="shared" si="20"/>
        <v>#DIV/0!</v>
      </c>
      <c r="AF17" s="60" t="e">
        <f t="shared" si="21"/>
        <v>#DIV/0!</v>
      </c>
      <c r="AG17" s="46">
        <f t="shared" si="22"/>
        <v>0</v>
      </c>
      <c r="AH17" s="46">
        <f t="shared" si="5"/>
        <v>0</v>
      </c>
      <c r="AI17" s="46">
        <f t="shared" si="5"/>
        <v>0</v>
      </c>
      <c r="AJ17" s="46">
        <f t="shared" si="5"/>
        <v>0</v>
      </c>
      <c r="AK17" s="60" t="e">
        <f t="shared" si="23"/>
        <v>#DIV/0!</v>
      </c>
      <c r="AL17" s="60" t="e">
        <f t="shared" si="24"/>
        <v>#DIV/0!</v>
      </c>
      <c r="AM17" s="46">
        <f t="shared" si="25"/>
        <v>0</v>
      </c>
      <c r="AN17" s="46">
        <f t="shared" si="6"/>
        <v>0</v>
      </c>
      <c r="AO17" s="46">
        <f t="shared" si="6"/>
        <v>0</v>
      </c>
      <c r="AP17" s="46">
        <f t="shared" si="6"/>
        <v>0</v>
      </c>
      <c r="AQ17" s="60" t="e">
        <f t="shared" si="26"/>
        <v>#DIV/0!</v>
      </c>
      <c r="AR17" s="60" t="e">
        <f t="shared" si="27"/>
        <v>#DIV/0!</v>
      </c>
      <c r="AT17" s="38"/>
      <c r="AU17" s="38"/>
      <c r="AV17" s="38"/>
      <c r="AW17" s="38"/>
      <c r="AY17" s="38"/>
      <c r="AZ17" s="38"/>
      <c r="BA17" s="38"/>
      <c r="BB17" s="38"/>
    </row>
    <row r="18" spans="1:58" x14ac:dyDescent="0.2">
      <c r="A18" s="45" t="str">
        <f>"501.01.09"</f>
        <v>501.01.09</v>
      </c>
      <c r="B18" s="45" t="s">
        <v>840</v>
      </c>
      <c r="C18" s="46">
        <f>CE_RegimeContributivo!B188</f>
        <v>0</v>
      </c>
      <c r="D18" s="46">
        <f>CE_RegimeContributivo!C188</f>
        <v>0</v>
      </c>
      <c r="E18" s="46">
        <f>CE_RegimeContributivo!E188</f>
        <v>0</v>
      </c>
      <c r="F18" s="46">
        <f>CE_RegimeContributivo!S188</f>
        <v>0</v>
      </c>
      <c r="G18" s="60" t="e">
        <f t="shared" si="8"/>
        <v>#DIV/0!</v>
      </c>
      <c r="H18" s="60" t="e">
        <f t="shared" si="9"/>
        <v>#DIV/0!</v>
      </c>
      <c r="I18" s="46">
        <f>CE_RegimeNaoContributivo!B188</f>
        <v>0</v>
      </c>
      <c r="J18" s="46">
        <f>CE_RegimeNaoContributivo!C188</f>
        <v>0</v>
      </c>
      <c r="K18" s="46">
        <f>CE_RegimeNaoContributivo!E188</f>
        <v>0</v>
      </c>
      <c r="L18" s="46">
        <f>CE_RegimeNaoContributivo!S188</f>
        <v>0</v>
      </c>
      <c r="M18" s="60" t="e">
        <f t="shared" si="11"/>
        <v>#DIV/0!</v>
      </c>
      <c r="N18" s="60" t="e">
        <f t="shared" si="12"/>
        <v>#DIV/0!</v>
      </c>
      <c r="O18" s="46">
        <f>CE_AdministraçãoINSS!B188</f>
        <v>0</v>
      </c>
      <c r="P18" s="46">
        <f>CE_AdministraçãoINSS!C188</f>
        <v>0</v>
      </c>
      <c r="Q18" s="46">
        <f>CE_AdministraçãoINSS!E188</f>
        <v>0</v>
      </c>
      <c r="R18" s="46">
        <f>CE_AdministraçãoINSS!S188</f>
        <v>0</v>
      </c>
      <c r="S18" s="60" t="e">
        <f t="shared" si="14"/>
        <v>#DIV/0!</v>
      </c>
      <c r="T18" s="60" t="e">
        <f t="shared" si="15"/>
        <v>#DIV/0!</v>
      </c>
      <c r="U18" s="46">
        <f t="shared" si="16"/>
        <v>0</v>
      </c>
      <c r="V18" s="46">
        <f t="shared" si="3"/>
        <v>0</v>
      </c>
      <c r="W18" s="46">
        <f t="shared" si="3"/>
        <v>0</v>
      </c>
      <c r="X18" s="46">
        <f t="shared" si="3"/>
        <v>0</v>
      </c>
      <c r="Y18" s="60" t="e">
        <f t="shared" si="17"/>
        <v>#DIV/0!</v>
      </c>
      <c r="Z18" s="60" t="e">
        <f t="shared" si="18"/>
        <v>#DIV/0!</v>
      </c>
      <c r="AA18" s="46">
        <f>CE_AdministraçãoFRSS!B188</f>
        <v>0</v>
      </c>
      <c r="AB18" s="46">
        <f>CE_AdministraçãoFRSS!C188</f>
        <v>0</v>
      </c>
      <c r="AC18" s="46">
        <f>CE_AdministraçãoFRSS!E188</f>
        <v>0</v>
      </c>
      <c r="AD18" s="46">
        <f>CE_AdministraçãoFRSS!S188</f>
        <v>0</v>
      </c>
      <c r="AE18" s="60" t="e">
        <f t="shared" si="20"/>
        <v>#DIV/0!</v>
      </c>
      <c r="AF18" s="60" t="e">
        <f t="shared" si="21"/>
        <v>#DIV/0!</v>
      </c>
      <c r="AG18" s="46">
        <f t="shared" si="22"/>
        <v>0</v>
      </c>
      <c r="AH18" s="46">
        <f t="shared" si="5"/>
        <v>0</v>
      </c>
      <c r="AI18" s="46">
        <f t="shared" si="5"/>
        <v>0</v>
      </c>
      <c r="AJ18" s="46">
        <f t="shared" si="5"/>
        <v>0</v>
      </c>
      <c r="AK18" s="60" t="e">
        <f t="shared" si="23"/>
        <v>#DIV/0!</v>
      </c>
      <c r="AL18" s="60" t="e">
        <f t="shared" si="24"/>
        <v>#DIV/0!</v>
      </c>
      <c r="AM18" s="46">
        <f t="shared" si="25"/>
        <v>0</v>
      </c>
      <c r="AN18" s="46">
        <f t="shared" si="6"/>
        <v>0</v>
      </c>
      <c r="AO18" s="46">
        <f t="shared" si="6"/>
        <v>0</v>
      </c>
      <c r="AP18" s="46">
        <f t="shared" si="6"/>
        <v>0</v>
      </c>
      <c r="AQ18" s="60" t="e">
        <f t="shared" si="26"/>
        <v>#DIV/0!</v>
      </c>
      <c r="AR18" s="60" t="e">
        <f t="shared" si="27"/>
        <v>#DIV/0!</v>
      </c>
      <c r="AT18" s="38"/>
      <c r="AU18" s="38"/>
      <c r="AV18" s="38"/>
      <c r="AW18" s="38"/>
      <c r="AY18" s="38"/>
      <c r="AZ18" s="38"/>
      <c r="BA18" s="38"/>
      <c r="BB18" s="38"/>
    </row>
    <row r="19" spans="1:58" x14ac:dyDescent="0.2">
      <c r="A19" s="45" t="str">
        <f>"501.01.10"</f>
        <v>501.01.10</v>
      </c>
      <c r="B19" s="45" t="s">
        <v>841</v>
      </c>
      <c r="C19" s="46">
        <f>CE_RegimeContributivo!B189</f>
        <v>0</v>
      </c>
      <c r="D19" s="46">
        <f>CE_RegimeContributivo!C189</f>
        <v>0</v>
      </c>
      <c r="E19" s="46">
        <f>CE_RegimeContributivo!E189</f>
        <v>0</v>
      </c>
      <c r="F19" s="46">
        <f>CE_RegimeContributivo!S189</f>
        <v>0</v>
      </c>
      <c r="G19" s="60" t="e">
        <f t="shared" si="8"/>
        <v>#DIV/0!</v>
      </c>
      <c r="H19" s="60" t="e">
        <f t="shared" si="9"/>
        <v>#DIV/0!</v>
      </c>
      <c r="I19" s="46">
        <f>CE_RegimeNaoContributivo!B189</f>
        <v>0</v>
      </c>
      <c r="J19" s="46">
        <f>CE_RegimeNaoContributivo!C189</f>
        <v>0</v>
      </c>
      <c r="K19" s="46">
        <f>CE_RegimeNaoContributivo!E189</f>
        <v>0</v>
      </c>
      <c r="L19" s="46">
        <f>CE_RegimeNaoContributivo!S189</f>
        <v>0</v>
      </c>
      <c r="M19" s="60" t="e">
        <f t="shared" si="11"/>
        <v>#DIV/0!</v>
      </c>
      <c r="N19" s="60" t="e">
        <f t="shared" si="12"/>
        <v>#DIV/0!</v>
      </c>
      <c r="O19" s="46">
        <f>CE_AdministraçãoINSS!B189</f>
        <v>0</v>
      </c>
      <c r="P19" s="46">
        <f>CE_AdministraçãoINSS!C189</f>
        <v>0</v>
      </c>
      <c r="Q19" s="46">
        <f>CE_AdministraçãoINSS!E189</f>
        <v>0</v>
      </c>
      <c r="R19" s="46">
        <f>CE_AdministraçãoINSS!S189</f>
        <v>0</v>
      </c>
      <c r="S19" s="60" t="e">
        <f t="shared" si="14"/>
        <v>#DIV/0!</v>
      </c>
      <c r="T19" s="60" t="e">
        <f t="shared" si="15"/>
        <v>#DIV/0!</v>
      </c>
      <c r="U19" s="46">
        <f t="shared" si="16"/>
        <v>0</v>
      </c>
      <c r="V19" s="46">
        <f t="shared" si="3"/>
        <v>0</v>
      </c>
      <c r="W19" s="46">
        <f t="shared" si="3"/>
        <v>0</v>
      </c>
      <c r="X19" s="46">
        <f t="shared" si="3"/>
        <v>0</v>
      </c>
      <c r="Y19" s="60" t="e">
        <f t="shared" si="17"/>
        <v>#DIV/0!</v>
      </c>
      <c r="Z19" s="60" t="e">
        <f t="shared" si="18"/>
        <v>#DIV/0!</v>
      </c>
      <c r="AA19" s="46">
        <f>CE_AdministraçãoFRSS!B189</f>
        <v>0</v>
      </c>
      <c r="AB19" s="46">
        <f>CE_AdministraçãoFRSS!C189</f>
        <v>0</v>
      </c>
      <c r="AC19" s="46">
        <f>CE_AdministraçãoFRSS!E189</f>
        <v>0</v>
      </c>
      <c r="AD19" s="46">
        <f>CE_AdministraçãoFRSS!S189</f>
        <v>0</v>
      </c>
      <c r="AE19" s="60" t="e">
        <f t="shared" si="20"/>
        <v>#DIV/0!</v>
      </c>
      <c r="AF19" s="60" t="e">
        <f t="shared" si="21"/>
        <v>#DIV/0!</v>
      </c>
      <c r="AG19" s="46">
        <f t="shared" si="22"/>
        <v>0</v>
      </c>
      <c r="AH19" s="46">
        <f t="shared" si="5"/>
        <v>0</v>
      </c>
      <c r="AI19" s="46">
        <f t="shared" si="5"/>
        <v>0</v>
      </c>
      <c r="AJ19" s="46">
        <f t="shared" si="5"/>
        <v>0</v>
      </c>
      <c r="AK19" s="60" t="e">
        <f t="shared" si="23"/>
        <v>#DIV/0!</v>
      </c>
      <c r="AL19" s="60" t="e">
        <f t="shared" si="24"/>
        <v>#DIV/0!</v>
      </c>
      <c r="AM19" s="46">
        <f t="shared" si="25"/>
        <v>0</v>
      </c>
      <c r="AN19" s="46">
        <f t="shared" si="6"/>
        <v>0</v>
      </c>
      <c r="AO19" s="46">
        <f t="shared" si="6"/>
        <v>0</v>
      </c>
      <c r="AP19" s="46">
        <f t="shared" si="6"/>
        <v>0</v>
      </c>
      <c r="AQ19" s="60" t="e">
        <f t="shared" si="26"/>
        <v>#DIV/0!</v>
      </c>
      <c r="AR19" s="60" t="e">
        <f t="shared" si="27"/>
        <v>#DIV/0!</v>
      </c>
      <c r="AT19" s="38"/>
      <c r="AU19" s="38"/>
      <c r="AV19" s="38"/>
      <c r="AW19" s="38"/>
      <c r="AY19" s="38"/>
      <c r="AZ19" s="38"/>
      <c r="BA19" s="38"/>
      <c r="BB19" s="38"/>
    </row>
    <row r="20" spans="1:58" x14ac:dyDescent="0.2">
      <c r="A20" s="45" t="str">
        <f>"501.01.11"</f>
        <v>501.01.11</v>
      </c>
      <c r="B20" s="45" t="s">
        <v>842</v>
      </c>
      <c r="C20" s="46">
        <f>CE_RegimeContributivo!B190</f>
        <v>0</v>
      </c>
      <c r="D20" s="46">
        <f>CE_RegimeContributivo!C190</f>
        <v>0</v>
      </c>
      <c r="E20" s="46">
        <f>CE_RegimeContributivo!E190</f>
        <v>0</v>
      </c>
      <c r="F20" s="46">
        <f>CE_RegimeContributivo!S190</f>
        <v>0</v>
      </c>
      <c r="G20" s="60" t="e">
        <f t="shared" si="8"/>
        <v>#DIV/0!</v>
      </c>
      <c r="H20" s="60" t="e">
        <f t="shared" si="9"/>
        <v>#DIV/0!</v>
      </c>
      <c r="I20" s="46">
        <f>CE_RegimeNaoContributivo!B190</f>
        <v>0</v>
      </c>
      <c r="J20" s="46">
        <f>CE_RegimeNaoContributivo!C190</f>
        <v>0</v>
      </c>
      <c r="K20" s="46">
        <f>CE_RegimeNaoContributivo!E190</f>
        <v>0</v>
      </c>
      <c r="L20" s="46">
        <f>CE_RegimeNaoContributivo!S190</f>
        <v>0</v>
      </c>
      <c r="M20" s="60" t="e">
        <f t="shared" si="11"/>
        <v>#DIV/0!</v>
      </c>
      <c r="N20" s="60" t="e">
        <f t="shared" si="12"/>
        <v>#DIV/0!</v>
      </c>
      <c r="O20" s="46">
        <f>CE_AdministraçãoINSS!B190</f>
        <v>127936</v>
      </c>
      <c r="P20" s="46">
        <f>CE_AdministraçãoINSS!C190</f>
        <v>127936</v>
      </c>
      <c r="Q20" s="46">
        <f>CE_AdministraçãoINSS!E190</f>
        <v>10400.44</v>
      </c>
      <c r="R20" s="46">
        <f>CE_AdministraçãoINSS!S190</f>
        <v>10400.44</v>
      </c>
      <c r="S20" s="60">
        <f t="shared" si="14"/>
        <v>8.1294084542271133E-2</v>
      </c>
      <c r="T20" s="60">
        <f t="shared" si="15"/>
        <v>8.1294084542271133E-2</v>
      </c>
      <c r="U20" s="46">
        <f t="shared" si="16"/>
        <v>127936</v>
      </c>
      <c r="V20" s="46">
        <f t="shared" si="3"/>
        <v>127936</v>
      </c>
      <c r="W20" s="46">
        <f t="shared" si="3"/>
        <v>10400.44</v>
      </c>
      <c r="X20" s="46">
        <f t="shared" si="3"/>
        <v>10400.44</v>
      </c>
      <c r="Y20" s="60">
        <f t="shared" si="17"/>
        <v>8.1294084542271133E-2</v>
      </c>
      <c r="Z20" s="60">
        <f t="shared" si="18"/>
        <v>8.1294084542271133E-2</v>
      </c>
      <c r="AA20" s="46">
        <f>CE_AdministraçãoFRSS!B190</f>
        <v>0</v>
      </c>
      <c r="AB20" s="46">
        <f>CE_AdministraçãoFRSS!C190</f>
        <v>0</v>
      </c>
      <c r="AC20" s="46">
        <f>CE_AdministraçãoFRSS!E190</f>
        <v>0</v>
      </c>
      <c r="AD20" s="46">
        <f>CE_AdministraçãoFRSS!S190</f>
        <v>0</v>
      </c>
      <c r="AE20" s="60" t="e">
        <f t="shared" si="20"/>
        <v>#DIV/0!</v>
      </c>
      <c r="AF20" s="60" t="e">
        <f t="shared" si="21"/>
        <v>#DIV/0!</v>
      </c>
      <c r="AG20" s="46">
        <f t="shared" si="22"/>
        <v>0</v>
      </c>
      <c r="AH20" s="46">
        <f t="shared" si="5"/>
        <v>0</v>
      </c>
      <c r="AI20" s="46">
        <f t="shared" si="5"/>
        <v>0</v>
      </c>
      <c r="AJ20" s="46">
        <f t="shared" si="5"/>
        <v>0</v>
      </c>
      <c r="AK20" s="60" t="e">
        <f t="shared" si="23"/>
        <v>#DIV/0!</v>
      </c>
      <c r="AL20" s="60" t="e">
        <f t="shared" si="24"/>
        <v>#DIV/0!</v>
      </c>
      <c r="AM20" s="46">
        <f t="shared" si="25"/>
        <v>127936</v>
      </c>
      <c r="AN20" s="46">
        <f t="shared" si="6"/>
        <v>127936</v>
      </c>
      <c r="AO20" s="46">
        <f t="shared" si="6"/>
        <v>10400.44</v>
      </c>
      <c r="AP20" s="46">
        <f t="shared" si="6"/>
        <v>10400.44</v>
      </c>
      <c r="AQ20" s="60">
        <f t="shared" si="26"/>
        <v>8.1294084542271133E-2</v>
      </c>
      <c r="AR20" s="60">
        <f t="shared" si="27"/>
        <v>8.1294084542271133E-2</v>
      </c>
      <c r="AT20" s="38"/>
      <c r="AU20" s="38"/>
      <c r="AV20" s="38"/>
      <c r="AW20" s="38"/>
      <c r="AY20" s="38"/>
      <c r="AZ20" s="38"/>
      <c r="BA20" s="38"/>
      <c r="BB20" s="38"/>
    </row>
    <row r="21" spans="1:58" x14ac:dyDescent="0.2">
      <c r="A21" s="45" t="str">
        <f>"501.01.12"</f>
        <v>501.01.12</v>
      </c>
      <c r="B21" s="45" t="s">
        <v>843</v>
      </c>
      <c r="C21" s="46">
        <f>CE_RegimeContributivo!B191</f>
        <v>0</v>
      </c>
      <c r="D21" s="46">
        <f>CE_RegimeContributivo!C191</f>
        <v>0</v>
      </c>
      <c r="E21" s="46">
        <f>CE_RegimeContributivo!E191</f>
        <v>0</v>
      </c>
      <c r="F21" s="46">
        <f>CE_RegimeContributivo!S191</f>
        <v>0</v>
      </c>
      <c r="G21" s="60" t="e">
        <f t="shared" si="8"/>
        <v>#DIV/0!</v>
      </c>
      <c r="H21" s="60" t="e">
        <f t="shared" si="9"/>
        <v>#DIV/0!</v>
      </c>
      <c r="I21" s="46">
        <f>CE_RegimeNaoContributivo!B191</f>
        <v>0</v>
      </c>
      <c r="J21" s="46">
        <f>CE_RegimeNaoContributivo!C191</f>
        <v>0</v>
      </c>
      <c r="K21" s="46">
        <f>CE_RegimeNaoContributivo!E191</f>
        <v>0</v>
      </c>
      <c r="L21" s="46">
        <f>CE_RegimeNaoContributivo!S191</f>
        <v>0</v>
      </c>
      <c r="M21" s="60" t="e">
        <f t="shared" si="11"/>
        <v>#DIV/0!</v>
      </c>
      <c r="N21" s="60" t="e">
        <f t="shared" si="12"/>
        <v>#DIV/0!</v>
      </c>
      <c r="O21" s="46">
        <f>CE_AdministraçãoINSS!B191</f>
        <v>0</v>
      </c>
      <c r="P21" s="46">
        <f>CE_AdministraçãoINSS!C191</f>
        <v>0</v>
      </c>
      <c r="Q21" s="46">
        <f>CE_AdministraçãoINSS!E191</f>
        <v>0</v>
      </c>
      <c r="R21" s="46">
        <f>CE_AdministraçãoINSS!S191</f>
        <v>0</v>
      </c>
      <c r="S21" s="60" t="e">
        <f t="shared" si="14"/>
        <v>#DIV/0!</v>
      </c>
      <c r="T21" s="60" t="e">
        <f t="shared" si="15"/>
        <v>#DIV/0!</v>
      </c>
      <c r="U21" s="46">
        <f t="shared" si="16"/>
        <v>0</v>
      </c>
      <c r="V21" s="46">
        <f t="shared" si="3"/>
        <v>0</v>
      </c>
      <c r="W21" s="46">
        <f t="shared" si="3"/>
        <v>0</v>
      </c>
      <c r="X21" s="46">
        <f t="shared" si="3"/>
        <v>0</v>
      </c>
      <c r="Y21" s="60" t="e">
        <f t="shared" si="17"/>
        <v>#DIV/0!</v>
      </c>
      <c r="Z21" s="60" t="e">
        <f t="shared" si="18"/>
        <v>#DIV/0!</v>
      </c>
      <c r="AA21" s="46">
        <f>CE_AdministraçãoFRSS!B191</f>
        <v>0</v>
      </c>
      <c r="AB21" s="46">
        <f>CE_AdministraçãoFRSS!C191</f>
        <v>0</v>
      </c>
      <c r="AC21" s="46">
        <f>CE_AdministraçãoFRSS!E191</f>
        <v>0</v>
      </c>
      <c r="AD21" s="46">
        <f>CE_AdministraçãoFRSS!S191</f>
        <v>0</v>
      </c>
      <c r="AE21" s="60" t="e">
        <f t="shared" si="20"/>
        <v>#DIV/0!</v>
      </c>
      <c r="AF21" s="60" t="e">
        <f t="shared" si="21"/>
        <v>#DIV/0!</v>
      </c>
      <c r="AG21" s="46">
        <f t="shared" si="22"/>
        <v>0</v>
      </c>
      <c r="AH21" s="46">
        <f t="shared" si="5"/>
        <v>0</v>
      </c>
      <c r="AI21" s="46">
        <f t="shared" si="5"/>
        <v>0</v>
      </c>
      <c r="AJ21" s="46">
        <f t="shared" si="5"/>
        <v>0</v>
      </c>
      <c r="AK21" s="60" t="e">
        <f t="shared" si="23"/>
        <v>#DIV/0!</v>
      </c>
      <c r="AL21" s="60" t="e">
        <f t="shared" si="24"/>
        <v>#DIV/0!</v>
      </c>
      <c r="AM21" s="46">
        <f t="shared" si="25"/>
        <v>0</v>
      </c>
      <c r="AN21" s="46">
        <f t="shared" si="6"/>
        <v>0</v>
      </c>
      <c r="AO21" s="46">
        <f t="shared" si="6"/>
        <v>0</v>
      </c>
      <c r="AP21" s="46">
        <f t="shared" si="6"/>
        <v>0</v>
      </c>
      <c r="AQ21" s="60" t="e">
        <f t="shared" si="26"/>
        <v>#DIV/0!</v>
      </c>
      <c r="AR21" s="60" t="e">
        <f t="shared" si="27"/>
        <v>#DIV/0!</v>
      </c>
      <c r="AT21" s="38"/>
      <c r="AU21" s="38"/>
      <c r="AV21" s="38"/>
      <c r="AW21" s="38"/>
      <c r="AY21" s="38"/>
      <c r="AZ21" s="38"/>
      <c r="BA21" s="38"/>
      <c r="BB21" s="38"/>
    </row>
    <row r="22" spans="1:58" s="44" customFormat="1" x14ac:dyDescent="0.2">
      <c r="A22" s="41" t="str">
        <f>"501.02"</f>
        <v>501.02</v>
      </c>
      <c r="B22" s="42" t="s">
        <v>124</v>
      </c>
      <c r="C22" s="43">
        <f>SUM(C23:C31)</f>
        <v>0</v>
      </c>
      <c r="D22" s="43">
        <f>SUM(D23:D31)</f>
        <v>0</v>
      </c>
      <c r="E22" s="43">
        <f>SUM(E23:E31)</f>
        <v>0</v>
      </c>
      <c r="F22" s="43">
        <f t="shared" ref="F22" si="28">SUM(F23:F31)</f>
        <v>0</v>
      </c>
      <c r="G22" s="59" t="e">
        <f t="shared" si="8"/>
        <v>#DIV/0!</v>
      </c>
      <c r="H22" s="59" t="e">
        <f t="shared" si="9"/>
        <v>#DIV/0!</v>
      </c>
      <c r="I22" s="43">
        <f>SUM(I23:I31)</f>
        <v>0</v>
      </c>
      <c r="J22" s="43">
        <f>SUM(J23:J31)</f>
        <v>0</v>
      </c>
      <c r="K22" s="43">
        <f t="shared" ref="K22:L22" si="29">SUM(K23:K31)</f>
        <v>0</v>
      </c>
      <c r="L22" s="43">
        <f t="shared" si="29"/>
        <v>0</v>
      </c>
      <c r="M22" s="59" t="e">
        <f t="shared" si="11"/>
        <v>#DIV/0!</v>
      </c>
      <c r="N22" s="59" t="e">
        <f t="shared" si="12"/>
        <v>#DIV/0!</v>
      </c>
      <c r="O22" s="43">
        <f>SUM(O23:O31)</f>
        <v>55400</v>
      </c>
      <c r="P22" s="43">
        <f>SUM(P23:P31)</f>
        <v>52500</v>
      </c>
      <c r="Q22" s="43">
        <f t="shared" ref="Q22:R22" si="30">SUM(Q23:Q31)</f>
        <v>31238.58</v>
      </c>
      <c r="R22" s="43">
        <f t="shared" si="30"/>
        <v>31238.58</v>
      </c>
      <c r="S22" s="59">
        <f t="shared" si="14"/>
        <v>0.59502057142857145</v>
      </c>
      <c r="T22" s="59">
        <f t="shared" si="15"/>
        <v>0.59502057142857145</v>
      </c>
      <c r="U22" s="43">
        <f t="shared" si="16"/>
        <v>55400</v>
      </c>
      <c r="V22" s="43">
        <f t="shared" si="3"/>
        <v>52500</v>
      </c>
      <c r="W22" s="43">
        <f t="shared" si="3"/>
        <v>31238.58</v>
      </c>
      <c r="X22" s="43">
        <f t="shared" si="3"/>
        <v>31238.58</v>
      </c>
      <c r="Y22" s="59">
        <f t="shared" si="17"/>
        <v>0.59502057142857145</v>
      </c>
      <c r="Z22" s="59">
        <f t="shared" si="18"/>
        <v>0.59502057142857145</v>
      </c>
      <c r="AA22" s="43">
        <f>SUM(AA23:AA31)</f>
        <v>0</v>
      </c>
      <c r="AB22" s="43">
        <f>SUM(AB23:AB31)</f>
        <v>0</v>
      </c>
      <c r="AC22" s="43">
        <f t="shared" ref="AC22:AD22" si="31">SUM(AC23:AC31)</f>
        <v>0</v>
      </c>
      <c r="AD22" s="43">
        <f t="shared" si="31"/>
        <v>0</v>
      </c>
      <c r="AE22" s="59" t="e">
        <f t="shared" si="20"/>
        <v>#DIV/0!</v>
      </c>
      <c r="AF22" s="59" t="e">
        <f t="shared" si="21"/>
        <v>#DIV/0!</v>
      </c>
      <c r="AG22" s="43">
        <f t="shared" si="22"/>
        <v>0</v>
      </c>
      <c r="AH22" s="43">
        <f t="shared" si="5"/>
        <v>0</v>
      </c>
      <c r="AI22" s="43">
        <f t="shared" si="5"/>
        <v>0</v>
      </c>
      <c r="AJ22" s="43">
        <f t="shared" si="5"/>
        <v>0</v>
      </c>
      <c r="AK22" s="59" t="e">
        <f t="shared" si="23"/>
        <v>#DIV/0!</v>
      </c>
      <c r="AL22" s="59" t="e">
        <f t="shared" si="24"/>
        <v>#DIV/0!</v>
      </c>
      <c r="AM22" s="43">
        <f t="shared" si="25"/>
        <v>55400</v>
      </c>
      <c r="AN22" s="43">
        <f t="shared" si="6"/>
        <v>52500</v>
      </c>
      <c r="AO22" s="43">
        <f t="shared" si="6"/>
        <v>31238.58</v>
      </c>
      <c r="AP22" s="43">
        <f t="shared" si="6"/>
        <v>31238.58</v>
      </c>
      <c r="AQ22" s="59">
        <f t="shared" si="26"/>
        <v>0.59502057142857145</v>
      </c>
      <c r="AR22" s="59">
        <f t="shared" si="27"/>
        <v>0.59502057142857145</v>
      </c>
      <c r="AT22" s="38"/>
      <c r="AU22" s="38"/>
      <c r="AV22" s="38"/>
      <c r="AW22" s="38"/>
      <c r="AY22" s="38"/>
      <c r="AZ22" s="38"/>
      <c r="BA22" s="38"/>
      <c r="BB22" s="38"/>
      <c r="BC22" s="36"/>
      <c r="BD22" s="36"/>
      <c r="BE22" s="36"/>
      <c r="BF22" s="36"/>
    </row>
    <row r="23" spans="1:58" x14ac:dyDescent="0.2">
      <c r="A23" s="45" t="str">
        <f>"501.02.01"</f>
        <v>501.02.01</v>
      </c>
      <c r="B23" s="45" t="s">
        <v>844</v>
      </c>
      <c r="C23" s="46">
        <f>CE_RegimeContributivo!B193</f>
        <v>0</v>
      </c>
      <c r="D23" s="46">
        <f>CE_RegimeContributivo!C193</f>
        <v>0</v>
      </c>
      <c r="E23" s="46">
        <f>CE_RegimeContributivo!E193</f>
        <v>0</v>
      </c>
      <c r="F23" s="46">
        <f>CE_RegimeContributivo!S193</f>
        <v>0</v>
      </c>
      <c r="G23" s="60" t="e">
        <f t="shared" si="8"/>
        <v>#DIV/0!</v>
      </c>
      <c r="H23" s="60" t="e">
        <f t="shared" si="9"/>
        <v>#DIV/0!</v>
      </c>
      <c r="I23" s="46">
        <f>CE_RegimeNaoContributivo!B193</f>
        <v>0</v>
      </c>
      <c r="J23" s="46">
        <f>CE_RegimeNaoContributivo!C193</f>
        <v>0</v>
      </c>
      <c r="K23" s="46">
        <f>CE_RegimeNaoContributivo!E193</f>
        <v>0</v>
      </c>
      <c r="L23" s="46">
        <f>CE_RegimeNaoContributivo!S193</f>
        <v>0</v>
      </c>
      <c r="M23" s="60" t="e">
        <f t="shared" si="11"/>
        <v>#DIV/0!</v>
      </c>
      <c r="N23" s="60" t="e">
        <f t="shared" si="12"/>
        <v>#DIV/0!</v>
      </c>
      <c r="O23" s="46">
        <f>CE_AdministraçãoINSS!B193</f>
        <v>0</v>
      </c>
      <c r="P23" s="46">
        <f>CE_AdministraçãoINSS!C193</f>
        <v>0</v>
      </c>
      <c r="Q23" s="46">
        <f>CE_AdministraçãoINSS!E193</f>
        <v>0</v>
      </c>
      <c r="R23" s="46">
        <f>CE_AdministraçãoINSS!S193</f>
        <v>0</v>
      </c>
      <c r="S23" s="60" t="e">
        <f t="shared" si="14"/>
        <v>#DIV/0!</v>
      </c>
      <c r="T23" s="60" t="e">
        <f t="shared" si="15"/>
        <v>#DIV/0!</v>
      </c>
      <c r="U23" s="46">
        <f t="shared" si="16"/>
        <v>0</v>
      </c>
      <c r="V23" s="46">
        <f t="shared" si="3"/>
        <v>0</v>
      </c>
      <c r="W23" s="46">
        <f t="shared" si="3"/>
        <v>0</v>
      </c>
      <c r="X23" s="46">
        <f t="shared" si="3"/>
        <v>0</v>
      </c>
      <c r="Y23" s="60" t="e">
        <f t="shared" si="17"/>
        <v>#DIV/0!</v>
      </c>
      <c r="Z23" s="60" t="e">
        <f t="shared" si="18"/>
        <v>#DIV/0!</v>
      </c>
      <c r="AA23" s="46">
        <f>CE_AdministraçãoFRSS!B193</f>
        <v>0</v>
      </c>
      <c r="AB23" s="46">
        <f>CE_AdministraçãoFRSS!C193</f>
        <v>0</v>
      </c>
      <c r="AC23" s="46">
        <f>CE_AdministraçãoFRSS!E193</f>
        <v>0</v>
      </c>
      <c r="AD23" s="46">
        <f>CE_AdministraçãoFRSS!S193</f>
        <v>0</v>
      </c>
      <c r="AE23" s="60" t="e">
        <f t="shared" si="20"/>
        <v>#DIV/0!</v>
      </c>
      <c r="AF23" s="60" t="e">
        <f t="shared" si="21"/>
        <v>#DIV/0!</v>
      </c>
      <c r="AG23" s="46">
        <f t="shared" si="22"/>
        <v>0</v>
      </c>
      <c r="AH23" s="46">
        <f t="shared" si="5"/>
        <v>0</v>
      </c>
      <c r="AI23" s="46">
        <f t="shared" si="5"/>
        <v>0</v>
      </c>
      <c r="AJ23" s="46">
        <f t="shared" si="5"/>
        <v>0</v>
      </c>
      <c r="AK23" s="60" t="e">
        <f t="shared" si="23"/>
        <v>#DIV/0!</v>
      </c>
      <c r="AL23" s="60" t="e">
        <f t="shared" si="24"/>
        <v>#DIV/0!</v>
      </c>
      <c r="AM23" s="46">
        <f t="shared" si="25"/>
        <v>0</v>
      </c>
      <c r="AN23" s="46">
        <f t="shared" si="6"/>
        <v>0</v>
      </c>
      <c r="AO23" s="46">
        <f t="shared" si="6"/>
        <v>0</v>
      </c>
      <c r="AP23" s="46">
        <f t="shared" si="6"/>
        <v>0</v>
      </c>
      <c r="AQ23" s="60" t="e">
        <f t="shared" si="26"/>
        <v>#DIV/0!</v>
      </c>
      <c r="AR23" s="60" t="e">
        <f t="shared" si="27"/>
        <v>#DIV/0!</v>
      </c>
      <c r="AT23" s="38"/>
      <c r="AU23" s="38"/>
      <c r="AV23" s="38"/>
      <c r="AW23" s="38"/>
      <c r="AY23" s="38"/>
      <c r="AZ23" s="38"/>
      <c r="BA23" s="38"/>
      <c r="BB23" s="38"/>
    </row>
    <row r="24" spans="1:58" x14ac:dyDescent="0.2">
      <c r="A24" s="45" t="str">
        <f>"501.02.02"</f>
        <v>501.02.02</v>
      </c>
      <c r="B24" s="45" t="s">
        <v>845</v>
      </c>
      <c r="C24" s="46">
        <f>CE_RegimeContributivo!B194</f>
        <v>0</v>
      </c>
      <c r="D24" s="46">
        <f>CE_RegimeContributivo!C194</f>
        <v>0</v>
      </c>
      <c r="E24" s="46">
        <f>CE_RegimeContributivo!E194</f>
        <v>0</v>
      </c>
      <c r="F24" s="46">
        <f>CE_RegimeContributivo!S194</f>
        <v>0</v>
      </c>
      <c r="G24" s="60" t="e">
        <f t="shared" si="8"/>
        <v>#DIV/0!</v>
      </c>
      <c r="H24" s="60" t="e">
        <f t="shared" si="9"/>
        <v>#DIV/0!</v>
      </c>
      <c r="I24" s="46">
        <f>CE_RegimeNaoContributivo!B194</f>
        <v>0</v>
      </c>
      <c r="J24" s="46">
        <f>CE_RegimeNaoContributivo!C194</f>
        <v>0</v>
      </c>
      <c r="K24" s="46">
        <f>CE_RegimeNaoContributivo!E194</f>
        <v>0</v>
      </c>
      <c r="L24" s="46">
        <f>CE_RegimeNaoContributivo!S194</f>
        <v>0</v>
      </c>
      <c r="M24" s="60" t="e">
        <f t="shared" si="11"/>
        <v>#DIV/0!</v>
      </c>
      <c r="N24" s="60" t="e">
        <f t="shared" si="12"/>
        <v>#DIV/0!</v>
      </c>
      <c r="O24" s="46">
        <f>CE_AdministraçãoINSS!B194</f>
        <v>42300</v>
      </c>
      <c r="P24" s="46">
        <f>CE_AdministraçãoINSS!C194</f>
        <v>39400</v>
      </c>
      <c r="Q24" s="46">
        <f>CE_AdministraçãoINSS!E194</f>
        <v>28138.58</v>
      </c>
      <c r="R24" s="46">
        <f>CE_AdministraçãoINSS!S194</f>
        <v>28138.58</v>
      </c>
      <c r="S24" s="60">
        <f t="shared" si="14"/>
        <v>0.7141771573604061</v>
      </c>
      <c r="T24" s="60">
        <f t="shared" si="15"/>
        <v>0.7141771573604061</v>
      </c>
      <c r="U24" s="46">
        <f t="shared" si="16"/>
        <v>42300</v>
      </c>
      <c r="V24" s="46">
        <f t="shared" si="16"/>
        <v>39400</v>
      </c>
      <c r="W24" s="46">
        <f t="shared" si="16"/>
        <v>28138.58</v>
      </c>
      <c r="X24" s="46">
        <f t="shared" si="16"/>
        <v>28138.58</v>
      </c>
      <c r="Y24" s="60">
        <f t="shared" si="17"/>
        <v>0.7141771573604061</v>
      </c>
      <c r="Z24" s="60">
        <f t="shared" si="18"/>
        <v>0.7141771573604061</v>
      </c>
      <c r="AA24" s="46">
        <f>CE_AdministraçãoFRSS!B194</f>
        <v>0</v>
      </c>
      <c r="AB24" s="46">
        <f>CE_AdministraçãoFRSS!C194</f>
        <v>0</v>
      </c>
      <c r="AC24" s="46">
        <f>CE_AdministraçãoFRSS!E194</f>
        <v>0</v>
      </c>
      <c r="AD24" s="46">
        <f>CE_AdministraçãoFRSS!S194</f>
        <v>0</v>
      </c>
      <c r="AE24" s="60" t="e">
        <f t="shared" si="20"/>
        <v>#DIV/0!</v>
      </c>
      <c r="AF24" s="60" t="e">
        <f t="shared" si="21"/>
        <v>#DIV/0!</v>
      </c>
      <c r="AG24" s="46">
        <f t="shared" si="22"/>
        <v>0</v>
      </c>
      <c r="AH24" s="46">
        <f t="shared" si="22"/>
        <v>0</v>
      </c>
      <c r="AI24" s="46">
        <f t="shared" si="22"/>
        <v>0</v>
      </c>
      <c r="AJ24" s="46">
        <f t="shared" si="22"/>
        <v>0</v>
      </c>
      <c r="AK24" s="60" t="e">
        <f t="shared" si="23"/>
        <v>#DIV/0!</v>
      </c>
      <c r="AL24" s="60" t="e">
        <f t="shared" si="24"/>
        <v>#DIV/0!</v>
      </c>
      <c r="AM24" s="46">
        <f t="shared" si="25"/>
        <v>42300</v>
      </c>
      <c r="AN24" s="46">
        <f t="shared" si="25"/>
        <v>39400</v>
      </c>
      <c r="AO24" s="46">
        <f t="shared" si="25"/>
        <v>28138.58</v>
      </c>
      <c r="AP24" s="46">
        <f t="shared" si="25"/>
        <v>28138.58</v>
      </c>
      <c r="AQ24" s="60">
        <f t="shared" si="26"/>
        <v>0.7141771573604061</v>
      </c>
      <c r="AR24" s="60">
        <f t="shared" si="27"/>
        <v>0.7141771573604061</v>
      </c>
      <c r="AT24" s="38"/>
      <c r="AU24" s="38"/>
      <c r="AV24" s="38"/>
      <c r="AW24" s="38"/>
      <c r="AY24" s="38"/>
      <c r="AZ24" s="38"/>
      <c r="BA24" s="38"/>
      <c r="BB24" s="38"/>
    </row>
    <row r="25" spans="1:58" x14ac:dyDescent="0.2">
      <c r="A25" s="45" t="str">
        <f>"501.02.03"</f>
        <v>501.02.03</v>
      </c>
      <c r="B25" s="45" t="s">
        <v>846</v>
      </c>
      <c r="C25" s="46">
        <f>CE_RegimeContributivo!B195</f>
        <v>0</v>
      </c>
      <c r="D25" s="46">
        <f>CE_RegimeContributivo!C195</f>
        <v>0</v>
      </c>
      <c r="E25" s="46">
        <f>CE_RegimeContributivo!E195</f>
        <v>0</v>
      </c>
      <c r="F25" s="46">
        <f>CE_RegimeContributivo!S195</f>
        <v>0</v>
      </c>
      <c r="G25" s="60" t="e">
        <f t="shared" si="8"/>
        <v>#DIV/0!</v>
      </c>
      <c r="H25" s="60" t="e">
        <f t="shared" si="9"/>
        <v>#DIV/0!</v>
      </c>
      <c r="I25" s="46">
        <f>CE_RegimeNaoContributivo!B195</f>
        <v>0</v>
      </c>
      <c r="J25" s="46">
        <f>CE_RegimeNaoContributivo!C195</f>
        <v>0</v>
      </c>
      <c r="K25" s="46">
        <f>CE_RegimeNaoContributivo!E195</f>
        <v>0</v>
      </c>
      <c r="L25" s="46">
        <f>CE_RegimeNaoContributivo!S195</f>
        <v>0</v>
      </c>
      <c r="M25" s="60" t="e">
        <f t="shared" si="11"/>
        <v>#DIV/0!</v>
      </c>
      <c r="N25" s="60" t="e">
        <f t="shared" si="12"/>
        <v>#DIV/0!</v>
      </c>
      <c r="O25" s="46">
        <f>CE_AdministraçãoINSS!B195</f>
        <v>0</v>
      </c>
      <c r="P25" s="46">
        <f>CE_AdministraçãoINSS!C195</f>
        <v>0</v>
      </c>
      <c r="Q25" s="46">
        <f>CE_AdministraçãoINSS!E195</f>
        <v>0</v>
      </c>
      <c r="R25" s="46">
        <f>CE_AdministraçãoINSS!S195</f>
        <v>0</v>
      </c>
      <c r="S25" s="60" t="e">
        <f t="shared" si="14"/>
        <v>#DIV/0!</v>
      </c>
      <c r="T25" s="60" t="e">
        <f t="shared" si="15"/>
        <v>#DIV/0!</v>
      </c>
      <c r="U25" s="46">
        <f t="shared" si="16"/>
        <v>0</v>
      </c>
      <c r="V25" s="46">
        <f t="shared" si="16"/>
        <v>0</v>
      </c>
      <c r="W25" s="46">
        <f t="shared" si="16"/>
        <v>0</v>
      </c>
      <c r="X25" s="46">
        <f t="shared" si="16"/>
        <v>0</v>
      </c>
      <c r="Y25" s="60" t="e">
        <f t="shared" si="17"/>
        <v>#DIV/0!</v>
      </c>
      <c r="Z25" s="60" t="e">
        <f t="shared" si="18"/>
        <v>#DIV/0!</v>
      </c>
      <c r="AA25" s="46">
        <f>CE_AdministraçãoFRSS!B195</f>
        <v>0</v>
      </c>
      <c r="AB25" s="46">
        <f>CE_AdministraçãoFRSS!C195</f>
        <v>0</v>
      </c>
      <c r="AC25" s="46">
        <f>CE_AdministraçãoFRSS!E195</f>
        <v>0</v>
      </c>
      <c r="AD25" s="46">
        <f>CE_AdministraçãoFRSS!S195</f>
        <v>0</v>
      </c>
      <c r="AE25" s="60" t="e">
        <f t="shared" si="20"/>
        <v>#DIV/0!</v>
      </c>
      <c r="AF25" s="60" t="e">
        <f t="shared" si="21"/>
        <v>#DIV/0!</v>
      </c>
      <c r="AG25" s="46">
        <f t="shared" si="22"/>
        <v>0</v>
      </c>
      <c r="AH25" s="46">
        <f t="shared" si="22"/>
        <v>0</v>
      </c>
      <c r="AI25" s="46">
        <f t="shared" si="22"/>
        <v>0</v>
      </c>
      <c r="AJ25" s="46">
        <f t="shared" si="22"/>
        <v>0</v>
      </c>
      <c r="AK25" s="60" t="e">
        <f t="shared" si="23"/>
        <v>#DIV/0!</v>
      </c>
      <c r="AL25" s="60" t="e">
        <f t="shared" si="24"/>
        <v>#DIV/0!</v>
      </c>
      <c r="AM25" s="46">
        <f t="shared" si="25"/>
        <v>0</v>
      </c>
      <c r="AN25" s="46">
        <f t="shared" si="25"/>
        <v>0</v>
      </c>
      <c r="AO25" s="46">
        <f t="shared" si="25"/>
        <v>0</v>
      </c>
      <c r="AP25" s="46">
        <f t="shared" si="25"/>
        <v>0</v>
      </c>
      <c r="AQ25" s="60" t="e">
        <f t="shared" si="26"/>
        <v>#DIV/0!</v>
      </c>
      <c r="AR25" s="60" t="e">
        <f t="shared" si="27"/>
        <v>#DIV/0!</v>
      </c>
      <c r="AT25" s="38"/>
      <c r="AU25" s="38"/>
      <c r="AV25" s="38"/>
      <c r="AW25" s="38"/>
      <c r="AY25" s="38"/>
      <c r="AZ25" s="38"/>
      <c r="BA25" s="38"/>
      <c r="BB25" s="38"/>
    </row>
    <row r="26" spans="1:58" x14ac:dyDescent="0.2">
      <c r="A26" s="45" t="str">
        <f>"501.02.04"</f>
        <v>501.02.04</v>
      </c>
      <c r="B26" s="45" t="s">
        <v>847</v>
      </c>
      <c r="C26" s="46">
        <f>CE_RegimeContributivo!B196</f>
        <v>0</v>
      </c>
      <c r="D26" s="46">
        <f>CE_RegimeContributivo!C196</f>
        <v>0</v>
      </c>
      <c r="E26" s="46">
        <f>CE_RegimeContributivo!E196</f>
        <v>0</v>
      </c>
      <c r="F26" s="46">
        <f>CE_RegimeContributivo!S196</f>
        <v>0</v>
      </c>
      <c r="G26" s="60" t="e">
        <f t="shared" si="8"/>
        <v>#DIV/0!</v>
      </c>
      <c r="H26" s="60" t="e">
        <f t="shared" si="9"/>
        <v>#DIV/0!</v>
      </c>
      <c r="I26" s="46">
        <f>CE_RegimeNaoContributivo!B196</f>
        <v>0</v>
      </c>
      <c r="J26" s="46">
        <f>CE_RegimeNaoContributivo!C196</f>
        <v>0</v>
      </c>
      <c r="K26" s="46">
        <f>CE_RegimeNaoContributivo!E196</f>
        <v>0</v>
      </c>
      <c r="L26" s="46">
        <f>CE_RegimeNaoContributivo!S196</f>
        <v>0</v>
      </c>
      <c r="M26" s="60" t="e">
        <f t="shared" si="11"/>
        <v>#DIV/0!</v>
      </c>
      <c r="N26" s="60" t="e">
        <f t="shared" si="12"/>
        <v>#DIV/0!</v>
      </c>
      <c r="O26" s="46">
        <f>CE_AdministraçãoINSS!B196</f>
        <v>0</v>
      </c>
      <c r="P26" s="46">
        <f>CE_AdministraçãoINSS!C196</f>
        <v>0</v>
      </c>
      <c r="Q26" s="46">
        <f>CE_AdministraçãoINSS!E196</f>
        <v>0</v>
      </c>
      <c r="R26" s="46">
        <f>CE_AdministraçãoINSS!S196</f>
        <v>0</v>
      </c>
      <c r="S26" s="60" t="e">
        <f t="shared" si="14"/>
        <v>#DIV/0!</v>
      </c>
      <c r="T26" s="60" t="e">
        <f t="shared" si="15"/>
        <v>#DIV/0!</v>
      </c>
      <c r="U26" s="46">
        <f t="shared" si="16"/>
        <v>0</v>
      </c>
      <c r="V26" s="46">
        <f t="shared" si="16"/>
        <v>0</v>
      </c>
      <c r="W26" s="46">
        <f t="shared" si="16"/>
        <v>0</v>
      </c>
      <c r="X26" s="46">
        <f t="shared" si="16"/>
        <v>0</v>
      </c>
      <c r="Y26" s="60" t="e">
        <f t="shared" si="17"/>
        <v>#DIV/0!</v>
      </c>
      <c r="Z26" s="60" t="e">
        <f t="shared" si="18"/>
        <v>#DIV/0!</v>
      </c>
      <c r="AA26" s="46">
        <f>CE_AdministraçãoFRSS!B196</f>
        <v>0</v>
      </c>
      <c r="AB26" s="46">
        <f>CE_AdministraçãoFRSS!C196</f>
        <v>0</v>
      </c>
      <c r="AC26" s="46">
        <f>CE_AdministraçãoFRSS!E196</f>
        <v>0</v>
      </c>
      <c r="AD26" s="46">
        <f>CE_AdministraçãoFRSS!S196</f>
        <v>0</v>
      </c>
      <c r="AE26" s="60" t="e">
        <f t="shared" si="20"/>
        <v>#DIV/0!</v>
      </c>
      <c r="AF26" s="60" t="e">
        <f t="shared" si="21"/>
        <v>#DIV/0!</v>
      </c>
      <c r="AG26" s="46">
        <f t="shared" si="22"/>
        <v>0</v>
      </c>
      <c r="AH26" s="46">
        <f t="shared" si="22"/>
        <v>0</v>
      </c>
      <c r="AI26" s="46">
        <f t="shared" si="22"/>
        <v>0</v>
      </c>
      <c r="AJ26" s="46">
        <f t="shared" si="22"/>
        <v>0</v>
      </c>
      <c r="AK26" s="60" t="e">
        <f t="shared" si="23"/>
        <v>#DIV/0!</v>
      </c>
      <c r="AL26" s="60" t="e">
        <f t="shared" si="24"/>
        <v>#DIV/0!</v>
      </c>
      <c r="AM26" s="46">
        <f t="shared" si="25"/>
        <v>0</v>
      </c>
      <c r="AN26" s="46">
        <f t="shared" si="25"/>
        <v>0</v>
      </c>
      <c r="AO26" s="46">
        <f t="shared" si="25"/>
        <v>0</v>
      </c>
      <c r="AP26" s="46">
        <f t="shared" si="25"/>
        <v>0</v>
      </c>
      <c r="AQ26" s="60" t="e">
        <f t="shared" si="26"/>
        <v>#DIV/0!</v>
      </c>
      <c r="AR26" s="60" t="e">
        <f t="shared" si="27"/>
        <v>#DIV/0!</v>
      </c>
      <c r="AT26" s="38"/>
      <c r="AU26" s="38"/>
      <c r="AV26" s="38"/>
      <c r="AW26" s="38"/>
      <c r="AY26" s="38"/>
      <c r="AZ26" s="38"/>
      <c r="BA26" s="38"/>
      <c r="BB26" s="38"/>
    </row>
    <row r="27" spans="1:58" x14ac:dyDescent="0.2">
      <c r="A27" s="45" t="str">
        <f>"501.02.05"</f>
        <v>501.02.05</v>
      </c>
      <c r="B27" s="45" t="s">
        <v>848</v>
      </c>
      <c r="C27" s="46">
        <f>CE_RegimeContributivo!B197</f>
        <v>0</v>
      </c>
      <c r="D27" s="46">
        <f>CE_RegimeContributivo!C197</f>
        <v>0</v>
      </c>
      <c r="E27" s="46">
        <f>CE_RegimeContributivo!E197</f>
        <v>0</v>
      </c>
      <c r="F27" s="46">
        <f>CE_RegimeContributivo!S197</f>
        <v>0</v>
      </c>
      <c r="G27" s="60" t="e">
        <f t="shared" si="8"/>
        <v>#DIV/0!</v>
      </c>
      <c r="H27" s="60" t="e">
        <f t="shared" si="9"/>
        <v>#DIV/0!</v>
      </c>
      <c r="I27" s="46">
        <f>CE_RegimeNaoContributivo!B197</f>
        <v>0</v>
      </c>
      <c r="J27" s="46">
        <f>CE_RegimeNaoContributivo!C197</f>
        <v>0</v>
      </c>
      <c r="K27" s="46">
        <f>CE_RegimeNaoContributivo!E197</f>
        <v>0</v>
      </c>
      <c r="L27" s="46">
        <f>CE_RegimeNaoContributivo!S197</f>
        <v>0</v>
      </c>
      <c r="M27" s="60" t="e">
        <f t="shared" si="11"/>
        <v>#DIV/0!</v>
      </c>
      <c r="N27" s="60" t="e">
        <f t="shared" si="12"/>
        <v>#DIV/0!</v>
      </c>
      <c r="O27" s="46">
        <f>CE_AdministraçãoINSS!B197</f>
        <v>0</v>
      </c>
      <c r="P27" s="46">
        <f>CE_AdministraçãoINSS!C197</f>
        <v>0</v>
      </c>
      <c r="Q27" s="46">
        <f>CE_AdministraçãoINSS!E197</f>
        <v>0</v>
      </c>
      <c r="R27" s="46">
        <f>CE_AdministraçãoINSS!S197</f>
        <v>0</v>
      </c>
      <c r="S27" s="60" t="e">
        <f t="shared" si="14"/>
        <v>#DIV/0!</v>
      </c>
      <c r="T27" s="60" t="e">
        <f t="shared" si="15"/>
        <v>#DIV/0!</v>
      </c>
      <c r="U27" s="46">
        <f t="shared" si="16"/>
        <v>0</v>
      </c>
      <c r="V27" s="46">
        <f t="shared" si="16"/>
        <v>0</v>
      </c>
      <c r="W27" s="46">
        <f t="shared" si="16"/>
        <v>0</v>
      </c>
      <c r="X27" s="46">
        <f t="shared" si="16"/>
        <v>0</v>
      </c>
      <c r="Y27" s="60" t="e">
        <f t="shared" si="17"/>
        <v>#DIV/0!</v>
      </c>
      <c r="Z27" s="60" t="e">
        <f t="shared" si="18"/>
        <v>#DIV/0!</v>
      </c>
      <c r="AA27" s="46">
        <f>CE_AdministraçãoFRSS!B197</f>
        <v>0</v>
      </c>
      <c r="AB27" s="46">
        <f>CE_AdministraçãoFRSS!C197</f>
        <v>0</v>
      </c>
      <c r="AC27" s="46">
        <f>CE_AdministraçãoFRSS!E197</f>
        <v>0</v>
      </c>
      <c r="AD27" s="46">
        <f>CE_AdministraçãoFRSS!S197</f>
        <v>0</v>
      </c>
      <c r="AE27" s="60" t="e">
        <f t="shared" si="20"/>
        <v>#DIV/0!</v>
      </c>
      <c r="AF27" s="60" t="e">
        <f t="shared" si="21"/>
        <v>#DIV/0!</v>
      </c>
      <c r="AG27" s="46">
        <f t="shared" si="22"/>
        <v>0</v>
      </c>
      <c r="AH27" s="46">
        <f t="shared" si="22"/>
        <v>0</v>
      </c>
      <c r="AI27" s="46">
        <f t="shared" si="22"/>
        <v>0</v>
      </c>
      <c r="AJ27" s="46">
        <f t="shared" si="22"/>
        <v>0</v>
      </c>
      <c r="AK27" s="60" t="e">
        <f t="shared" si="23"/>
        <v>#DIV/0!</v>
      </c>
      <c r="AL27" s="60" t="e">
        <f t="shared" si="24"/>
        <v>#DIV/0!</v>
      </c>
      <c r="AM27" s="46">
        <f t="shared" si="25"/>
        <v>0</v>
      </c>
      <c r="AN27" s="46">
        <f t="shared" si="25"/>
        <v>0</v>
      </c>
      <c r="AO27" s="46">
        <f t="shared" si="25"/>
        <v>0</v>
      </c>
      <c r="AP27" s="46">
        <f t="shared" si="25"/>
        <v>0</v>
      </c>
      <c r="AQ27" s="60" t="e">
        <f t="shared" si="26"/>
        <v>#DIV/0!</v>
      </c>
      <c r="AR27" s="60" t="e">
        <f t="shared" si="27"/>
        <v>#DIV/0!</v>
      </c>
      <c r="AT27" s="38"/>
      <c r="AU27" s="38"/>
      <c r="AV27" s="38"/>
      <c r="AW27" s="38"/>
      <c r="AY27" s="38"/>
      <c r="AZ27" s="38"/>
      <c r="BA27" s="38"/>
      <c r="BB27" s="38"/>
    </row>
    <row r="28" spans="1:58" x14ac:dyDescent="0.2">
      <c r="A28" s="45" t="str">
        <f>"501.02.06"</f>
        <v>501.02.06</v>
      </c>
      <c r="B28" s="45" t="s">
        <v>849</v>
      </c>
      <c r="C28" s="46">
        <f>CE_RegimeContributivo!B198</f>
        <v>0</v>
      </c>
      <c r="D28" s="46">
        <f>CE_RegimeContributivo!C198</f>
        <v>0</v>
      </c>
      <c r="E28" s="46">
        <f>CE_RegimeContributivo!E198</f>
        <v>0</v>
      </c>
      <c r="F28" s="46">
        <f>CE_RegimeContributivo!S198</f>
        <v>0</v>
      </c>
      <c r="G28" s="60" t="e">
        <f t="shared" si="8"/>
        <v>#DIV/0!</v>
      </c>
      <c r="H28" s="60" t="e">
        <f t="shared" si="9"/>
        <v>#DIV/0!</v>
      </c>
      <c r="I28" s="46">
        <f>CE_RegimeNaoContributivo!B198</f>
        <v>0</v>
      </c>
      <c r="J28" s="46">
        <f>CE_RegimeNaoContributivo!C198</f>
        <v>0</v>
      </c>
      <c r="K28" s="46">
        <f>CE_RegimeNaoContributivo!E198</f>
        <v>0</v>
      </c>
      <c r="L28" s="46">
        <f>CE_RegimeNaoContributivo!S198</f>
        <v>0</v>
      </c>
      <c r="M28" s="60" t="e">
        <f t="shared" si="11"/>
        <v>#DIV/0!</v>
      </c>
      <c r="N28" s="60" t="e">
        <f t="shared" si="12"/>
        <v>#DIV/0!</v>
      </c>
      <c r="O28" s="46">
        <f>CE_AdministraçãoINSS!B198</f>
        <v>0</v>
      </c>
      <c r="P28" s="46">
        <f>CE_AdministraçãoINSS!C198</f>
        <v>0</v>
      </c>
      <c r="Q28" s="46">
        <f>CE_AdministraçãoINSS!E198</f>
        <v>0</v>
      </c>
      <c r="R28" s="46">
        <f>CE_AdministraçãoINSS!S198</f>
        <v>0</v>
      </c>
      <c r="S28" s="60" t="e">
        <f t="shared" si="14"/>
        <v>#DIV/0!</v>
      </c>
      <c r="T28" s="60" t="e">
        <f t="shared" si="15"/>
        <v>#DIV/0!</v>
      </c>
      <c r="U28" s="46">
        <f t="shared" si="16"/>
        <v>0</v>
      </c>
      <c r="V28" s="46">
        <f t="shared" si="16"/>
        <v>0</v>
      </c>
      <c r="W28" s="46">
        <f t="shared" si="16"/>
        <v>0</v>
      </c>
      <c r="X28" s="46">
        <f t="shared" si="16"/>
        <v>0</v>
      </c>
      <c r="Y28" s="60" t="e">
        <f t="shared" si="17"/>
        <v>#DIV/0!</v>
      </c>
      <c r="Z28" s="60" t="e">
        <f t="shared" si="18"/>
        <v>#DIV/0!</v>
      </c>
      <c r="AA28" s="46">
        <f>CE_AdministraçãoFRSS!B198</f>
        <v>0</v>
      </c>
      <c r="AB28" s="46">
        <f>CE_AdministraçãoFRSS!C198</f>
        <v>0</v>
      </c>
      <c r="AC28" s="46">
        <f>CE_AdministraçãoFRSS!E198</f>
        <v>0</v>
      </c>
      <c r="AD28" s="46">
        <f>CE_AdministraçãoFRSS!S198</f>
        <v>0</v>
      </c>
      <c r="AE28" s="60" t="e">
        <f t="shared" si="20"/>
        <v>#DIV/0!</v>
      </c>
      <c r="AF28" s="60" t="e">
        <f t="shared" si="21"/>
        <v>#DIV/0!</v>
      </c>
      <c r="AG28" s="46">
        <f t="shared" si="22"/>
        <v>0</v>
      </c>
      <c r="AH28" s="46">
        <f t="shared" si="22"/>
        <v>0</v>
      </c>
      <c r="AI28" s="46">
        <f t="shared" si="22"/>
        <v>0</v>
      </c>
      <c r="AJ28" s="46">
        <f t="shared" si="22"/>
        <v>0</v>
      </c>
      <c r="AK28" s="60" t="e">
        <f t="shared" si="23"/>
        <v>#DIV/0!</v>
      </c>
      <c r="AL28" s="60" t="e">
        <f t="shared" si="24"/>
        <v>#DIV/0!</v>
      </c>
      <c r="AM28" s="46">
        <f t="shared" si="25"/>
        <v>0</v>
      </c>
      <c r="AN28" s="46">
        <f t="shared" si="25"/>
        <v>0</v>
      </c>
      <c r="AO28" s="46">
        <f t="shared" si="25"/>
        <v>0</v>
      </c>
      <c r="AP28" s="46">
        <f t="shared" si="25"/>
        <v>0</v>
      </c>
      <c r="AQ28" s="60" t="e">
        <f t="shared" si="26"/>
        <v>#DIV/0!</v>
      </c>
      <c r="AR28" s="60" t="e">
        <f t="shared" si="27"/>
        <v>#DIV/0!</v>
      </c>
      <c r="AT28" s="38"/>
      <c r="AU28" s="38"/>
      <c r="AV28" s="38"/>
      <c r="AW28" s="38"/>
      <c r="AY28" s="38"/>
      <c r="AZ28" s="38"/>
      <c r="BA28" s="38"/>
      <c r="BB28" s="38"/>
    </row>
    <row r="29" spans="1:58" x14ac:dyDescent="0.2">
      <c r="A29" s="45" t="str">
        <f>"501.02.07"</f>
        <v>501.02.07</v>
      </c>
      <c r="B29" s="45" t="s">
        <v>850</v>
      </c>
      <c r="C29" s="46">
        <f>CE_RegimeContributivo!B199</f>
        <v>0</v>
      </c>
      <c r="D29" s="46">
        <f>CE_RegimeContributivo!C199</f>
        <v>0</v>
      </c>
      <c r="E29" s="46">
        <f>CE_RegimeContributivo!E199</f>
        <v>0</v>
      </c>
      <c r="F29" s="46">
        <f>CE_RegimeContributivo!S199</f>
        <v>0</v>
      </c>
      <c r="G29" s="60" t="e">
        <f t="shared" si="8"/>
        <v>#DIV/0!</v>
      </c>
      <c r="H29" s="60" t="e">
        <f t="shared" si="9"/>
        <v>#DIV/0!</v>
      </c>
      <c r="I29" s="46">
        <f>CE_RegimeNaoContributivo!B199</f>
        <v>0</v>
      </c>
      <c r="J29" s="46">
        <f>CE_RegimeNaoContributivo!C199</f>
        <v>0</v>
      </c>
      <c r="K29" s="46">
        <f>CE_RegimeNaoContributivo!E199</f>
        <v>0</v>
      </c>
      <c r="L29" s="46">
        <f>CE_RegimeNaoContributivo!S199</f>
        <v>0</v>
      </c>
      <c r="M29" s="60" t="e">
        <f t="shared" si="11"/>
        <v>#DIV/0!</v>
      </c>
      <c r="N29" s="60" t="e">
        <f t="shared" si="12"/>
        <v>#DIV/0!</v>
      </c>
      <c r="O29" s="46">
        <f>CE_AdministraçãoINSS!B199</f>
        <v>0</v>
      </c>
      <c r="P29" s="46">
        <f>CE_AdministraçãoINSS!C199</f>
        <v>0</v>
      </c>
      <c r="Q29" s="46">
        <f>CE_AdministraçãoINSS!E199</f>
        <v>0</v>
      </c>
      <c r="R29" s="46">
        <f>CE_AdministraçãoINSS!S199</f>
        <v>0</v>
      </c>
      <c r="S29" s="60" t="e">
        <f t="shared" si="14"/>
        <v>#DIV/0!</v>
      </c>
      <c r="T29" s="60" t="e">
        <f t="shared" si="15"/>
        <v>#DIV/0!</v>
      </c>
      <c r="U29" s="46">
        <f t="shared" si="16"/>
        <v>0</v>
      </c>
      <c r="V29" s="46">
        <f t="shared" si="16"/>
        <v>0</v>
      </c>
      <c r="W29" s="46">
        <f t="shared" si="16"/>
        <v>0</v>
      </c>
      <c r="X29" s="46">
        <f t="shared" si="16"/>
        <v>0</v>
      </c>
      <c r="Y29" s="60" t="e">
        <f t="shared" si="17"/>
        <v>#DIV/0!</v>
      </c>
      <c r="Z29" s="60" t="e">
        <f t="shared" si="18"/>
        <v>#DIV/0!</v>
      </c>
      <c r="AA29" s="46">
        <f>CE_AdministraçãoFRSS!B199</f>
        <v>0</v>
      </c>
      <c r="AB29" s="46">
        <f>CE_AdministraçãoFRSS!C199</f>
        <v>0</v>
      </c>
      <c r="AC29" s="46">
        <f>CE_AdministraçãoFRSS!E199</f>
        <v>0</v>
      </c>
      <c r="AD29" s="46">
        <f>CE_AdministraçãoFRSS!S199</f>
        <v>0</v>
      </c>
      <c r="AE29" s="60" t="e">
        <f t="shared" si="20"/>
        <v>#DIV/0!</v>
      </c>
      <c r="AF29" s="60" t="e">
        <f t="shared" si="21"/>
        <v>#DIV/0!</v>
      </c>
      <c r="AG29" s="46">
        <f t="shared" si="22"/>
        <v>0</v>
      </c>
      <c r="AH29" s="46">
        <f t="shared" si="22"/>
        <v>0</v>
      </c>
      <c r="AI29" s="46">
        <f t="shared" si="22"/>
        <v>0</v>
      </c>
      <c r="AJ29" s="46">
        <f t="shared" si="22"/>
        <v>0</v>
      </c>
      <c r="AK29" s="60" t="e">
        <f t="shared" si="23"/>
        <v>#DIV/0!</v>
      </c>
      <c r="AL29" s="60" t="e">
        <f t="shared" si="24"/>
        <v>#DIV/0!</v>
      </c>
      <c r="AM29" s="46">
        <f t="shared" si="25"/>
        <v>0</v>
      </c>
      <c r="AN29" s="46">
        <f t="shared" si="25"/>
        <v>0</v>
      </c>
      <c r="AO29" s="46">
        <f t="shared" si="25"/>
        <v>0</v>
      </c>
      <c r="AP29" s="46">
        <f t="shared" si="25"/>
        <v>0</v>
      </c>
      <c r="AQ29" s="60" t="e">
        <f t="shared" si="26"/>
        <v>#DIV/0!</v>
      </c>
      <c r="AR29" s="60" t="e">
        <f t="shared" si="27"/>
        <v>#DIV/0!</v>
      </c>
      <c r="AT29" s="38"/>
      <c r="AU29" s="38"/>
      <c r="AV29" s="38"/>
      <c r="AW29" s="38"/>
      <c r="AY29" s="38"/>
      <c r="AZ29" s="38"/>
      <c r="BA29" s="38"/>
      <c r="BB29" s="38"/>
    </row>
    <row r="30" spans="1:58" x14ac:dyDescent="0.2">
      <c r="A30" s="45" t="str">
        <f>"501.02.08"</f>
        <v>501.02.08</v>
      </c>
      <c r="B30" s="45" t="s">
        <v>851</v>
      </c>
      <c r="C30" s="46">
        <f>CE_RegimeContributivo!B200</f>
        <v>0</v>
      </c>
      <c r="D30" s="46">
        <f>CE_RegimeContributivo!C200</f>
        <v>0</v>
      </c>
      <c r="E30" s="46">
        <f>CE_RegimeContributivo!E200</f>
        <v>0</v>
      </c>
      <c r="F30" s="46">
        <f>CE_RegimeContributivo!S200</f>
        <v>0</v>
      </c>
      <c r="G30" s="60" t="e">
        <f t="shared" si="8"/>
        <v>#DIV/0!</v>
      </c>
      <c r="H30" s="60" t="e">
        <f t="shared" si="9"/>
        <v>#DIV/0!</v>
      </c>
      <c r="I30" s="46">
        <f>CE_RegimeNaoContributivo!B200</f>
        <v>0</v>
      </c>
      <c r="J30" s="46">
        <f>CE_RegimeNaoContributivo!C200</f>
        <v>0</v>
      </c>
      <c r="K30" s="46">
        <f>CE_RegimeNaoContributivo!E200</f>
        <v>0</v>
      </c>
      <c r="L30" s="46">
        <f>CE_RegimeNaoContributivo!S200</f>
        <v>0</v>
      </c>
      <c r="M30" s="60" t="e">
        <f t="shared" si="11"/>
        <v>#DIV/0!</v>
      </c>
      <c r="N30" s="60" t="e">
        <f t="shared" si="12"/>
        <v>#DIV/0!</v>
      </c>
      <c r="O30" s="46">
        <f>CE_AdministraçãoINSS!B200</f>
        <v>0</v>
      </c>
      <c r="P30" s="46">
        <f>CE_AdministraçãoINSS!C200</f>
        <v>0</v>
      </c>
      <c r="Q30" s="46">
        <f>CE_AdministraçãoINSS!E200</f>
        <v>0</v>
      </c>
      <c r="R30" s="46">
        <f>CE_AdministraçãoINSS!S200</f>
        <v>0</v>
      </c>
      <c r="S30" s="60" t="e">
        <f t="shared" si="14"/>
        <v>#DIV/0!</v>
      </c>
      <c r="T30" s="60" t="e">
        <f t="shared" si="15"/>
        <v>#DIV/0!</v>
      </c>
      <c r="U30" s="46">
        <f t="shared" si="16"/>
        <v>0</v>
      </c>
      <c r="V30" s="46">
        <f t="shared" si="16"/>
        <v>0</v>
      </c>
      <c r="W30" s="46">
        <f t="shared" si="16"/>
        <v>0</v>
      </c>
      <c r="X30" s="46">
        <f t="shared" si="16"/>
        <v>0</v>
      </c>
      <c r="Y30" s="60" t="e">
        <f t="shared" si="17"/>
        <v>#DIV/0!</v>
      </c>
      <c r="Z30" s="60" t="e">
        <f t="shared" si="18"/>
        <v>#DIV/0!</v>
      </c>
      <c r="AA30" s="46">
        <f>CE_AdministraçãoFRSS!B200</f>
        <v>0</v>
      </c>
      <c r="AB30" s="46">
        <f>CE_AdministraçãoFRSS!C200</f>
        <v>0</v>
      </c>
      <c r="AC30" s="46">
        <f>CE_AdministraçãoFRSS!E200</f>
        <v>0</v>
      </c>
      <c r="AD30" s="46">
        <f>CE_AdministraçãoFRSS!S200</f>
        <v>0</v>
      </c>
      <c r="AE30" s="60" t="e">
        <f t="shared" si="20"/>
        <v>#DIV/0!</v>
      </c>
      <c r="AF30" s="60" t="e">
        <f t="shared" si="21"/>
        <v>#DIV/0!</v>
      </c>
      <c r="AG30" s="46">
        <f t="shared" si="22"/>
        <v>0</v>
      </c>
      <c r="AH30" s="46">
        <f t="shared" si="22"/>
        <v>0</v>
      </c>
      <c r="AI30" s="46">
        <f t="shared" si="22"/>
        <v>0</v>
      </c>
      <c r="AJ30" s="46">
        <f t="shared" si="22"/>
        <v>0</v>
      </c>
      <c r="AK30" s="60" t="e">
        <f t="shared" si="23"/>
        <v>#DIV/0!</v>
      </c>
      <c r="AL30" s="60" t="e">
        <f t="shared" si="24"/>
        <v>#DIV/0!</v>
      </c>
      <c r="AM30" s="46">
        <f t="shared" si="25"/>
        <v>0</v>
      </c>
      <c r="AN30" s="46">
        <f t="shared" si="25"/>
        <v>0</v>
      </c>
      <c r="AO30" s="46">
        <f t="shared" si="25"/>
        <v>0</v>
      </c>
      <c r="AP30" s="46">
        <f t="shared" si="25"/>
        <v>0</v>
      </c>
      <c r="AQ30" s="60" t="e">
        <f t="shared" si="26"/>
        <v>#DIV/0!</v>
      </c>
      <c r="AR30" s="60" t="e">
        <f t="shared" si="27"/>
        <v>#DIV/0!</v>
      </c>
      <c r="AT30" s="38"/>
      <c r="AU30" s="38"/>
      <c r="AV30" s="38"/>
      <c r="AW30" s="38"/>
      <c r="AY30" s="38"/>
      <c r="AZ30" s="38"/>
      <c r="BA30" s="38"/>
      <c r="BB30" s="38"/>
    </row>
    <row r="31" spans="1:58" x14ac:dyDescent="0.2">
      <c r="A31" s="45" t="str">
        <f>"501.02.09"</f>
        <v>501.02.09</v>
      </c>
      <c r="B31" s="45" t="s">
        <v>852</v>
      </c>
      <c r="C31" s="46">
        <f>CE_RegimeContributivo!B201</f>
        <v>0</v>
      </c>
      <c r="D31" s="46">
        <f>CE_RegimeContributivo!C201</f>
        <v>0</v>
      </c>
      <c r="E31" s="46">
        <f>CE_RegimeContributivo!E201</f>
        <v>0</v>
      </c>
      <c r="F31" s="46">
        <f>CE_RegimeContributivo!S201</f>
        <v>0</v>
      </c>
      <c r="G31" s="60" t="e">
        <f t="shared" si="8"/>
        <v>#DIV/0!</v>
      </c>
      <c r="H31" s="60" t="e">
        <f t="shared" si="9"/>
        <v>#DIV/0!</v>
      </c>
      <c r="I31" s="46">
        <f>CE_RegimeNaoContributivo!B201</f>
        <v>0</v>
      </c>
      <c r="J31" s="46">
        <f>CE_RegimeNaoContributivo!C201</f>
        <v>0</v>
      </c>
      <c r="K31" s="46">
        <f>CE_RegimeNaoContributivo!E201</f>
        <v>0</v>
      </c>
      <c r="L31" s="46">
        <f>CE_RegimeNaoContributivo!S201</f>
        <v>0</v>
      </c>
      <c r="M31" s="60" t="e">
        <f t="shared" si="11"/>
        <v>#DIV/0!</v>
      </c>
      <c r="N31" s="60" t="e">
        <f t="shared" si="12"/>
        <v>#DIV/0!</v>
      </c>
      <c r="O31" s="46">
        <f>CE_AdministraçãoINSS!B201</f>
        <v>13100</v>
      </c>
      <c r="P31" s="46">
        <f>CE_AdministraçãoINSS!C201</f>
        <v>13100</v>
      </c>
      <c r="Q31" s="46">
        <f>CE_AdministraçãoINSS!E201</f>
        <v>3100</v>
      </c>
      <c r="R31" s="46">
        <f>CE_AdministraçãoINSS!S201</f>
        <v>3100</v>
      </c>
      <c r="S31" s="60">
        <f t="shared" si="14"/>
        <v>0.23664122137404581</v>
      </c>
      <c r="T31" s="60">
        <f t="shared" si="15"/>
        <v>0.23664122137404581</v>
      </c>
      <c r="U31" s="46">
        <f t="shared" si="16"/>
        <v>13100</v>
      </c>
      <c r="V31" s="46">
        <f t="shared" si="16"/>
        <v>13100</v>
      </c>
      <c r="W31" s="46">
        <f t="shared" si="16"/>
        <v>3100</v>
      </c>
      <c r="X31" s="46">
        <f t="shared" si="16"/>
        <v>3100</v>
      </c>
      <c r="Y31" s="60">
        <f t="shared" si="17"/>
        <v>0.23664122137404581</v>
      </c>
      <c r="Z31" s="60">
        <f t="shared" si="18"/>
        <v>0.23664122137404581</v>
      </c>
      <c r="AA31" s="46">
        <f>CE_AdministraçãoFRSS!B201</f>
        <v>0</v>
      </c>
      <c r="AB31" s="46">
        <f>CE_AdministraçãoFRSS!C201</f>
        <v>0</v>
      </c>
      <c r="AC31" s="46">
        <f>CE_AdministraçãoFRSS!E201</f>
        <v>0</v>
      </c>
      <c r="AD31" s="46">
        <f>CE_AdministraçãoFRSS!S201</f>
        <v>0</v>
      </c>
      <c r="AE31" s="60" t="e">
        <f t="shared" si="20"/>
        <v>#DIV/0!</v>
      </c>
      <c r="AF31" s="60" t="e">
        <f t="shared" si="21"/>
        <v>#DIV/0!</v>
      </c>
      <c r="AG31" s="46">
        <f t="shared" si="22"/>
        <v>0</v>
      </c>
      <c r="AH31" s="46">
        <f t="shared" si="22"/>
        <v>0</v>
      </c>
      <c r="AI31" s="46">
        <f t="shared" si="22"/>
        <v>0</v>
      </c>
      <c r="AJ31" s="46">
        <f t="shared" si="22"/>
        <v>0</v>
      </c>
      <c r="AK31" s="60" t="e">
        <f t="shared" si="23"/>
        <v>#DIV/0!</v>
      </c>
      <c r="AL31" s="60" t="e">
        <f t="shared" si="24"/>
        <v>#DIV/0!</v>
      </c>
      <c r="AM31" s="46">
        <f t="shared" si="25"/>
        <v>13100</v>
      </c>
      <c r="AN31" s="46">
        <f t="shared" si="25"/>
        <v>13100</v>
      </c>
      <c r="AO31" s="46">
        <f t="shared" si="25"/>
        <v>3100</v>
      </c>
      <c r="AP31" s="46">
        <f t="shared" si="25"/>
        <v>3100</v>
      </c>
      <c r="AQ31" s="60">
        <f t="shared" si="26"/>
        <v>0.23664122137404581</v>
      </c>
      <c r="AR31" s="60">
        <f t="shared" si="27"/>
        <v>0.23664122137404581</v>
      </c>
      <c r="AT31" s="38"/>
      <c r="AU31" s="38"/>
      <c r="AV31" s="38"/>
      <c r="AW31" s="38"/>
      <c r="AY31" s="38"/>
      <c r="AZ31" s="38"/>
      <c r="BA31" s="38"/>
      <c r="BB31" s="38"/>
    </row>
    <row r="32" spans="1:58" s="44" customFormat="1" ht="30" x14ac:dyDescent="0.2">
      <c r="A32" s="41" t="str">
        <f>"501.03"</f>
        <v>501.03</v>
      </c>
      <c r="B32" s="42" t="s">
        <v>125</v>
      </c>
      <c r="C32" s="43">
        <f>CE_RegimeContributivo!B202</f>
        <v>0</v>
      </c>
      <c r="D32" s="43">
        <f>CE_RegimeContributivo!C202</f>
        <v>0</v>
      </c>
      <c r="E32" s="43">
        <f>CE_RegimeContributivo!E202</f>
        <v>0</v>
      </c>
      <c r="F32" s="43">
        <f>CE_RegimeContributivo!S202</f>
        <v>0</v>
      </c>
      <c r="G32" s="59" t="e">
        <f t="shared" si="8"/>
        <v>#DIV/0!</v>
      </c>
      <c r="H32" s="59" t="e">
        <f t="shared" si="9"/>
        <v>#DIV/0!</v>
      </c>
      <c r="I32" s="43">
        <f>CE_RegimeNaoContributivo!B202</f>
        <v>0</v>
      </c>
      <c r="J32" s="43">
        <f>CE_RegimeNaoContributivo!C202</f>
        <v>0</v>
      </c>
      <c r="K32" s="43">
        <f>CE_RegimeNaoContributivo!E202</f>
        <v>0</v>
      </c>
      <c r="L32" s="43">
        <f>CE_RegimeNaoContributivo!S202</f>
        <v>0</v>
      </c>
      <c r="M32" s="59" t="e">
        <f t="shared" si="11"/>
        <v>#DIV/0!</v>
      </c>
      <c r="N32" s="59" t="e">
        <f t="shared" si="12"/>
        <v>#DIV/0!</v>
      </c>
      <c r="O32" s="43">
        <f>CE_AdministraçãoINSS!B202</f>
        <v>106630</v>
      </c>
      <c r="P32" s="43">
        <f>CE_AdministraçãoINSS!C202</f>
        <v>100400</v>
      </c>
      <c r="Q32" s="43">
        <f>CE_AdministraçãoINSS!E202</f>
        <v>81656.88</v>
      </c>
      <c r="R32" s="43">
        <f>CE_AdministraçãoINSS!S202</f>
        <v>81656.88</v>
      </c>
      <c r="S32" s="59">
        <f t="shared" si="14"/>
        <v>0.81331553784860566</v>
      </c>
      <c r="T32" s="59">
        <f t="shared" si="15"/>
        <v>0.81331553784860566</v>
      </c>
      <c r="U32" s="43">
        <f t="shared" si="16"/>
        <v>106630</v>
      </c>
      <c r="V32" s="43">
        <f t="shared" si="16"/>
        <v>100400</v>
      </c>
      <c r="W32" s="43">
        <f t="shared" si="16"/>
        <v>81656.88</v>
      </c>
      <c r="X32" s="43">
        <f t="shared" si="16"/>
        <v>81656.88</v>
      </c>
      <c r="Y32" s="59">
        <f t="shared" si="17"/>
        <v>0.81331553784860566</v>
      </c>
      <c r="Z32" s="59">
        <f t="shared" si="18"/>
        <v>0.81331553784860566</v>
      </c>
      <c r="AA32" s="43">
        <f>CE_AdministraçãoFRSS!B202</f>
        <v>0</v>
      </c>
      <c r="AB32" s="43">
        <f>CE_AdministraçãoFRSS!C202</f>
        <v>0</v>
      </c>
      <c r="AC32" s="43">
        <f>CE_AdministraçãoFRSS!E202</f>
        <v>0</v>
      </c>
      <c r="AD32" s="43">
        <f>CE_AdministraçãoFRSS!S202</f>
        <v>0</v>
      </c>
      <c r="AE32" s="59" t="e">
        <f t="shared" si="20"/>
        <v>#DIV/0!</v>
      </c>
      <c r="AF32" s="59" t="e">
        <f t="shared" si="21"/>
        <v>#DIV/0!</v>
      </c>
      <c r="AG32" s="43">
        <f t="shared" si="22"/>
        <v>0</v>
      </c>
      <c r="AH32" s="43">
        <f t="shared" si="22"/>
        <v>0</v>
      </c>
      <c r="AI32" s="43">
        <f t="shared" si="22"/>
        <v>0</v>
      </c>
      <c r="AJ32" s="43">
        <f t="shared" si="22"/>
        <v>0</v>
      </c>
      <c r="AK32" s="59" t="e">
        <f t="shared" si="23"/>
        <v>#DIV/0!</v>
      </c>
      <c r="AL32" s="59" t="e">
        <f t="shared" si="24"/>
        <v>#DIV/0!</v>
      </c>
      <c r="AM32" s="43">
        <f t="shared" si="25"/>
        <v>106630</v>
      </c>
      <c r="AN32" s="43">
        <f t="shared" si="25"/>
        <v>100400</v>
      </c>
      <c r="AO32" s="43">
        <f t="shared" si="25"/>
        <v>81656.88</v>
      </c>
      <c r="AP32" s="43">
        <f t="shared" si="25"/>
        <v>81656.88</v>
      </c>
      <c r="AQ32" s="59">
        <f t="shared" si="26"/>
        <v>0.81331553784860566</v>
      </c>
      <c r="AR32" s="59">
        <f t="shared" si="27"/>
        <v>0.81331553784860566</v>
      </c>
      <c r="AT32" s="38"/>
      <c r="AU32" s="38"/>
      <c r="AV32" s="38"/>
      <c r="AW32" s="38"/>
      <c r="AY32" s="38"/>
      <c r="AZ32" s="38"/>
      <c r="BA32" s="38"/>
      <c r="BB32" s="38"/>
      <c r="BC32" s="36"/>
      <c r="BD32" s="36"/>
      <c r="BE32" s="36"/>
      <c r="BF32" s="36"/>
    </row>
    <row r="33" spans="1:58" s="44" customFormat="1" x14ac:dyDescent="0.2">
      <c r="A33" s="41" t="str">
        <f>"501.04"</f>
        <v>501.04</v>
      </c>
      <c r="B33" s="42" t="s">
        <v>126</v>
      </c>
      <c r="C33" s="43">
        <f>CE_RegimeContributivo!B203</f>
        <v>0</v>
      </c>
      <c r="D33" s="43">
        <f>CE_RegimeContributivo!C203</f>
        <v>0</v>
      </c>
      <c r="E33" s="43">
        <f>CE_RegimeContributivo!E203</f>
        <v>0</v>
      </c>
      <c r="F33" s="43">
        <f>CE_RegimeContributivo!S203</f>
        <v>0</v>
      </c>
      <c r="G33" s="59" t="e">
        <f t="shared" si="8"/>
        <v>#DIV/0!</v>
      </c>
      <c r="H33" s="59" t="e">
        <f t="shared" si="9"/>
        <v>#DIV/0!</v>
      </c>
      <c r="I33" s="43">
        <f>CE_RegimeNaoContributivo!B203</f>
        <v>0</v>
      </c>
      <c r="J33" s="43">
        <f>CE_RegimeNaoContributivo!C203</f>
        <v>0</v>
      </c>
      <c r="K33" s="43">
        <f>CE_RegimeNaoContributivo!E203</f>
        <v>0</v>
      </c>
      <c r="L33" s="43">
        <f>CE_RegimeNaoContributivo!S203</f>
        <v>0</v>
      </c>
      <c r="M33" s="59" t="e">
        <f t="shared" si="11"/>
        <v>#DIV/0!</v>
      </c>
      <c r="N33" s="59" t="e">
        <f t="shared" si="12"/>
        <v>#DIV/0!</v>
      </c>
      <c r="O33" s="43">
        <f>CE_AdministraçãoINSS!B203</f>
        <v>0</v>
      </c>
      <c r="P33" s="43">
        <f>CE_AdministraçãoINSS!C203</f>
        <v>0</v>
      </c>
      <c r="Q33" s="43">
        <f>CE_AdministraçãoINSS!E203</f>
        <v>0</v>
      </c>
      <c r="R33" s="43">
        <f>CE_AdministraçãoINSS!S203</f>
        <v>0</v>
      </c>
      <c r="S33" s="59" t="e">
        <f t="shared" si="14"/>
        <v>#DIV/0!</v>
      </c>
      <c r="T33" s="59" t="e">
        <f t="shared" si="15"/>
        <v>#DIV/0!</v>
      </c>
      <c r="U33" s="43">
        <f t="shared" si="16"/>
        <v>0</v>
      </c>
      <c r="V33" s="43">
        <f t="shared" si="16"/>
        <v>0</v>
      </c>
      <c r="W33" s="43">
        <f t="shared" si="16"/>
        <v>0</v>
      </c>
      <c r="X33" s="43">
        <f t="shared" si="16"/>
        <v>0</v>
      </c>
      <c r="Y33" s="59" t="e">
        <f t="shared" si="17"/>
        <v>#DIV/0!</v>
      </c>
      <c r="Z33" s="59" t="e">
        <f t="shared" si="18"/>
        <v>#DIV/0!</v>
      </c>
      <c r="AA33" s="43">
        <f>CE_AdministraçãoFRSS!B203</f>
        <v>0</v>
      </c>
      <c r="AB33" s="43">
        <f>CE_AdministraçãoFRSS!C203</f>
        <v>0</v>
      </c>
      <c r="AC33" s="43">
        <f>CE_AdministraçãoFRSS!E203</f>
        <v>0</v>
      </c>
      <c r="AD33" s="43">
        <f>CE_AdministraçãoFRSS!S203</f>
        <v>0</v>
      </c>
      <c r="AE33" s="59" t="e">
        <f t="shared" si="20"/>
        <v>#DIV/0!</v>
      </c>
      <c r="AF33" s="59" t="e">
        <f t="shared" si="21"/>
        <v>#DIV/0!</v>
      </c>
      <c r="AG33" s="43">
        <f t="shared" si="22"/>
        <v>0</v>
      </c>
      <c r="AH33" s="43">
        <f t="shared" si="22"/>
        <v>0</v>
      </c>
      <c r="AI33" s="43">
        <f t="shared" si="22"/>
        <v>0</v>
      </c>
      <c r="AJ33" s="43">
        <f t="shared" si="22"/>
        <v>0</v>
      </c>
      <c r="AK33" s="59" t="e">
        <f t="shared" si="23"/>
        <v>#DIV/0!</v>
      </c>
      <c r="AL33" s="59" t="e">
        <f t="shared" si="24"/>
        <v>#DIV/0!</v>
      </c>
      <c r="AM33" s="43">
        <f t="shared" si="25"/>
        <v>0</v>
      </c>
      <c r="AN33" s="43">
        <f t="shared" si="25"/>
        <v>0</v>
      </c>
      <c r="AO33" s="43">
        <f t="shared" si="25"/>
        <v>0</v>
      </c>
      <c r="AP33" s="43">
        <f t="shared" si="25"/>
        <v>0</v>
      </c>
      <c r="AQ33" s="59" t="e">
        <f t="shared" si="26"/>
        <v>#DIV/0!</v>
      </c>
      <c r="AR33" s="59" t="e">
        <f t="shared" si="27"/>
        <v>#DIV/0!</v>
      </c>
      <c r="AT33" s="38"/>
      <c r="AU33" s="38"/>
      <c r="AV33" s="38"/>
      <c r="AW33" s="38"/>
      <c r="AY33" s="38"/>
      <c r="AZ33" s="38"/>
      <c r="BA33" s="38"/>
      <c r="BB33" s="38"/>
      <c r="BC33" s="36"/>
      <c r="BD33" s="36"/>
      <c r="BE33" s="36"/>
      <c r="BF33" s="36"/>
    </row>
    <row r="34" spans="1:58" x14ac:dyDescent="0.2">
      <c r="A34" s="39">
        <v>502</v>
      </c>
      <c r="B34" s="39" t="s">
        <v>853</v>
      </c>
      <c r="C34" s="40">
        <f>C35+C36+C37+C40+C45+C50+C51+C52+C53+C54+C60+C67+C70+C71+C72+C73+C76+C103+C108+C115+C118+C119+C122+C125+C129+C137+C138+C139+C146+C147+C148+C161</f>
        <v>0</v>
      </c>
      <c r="D34" s="40">
        <f>D35+D36+D37+D40+D45+D50+D51+D52+D53+D54+D60+D67+D70+D71+D72+D73+D76+D103+D108+D115+D118+D119+D122+D125+D129+D137+D138+D139+D146+D147+D148+D161</f>
        <v>0</v>
      </c>
      <c r="E34" s="40">
        <f>E35+E36+E37+E40+E45+E50+E51+E52+E53+E54+E60+E67+E70+E71+E72+E73+E76+E103+E108+E115+E118+E119+E122+E125+E129+E137+E138+E139+E146+E147+E148+E161</f>
        <v>0</v>
      </c>
      <c r="F34" s="40">
        <f t="shared" ref="F34" si="32">F35+F36+F37+F40+F45+F50+F51+F52+F53+F54+F60+F67+F70+F71+F72+F73+F76+F103+F108+F115+F118+F119+F122+F125+F129+F137+F138+F139+F146+F147+F148+F161</f>
        <v>0</v>
      </c>
      <c r="G34" s="58" t="e">
        <f t="shared" si="8"/>
        <v>#DIV/0!</v>
      </c>
      <c r="H34" s="58" t="e">
        <f t="shared" si="9"/>
        <v>#DIV/0!</v>
      </c>
      <c r="I34" s="40">
        <f>I35+I36+I37+I40+I45+I50+I51+I52+I53+I54+I60+I67+I70+I71+I72+I73+I76+I103+I108+I115+I118+I119+I122+I125+I129+I137+I138+I139+I146+I147+I148+I161</f>
        <v>0</v>
      </c>
      <c r="J34" s="40">
        <f>J35+J36+J37+J40+J45+J50+J51+J52+J53+J54+J60+J67+J70+J71+J72+J73+J76+J103+J108+J115+J118+J119+J122+J125+J129+J137+J138+J139+J146+J147+J148+J161</f>
        <v>0</v>
      </c>
      <c r="K34" s="40">
        <f t="shared" ref="K34:L34" si="33">K35+K36+K37+K40+K45+K50+K51+K52+K53+K54+K60+K67+K70+K71+K72+K73+K76+K103+K108+K115+K118+K119+K122+K125+K129+K137+K138+K139+K146+K147+K148+K161</f>
        <v>0</v>
      </c>
      <c r="L34" s="40">
        <f t="shared" si="33"/>
        <v>0</v>
      </c>
      <c r="M34" s="58" t="e">
        <f t="shared" si="11"/>
        <v>#DIV/0!</v>
      </c>
      <c r="N34" s="58" t="e">
        <f t="shared" si="12"/>
        <v>#DIV/0!</v>
      </c>
      <c r="O34" s="40">
        <f>O35+O36+O37+O40+O45+O50+O51+O52+O53+O54+O60+O67+O70+O71+O72+O73+O76+O103+O108+O115+O118+O119+O122+O125+O129+O137+O138+O139+O146+O147+O148+O161</f>
        <v>1148995</v>
      </c>
      <c r="P34" s="40">
        <f>P35+P36+P37+P40+P45+P50+P51+P52+P53+P54+P60+P67+P70+P71+P72+P73+P76+P103+P108+P115+P118+P119+P122+P125+P129+P137+P138+P139+P146+P147+P148+P161</f>
        <v>1148995</v>
      </c>
      <c r="Q34" s="40">
        <f t="shared" ref="Q34:R34" si="34">Q35+Q36+Q37+Q40+Q45+Q50+Q51+Q52+Q53+Q54+Q60+Q67+Q70+Q71+Q72+Q73+Q76+Q103+Q108+Q115+Q118+Q119+Q122+Q125+Q129+Q137+Q138+Q139+Q146+Q147+Q148+Q161</f>
        <v>618570.07999999996</v>
      </c>
      <c r="R34" s="40">
        <f t="shared" si="34"/>
        <v>486985.72</v>
      </c>
      <c r="S34" s="58">
        <f t="shared" si="14"/>
        <v>0.42383623949625537</v>
      </c>
      <c r="T34" s="58">
        <f t="shared" si="15"/>
        <v>0.53835750373152191</v>
      </c>
      <c r="U34" s="40">
        <f t="shared" si="16"/>
        <v>1148995</v>
      </c>
      <c r="V34" s="40">
        <f t="shared" si="16"/>
        <v>1148995</v>
      </c>
      <c r="W34" s="40">
        <f t="shared" si="16"/>
        <v>618570.07999999996</v>
      </c>
      <c r="X34" s="40">
        <f t="shared" si="16"/>
        <v>486985.72</v>
      </c>
      <c r="Y34" s="58">
        <f t="shared" si="17"/>
        <v>0.42383623949625537</v>
      </c>
      <c r="Z34" s="58">
        <f t="shared" si="18"/>
        <v>0.53835750373152191</v>
      </c>
      <c r="AA34" s="40">
        <f>AA35+AA36+AA37+AA40+AA45+AA50+AA51+AA52+AA53+AA54+AA60+AA67+AA70+AA71+AA72+AA73+AA76+AA103+AA108+AA115+AA118+AA119+AA122+AA125+AA129+AA137+AA138+AA139+AA146+AA147+AA148+AA161</f>
        <v>333807</v>
      </c>
      <c r="AB34" s="40">
        <f>AB35+AB36+AB37+AB40+AB45+AB50+AB51+AB52+AB53+AB54+AB60+AB67+AB70+AB71+AB72+AB73+AB76+AB103+AB108+AB115+AB118+AB119+AB122+AB125+AB129+AB137+AB138+AB139+AB146+AB147+AB148+AB161</f>
        <v>333007</v>
      </c>
      <c r="AC34" s="40">
        <f t="shared" ref="AC34:AD34" si="35">AC35+AC36+AC37+AC40+AC45+AC50+AC51+AC52+AC53+AC54+AC60+AC67+AC70+AC71+AC72+AC73+AC76+AC103+AC108+AC115+AC118+AC119+AC122+AC125+AC129+AC137+AC138+AC139+AC146+AC147+AC148+AC161</f>
        <v>103398.51</v>
      </c>
      <c r="AD34" s="40">
        <f t="shared" si="35"/>
        <v>90828.329999999987</v>
      </c>
      <c r="AE34" s="58">
        <f t="shared" si="20"/>
        <v>0.27275201422192324</v>
      </c>
      <c r="AF34" s="58">
        <f t="shared" si="21"/>
        <v>0.31049950901932993</v>
      </c>
      <c r="AG34" s="40">
        <f t="shared" si="22"/>
        <v>333807</v>
      </c>
      <c r="AH34" s="40">
        <f t="shared" si="22"/>
        <v>333007</v>
      </c>
      <c r="AI34" s="40">
        <f t="shared" si="22"/>
        <v>103398.51</v>
      </c>
      <c r="AJ34" s="40">
        <f t="shared" si="22"/>
        <v>90828.329999999987</v>
      </c>
      <c r="AK34" s="58">
        <f t="shared" si="23"/>
        <v>0.27275201422192324</v>
      </c>
      <c r="AL34" s="58">
        <f t="shared" si="24"/>
        <v>0.31049950901932993</v>
      </c>
      <c r="AM34" s="40">
        <f t="shared" si="25"/>
        <v>1482802</v>
      </c>
      <c r="AN34" s="40">
        <f t="shared" si="25"/>
        <v>1482002</v>
      </c>
      <c r="AO34" s="40">
        <f t="shared" si="25"/>
        <v>721968.59</v>
      </c>
      <c r="AP34" s="40">
        <f t="shared" si="25"/>
        <v>577814.04999999993</v>
      </c>
      <c r="AQ34" s="58">
        <f t="shared" si="26"/>
        <v>0.38988749677800699</v>
      </c>
      <c r="AR34" s="58">
        <f t="shared" si="27"/>
        <v>0.48715763541479701</v>
      </c>
      <c r="AT34" s="38"/>
      <c r="AU34" s="38"/>
      <c r="AV34" s="38"/>
      <c r="AW34" s="38"/>
      <c r="AY34" s="38"/>
      <c r="AZ34" s="38"/>
      <c r="BA34" s="38"/>
      <c r="BB34" s="38"/>
    </row>
    <row r="35" spans="1:58" s="44" customFormat="1" x14ac:dyDescent="0.2">
      <c r="A35" s="41" t="str">
        <f>"502.01"</f>
        <v>502.01</v>
      </c>
      <c r="B35" s="42" t="s">
        <v>854</v>
      </c>
      <c r="C35" s="43">
        <f>CE_RegimeContributivo!B205</f>
        <v>0</v>
      </c>
      <c r="D35" s="43">
        <f>CE_RegimeContributivo!C205</f>
        <v>0</v>
      </c>
      <c r="E35" s="43">
        <f>CE_RegimeContributivo!E205</f>
        <v>0</v>
      </c>
      <c r="F35" s="43">
        <f>CE_RegimeContributivo!S205</f>
        <v>0</v>
      </c>
      <c r="G35" s="59" t="e">
        <f t="shared" si="8"/>
        <v>#DIV/0!</v>
      </c>
      <c r="H35" s="59" t="e">
        <f t="shared" si="9"/>
        <v>#DIV/0!</v>
      </c>
      <c r="I35" s="43">
        <f>CE_RegimeNaoContributivo!B205</f>
        <v>0</v>
      </c>
      <c r="J35" s="43">
        <f>CE_RegimeNaoContributivo!C205</f>
        <v>0</v>
      </c>
      <c r="K35" s="43">
        <f>CE_RegimeNaoContributivo!E205</f>
        <v>0</v>
      </c>
      <c r="L35" s="43">
        <f>CE_RegimeNaoContributivo!S205</f>
        <v>0</v>
      </c>
      <c r="M35" s="59" t="e">
        <f t="shared" si="11"/>
        <v>#DIV/0!</v>
      </c>
      <c r="N35" s="59" t="e">
        <f t="shared" si="12"/>
        <v>#DIV/0!</v>
      </c>
      <c r="O35" s="43">
        <f>CE_AdministraçãoINSS!B205</f>
        <v>0</v>
      </c>
      <c r="P35" s="43">
        <f>CE_AdministraçãoINSS!C205</f>
        <v>0</v>
      </c>
      <c r="Q35" s="43">
        <f>CE_AdministraçãoINSS!E205</f>
        <v>0</v>
      </c>
      <c r="R35" s="43">
        <f>CE_AdministraçãoINSS!S205</f>
        <v>0</v>
      </c>
      <c r="S35" s="59" t="e">
        <f t="shared" si="14"/>
        <v>#DIV/0!</v>
      </c>
      <c r="T35" s="59" t="e">
        <f t="shared" si="15"/>
        <v>#DIV/0!</v>
      </c>
      <c r="U35" s="43">
        <f t="shared" si="16"/>
        <v>0</v>
      </c>
      <c r="V35" s="43">
        <f t="shared" si="16"/>
        <v>0</v>
      </c>
      <c r="W35" s="43">
        <f t="shared" si="16"/>
        <v>0</v>
      </c>
      <c r="X35" s="43">
        <f t="shared" si="16"/>
        <v>0</v>
      </c>
      <c r="Y35" s="59" t="e">
        <f t="shared" si="17"/>
        <v>#DIV/0!</v>
      </c>
      <c r="Z35" s="59" t="e">
        <f t="shared" si="18"/>
        <v>#DIV/0!</v>
      </c>
      <c r="AA35" s="43">
        <f>CE_AdministraçãoFRSS!B205</f>
        <v>0</v>
      </c>
      <c r="AB35" s="43">
        <f>CE_AdministraçãoFRSS!C205</f>
        <v>0</v>
      </c>
      <c r="AC35" s="43">
        <f>CE_AdministraçãoFRSS!E205</f>
        <v>0</v>
      </c>
      <c r="AD35" s="43">
        <f>CE_AdministraçãoFRSS!S205</f>
        <v>0</v>
      </c>
      <c r="AE35" s="59" t="e">
        <f t="shared" si="20"/>
        <v>#DIV/0!</v>
      </c>
      <c r="AF35" s="59" t="e">
        <f t="shared" si="21"/>
        <v>#DIV/0!</v>
      </c>
      <c r="AG35" s="43">
        <f t="shared" si="22"/>
        <v>0</v>
      </c>
      <c r="AH35" s="43">
        <f t="shared" si="22"/>
        <v>0</v>
      </c>
      <c r="AI35" s="43">
        <f t="shared" si="22"/>
        <v>0</v>
      </c>
      <c r="AJ35" s="43">
        <f t="shared" si="22"/>
        <v>0</v>
      </c>
      <c r="AK35" s="59" t="e">
        <f t="shared" si="23"/>
        <v>#DIV/0!</v>
      </c>
      <c r="AL35" s="59" t="e">
        <f t="shared" si="24"/>
        <v>#DIV/0!</v>
      </c>
      <c r="AM35" s="43">
        <f t="shared" si="25"/>
        <v>0</v>
      </c>
      <c r="AN35" s="43">
        <f t="shared" si="25"/>
        <v>0</v>
      </c>
      <c r="AO35" s="43">
        <f t="shared" si="25"/>
        <v>0</v>
      </c>
      <c r="AP35" s="43">
        <f t="shared" si="25"/>
        <v>0</v>
      </c>
      <c r="AQ35" s="59" t="e">
        <f t="shared" si="26"/>
        <v>#DIV/0!</v>
      </c>
      <c r="AR35" s="59" t="e">
        <f t="shared" si="27"/>
        <v>#DIV/0!</v>
      </c>
      <c r="AT35" s="38"/>
      <c r="AU35" s="38"/>
      <c r="AV35" s="38"/>
      <c r="AW35" s="38"/>
      <c r="AY35" s="38"/>
      <c r="AZ35" s="38"/>
      <c r="BA35" s="38"/>
      <c r="BB35" s="38"/>
      <c r="BC35" s="36"/>
      <c r="BD35" s="36"/>
      <c r="BE35" s="36"/>
      <c r="BF35" s="36"/>
    </row>
    <row r="36" spans="1:58" s="44" customFormat="1" x14ac:dyDescent="0.2">
      <c r="A36" s="41" t="str">
        <f>"502.02"</f>
        <v>502.02</v>
      </c>
      <c r="B36" s="42" t="s">
        <v>855</v>
      </c>
      <c r="C36" s="43">
        <f>CE_RegimeContributivo!B206</f>
        <v>0</v>
      </c>
      <c r="D36" s="43">
        <f>CE_RegimeContributivo!C206</f>
        <v>0</v>
      </c>
      <c r="E36" s="43">
        <f>CE_RegimeContributivo!E206</f>
        <v>0</v>
      </c>
      <c r="F36" s="43">
        <f>CE_RegimeContributivo!S206</f>
        <v>0</v>
      </c>
      <c r="G36" s="59" t="e">
        <f t="shared" si="8"/>
        <v>#DIV/0!</v>
      </c>
      <c r="H36" s="59" t="e">
        <f t="shared" si="9"/>
        <v>#DIV/0!</v>
      </c>
      <c r="I36" s="43">
        <f>CE_RegimeNaoContributivo!B206</f>
        <v>0</v>
      </c>
      <c r="J36" s="43">
        <f>CE_RegimeNaoContributivo!C206</f>
        <v>0</v>
      </c>
      <c r="K36" s="43">
        <f>CE_RegimeNaoContributivo!E206</f>
        <v>0</v>
      </c>
      <c r="L36" s="43">
        <f>CE_RegimeNaoContributivo!S206</f>
        <v>0</v>
      </c>
      <c r="M36" s="59" t="e">
        <f t="shared" si="11"/>
        <v>#DIV/0!</v>
      </c>
      <c r="N36" s="59" t="e">
        <f t="shared" si="12"/>
        <v>#DIV/0!</v>
      </c>
      <c r="O36" s="43">
        <f>CE_AdministraçãoINSS!B206</f>
        <v>0</v>
      </c>
      <c r="P36" s="43">
        <f>CE_AdministraçãoINSS!C206</f>
        <v>0</v>
      </c>
      <c r="Q36" s="43">
        <f>CE_AdministraçãoINSS!E206</f>
        <v>0</v>
      </c>
      <c r="R36" s="43">
        <f>CE_AdministraçãoINSS!S206</f>
        <v>0</v>
      </c>
      <c r="S36" s="59" t="e">
        <f t="shared" si="14"/>
        <v>#DIV/0!</v>
      </c>
      <c r="T36" s="59" t="e">
        <f t="shared" si="15"/>
        <v>#DIV/0!</v>
      </c>
      <c r="U36" s="43">
        <f t="shared" si="16"/>
        <v>0</v>
      </c>
      <c r="V36" s="43">
        <f t="shared" si="16"/>
        <v>0</v>
      </c>
      <c r="W36" s="43">
        <f t="shared" si="16"/>
        <v>0</v>
      </c>
      <c r="X36" s="43">
        <f t="shared" si="16"/>
        <v>0</v>
      </c>
      <c r="Y36" s="59" t="e">
        <f t="shared" si="17"/>
        <v>#DIV/0!</v>
      </c>
      <c r="Z36" s="59" t="e">
        <f t="shared" si="18"/>
        <v>#DIV/0!</v>
      </c>
      <c r="AA36" s="43">
        <f>CE_AdministraçãoFRSS!B206</f>
        <v>0</v>
      </c>
      <c r="AB36" s="43">
        <f>CE_AdministraçãoFRSS!C206</f>
        <v>0</v>
      </c>
      <c r="AC36" s="43">
        <f>CE_AdministraçãoFRSS!E206</f>
        <v>0</v>
      </c>
      <c r="AD36" s="43">
        <f>CE_AdministraçãoFRSS!S206</f>
        <v>0</v>
      </c>
      <c r="AE36" s="59" t="e">
        <f t="shared" si="20"/>
        <v>#DIV/0!</v>
      </c>
      <c r="AF36" s="59" t="e">
        <f t="shared" si="21"/>
        <v>#DIV/0!</v>
      </c>
      <c r="AG36" s="43">
        <f t="shared" si="22"/>
        <v>0</v>
      </c>
      <c r="AH36" s="43">
        <f t="shared" si="22"/>
        <v>0</v>
      </c>
      <c r="AI36" s="43">
        <f t="shared" si="22"/>
        <v>0</v>
      </c>
      <c r="AJ36" s="43">
        <f t="shared" si="22"/>
        <v>0</v>
      </c>
      <c r="AK36" s="59" t="e">
        <f t="shared" si="23"/>
        <v>#DIV/0!</v>
      </c>
      <c r="AL36" s="59" t="e">
        <f t="shared" si="24"/>
        <v>#DIV/0!</v>
      </c>
      <c r="AM36" s="43">
        <f t="shared" si="25"/>
        <v>0</v>
      </c>
      <c r="AN36" s="43">
        <f t="shared" si="25"/>
        <v>0</v>
      </c>
      <c r="AO36" s="43">
        <f t="shared" si="25"/>
        <v>0</v>
      </c>
      <c r="AP36" s="43">
        <f t="shared" si="25"/>
        <v>0</v>
      </c>
      <c r="AQ36" s="59" t="e">
        <f t="shared" si="26"/>
        <v>#DIV/0!</v>
      </c>
      <c r="AR36" s="59" t="e">
        <f t="shared" si="27"/>
        <v>#DIV/0!</v>
      </c>
      <c r="AT36" s="38"/>
      <c r="AU36" s="38"/>
      <c r="AV36" s="38"/>
      <c r="AW36" s="38"/>
      <c r="AY36" s="38"/>
      <c r="AZ36" s="38"/>
      <c r="BA36" s="38"/>
      <c r="BB36" s="38"/>
      <c r="BC36" s="36"/>
      <c r="BD36" s="36"/>
      <c r="BE36" s="36"/>
      <c r="BF36" s="36"/>
    </row>
    <row r="37" spans="1:58" s="44" customFormat="1" x14ac:dyDescent="0.2">
      <c r="A37" s="41" t="str">
        <f>"502.03"</f>
        <v>502.03</v>
      </c>
      <c r="B37" s="42" t="s">
        <v>856</v>
      </c>
      <c r="C37" s="43">
        <f>C38+C39</f>
        <v>0</v>
      </c>
      <c r="D37" s="43">
        <f>D38+D39</f>
        <v>0</v>
      </c>
      <c r="E37" s="43">
        <f>E38+E39</f>
        <v>0</v>
      </c>
      <c r="F37" s="43">
        <f t="shared" ref="F37" si="36">F38+F39</f>
        <v>0</v>
      </c>
      <c r="G37" s="59" t="e">
        <f t="shared" si="8"/>
        <v>#DIV/0!</v>
      </c>
      <c r="H37" s="59" t="e">
        <f t="shared" si="9"/>
        <v>#DIV/0!</v>
      </c>
      <c r="I37" s="43">
        <f>I38+I39</f>
        <v>0</v>
      </c>
      <c r="J37" s="43">
        <f>J38+J39</f>
        <v>0</v>
      </c>
      <c r="K37" s="43">
        <f t="shared" ref="K37:L37" si="37">K38+K39</f>
        <v>0</v>
      </c>
      <c r="L37" s="43">
        <f t="shared" si="37"/>
        <v>0</v>
      </c>
      <c r="M37" s="59" t="e">
        <f t="shared" si="11"/>
        <v>#DIV/0!</v>
      </c>
      <c r="N37" s="59" t="e">
        <f t="shared" si="12"/>
        <v>#DIV/0!</v>
      </c>
      <c r="O37" s="43">
        <f>O38+O39</f>
        <v>0</v>
      </c>
      <c r="P37" s="43">
        <f>P38+P39</f>
        <v>0</v>
      </c>
      <c r="Q37" s="43">
        <f t="shared" ref="Q37:R37" si="38">Q38+Q39</f>
        <v>0</v>
      </c>
      <c r="R37" s="43">
        <f t="shared" si="38"/>
        <v>0</v>
      </c>
      <c r="S37" s="59" t="e">
        <f t="shared" si="14"/>
        <v>#DIV/0!</v>
      </c>
      <c r="T37" s="59" t="e">
        <f t="shared" si="15"/>
        <v>#DIV/0!</v>
      </c>
      <c r="U37" s="43">
        <f t="shared" si="16"/>
        <v>0</v>
      </c>
      <c r="V37" s="43">
        <f t="shared" si="16"/>
        <v>0</v>
      </c>
      <c r="W37" s="43">
        <f t="shared" si="16"/>
        <v>0</v>
      </c>
      <c r="X37" s="43">
        <f t="shared" si="16"/>
        <v>0</v>
      </c>
      <c r="Y37" s="59" t="e">
        <f t="shared" si="17"/>
        <v>#DIV/0!</v>
      </c>
      <c r="Z37" s="59" t="e">
        <f t="shared" si="18"/>
        <v>#DIV/0!</v>
      </c>
      <c r="AA37" s="43">
        <f>AA38+AA39</f>
        <v>0</v>
      </c>
      <c r="AB37" s="43">
        <f>AB38+AB39</f>
        <v>8675</v>
      </c>
      <c r="AC37" s="43">
        <f t="shared" ref="AC37:AD37" si="39">AC38+AC39</f>
        <v>0</v>
      </c>
      <c r="AD37" s="43">
        <f t="shared" si="39"/>
        <v>0</v>
      </c>
      <c r="AE37" s="59">
        <f t="shared" si="20"/>
        <v>0</v>
      </c>
      <c r="AF37" s="59">
        <f t="shared" si="21"/>
        <v>0</v>
      </c>
      <c r="AG37" s="43">
        <f t="shared" si="22"/>
        <v>0</v>
      </c>
      <c r="AH37" s="43">
        <f t="shared" si="22"/>
        <v>8675</v>
      </c>
      <c r="AI37" s="43">
        <f t="shared" si="22"/>
        <v>0</v>
      </c>
      <c r="AJ37" s="43">
        <f t="shared" si="22"/>
        <v>0</v>
      </c>
      <c r="AK37" s="59">
        <f t="shared" si="23"/>
        <v>0</v>
      </c>
      <c r="AL37" s="59">
        <f t="shared" si="24"/>
        <v>0</v>
      </c>
      <c r="AM37" s="43">
        <f t="shared" si="25"/>
        <v>0</v>
      </c>
      <c r="AN37" s="43">
        <f t="shared" si="25"/>
        <v>8675</v>
      </c>
      <c r="AO37" s="43">
        <f t="shared" si="25"/>
        <v>0</v>
      </c>
      <c r="AP37" s="43">
        <f t="shared" si="25"/>
        <v>0</v>
      </c>
      <c r="AQ37" s="59">
        <f t="shared" si="26"/>
        <v>0</v>
      </c>
      <c r="AR37" s="59">
        <f t="shared" si="27"/>
        <v>0</v>
      </c>
      <c r="AT37" s="38"/>
      <c r="AU37" s="38"/>
      <c r="AV37" s="38"/>
      <c r="AW37" s="38"/>
      <c r="AY37" s="38"/>
      <c r="AZ37" s="38"/>
      <c r="BA37" s="38"/>
      <c r="BB37" s="38"/>
      <c r="BC37" s="36"/>
      <c r="BD37" s="36"/>
      <c r="BE37" s="36"/>
      <c r="BF37" s="36"/>
    </row>
    <row r="38" spans="1:58" x14ac:dyDescent="0.2">
      <c r="A38" s="45" t="str">
        <f>"502.03.01"</f>
        <v>502.03.01</v>
      </c>
      <c r="B38" s="45" t="s">
        <v>857</v>
      </c>
      <c r="C38" s="46">
        <f>CE_RegimeContributivo!B208</f>
        <v>0</v>
      </c>
      <c r="D38" s="46">
        <f>CE_RegimeContributivo!C208</f>
        <v>0</v>
      </c>
      <c r="E38" s="46">
        <f>CE_RegimeContributivo!E208</f>
        <v>0</v>
      </c>
      <c r="F38" s="46">
        <f>CE_RegimeContributivo!S208</f>
        <v>0</v>
      </c>
      <c r="G38" s="60" t="e">
        <f t="shared" si="8"/>
        <v>#DIV/0!</v>
      </c>
      <c r="H38" s="60" t="e">
        <f t="shared" si="9"/>
        <v>#DIV/0!</v>
      </c>
      <c r="I38" s="46">
        <f>CE_RegimeNaoContributivo!B208</f>
        <v>0</v>
      </c>
      <c r="J38" s="46">
        <f>CE_RegimeNaoContributivo!C208</f>
        <v>0</v>
      </c>
      <c r="K38" s="46">
        <f>CE_RegimeNaoContributivo!E208</f>
        <v>0</v>
      </c>
      <c r="L38" s="46">
        <f>CE_RegimeNaoContributivo!S208</f>
        <v>0</v>
      </c>
      <c r="M38" s="60" t="e">
        <f t="shared" si="11"/>
        <v>#DIV/0!</v>
      </c>
      <c r="N38" s="60" t="e">
        <f t="shared" si="12"/>
        <v>#DIV/0!</v>
      </c>
      <c r="O38" s="46">
        <f>CE_AdministraçãoINSS!B208</f>
        <v>0</v>
      </c>
      <c r="P38" s="46">
        <f>CE_AdministraçãoINSS!C208</f>
        <v>0</v>
      </c>
      <c r="Q38" s="46">
        <f>CE_AdministraçãoINSS!E208</f>
        <v>0</v>
      </c>
      <c r="R38" s="46">
        <f>CE_AdministraçãoINSS!S208</f>
        <v>0</v>
      </c>
      <c r="S38" s="60" t="e">
        <f t="shared" si="14"/>
        <v>#DIV/0!</v>
      </c>
      <c r="T38" s="60" t="e">
        <f t="shared" si="15"/>
        <v>#DIV/0!</v>
      </c>
      <c r="U38" s="46">
        <f t="shared" si="16"/>
        <v>0</v>
      </c>
      <c r="V38" s="46">
        <f t="shared" si="16"/>
        <v>0</v>
      </c>
      <c r="W38" s="46">
        <f t="shared" si="16"/>
        <v>0</v>
      </c>
      <c r="X38" s="46">
        <f t="shared" si="16"/>
        <v>0</v>
      </c>
      <c r="Y38" s="60" t="e">
        <f t="shared" si="17"/>
        <v>#DIV/0!</v>
      </c>
      <c r="Z38" s="60" t="e">
        <f t="shared" si="18"/>
        <v>#DIV/0!</v>
      </c>
      <c r="AA38" s="46">
        <f>CE_AdministraçãoFRSS!B208</f>
        <v>0</v>
      </c>
      <c r="AB38" s="46">
        <f>CE_AdministraçãoFRSS!C208</f>
        <v>8675</v>
      </c>
      <c r="AC38" s="46">
        <f>CE_AdministraçãoFRSS!E208</f>
        <v>0</v>
      </c>
      <c r="AD38" s="46">
        <f>CE_AdministraçãoFRSS!S208</f>
        <v>0</v>
      </c>
      <c r="AE38" s="60">
        <f t="shared" si="20"/>
        <v>0</v>
      </c>
      <c r="AF38" s="60">
        <f t="shared" si="21"/>
        <v>0</v>
      </c>
      <c r="AG38" s="46">
        <f t="shared" si="22"/>
        <v>0</v>
      </c>
      <c r="AH38" s="46">
        <f t="shared" si="22"/>
        <v>8675</v>
      </c>
      <c r="AI38" s="46">
        <f t="shared" si="22"/>
        <v>0</v>
      </c>
      <c r="AJ38" s="46">
        <f t="shared" si="22"/>
        <v>0</v>
      </c>
      <c r="AK38" s="60">
        <f t="shared" si="23"/>
        <v>0</v>
      </c>
      <c r="AL38" s="60">
        <f t="shared" si="24"/>
        <v>0</v>
      </c>
      <c r="AM38" s="46">
        <f t="shared" si="25"/>
        <v>0</v>
      </c>
      <c r="AN38" s="46">
        <f t="shared" si="25"/>
        <v>8675</v>
      </c>
      <c r="AO38" s="46">
        <f t="shared" si="25"/>
        <v>0</v>
      </c>
      <c r="AP38" s="46">
        <f t="shared" si="25"/>
        <v>0</v>
      </c>
      <c r="AQ38" s="60">
        <f t="shared" si="26"/>
        <v>0</v>
      </c>
      <c r="AR38" s="60">
        <f t="shared" si="27"/>
        <v>0</v>
      </c>
      <c r="AT38" s="38"/>
      <c r="AU38" s="38"/>
      <c r="AV38" s="38"/>
      <c r="AW38" s="38"/>
      <c r="AY38" s="38"/>
      <c r="AZ38" s="38"/>
      <c r="BA38" s="38"/>
      <c r="BB38" s="38"/>
    </row>
    <row r="39" spans="1:58" x14ac:dyDescent="0.2">
      <c r="A39" s="45" t="str">
        <f>"502.03.02"</f>
        <v>502.03.02</v>
      </c>
      <c r="B39" s="45" t="s">
        <v>858</v>
      </c>
      <c r="C39" s="46">
        <f>CE_RegimeContributivo!B209</f>
        <v>0</v>
      </c>
      <c r="D39" s="46">
        <f>CE_RegimeContributivo!C209</f>
        <v>0</v>
      </c>
      <c r="E39" s="46">
        <f>CE_RegimeContributivo!E209</f>
        <v>0</v>
      </c>
      <c r="F39" s="46">
        <f>CE_RegimeContributivo!S209</f>
        <v>0</v>
      </c>
      <c r="G39" s="60" t="e">
        <f t="shared" si="8"/>
        <v>#DIV/0!</v>
      </c>
      <c r="H39" s="60" t="e">
        <f t="shared" si="9"/>
        <v>#DIV/0!</v>
      </c>
      <c r="I39" s="46">
        <f>CE_RegimeNaoContributivo!B209</f>
        <v>0</v>
      </c>
      <c r="J39" s="46">
        <f>CE_RegimeNaoContributivo!C209</f>
        <v>0</v>
      </c>
      <c r="K39" s="46">
        <f>CE_RegimeNaoContributivo!E209</f>
        <v>0</v>
      </c>
      <c r="L39" s="46">
        <f>CE_RegimeNaoContributivo!S209</f>
        <v>0</v>
      </c>
      <c r="M39" s="60" t="e">
        <f t="shared" si="11"/>
        <v>#DIV/0!</v>
      </c>
      <c r="N39" s="60" t="e">
        <f t="shared" si="12"/>
        <v>#DIV/0!</v>
      </c>
      <c r="O39" s="46">
        <f>CE_AdministraçãoINSS!B209</f>
        <v>0</v>
      </c>
      <c r="P39" s="46">
        <f>CE_AdministraçãoINSS!C209</f>
        <v>0</v>
      </c>
      <c r="Q39" s="46">
        <f>CE_AdministraçãoINSS!E209</f>
        <v>0</v>
      </c>
      <c r="R39" s="46">
        <f>CE_AdministraçãoINSS!S209</f>
        <v>0</v>
      </c>
      <c r="S39" s="60" t="e">
        <f t="shared" si="14"/>
        <v>#DIV/0!</v>
      </c>
      <c r="T39" s="60" t="e">
        <f t="shared" si="15"/>
        <v>#DIV/0!</v>
      </c>
      <c r="U39" s="46">
        <f t="shared" si="16"/>
        <v>0</v>
      </c>
      <c r="V39" s="46">
        <f t="shared" si="16"/>
        <v>0</v>
      </c>
      <c r="W39" s="46">
        <f t="shared" si="16"/>
        <v>0</v>
      </c>
      <c r="X39" s="46">
        <f t="shared" si="16"/>
        <v>0</v>
      </c>
      <c r="Y39" s="60" t="e">
        <f t="shared" si="17"/>
        <v>#DIV/0!</v>
      </c>
      <c r="Z39" s="60" t="e">
        <f t="shared" si="18"/>
        <v>#DIV/0!</v>
      </c>
      <c r="AA39" s="46">
        <f>CE_AdministraçãoFRSS!B209</f>
        <v>0</v>
      </c>
      <c r="AB39" s="46">
        <f>CE_AdministraçãoFRSS!C209</f>
        <v>0</v>
      </c>
      <c r="AC39" s="46">
        <f>CE_AdministraçãoFRSS!E209</f>
        <v>0</v>
      </c>
      <c r="AD39" s="46">
        <f>CE_AdministraçãoFRSS!S209</f>
        <v>0</v>
      </c>
      <c r="AE39" s="60" t="e">
        <f t="shared" si="20"/>
        <v>#DIV/0!</v>
      </c>
      <c r="AF39" s="60" t="e">
        <f t="shared" si="21"/>
        <v>#DIV/0!</v>
      </c>
      <c r="AG39" s="46">
        <f t="shared" si="22"/>
        <v>0</v>
      </c>
      <c r="AH39" s="46">
        <f t="shared" si="22"/>
        <v>0</v>
      </c>
      <c r="AI39" s="46">
        <f t="shared" si="22"/>
        <v>0</v>
      </c>
      <c r="AJ39" s="46">
        <f t="shared" si="22"/>
        <v>0</v>
      </c>
      <c r="AK39" s="60" t="e">
        <f t="shared" si="23"/>
        <v>#DIV/0!</v>
      </c>
      <c r="AL39" s="60" t="e">
        <f t="shared" si="24"/>
        <v>#DIV/0!</v>
      </c>
      <c r="AM39" s="46">
        <f t="shared" si="25"/>
        <v>0</v>
      </c>
      <c r="AN39" s="46">
        <f t="shared" si="25"/>
        <v>0</v>
      </c>
      <c r="AO39" s="46">
        <f t="shared" si="25"/>
        <v>0</v>
      </c>
      <c r="AP39" s="46">
        <f t="shared" si="25"/>
        <v>0</v>
      </c>
      <c r="AQ39" s="60" t="e">
        <f t="shared" si="26"/>
        <v>#DIV/0!</v>
      </c>
      <c r="AR39" s="60" t="e">
        <f t="shared" si="27"/>
        <v>#DIV/0!</v>
      </c>
      <c r="AT39" s="38"/>
      <c r="AU39" s="38"/>
      <c r="AV39" s="38"/>
      <c r="AW39" s="38"/>
      <c r="AY39" s="38"/>
      <c r="AZ39" s="38"/>
      <c r="BA39" s="38"/>
      <c r="BB39" s="38"/>
    </row>
    <row r="40" spans="1:58" s="44" customFormat="1" x14ac:dyDescent="0.2">
      <c r="A40" s="41" t="str">
        <f>"502.04"</f>
        <v>502.04</v>
      </c>
      <c r="B40" s="42" t="s">
        <v>782</v>
      </c>
      <c r="C40" s="43">
        <f>SUM(C41:C44)</f>
        <v>0</v>
      </c>
      <c r="D40" s="43">
        <f>SUM(D41:D44)</f>
        <v>0</v>
      </c>
      <c r="E40" s="43">
        <f>SUM(E41:E44)</f>
        <v>0</v>
      </c>
      <c r="F40" s="43">
        <f t="shared" ref="F40" si="40">SUM(F41:F44)</f>
        <v>0</v>
      </c>
      <c r="G40" s="59" t="e">
        <f t="shared" si="8"/>
        <v>#DIV/0!</v>
      </c>
      <c r="H40" s="59" t="e">
        <f t="shared" si="9"/>
        <v>#DIV/0!</v>
      </c>
      <c r="I40" s="43">
        <f>SUM(I41:I44)</f>
        <v>0</v>
      </c>
      <c r="J40" s="43">
        <f>SUM(J41:J44)</f>
        <v>0</v>
      </c>
      <c r="K40" s="43">
        <f t="shared" ref="K40:L40" si="41">SUM(K41:K44)</f>
        <v>0</v>
      </c>
      <c r="L40" s="43">
        <f t="shared" si="41"/>
        <v>0</v>
      </c>
      <c r="M40" s="59" t="e">
        <f t="shared" si="11"/>
        <v>#DIV/0!</v>
      </c>
      <c r="N40" s="59" t="e">
        <f t="shared" si="12"/>
        <v>#DIV/0!</v>
      </c>
      <c r="O40" s="43">
        <f>SUM(O41:O44)</f>
        <v>0</v>
      </c>
      <c r="P40" s="43">
        <f>SUM(P41:P44)</f>
        <v>0</v>
      </c>
      <c r="Q40" s="43">
        <f t="shared" ref="Q40:R40" si="42">SUM(Q41:Q44)</f>
        <v>0</v>
      </c>
      <c r="R40" s="43">
        <f t="shared" si="42"/>
        <v>0</v>
      </c>
      <c r="S40" s="59" t="e">
        <f t="shared" si="14"/>
        <v>#DIV/0!</v>
      </c>
      <c r="T40" s="59" t="e">
        <f t="shared" si="15"/>
        <v>#DIV/0!</v>
      </c>
      <c r="U40" s="43">
        <f t="shared" si="16"/>
        <v>0</v>
      </c>
      <c r="V40" s="43">
        <f t="shared" si="16"/>
        <v>0</v>
      </c>
      <c r="W40" s="43">
        <f t="shared" si="16"/>
        <v>0</v>
      </c>
      <c r="X40" s="43">
        <f t="shared" si="16"/>
        <v>0</v>
      </c>
      <c r="Y40" s="59" t="e">
        <f t="shared" si="17"/>
        <v>#DIV/0!</v>
      </c>
      <c r="Z40" s="59" t="e">
        <f t="shared" si="18"/>
        <v>#DIV/0!</v>
      </c>
      <c r="AA40" s="43">
        <f>SUM(AA41:AA44)</f>
        <v>0</v>
      </c>
      <c r="AB40" s="43">
        <f>SUM(AB41:AB44)</f>
        <v>0</v>
      </c>
      <c r="AC40" s="43">
        <f t="shared" ref="AC40:AD40" si="43">SUM(AC41:AC44)</f>
        <v>0</v>
      </c>
      <c r="AD40" s="43">
        <f t="shared" si="43"/>
        <v>0</v>
      </c>
      <c r="AE40" s="59" t="e">
        <f t="shared" si="20"/>
        <v>#DIV/0!</v>
      </c>
      <c r="AF40" s="59" t="e">
        <f t="shared" si="21"/>
        <v>#DIV/0!</v>
      </c>
      <c r="AG40" s="43">
        <f t="shared" si="22"/>
        <v>0</v>
      </c>
      <c r="AH40" s="43">
        <f t="shared" si="22"/>
        <v>0</v>
      </c>
      <c r="AI40" s="43">
        <f t="shared" si="22"/>
        <v>0</v>
      </c>
      <c r="AJ40" s="43">
        <f t="shared" si="22"/>
        <v>0</v>
      </c>
      <c r="AK40" s="59" t="e">
        <f t="shared" si="23"/>
        <v>#DIV/0!</v>
      </c>
      <c r="AL40" s="59" t="e">
        <f t="shared" si="24"/>
        <v>#DIV/0!</v>
      </c>
      <c r="AM40" s="43">
        <f t="shared" si="25"/>
        <v>0</v>
      </c>
      <c r="AN40" s="43">
        <f t="shared" si="25"/>
        <v>0</v>
      </c>
      <c r="AO40" s="43">
        <f t="shared" si="25"/>
        <v>0</v>
      </c>
      <c r="AP40" s="43">
        <f t="shared" si="25"/>
        <v>0</v>
      </c>
      <c r="AQ40" s="59" t="e">
        <f t="shared" si="26"/>
        <v>#DIV/0!</v>
      </c>
      <c r="AR40" s="59" t="e">
        <f t="shared" si="27"/>
        <v>#DIV/0!</v>
      </c>
      <c r="AT40" s="38"/>
      <c r="AU40" s="38"/>
      <c r="AV40" s="38"/>
      <c r="AW40" s="38"/>
      <c r="AY40" s="38"/>
      <c r="AZ40" s="38"/>
      <c r="BA40" s="38"/>
      <c r="BB40" s="38"/>
      <c r="BC40" s="36"/>
      <c r="BD40" s="36"/>
      <c r="BE40" s="36"/>
      <c r="BF40" s="36"/>
    </row>
    <row r="41" spans="1:58" x14ac:dyDescent="0.2">
      <c r="A41" s="45" t="str">
        <f>"502.04.01"</f>
        <v>502.04.01</v>
      </c>
      <c r="B41" s="45" t="s">
        <v>859</v>
      </c>
      <c r="C41" s="46">
        <f>CE_RegimeContributivo!B211</f>
        <v>0</v>
      </c>
      <c r="D41" s="46">
        <f>CE_RegimeContributivo!C211</f>
        <v>0</v>
      </c>
      <c r="E41" s="46">
        <f>CE_RegimeContributivo!E211</f>
        <v>0</v>
      </c>
      <c r="F41" s="46">
        <f>CE_RegimeContributivo!S211</f>
        <v>0</v>
      </c>
      <c r="G41" s="60" t="e">
        <f t="shared" si="8"/>
        <v>#DIV/0!</v>
      </c>
      <c r="H41" s="60" t="e">
        <f t="shared" si="9"/>
        <v>#DIV/0!</v>
      </c>
      <c r="I41" s="46">
        <f>CE_RegimeNaoContributivo!B211</f>
        <v>0</v>
      </c>
      <c r="J41" s="46">
        <f>CE_RegimeNaoContributivo!C211</f>
        <v>0</v>
      </c>
      <c r="K41" s="46">
        <f>CE_RegimeNaoContributivo!E211</f>
        <v>0</v>
      </c>
      <c r="L41" s="46">
        <f>CE_RegimeNaoContributivo!S211</f>
        <v>0</v>
      </c>
      <c r="M41" s="60" t="e">
        <f t="shared" si="11"/>
        <v>#DIV/0!</v>
      </c>
      <c r="N41" s="60" t="e">
        <f t="shared" si="12"/>
        <v>#DIV/0!</v>
      </c>
      <c r="O41" s="46">
        <f>CE_AdministraçãoINSS!B211</f>
        <v>0</v>
      </c>
      <c r="P41" s="46">
        <f>CE_AdministraçãoINSS!C211</f>
        <v>0</v>
      </c>
      <c r="Q41" s="46">
        <f>CE_AdministraçãoINSS!E211</f>
        <v>0</v>
      </c>
      <c r="R41" s="46">
        <f>CE_AdministraçãoINSS!S211</f>
        <v>0</v>
      </c>
      <c r="S41" s="60" t="e">
        <f t="shared" si="14"/>
        <v>#DIV/0!</v>
      </c>
      <c r="T41" s="60" t="e">
        <f t="shared" si="15"/>
        <v>#DIV/0!</v>
      </c>
      <c r="U41" s="46">
        <f t="shared" si="16"/>
        <v>0</v>
      </c>
      <c r="V41" s="46">
        <f t="shared" si="16"/>
        <v>0</v>
      </c>
      <c r="W41" s="46">
        <f t="shared" si="16"/>
        <v>0</v>
      </c>
      <c r="X41" s="46">
        <f t="shared" si="16"/>
        <v>0</v>
      </c>
      <c r="Y41" s="60" t="e">
        <f t="shared" si="17"/>
        <v>#DIV/0!</v>
      </c>
      <c r="Z41" s="60" t="e">
        <f t="shared" si="18"/>
        <v>#DIV/0!</v>
      </c>
      <c r="AA41" s="46">
        <f>CE_AdministraçãoFRSS!B211</f>
        <v>0</v>
      </c>
      <c r="AB41" s="46">
        <f>CE_AdministraçãoFRSS!C211</f>
        <v>0</v>
      </c>
      <c r="AC41" s="46">
        <f>CE_AdministraçãoFRSS!E211</f>
        <v>0</v>
      </c>
      <c r="AD41" s="46">
        <f>CE_AdministraçãoFRSS!S211</f>
        <v>0</v>
      </c>
      <c r="AE41" s="60" t="e">
        <f t="shared" si="20"/>
        <v>#DIV/0!</v>
      </c>
      <c r="AF41" s="60" t="e">
        <f t="shared" si="21"/>
        <v>#DIV/0!</v>
      </c>
      <c r="AG41" s="46">
        <f t="shared" si="22"/>
        <v>0</v>
      </c>
      <c r="AH41" s="46">
        <f t="shared" si="22"/>
        <v>0</v>
      </c>
      <c r="AI41" s="46">
        <f t="shared" si="22"/>
        <v>0</v>
      </c>
      <c r="AJ41" s="46">
        <f t="shared" si="22"/>
        <v>0</v>
      </c>
      <c r="AK41" s="60" t="e">
        <f t="shared" si="23"/>
        <v>#DIV/0!</v>
      </c>
      <c r="AL41" s="60" t="e">
        <f t="shared" si="24"/>
        <v>#DIV/0!</v>
      </c>
      <c r="AM41" s="46">
        <f t="shared" si="25"/>
        <v>0</v>
      </c>
      <c r="AN41" s="46">
        <f t="shared" si="25"/>
        <v>0</v>
      </c>
      <c r="AO41" s="46">
        <f t="shared" si="25"/>
        <v>0</v>
      </c>
      <c r="AP41" s="46">
        <f t="shared" si="25"/>
        <v>0</v>
      </c>
      <c r="AQ41" s="60" t="e">
        <f t="shared" si="26"/>
        <v>#DIV/0!</v>
      </c>
      <c r="AR41" s="60" t="e">
        <f t="shared" si="27"/>
        <v>#DIV/0!</v>
      </c>
      <c r="AT41" s="38"/>
      <c r="AU41" s="38"/>
      <c r="AV41" s="38"/>
      <c r="AW41" s="38"/>
      <c r="AY41" s="38"/>
      <c r="AZ41" s="38"/>
      <c r="BA41" s="38"/>
      <c r="BB41" s="38"/>
    </row>
    <row r="42" spans="1:58" x14ac:dyDescent="0.2">
      <c r="A42" s="45" t="str">
        <f>"502.04.02"</f>
        <v>502.04.02</v>
      </c>
      <c r="B42" s="45" t="s">
        <v>860</v>
      </c>
      <c r="C42" s="46">
        <f>CE_RegimeContributivo!B212</f>
        <v>0</v>
      </c>
      <c r="D42" s="46">
        <f>CE_RegimeContributivo!C212</f>
        <v>0</v>
      </c>
      <c r="E42" s="46">
        <f>CE_RegimeContributivo!E212</f>
        <v>0</v>
      </c>
      <c r="F42" s="46">
        <f>CE_RegimeContributivo!S212</f>
        <v>0</v>
      </c>
      <c r="G42" s="60" t="e">
        <f t="shared" si="8"/>
        <v>#DIV/0!</v>
      </c>
      <c r="H42" s="60" t="e">
        <f t="shared" si="9"/>
        <v>#DIV/0!</v>
      </c>
      <c r="I42" s="46">
        <f>CE_RegimeNaoContributivo!B212</f>
        <v>0</v>
      </c>
      <c r="J42" s="46">
        <f>CE_RegimeNaoContributivo!C212</f>
        <v>0</v>
      </c>
      <c r="K42" s="46">
        <f>CE_RegimeNaoContributivo!E212</f>
        <v>0</v>
      </c>
      <c r="L42" s="46">
        <f>CE_RegimeNaoContributivo!S212</f>
        <v>0</v>
      </c>
      <c r="M42" s="60" t="e">
        <f t="shared" si="11"/>
        <v>#DIV/0!</v>
      </c>
      <c r="N42" s="60" t="e">
        <f t="shared" si="12"/>
        <v>#DIV/0!</v>
      </c>
      <c r="O42" s="46">
        <f>CE_AdministraçãoINSS!B212</f>
        <v>0</v>
      </c>
      <c r="P42" s="46">
        <f>CE_AdministraçãoINSS!C212</f>
        <v>0</v>
      </c>
      <c r="Q42" s="46">
        <f>CE_AdministraçãoINSS!E212</f>
        <v>0</v>
      </c>
      <c r="R42" s="46">
        <f>CE_AdministraçãoINSS!S212</f>
        <v>0</v>
      </c>
      <c r="S42" s="60" t="e">
        <f t="shared" si="14"/>
        <v>#DIV/0!</v>
      </c>
      <c r="T42" s="60" t="e">
        <f t="shared" si="15"/>
        <v>#DIV/0!</v>
      </c>
      <c r="U42" s="46">
        <f t="shared" si="16"/>
        <v>0</v>
      </c>
      <c r="V42" s="46">
        <f t="shared" si="16"/>
        <v>0</v>
      </c>
      <c r="W42" s="46">
        <f t="shared" si="16"/>
        <v>0</v>
      </c>
      <c r="X42" s="46">
        <f t="shared" si="16"/>
        <v>0</v>
      </c>
      <c r="Y42" s="60" t="e">
        <f t="shared" si="17"/>
        <v>#DIV/0!</v>
      </c>
      <c r="Z42" s="60" t="e">
        <f t="shared" si="18"/>
        <v>#DIV/0!</v>
      </c>
      <c r="AA42" s="46">
        <f>CE_AdministraçãoFRSS!B212</f>
        <v>0</v>
      </c>
      <c r="AB42" s="46">
        <f>CE_AdministraçãoFRSS!C212</f>
        <v>0</v>
      </c>
      <c r="AC42" s="46">
        <f>CE_AdministraçãoFRSS!E212</f>
        <v>0</v>
      </c>
      <c r="AD42" s="46">
        <f>CE_AdministraçãoFRSS!S212</f>
        <v>0</v>
      </c>
      <c r="AE42" s="60" t="e">
        <f t="shared" si="20"/>
        <v>#DIV/0!</v>
      </c>
      <c r="AF42" s="60" t="e">
        <f t="shared" si="21"/>
        <v>#DIV/0!</v>
      </c>
      <c r="AG42" s="46">
        <f t="shared" si="22"/>
        <v>0</v>
      </c>
      <c r="AH42" s="46">
        <f t="shared" si="22"/>
        <v>0</v>
      </c>
      <c r="AI42" s="46">
        <f t="shared" si="22"/>
        <v>0</v>
      </c>
      <c r="AJ42" s="46">
        <f t="shared" si="22"/>
        <v>0</v>
      </c>
      <c r="AK42" s="60" t="e">
        <f t="shared" si="23"/>
        <v>#DIV/0!</v>
      </c>
      <c r="AL42" s="60" t="e">
        <f t="shared" si="24"/>
        <v>#DIV/0!</v>
      </c>
      <c r="AM42" s="46">
        <f t="shared" si="25"/>
        <v>0</v>
      </c>
      <c r="AN42" s="46">
        <f t="shared" si="25"/>
        <v>0</v>
      </c>
      <c r="AO42" s="46">
        <f t="shared" si="25"/>
        <v>0</v>
      </c>
      <c r="AP42" s="46">
        <f t="shared" si="25"/>
        <v>0</v>
      </c>
      <c r="AQ42" s="60" t="e">
        <f t="shared" si="26"/>
        <v>#DIV/0!</v>
      </c>
      <c r="AR42" s="60" t="e">
        <f t="shared" si="27"/>
        <v>#DIV/0!</v>
      </c>
      <c r="AT42" s="38"/>
      <c r="AU42" s="38"/>
      <c r="AV42" s="38"/>
      <c r="AW42" s="38"/>
      <c r="AY42" s="38"/>
      <c r="AZ42" s="38"/>
      <c r="BA42" s="38"/>
      <c r="BB42" s="38"/>
    </row>
    <row r="43" spans="1:58" x14ac:dyDescent="0.2">
      <c r="A43" s="45" t="str">
        <f>"502.04.03"</f>
        <v>502.04.03</v>
      </c>
      <c r="B43" s="45" t="s">
        <v>861</v>
      </c>
      <c r="C43" s="46">
        <f>CE_RegimeContributivo!B213</f>
        <v>0</v>
      </c>
      <c r="D43" s="46">
        <f>CE_RegimeContributivo!C213</f>
        <v>0</v>
      </c>
      <c r="E43" s="46">
        <f>CE_RegimeContributivo!E213</f>
        <v>0</v>
      </c>
      <c r="F43" s="46">
        <f>CE_RegimeContributivo!S213</f>
        <v>0</v>
      </c>
      <c r="G43" s="60" t="e">
        <f t="shared" si="8"/>
        <v>#DIV/0!</v>
      </c>
      <c r="H43" s="60" t="e">
        <f t="shared" si="9"/>
        <v>#DIV/0!</v>
      </c>
      <c r="I43" s="46">
        <f>CE_RegimeNaoContributivo!B213</f>
        <v>0</v>
      </c>
      <c r="J43" s="46">
        <f>CE_RegimeNaoContributivo!C213</f>
        <v>0</v>
      </c>
      <c r="K43" s="46">
        <f>CE_RegimeNaoContributivo!E213</f>
        <v>0</v>
      </c>
      <c r="L43" s="46">
        <f>CE_RegimeNaoContributivo!S213</f>
        <v>0</v>
      </c>
      <c r="M43" s="60" t="e">
        <f t="shared" si="11"/>
        <v>#DIV/0!</v>
      </c>
      <c r="N43" s="60" t="e">
        <f t="shared" si="12"/>
        <v>#DIV/0!</v>
      </c>
      <c r="O43" s="46">
        <f>CE_AdministraçãoINSS!B213</f>
        <v>0</v>
      </c>
      <c r="P43" s="46">
        <f>CE_AdministraçãoINSS!C213</f>
        <v>0</v>
      </c>
      <c r="Q43" s="46">
        <f>CE_AdministraçãoINSS!E213</f>
        <v>0</v>
      </c>
      <c r="R43" s="46">
        <f>CE_AdministraçãoINSS!S213</f>
        <v>0</v>
      </c>
      <c r="S43" s="60" t="e">
        <f t="shared" si="14"/>
        <v>#DIV/0!</v>
      </c>
      <c r="T43" s="60" t="e">
        <f t="shared" si="15"/>
        <v>#DIV/0!</v>
      </c>
      <c r="U43" s="46">
        <f t="shared" si="16"/>
        <v>0</v>
      </c>
      <c r="V43" s="46">
        <f t="shared" si="16"/>
        <v>0</v>
      </c>
      <c r="W43" s="46">
        <f t="shared" si="16"/>
        <v>0</v>
      </c>
      <c r="X43" s="46">
        <f t="shared" si="16"/>
        <v>0</v>
      </c>
      <c r="Y43" s="60" t="e">
        <f t="shared" si="17"/>
        <v>#DIV/0!</v>
      </c>
      <c r="Z43" s="60" t="e">
        <f t="shared" si="18"/>
        <v>#DIV/0!</v>
      </c>
      <c r="AA43" s="46">
        <f>CE_AdministraçãoFRSS!B213</f>
        <v>0</v>
      </c>
      <c r="AB43" s="46">
        <f>CE_AdministraçãoFRSS!C213</f>
        <v>0</v>
      </c>
      <c r="AC43" s="46">
        <f>CE_AdministraçãoFRSS!E213</f>
        <v>0</v>
      </c>
      <c r="AD43" s="46">
        <f>CE_AdministraçãoFRSS!S213</f>
        <v>0</v>
      </c>
      <c r="AE43" s="60" t="e">
        <f t="shared" si="20"/>
        <v>#DIV/0!</v>
      </c>
      <c r="AF43" s="60" t="e">
        <f t="shared" si="21"/>
        <v>#DIV/0!</v>
      </c>
      <c r="AG43" s="46">
        <f t="shared" si="22"/>
        <v>0</v>
      </c>
      <c r="AH43" s="46">
        <f t="shared" si="22"/>
        <v>0</v>
      </c>
      <c r="AI43" s="46">
        <f t="shared" si="22"/>
        <v>0</v>
      </c>
      <c r="AJ43" s="46">
        <f t="shared" si="22"/>
        <v>0</v>
      </c>
      <c r="AK43" s="60" t="e">
        <f t="shared" si="23"/>
        <v>#DIV/0!</v>
      </c>
      <c r="AL43" s="60" t="e">
        <f t="shared" si="24"/>
        <v>#DIV/0!</v>
      </c>
      <c r="AM43" s="46">
        <f t="shared" si="25"/>
        <v>0</v>
      </c>
      <c r="AN43" s="46">
        <f t="shared" si="25"/>
        <v>0</v>
      </c>
      <c r="AO43" s="46">
        <f t="shared" si="25"/>
        <v>0</v>
      </c>
      <c r="AP43" s="46">
        <f t="shared" si="25"/>
        <v>0</v>
      </c>
      <c r="AQ43" s="60" t="e">
        <f t="shared" si="26"/>
        <v>#DIV/0!</v>
      </c>
      <c r="AR43" s="60" t="e">
        <f t="shared" si="27"/>
        <v>#DIV/0!</v>
      </c>
      <c r="AT43" s="38"/>
      <c r="AU43" s="38"/>
      <c r="AV43" s="38"/>
      <c r="AW43" s="38"/>
      <c r="AY43" s="38"/>
      <c r="AZ43" s="38"/>
      <c r="BA43" s="38"/>
      <c r="BB43" s="38"/>
    </row>
    <row r="44" spans="1:58" x14ac:dyDescent="0.2">
      <c r="A44" s="45" t="str">
        <f>"502.04.04"</f>
        <v>502.04.04</v>
      </c>
      <c r="B44" s="45" t="s">
        <v>862</v>
      </c>
      <c r="C44" s="46">
        <f>CE_RegimeContributivo!B214</f>
        <v>0</v>
      </c>
      <c r="D44" s="46">
        <f>CE_RegimeContributivo!C214</f>
        <v>0</v>
      </c>
      <c r="E44" s="46">
        <f>CE_RegimeContributivo!E214</f>
        <v>0</v>
      </c>
      <c r="F44" s="46">
        <f>CE_RegimeContributivo!S214</f>
        <v>0</v>
      </c>
      <c r="G44" s="60" t="e">
        <f t="shared" si="8"/>
        <v>#DIV/0!</v>
      </c>
      <c r="H44" s="60" t="e">
        <f t="shared" si="9"/>
        <v>#DIV/0!</v>
      </c>
      <c r="I44" s="46">
        <f>CE_RegimeNaoContributivo!B214</f>
        <v>0</v>
      </c>
      <c r="J44" s="46">
        <f>CE_RegimeNaoContributivo!C214</f>
        <v>0</v>
      </c>
      <c r="K44" s="46">
        <f>CE_RegimeNaoContributivo!E214</f>
        <v>0</v>
      </c>
      <c r="L44" s="46">
        <f>CE_RegimeNaoContributivo!S214</f>
        <v>0</v>
      </c>
      <c r="M44" s="60" t="e">
        <f t="shared" si="11"/>
        <v>#DIV/0!</v>
      </c>
      <c r="N44" s="60" t="e">
        <f t="shared" si="12"/>
        <v>#DIV/0!</v>
      </c>
      <c r="O44" s="46">
        <f>CE_AdministraçãoINSS!B214</f>
        <v>0</v>
      </c>
      <c r="P44" s="46">
        <f>CE_AdministraçãoINSS!C214</f>
        <v>0</v>
      </c>
      <c r="Q44" s="46">
        <f>CE_AdministraçãoINSS!E214</f>
        <v>0</v>
      </c>
      <c r="R44" s="46">
        <f>CE_AdministraçãoINSS!S214</f>
        <v>0</v>
      </c>
      <c r="S44" s="60" t="e">
        <f t="shared" si="14"/>
        <v>#DIV/0!</v>
      </c>
      <c r="T44" s="60" t="e">
        <f t="shared" si="15"/>
        <v>#DIV/0!</v>
      </c>
      <c r="U44" s="46">
        <f t="shared" si="16"/>
        <v>0</v>
      </c>
      <c r="V44" s="46">
        <f t="shared" si="16"/>
        <v>0</v>
      </c>
      <c r="W44" s="46">
        <f t="shared" si="16"/>
        <v>0</v>
      </c>
      <c r="X44" s="46">
        <f t="shared" si="16"/>
        <v>0</v>
      </c>
      <c r="Y44" s="60" t="e">
        <f t="shared" si="17"/>
        <v>#DIV/0!</v>
      </c>
      <c r="Z44" s="60" t="e">
        <f t="shared" si="18"/>
        <v>#DIV/0!</v>
      </c>
      <c r="AA44" s="46">
        <f>CE_AdministraçãoFRSS!B214</f>
        <v>0</v>
      </c>
      <c r="AB44" s="46">
        <f>CE_AdministraçãoFRSS!C214</f>
        <v>0</v>
      </c>
      <c r="AC44" s="46">
        <f>CE_AdministraçãoFRSS!E214</f>
        <v>0</v>
      </c>
      <c r="AD44" s="46">
        <f>CE_AdministraçãoFRSS!S214</f>
        <v>0</v>
      </c>
      <c r="AE44" s="60" t="e">
        <f t="shared" si="20"/>
        <v>#DIV/0!</v>
      </c>
      <c r="AF44" s="60" t="e">
        <f t="shared" si="21"/>
        <v>#DIV/0!</v>
      </c>
      <c r="AG44" s="46">
        <f t="shared" si="22"/>
        <v>0</v>
      </c>
      <c r="AH44" s="46">
        <f t="shared" si="22"/>
        <v>0</v>
      </c>
      <c r="AI44" s="46">
        <f t="shared" si="22"/>
        <v>0</v>
      </c>
      <c r="AJ44" s="46">
        <f t="shared" si="22"/>
        <v>0</v>
      </c>
      <c r="AK44" s="60" t="e">
        <f t="shared" si="23"/>
        <v>#DIV/0!</v>
      </c>
      <c r="AL44" s="60" t="e">
        <f t="shared" si="24"/>
        <v>#DIV/0!</v>
      </c>
      <c r="AM44" s="46">
        <f t="shared" si="25"/>
        <v>0</v>
      </c>
      <c r="AN44" s="46">
        <f t="shared" si="25"/>
        <v>0</v>
      </c>
      <c r="AO44" s="46">
        <f t="shared" si="25"/>
        <v>0</v>
      </c>
      <c r="AP44" s="46">
        <f t="shared" si="25"/>
        <v>0</v>
      </c>
      <c r="AQ44" s="60" t="e">
        <f t="shared" si="26"/>
        <v>#DIV/0!</v>
      </c>
      <c r="AR44" s="60" t="e">
        <f t="shared" si="27"/>
        <v>#DIV/0!</v>
      </c>
      <c r="AT44" s="38"/>
      <c r="AU44" s="38"/>
      <c r="AV44" s="38"/>
      <c r="AW44" s="38"/>
      <c r="AY44" s="38"/>
      <c r="AZ44" s="38"/>
      <c r="BA44" s="38"/>
      <c r="BB44" s="38"/>
    </row>
    <row r="45" spans="1:58" s="44" customFormat="1" x14ac:dyDescent="0.2">
      <c r="A45" s="41" t="str">
        <f>"502.05"</f>
        <v>502.05</v>
      </c>
      <c r="B45" s="42" t="s">
        <v>127</v>
      </c>
      <c r="C45" s="43">
        <f>SUM(C46:C49)</f>
        <v>0</v>
      </c>
      <c r="D45" s="43">
        <f>SUM(D46:D49)</f>
        <v>0</v>
      </c>
      <c r="E45" s="43">
        <f>SUM(E46:E49)</f>
        <v>0</v>
      </c>
      <c r="F45" s="43">
        <f t="shared" ref="F45" si="44">SUM(F46:F49)</f>
        <v>0</v>
      </c>
      <c r="G45" s="59" t="e">
        <f t="shared" si="8"/>
        <v>#DIV/0!</v>
      </c>
      <c r="H45" s="59" t="e">
        <f t="shared" si="9"/>
        <v>#DIV/0!</v>
      </c>
      <c r="I45" s="43">
        <f>SUM(I46:I49)</f>
        <v>0</v>
      </c>
      <c r="J45" s="43">
        <f>SUM(J46:J49)</f>
        <v>0</v>
      </c>
      <c r="K45" s="43">
        <f t="shared" ref="K45:L45" si="45">SUM(K46:K49)</f>
        <v>0</v>
      </c>
      <c r="L45" s="43">
        <f t="shared" si="45"/>
        <v>0</v>
      </c>
      <c r="M45" s="59" t="e">
        <f t="shared" si="11"/>
        <v>#DIV/0!</v>
      </c>
      <c r="N45" s="59" t="e">
        <f t="shared" si="12"/>
        <v>#DIV/0!</v>
      </c>
      <c r="O45" s="43">
        <f>SUM(O46:O49)</f>
        <v>10000</v>
      </c>
      <c r="P45" s="43">
        <f>SUM(P46:P49)</f>
        <v>10174</v>
      </c>
      <c r="Q45" s="43">
        <f t="shared" ref="Q45:R45" si="46">SUM(Q46:Q49)</f>
        <v>10000</v>
      </c>
      <c r="R45" s="43">
        <f t="shared" si="46"/>
        <v>7304.8</v>
      </c>
      <c r="S45" s="59">
        <f t="shared" si="14"/>
        <v>0.71798702575191664</v>
      </c>
      <c r="T45" s="59">
        <f t="shared" si="15"/>
        <v>0.98289758207194811</v>
      </c>
      <c r="U45" s="43">
        <f t="shared" si="16"/>
        <v>10000</v>
      </c>
      <c r="V45" s="43">
        <f t="shared" si="16"/>
        <v>10174</v>
      </c>
      <c r="W45" s="43">
        <f t="shared" si="16"/>
        <v>10000</v>
      </c>
      <c r="X45" s="43">
        <f t="shared" si="16"/>
        <v>7304.8</v>
      </c>
      <c r="Y45" s="59">
        <f t="shared" si="17"/>
        <v>0.71798702575191664</v>
      </c>
      <c r="Z45" s="59">
        <f t="shared" si="18"/>
        <v>0.98289758207194811</v>
      </c>
      <c r="AA45" s="43">
        <f>SUM(AA46:AA49)</f>
        <v>3087</v>
      </c>
      <c r="AB45" s="43">
        <f>SUM(AB46:AB49)</f>
        <v>1607</v>
      </c>
      <c r="AC45" s="43">
        <f t="shared" ref="AC45:AD45" si="47">SUM(AC46:AC49)</f>
        <v>1606.2</v>
      </c>
      <c r="AD45" s="43">
        <f t="shared" si="47"/>
        <v>1056</v>
      </c>
      <c r="AE45" s="59">
        <f t="shared" si="20"/>
        <v>0.65712507778469198</v>
      </c>
      <c r="AF45" s="59">
        <f t="shared" si="21"/>
        <v>0.99950217797137531</v>
      </c>
      <c r="AG45" s="43">
        <f t="shared" si="22"/>
        <v>3087</v>
      </c>
      <c r="AH45" s="43">
        <f t="shared" si="22"/>
        <v>1607</v>
      </c>
      <c r="AI45" s="43">
        <f t="shared" si="22"/>
        <v>1606.2</v>
      </c>
      <c r="AJ45" s="43">
        <f t="shared" si="22"/>
        <v>1056</v>
      </c>
      <c r="AK45" s="59">
        <f t="shared" si="23"/>
        <v>0.65712507778469198</v>
      </c>
      <c r="AL45" s="59">
        <f t="shared" si="24"/>
        <v>0.99950217797137531</v>
      </c>
      <c r="AM45" s="43">
        <f t="shared" si="25"/>
        <v>13087</v>
      </c>
      <c r="AN45" s="43">
        <f t="shared" si="25"/>
        <v>11781</v>
      </c>
      <c r="AO45" s="43">
        <f t="shared" si="25"/>
        <v>11606.2</v>
      </c>
      <c r="AP45" s="43">
        <f t="shared" si="25"/>
        <v>8360.7999999999993</v>
      </c>
      <c r="AQ45" s="698">
        <f t="shared" si="26"/>
        <v>0.70968508615567438</v>
      </c>
      <c r="AR45" s="59">
        <f t="shared" si="27"/>
        <v>0.98516254986843232</v>
      </c>
      <c r="AT45" s="38"/>
      <c r="AU45" s="38"/>
      <c r="AV45" s="38"/>
      <c r="AW45" s="38"/>
      <c r="AY45" s="38"/>
      <c r="AZ45" s="38"/>
      <c r="BA45" s="38"/>
      <c r="BB45" s="38"/>
      <c r="BC45" s="36"/>
      <c r="BD45" s="36"/>
      <c r="BE45" s="36"/>
      <c r="BF45" s="36"/>
    </row>
    <row r="46" spans="1:58" x14ac:dyDescent="0.2">
      <c r="A46" s="45" t="str">
        <f>"502.05.01"</f>
        <v>502.05.01</v>
      </c>
      <c r="B46" s="45" t="s">
        <v>863</v>
      </c>
      <c r="C46" s="46">
        <f>CE_RegimeContributivo!B216</f>
        <v>0</v>
      </c>
      <c r="D46" s="46">
        <f>CE_RegimeContributivo!C216</f>
        <v>0</v>
      </c>
      <c r="E46" s="46">
        <f>CE_RegimeContributivo!E216</f>
        <v>0</v>
      </c>
      <c r="F46" s="46">
        <f>CE_RegimeContributivo!S216</f>
        <v>0</v>
      </c>
      <c r="G46" s="60" t="e">
        <f t="shared" si="8"/>
        <v>#DIV/0!</v>
      </c>
      <c r="H46" s="60" t="e">
        <f t="shared" si="9"/>
        <v>#DIV/0!</v>
      </c>
      <c r="I46" s="46">
        <f>CE_RegimeNaoContributivo!B216</f>
        <v>0</v>
      </c>
      <c r="J46" s="46">
        <f>CE_RegimeNaoContributivo!C216</f>
        <v>0</v>
      </c>
      <c r="K46" s="46">
        <f>CE_RegimeNaoContributivo!E216</f>
        <v>0</v>
      </c>
      <c r="L46" s="46">
        <f>CE_RegimeNaoContributivo!S216</f>
        <v>0</v>
      </c>
      <c r="M46" s="60" t="e">
        <f t="shared" si="11"/>
        <v>#DIV/0!</v>
      </c>
      <c r="N46" s="60" t="e">
        <f t="shared" si="12"/>
        <v>#DIV/0!</v>
      </c>
      <c r="O46" s="46">
        <f>CE_AdministraçãoINSS!B216</f>
        <v>7000</v>
      </c>
      <c r="P46" s="46">
        <f>CE_AdministraçãoINSS!C216</f>
        <v>7000</v>
      </c>
      <c r="Q46" s="46">
        <f>CE_AdministraçãoINSS!E216</f>
        <v>7000</v>
      </c>
      <c r="R46" s="46">
        <f>CE_AdministraçãoINSS!S216</f>
        <v>6057.05</v>
      </c>
      <c r="S46" s="60">
        <f t="shared" si="14"/>
        <v>0.8652928571428572</v>
      </c>
      <c r="T46" s="60">
        <f t="shared" si="15"/>
        <v>1</v>
      </c>
      <c r="U46" s="46">
        <f t="shared" si="16"/>
        <v>7000</v>
      </c>
      <c r="V46" s="46">
        <f t="shared" si="16"/>
        <v>7000</v>
      </c>
      <c r="W46" s="46">
        <f t="shared" si="16"/>
        <v>7000</v>
      </c>
      <c r="X46" s="46">
        <f t="shared" si="16"/>
        <v>6057.05</v>
      </c>
      <c r="Y46" s="60">
        <f t="shared" si="17"/>
        <v>0.8652928571428572</v>
      </c>
      <c r="Z46" s="60">
        <f t="shared" si="18"/>
        <v>1</v>
      </c>
      <c r="AA46" s="46">
        <f>CE_AdministraçãoFRSS!B216</f>
        <v>1480</v>
      </c>
      <c r="AB46" s="46">
        <f>CE_AdministraçãoFRSS!C216</f>
        <v>0</v>
      </c>
      <c r="AC46" s="46">
        <f>CE_AdministraçãoFRSS!E216</f>
        <v>0</v>
      </c>
      <c r="AD46" s="46">
        <f>CE_AdministraçãoFRSS!S216</f>
        <v>0</v>
      </c>
      <c r="AE46" s="60" t="e">
        <f t="shared" si="20"/>
        <v>#DIV/0!</v>
      </c>
      <c r="AF46" s="60" t="e">
        <f t="shared" si="21"/>
        <v>#DIV/0!</v>
      </c>
      <c r="AG46" s="46">
        <f t="shared" si="22"/>
        <v>1480</v>
      </c>
      <c r="AH46" s="46">
        <f t="shared" si="22"/>
        <v>0</v>
      </c>
      <c r="AI46" s="46">
        <f t="shared" si="22"/>
        <v>0</v>
      </c>
      <c r="AJ46" s="46">
        <f t="shared" si="22"/>
        <v>0</v>
      </c>
      <c r="AK46" s="60" t="e">
        <f t="shared" si="23"/>
        <v>#DIV/0!</v>
      </c>
      <c r="AL46" s="60" t="e">
        <f t="shared" si="24"/>
        <v>#DIV/0!</v>
      </c>
      <c r="AM46" s="46">
        <f t="shared" si="25"/>
        <v>8480</v>
      </c>
      <c r="AN46" s="46">
        <f t="shared" si="25"/>
        <v>7000</v>
      </c>
      <c r="AO46" s="46">
        <f t="shared" si="25"/>
        <v>7000</v>
      </c>
      <c r="AP46" s="46">
        <f t="shared" si="25"/>
        <v>6057.05</v>
      </c>
      <c r="AQ46" s="60">
        <f t="shared" si="26"/>
        <v>0.8652928571428572</v>
      </c>
      <c r="AR46" s="60">
        <f t="shared" si="27"/>
        <v>1</v>
      </c>
      <c r="AT46" s="38"/>
      <c r="AU46" s="38"/>
      <c r="AV46" s="38"/>
      <c r="AW46" s="38"/>
      <c r="AY46" s="38"/>
      <c r="AZ46" s="38"/>
      <c r="BA46" s="38"/>
      <c r="BB46" s="38"/>
    </row>
    <row r="47" spans="1:58" x14ac:dyDescent="0.2">
      <c r="A47" s="45" t="str">
        <f>"502.05.02"</f>
        <v>502.05.02</v>
      </c>
      <c r="B47" s="45" t="s">
        <v>864</v>
      </c>
      <c r="C47" s="46">
        <f>CE_RegimeContributivo!B217</f>
        <v>0</v>
      </c>
      <c r="D47" s="46">
        <f>CE_RegimeContributivo!C217</f>
        <v>0</v>
      </c>
      <c r="E47" s="46">
        <f>CE_RegimeContributivo!E217</f>
        <v>0</v>
      </c>
      <c r="F47" s="46">
        <f>CE_RegimeContributivo!S217</f>
        <v>0</v>
      </c>
      <c r="G47" s="60" t="e">
        <f t="shared" si="8"/>
        <v>#DIV/0!</v>
      </c>
      <c r="H47" s="60" t="e">
        <f t="shared" si="9"/>
        <v>#DIV/0!</v>
      </c>
      <c r="I47" s="46">
        <f>CE_RegimeNaoContributivo!B217</f>
        <v>0</v>
      </c>
      <c r="J47" s="46">
        <f>CE_RegimeNaoContributivo!C217</f>
        <v>0</v>
      </c>
      <c r="K47" s="46">
        <f>CE_RegimeNaoContributivo!E217</f>
        <v>0</v>
      </c>
      <c r="L47" s="46">
        <f>CE_RegimeNaoContributivo!S217</f>
        <v>0</v>
      </c>
      <c r="M47" s="60" t="e">
        <f t="shared" si="11"/>
        <v>#DIV/0!</v>
      </c>
      <c r="N47" s="60" t="e">
        <f t="shared" si="12"/>
        <v>#DIV/0!</v>
      </c>
      <c r="O47" s="46">
        <f>CE_AdministraçãoINSS!B217</f>
        <v>0</v>
      </c>
      <c r="P47" s="46">
        <f>CE_AdministraçãoINSS!C217</f>
        <v>0</v>
      </c>
      <c r="Q47" s="46">
        <f>CE_AdministraçãoINSS!E217</f>
        <v>0</v>
      </c>
      <c r="R47" s="46">
        <f>CE_AdministraçãoINSS!S217</f>
        <v>0</v>
      </c>
      <c r="S47" s="60" t="e">
        <f t="shared" si="14"/>
        <v>#DIV/0!</v>
      </c>
      <c r="T47" s="60" t="e">
        <f t="shared" si="15"/>
        <v>#DIV/0!</v>
      </c>
      <c r="U47" s="46">
        <f t="shared" si="16"/>
        <v>0</v>
      </c>
      <c r="V47" s="46">
        <f t="shared" si="16"/>
        <v>0</v>
      </c>
      <c r="W47" s="46">
        <f t="shared" si="16"/>
        <v>0</v>
      </c>
      <c r="X47" s="46">
        <f t="shared" si="16"/>
        <v>0</v>
      </c>
      <c r="Y47" s="60" t="e">
        <f t="shared" si="17"/>
        <v>#DIV/0!</v>
      </c>
      <c r="Z47" s="60" t="e">
        <f t="shared" si="18"/>
        <v>#DIV/0!</v>
      </c>
      <c r="AA47" s="46">
        <f>CE_AdministraçãoFRSS!B217</f>
        <v>1080</v>
      </c>
      <c r="AB47" s="46">
        <f>CE_AdministraçãoFRSS!C217</f>
        <v>1080</v>
      </c>
      <c r="AC47" s="46">
        <f>CE_AdministraçãoFRSS!E217</f>
        <v>1080</v>
      </c>
      <c r="AD47" s="46">
        <f>CE_AdministraçãoFRSS!S217</f>
        <v>840</v>
      </c>
      <c r="AE47" s="60">
        <f t="shared" si="20"/>
        <v>0.77777777777777779</v>
      </c>
      <c r="AF47" s="60">
        <f t="shared" si="21"/>
        <v>1</v>
      </c>
      <c r="AG47" s="46">
        <f t="shared" si="22"/>
        <v>1080</v>
      </c>
      <c r="AH47" s="46">
        <f t="shared" si="22"/>
        <v>1080</v>
      </c>
      <c r="AI47" s="46">
        <f t="shared" si="22"/>
        <v>1080</v>
      </c>
      <c r="AJ47" s="46">
        <f t="shared" si="22"/>
        <v>840</v>
      </c>
      <c r="AK47" s="60">
        <f t="shared" si="23"/>
        <v>0.77777777777777779</v>
      </c>
      <c r="AL47" s="60">
        <f t="shared" si="24"/>
        <v>1</v>
      </c>
      <c r="AM47" s="46">
        <f t="shared" si="25"/>
        <v>1080</v>
      </c>
      <c r="AN47" s="46">
        <f t="shared" si="25"/>
        <v>1080</v>
      </c>
      <c r="AO47" s="46">
        <f t="shared" si="25"/>
        <v>1080</v>
      </c>
      <c r="AP47" s="46">
        <f t="shared" si="25"/>
        <v>840</v>
      </c>
      <c r="AQ47" s="60">
        <f t="shared" si="26"/>
        <v>0.77777777777777779</v>
      </c>
      <c r="AR47" s="60">
        <f t="shared" si="27"/>
        <v>1</v>
      </c>
      <c r="AT47" s="38"/>
      <c r="AU47" s="38"/>
      <c r="AV47" s="38"/>
      <c r="AW47" s="38"/>
      <c r="AY47" s="38"/>
      <c r="AZ47" s="38"/>
      <c r="BA47" s="38"/>
      <c r="BB47" s="38"/>
    </row>
    <row r="48" spans="1:58" x14ac:dyDescent="0.2">
      <c r="A48" s="45" t="str">
        <f>"502.05.03"</f>
        <v>502.05.03</v>
      </c>
      <c r="B48" s="45" t="s">
        <v>865</v>
      </c>
      <c r="C48" s="46">
        <f>CE_RegimeContributivo!B218</f>
        <v>0</v>
      </c>
      <c r="D48" s="46">
        <f>CE_RegimeContributivo!C218</f>
        <v>0</v>
      </c>
      <c r="E48" s="46">
        <f>CE_RegimeContributivo!E218</f>
        <v>0</v>
      </c>
      <c r="F48" s="46">
        <f>CE_RegimeContributivo!S218</f>
        <v>0</v>
      </c>
      <c r="G48" s="60" t="e">
        <f t="shared" si="8"/>
        <v>#DIV/0!</v>
      </c>
      <c r="H48" s="60" t="e">
        <f t="shared" si="9"/>
        <v>#DIV/0!</v>
      </c>
      <c r="I48" s="46">
        <f>CE_RegimeNaoContributivo!B218</f>
        <v>0</v>
      </c>
      <c r="J48" s="46">
        <f>CE_RegimeNaoContributivo!C218</f>
        <v>0</v>
      </c>
      <c r="K48" s="46">
        <f>CE_RegimeNaoContributivo!E218</f>
        <v>0</v>
      </c>
      <c r="L48" s="46">
        <f>CE_RegimeNaoContributivo!S218</f>
        <v>0</v>
      </c>
      <c r="M48" s="60" t="e">
        <f t="shared" si="11"/>
        <v>#DIV/0!</v>
      </c>
      <c r="N48" s="60" t="e">
        <f t="shared" si="12"/>
        <v>#DIV/0!</v>
      </c>
      <c r="O48" s="46">
        <f>CE_AdministraçãoINSS!B218</f>
        <v>3000</v>
      </c>
      <c r="P48" s="46">
        <f>CE_AdministraçãoINSS!C218</f>
        <v>3174</v>
      </c>
      <c r="Q48" s="46">
        <f>CE_AdministraçãoINSS!E218</f>
        <v>3000</v>
      </c>
      <c r="R48" s="46">
        <f>CE_AdministraçãoINSS!S218</f>
        <v>1247.75</v>
      </c>
      <c r="S48" s="60">
        <f t="shared" si="14"/>
        <v>0.39311594202898553</v>
      </c>
      <c r="T48" s="60">
        <f t="shared" si="15"/>
        <v>0.94517958412098302</v>
      </c>
      <c r="U48" s="46">
        <f t="shared" si="16"/>
        <v>3000</v>
      </c>
      <c r="V48" s="46">
        <f t="shared" si="16"/>
        <v>3174</v>
      </c>
      <c r="W48" s="46">
        <f t="shared" si="16"/>
        <v>3000</v>
      </c>
      <c r="X48" s="46">
        <f t="shared" si="16"/>
        <v>1247.75</v>
      </c>
      <c r="Y48" s="60">
        <f t="shared" si="17"/>
        <v>0.39311594202898553</v>
      </c>
      <c r="Z48" s="60">
        <f t="shared" si="18"/>
        <v>0.94517958412098302</v>
      </c>
      <c r="AA48" s="46">
        <f>CE_AdministraçãoFRSS!B218</f>
        <v>527</v>
      </c>
      <c r="AB48" s="46">
        <f>CE_AdministraçãoFRSS!C218</f>
        <v>527</v>
      </c>
      <c r="AC48" s="46">
        <f>CE_AdministraçãoFRSS!E218</f>
        <v>526.20000000000005</v>
      </c>
      <c r="AD48" s="46">
        <f>CE_AdministraçãoFRSS!S218</f>
        <v>216</v>
      </c>
      <c r="AE48" s="60">
        <f t="shared" si="20"/>
        <v>0.40986717267552181</v>
      </c>
      <c r="AF48" s="60">
        <f t="shared" si="21"/>
        <v>0.99848197343453515</v>
      </c>
      <c r="AG48" s="46">
        <f t="shared" si="22"/>
        <v>527</v>
      </c>
      <c r="AH48" s="46">
        <f t="shared" si="22"/>
        <v>527</v>
      </c>
      <c r="AI48" s="46">
        <f t="shared" si="22"/>
        <v>526.20000000000005</v>
      </c>
      <c r="AJ48" s="46">
        <f t="shared" si="22"/>
        <v>216</v>
      </c>
      <c r="AK48" s="60">
        <f t="shared" si="23"/>
        <v>0.40986717267552181</v>
      </c>
      <c r="AL48" s="60">
        <f t="shared" si="24"/>
        <v>0.99848197343453515</v>
      </c>
      <c r="AM48" s="46">
        <f t="shared" si="25"/>
        <v>3527</v>
      </c>
      <c r="AN48" s="46">
        <f t="shared" si="25"/>
        <v>3701</v>
      </c>
      <c r="AO48" s="46">
        <f t="shared" si="25"/>
        <v>3526.2</v>
      </c>
      <c r="AP48" s="46">
        <f t="shared" si="25"/>
        <v>1463.75</v>
      </c>
      <c r="AQ48" s="60">
        <f t="shared" si="26"/>
        <v>0.39550121588759796</v>
      </c>
      <c r="AR48" s="60">
        <f t="shared" si="27"/>
        <v>0.95276952175087815</v>
      </c>
      <c r="AT48" s="38"/>
      <c r="AU48" s="38"/>
      <c r="AV48" s="38"/>
      <c r="AW48" s="38"/>
      <c r="AY48" s="38"/>
      <c r="AZ48" s="38"/>
      <c r="BA48" s="38"/>
      <c r="BB48" s="38"/>
    </row>
    <row r="49" spans="1:58" x14ac:dyDescent="0.2">
      <c r="A49" s="45" t="str">
        <f>"502.05.04"</f>
        <v>502.05.04</v>
      </c>
      <c r="B49" s="45" t="s">
        <v>866</v>
      </c>
      <c r="C49" s="46">
        <f>CE_RegimeContributivo!B219</f>
        <v>0</v>
      </c>
      <c r="D49" s="46">
        <f>CE_RegimeContributivo!C219</f>
        <v>0</v>
      </c>
      <c r="E49" s="46">
        <f>CE_RegimeContributivo!E219</f>
        <v>0</v>
      </c>
      <c r="F49" s="46">
        <f>CE_RegimeContributivo!S219</f>
        <v>0</v>
      </c>
      <c r="G49" s="60" t="e">
        <f t="shared" si="8"/>
        <v>#DIV/0!</v>
      </c>
      <c r="H49" s="60" t="e">
        <f t="shared" si="9"/>
        <v>#DIV/0!</v>
      </c>
      <c r="I49" s="46">
        <f>CE_RegimeNaoContributivo!B219</f>
        <v>0</v>
      </c>
      <c r="J49" s="46">
        <f>CE_RegimeNaoContributivo!C219</f>
        <v>0</v>
      </c>
      <c r="K49" s="46">
        <f>CE_RegimeNaoContributivo!E219</f>
        <v>0</v>
      </c>
      <c r="L49" s="46">
        <f>CE_RegimeNaoContributivo!S219</f>
        <v>0</v>
      </c>
      <c r="M49" s="60" t="e">
        <f t="shared" si="11"/>
        <v>#DIV/0!</v>
      </c>
      <c r="N49" s="60" t="e">
        <f t="shared" si="12"/>
        <v>#DIV/0!</v>
      </c>
      <c r="O49" s="46">
        <f>CE_AdministraçãoINSS!B219</f>
        <v>0</v>
      </c>
      <c r="P49" s="46">
        <f>CE_AdministraçãoINSS!C219</f>
        <v>0</v>
      </c>
      <c r="Q49" s="46">
        <f>CE_AdministraçãoINSS!E219</f>
        <v>0</v>
      </c>
      <c r="R49" s="46">
        <f>CE_AdministraçãoINSS!S219</f>
        <v>0</v>
      </c>
      <c r="S49" s="60" t="e">
        <f t="shared" si="14"/>
        <v>#DIV/0!</v>
      </c>
      <c r="T49" s="60" t="e">
        <f>Q49/P49</f>
        <v>#DIV/0!</v>
      </c>
      <c r="U49" s="46">
        <f t="shared" si="16"/>
        <v>0</v>
      </c>
      <c r="V49" s="46">
        <f t="shared" si="16"/>
        <v>0</v>
      </c>
      <c r="W49" s="46">
        <f t="shared" si="16"/>
        <v>0</v>
      </c>
      <c r="X49" s="46">
        <f t="shared" si="16"/>
        <v>0</v>
      </c>
      <c r="Y49" s="60" t="e">
        <f t="shared" si="17"/>
        <v>#DIV/0!</v>
      </c>
      <c r="Z49" s="60" t="e">
        <f t="shared" si="18"/>
        <v>#DIV/0!</v>
      </c>
      <c r="AA49" s="46">
        <f>CE_AdministraçãoFRSS!B219</f>
        <v>0</v>
      </c>
      <c r="AB49" s="46">
        <f>CE_AdministraçãoFRSS!C219</f>
        <v>0</v>
      </c>
      <c r="AC49" s="46">
        <f>CE_AdministraçãoFRSS!E219</f>
        <v>0</v>
      </c>
      <c r="AD49" s="46">
        <f>CE_AdministraçãoFRSS!S219</f>
        <v>0</v>
      </c>
      <c r="AE49" s="60" t="e">
        <f t="shared" si="20"/>
        <v>#DIV/0!</v>
      </c>
      <c r="AF49" s="60" t="e">
        <f t="shared" si="21"/>
        <v>#DIV/0!</v>
      </c>
      <c r="AG49" s="46">
        <f t="shared" si="22"/>
        <v>0</v>
      </c>
      <c r="AH49" s="46">
        <f t="shared" si="22"/>
        <v>0</v>
      </c>
      <c r="AI49" s="46">
        <f t="shared" si="22"/>
        <v>0</v>
      </c>
      <c r="AJ49" s="46">
        <f t="shared" si="22"/>
        <v>0</v>
      </c>
      <c r="AK49" s="60" t="e">
        <f t="shared" si="23"/>
        <v>#DIV/0!</v>
      </c>
      <c r="AL49" s="60" t="e">
        <f t="shared" si="24"/>
        <v>#DIV/0!</v>
      </c>
      <c r="AM49" s="46">
        <f t="shared" si="25"/>
        <v>0</v>
      </c>
      <c r="AN49" s="46">
        <f t="shared" si="25"/>
        <v>0</v>
      </c>
      <c r="AO49" s="46">
        <f t="shared" si="25"/>
        <v>0</v>
      </c>
      <c r="AP49" s="46">
        <f t="shared" si="25"/>
        <v>0</v>
      </c>
      <c r="AQ49" s="60" t="e">
        <f t="shared" si="26"/>
        <v>#DIV/0!</v>
      </c>
      <c r="AR49" s="60" t="e">
        <f t="shared" si="27"/>
        <v>#DIV/0!</v>
      </c>
      <c r="AT49" s="38"/>
      <c r="AU49" s="38"/>
      <c r="AV49" s="38"/>
      <c r="AW49" s="38"/>
      <c r="AY49" s="38"/>
      <c r="AZ49" s="38"/>
      <c r="BA49" s="38"/>
      <c r="BB49" s="38"/>
    </row>
    <row r="50" spans="1:58" s="44" customFormat="1" x14ac:dyDescent="0.2">
      <c r="A50" s="41" t="str">
        <f>"502.06"</f>
        <v>502.06</v>
      </c>
      <c r="B50" s="42" t="s">
        <v>867</v>
      </c>
      <c r="C50" s="43">
        <f>CE_RegimeContributivo!B220</f>
        <v>0</v>
      </c>
      <c r="D50" s="43">
        <f>CE_RegimeContributivo!C220</f>
        <v>0</v>
      </c>
      <c r="E50" s="43">
        <f>CE_RegimeContributivo!E220</f>
        <v>0</v>
      </c>
      <c r="F50" s="43">
        <f>CE_RegimeContributivo!S220</f>
        <v>0</v>
      </c>
      <c r="G50" s="59" t="e">
        <f t="shared" si="8"/>
        <v>#DIV/0!</v>
      </c>
      <c r="H50" s="59" t="e">
        <f t="shared" si="9"/>
        <v>#DIV/0!</v>
      </c>
      <c r="I50" s="43">
        <f>CE_RegimeNaoContributivo!B220</f>
        <v>0</v>
      </c>
      <c r="J50" s="43">
        <f>CE_RegimeNaoContributivo!C220</f>
        <v>0</v>
      </c>
      <c r="K50" s="43">
        <f>CE_RegimeNaoContributivo!E220</f>
        <v>0</v>
      </c>
      <c r="L50" s="43">
        <f>CE_RegimeNaoContributivo!S220</f>
        <v>0</v>
      </c>
      <c r="M50" s="59" t="e">
        <f t="shared" si="11"/>
        <v>#DIV/0!</v>
      </c>
      <c r="N50" s="59" t="e">
        <f t="shared" si="12"/>
        <v>#DIV/0!</v>
      </c>
      <c r="O50" s="43">
        <f>CE_AdministraçãoINSS!B220</f>
        <v>0</v>
      </c>
      <c r="P50" s="43">
        <f>CE_AdministraçãoINSS!C220</f>
        <v>0</v>
      </c>
      <c r="Q50" s="43">
        <f>CE_AdministraçãoINSS!E220</f>
        <v>0</v>
      </c>
      <c r="R50" s="43">
        <f>CE_AdministraçãoINSS!S220</f>
        <v>0</v>
      </c>
      <c r="S50" s="59" t="e">
        <f t="shared" si="14"/>
        <v>#DIV/0!</v>
      </c>
      <c r="T50" s="59" t="e">
        <f t="shared" si="15"/>
        <v>#DIV/0!</v>
      </c>
      <c r="U50" s="43">
        <f t="shared" si="16"/>
        <v>0</v>
      </c>
      <c r="V50" s="43">
        <f t="shared" si="16"/>
        <v>0</v>
      </c>
      <c r="W50" s="43">
        <f t="shared" si="16"/>
        <v>0</v>
      </c>
      <c r="X50" s="43">
        <f t="shared" si="16"/>
        <v>0</v>
      </c>
      <c r="Y50" s="59" t="e">
        <f t="shared" si="17"/>
        <v>#DIV/0!</v>
      </c>
      <c r="Z50" s="59" t="e">
        <f t="shared" si="18"/>
        <v>#DIV/0!</v>
      </c>
      <c r="AA50" s="46">
        <f>CE_AdministraçãoFRSS!B220</f>
        <v>0</v>
      </c>
      <c r="AB50" s="46">
        <f>CE_AdministraçãoFRSS!C220</f>
        <v>0</v>
      </c>
      <c r="AC50" s="46">
        <f>CE_AdministraçãoFRSS!E220</f>
        <v>0</v>
      </c>
      <c r="AD50" s="46">
        <f>CE_AdministraçãoFRSS!S220</f>
        <v>0</v>
      </c>
      <c r="AE50" s="59" t="e">
        <f t="shared" si="20"/>
        <v>#DIV/0!</v>
      </c>
      <c r="AF50" s="59" t="e">
        <f t="shared" si="21"/>
        <v>#DIV/0!</v>
      </c>
      <c r="AG50" s="43">
        <f t="shared" si="22"/>
        <v>0</v>
      </c>
      <c r="AH50" s="43">
        <f t="shared" si="22"/>
        <v>0</v>
      </c>
      <c r="AI50" s="43">
        <f t="shared" si="22"/>
        <v>0</v>
      </c>
      <c r="AJ50" s="43">
        <f t="shared" si="22"/>
        <v>0</v>
      </c>
      <c r="AK50" s="59" t="e">
        <f t="shared" si="23"/>
        <v>#DIV/0!</v>
      </c>
      <c r="AL50" s="59" t="e">
        <f t="shared" si="24"/>
        <v>#DIV/0!</v>
      </c>
      <c r="AM50" s="43">
        <f t="shared" si="25"/>
        <v>0</v>
      </c>
      <c r="AN50" s="43">
        <f t="shared" si="25"/>
        <v>0</v>
      </c>
      <c r="AO50" s="43">
        <f t="shared" si="25"/>
        <v>0</v>
      </c>
      <c r="AP50" s="43">
        <f t="shared" si="25"/>
        <v>0</v>
      </c>
      <c r="AQ50" s="59" t="e">
        <f t="shared" si="26"/>
        <v>#DIV/0!</v>
      </c>
      <c r="AR50" s="59" t="e">
        <f t="shared" si="27"/>
        <v>#DIV/0!</v>
      </c>
      <c r="AT50" s="38"/>
      <c r="AU50" s="38"/>
      <c r="AV50" s="38"/>
      <c r="AW50" s="38"/>
      <c r="AY50" s="38"/>
      <c r="AZ50" s="38"/>
      <c r="BA50" s="38"/>
      <c r="BB50" s="38"/>
      <c r="BC50" s="36"/>
      <c r="BD50" s="36"/>
      <c r="BE50" s="36"/>
      <c r="BF50" s="36"/>
    </row>
    <row r="51" spans="1:58" s="44" customFormat="1" x14ac:dyDescent="0.2">
      <c r="A51" s="41" t="str">
        <f>"502.07"</f>
        <v>502.07</v>
      </c>
      <c r="B51" s="42" t="s">
        <v>868</v>
      </c>
      <c r="C51" s="43">
        <f>CE_RegimeContributivo!B221</f>
        <v>0</v>
      </c>
      <c r="D51" s="43">
        <f>CE_RegimeContributivo!C221</f>
        <v>0</v>
      </c>
      <c r="E51" s="43">
        <f>CE_RegimeContributivo!E221</f>
        <v>0</v>
      </c>
      <c r="F51" s="43">
        <f>CE_RegimeContributivo!S221</f>
        <v>0</v>
      </c>
      <c r="G51" s="59" t="e">
        <f t="shared" si="8"/>
        <v>#DIV/0!</v>
      </c>
      <c r="H51" s="59" t="e">
        <f t="shared" si="9"/>
        <v>#DIV/0!</v>
      </c>
      <c r="I51" s="43">
        <f>CE_RegimeNaoContributivo!B221</f>
        <v>0</v>
      </c>
      <c r="J51" s="43">
        <f>CE_RegimeNaoContributivo!C221</f>
        <v>0</v>
      </c>
      <c r="K51" s="43">
        <f>CE_RegimeNaoContributivo!E221</f>
        <v>0</v>
      </c>
      <c r="L51" s="43">
        <f>CE_RegimeNaoContributivo!S221</f>
        <v>0</v>
      </c>
      <c r="M51" s="59" t="e">
        <f t="shared" si="11"/>
        <v>#DIV/0!</v>
      </c>
      <c r="N51" s="59" t="e">
        <f t="shared" si="12"/>
        <v>#DIV/0!</v>
      </c>
      <c r="O51" s="43">
        <f>CE_AdministraçãoINSS!B221</f>
        <v>0</v>
      </c>
      <c r="P51" s="43">
        <f>CE_AdministraçãoINSS!C221</f>
        <v>0</v>
      </c>
      <c r="Q51" s="43">
        <f>CE_AdministraçãoINSS!E221</f>
        <v>0</v>
      </c>
      <c r="R51" s="43">
        <f>CE_AdministraçãoINSS!S221</f>
        <v>0</v>
      </c>
      <c r="S51" s="59" t="e">
        <f t="shared" si="14"/>
        <v>#DIV/0!</v>
      </c>
      <c r="T51" s="59" t="e">
        <f t="shared" si="15"/>
        <v>#DIV/0!</v>
      </c>
      <c r="U51" s="43">
        <f t="shared" si="16"/>
        <v>0</v>
      </c>
      <c r="V51" s="43">
        <f t="shared" si="16"/>
        <v>0</v>
      </c>
      <c r="W51" s="43">
        <f t="shared" si="16"/>
        <v>0</v>
      </c>
      <c r="X51" s="43">
        <f t="shared" si="16"/>
        <v>0</v>
      </c>
      <c r="Y51" s="59" t="e">
        <f t="shared" si="17"/>
        <v>#DIV/0!</v>
      </c>
      <c r="Z51" s="59" t="e">
        <f t="shared" si="18"/>
        <v>#DIV/0!</v>
      </c>
      <c r="AA51" s="46">
        <f>CE_AdministraçãoFRSS!B221</f>
        <v>0</v>
      </c>
      <c r="AB51" s="46">
        <f>CE_AdministraçãoFRSS!C221</f>
        <v>0</v>
      </c>
      <c r="AC51" s="46">
        <f>CE_AdministraçãoFRSS!E221</f>
        <v>0</v>
      </c>
      <c r="AD51" s="46">
        <f>CE_AdministraçãoFRSS!S221</f>
        <v>0</v>
      </c>
      <c r="AE51" s="59" t="e">
        <f t="shared" si="20"/>
        <v>#DIV/0!</v>
      </c>
      <c r="AF51" s="59" t="e">
        <f t="shared" si="21"/>
        <v>#DIV/0!</v>
      </c>
      <c r="AG51" s="43">
        <f t="shared" si="22"/>
        <v>0</v>
      </c>
      <c r="AH51" s="43">
        <f t="shared" si="22"/>
        <v>0</v>
      </c>
      <c r="AI51" s="43">
        <f t="shared" si="22"/>
        <v>0</v>
      </c>
      <c r="AJ51" s="43">
        <f t="shared" si="22"/>
        <v>0</v>
      </c>
      <c r="AK51" s="59" t="e">
        <f t="shared" si="23"/>
        <v>#DIV/0!</v>
      </c>
      <c r="AL51" s="59" t="e">
        <f t="shared" si="24"/>
        <v>#DIV/0!</v>
      </c>
      <c r="AM51" s="43">
        <f t="shared" si="25"/>
        <v>0</v>
      </c>
      <c r="AN51" s="43">
        <f t="shared" si="25"/>
        <v>0</v>
      </c>
      <c r="AO51" s="43">
        <f t="shared" si="25"/>
        <v>0</v>
      </c>
      <c r="AP51" s="43">
        <f t="shared" si="25"/>
        <v>0</v>
      </c>
      <c r="AQ51" s="59" t="e">
        <f t="shared" si="26"/>
        <v>#DIV/0!</v>
      </c>
      <c r="AR51" s="59" t="e">
        <f t="shared" si="27"/>
        <v>#DIV/0!</v>
      </c>
      <c r="AT51" s="38"/>
      <c r="AU51" s="38"/>
      <c r="AV51" s="38"/>
      <c r="AW51" s="38"/>
      <c r="AY51" s="38"/>
      <c r="AZ51" s="38"/>
      <c r="BA51" s="38"/>
      <c r="BB51" s="38"/>
      <c r="BC51" s="36"/>
      <c r="BD51" s="36"/>
      <c r="BE51" s="36"/>
      <c r="BF51" s="36"/>
    </row>
    <row r="52" spans="1:58" s="44" customFormat="1" x14ac:dyDescent="0.2">
      <c r="A52" s="41" t="str">
        <f>"502.08"</f>
        <v>502.08</v>
      </c>
      <c r="B52" s="42" t="s">
        <v>869</v>
      </c>
      <c r="C52" s="43">
        <f>CE_RegimeContributivo!B222</f>
        <v>0</v>
      </c>
      <c r="D52" s="43">
        <f>CE_RegimeContributivo!C222</f>
        <v>0</v>
      </c>
      <c r="E52" s="43">
        <f>CE_RegimeContributivo!E222</f>
        <v>0</v>
      </c>
      <c r="F52" s="43">
        <f>CE_RegimeContributivo!S222</f>
        <v>0</v>
      </c>
      <c r="G52" s="59" t="e">
        <f t="shared" si="8"/>
        <v>#DIV/0!</v>
      </c>
      <c r="H52" s="59" t="e">
        <f t="shared" si="9"/>
        <v>#DIV/0!</v>
      </c>
      <c r="I52" s="43">
        <f>CE_RegimeNaoContributivo!B222</f>
        <v>0</v>
      </c>
      <c r="J52" s="43">
        <f>CE_RegimeNaoContributivo!C222</f>
        <v>0</v>
      </c>
      <c r="K52" s="43">
        <f>CE_RegimeNaoContributivo!E222</f>
        <v>0</v>
      </c>
      <c r="L52" s="43">
        <f>CE_RegimeNaoContributivo!S222</f>
        <v>0</v>
      </c>
      <c r="M52" s="59" t="e">
        <f t="shared" si="11"/>
        <v>#DIV/0!</v>
      </c>
      <c r="N52" s="59" t="e">
        <f t="shared" si="12"/>
        <v>#DIV/0!</v>
      </c>
      <c r="O52" s="43">
        <f>CE_AdministraçãoINSS!B222</f>
        <v>0</v>
      </c>
      <c r="P52" s="43">
        <f>CE_AdministraçãoINSS!C222</f>
        <v>0</v>
      </c>
      <c r="Q52" s="43">
        <f>CE_AdministraçãoINSS!E222</f>
        <v>0</v>
      </c>
      <c r="R52" s="43">
        <f>CE_AdministraçãoINSS!S222</f>
        <v>0</v>
      </c>
      <c r="S52" s="59" t="e">
        <f t="shared" si="14"/>
        <v>#DIV/0!</v>
      </c>
      <c r="T52" s="59" t="e">
        <f t="shared" si="15"/>
        <v>#DIV/0!</v>
      </c>
      <c r="U52" s="43">
        <f t="shared" si="16"/>
        <v>0</v>
      </c>
      <c r="V52" s="43">
        <f t="shared" si="16"/>
        <v>0</v>
      </c>
      <c r="W52" s="43">
        <f t="shared" si="16"/>
        <v>0</v>
      </c>
      <c r="X52" s="43">
        <f t="shared" si="16"/>
        <v>0</v>
      </c>
      <c r="Y52" s="59" t="e">
        <f t="shared" si="17"/>
        <v>#DIV/0!</v>
      </c>
      <c r="Z52" s="59" t="e">
        <f t="shared" si="18"/>
        <v>#DIV/0!</v>
      </c>
      <c r="AA52" s="46">
        <f>CE_AdministraçãoFRSS!B222</f>
        <v>0</v>
      </c>
      <c r="AB52" s="46">
        <f>CE_AdministraçãoFRSS!C222</f>
        <v>0</v>
      </c>
      <c r="AC52" s="46">
        <f>CE_AdministraçãoFRSS!E222</f>
        <v>0</v>
      </c>
      <c r="AD52" s="46">
        <f>CE_AdministraçãoFRSS!S222</f>
        <v>0</v>
      </c>
      <c r="AE52" s="59" t="e">
        <f t="shared" si="20"/>
        <v>#DIV/0!</v>
      </c>
      <c r="AF52" s="59" t="e">
        <f t="shared" si="21"/>
        <v>#DIV/0!</v>
      </c>
      <c r="AG52" s="43">
        <f t="shared" si="22"/>
        <v>0</v>
      </c>
      <c r="AH52" s="43">
        <f t="shared" si="22"/>
        <v>0</v>
      </c>
      <c r="AI52" s="43">
        <f t="shared" si="22"/>
        <v>0</v>
      </c>
      <c r="AJ52" s="43">
        <f t="shared" si="22"/>
        <v>0</v>
      </c>
      <c r="AK52" s="59" t="e">
        <f t="shared" si="23"/>
        <v>#DIV/0!</v>
      </c>
      <c r="AL52" s="59" t="e">
        <f t="shared" si="24"/>
        <v>#DIV/0!</v>
      </c>
      <c r="AM52" s="43">
        <f t="shared" si="25"/>
        <v>0</v>
      </c>
      <c r="AN52" s="43">
        <f t="shared" si="25"/>
        <v>0</v>
      </c>
      <c r="AO52" s="43">
        <f t="shared" si="25"/>
        <v>0</v>
      </c>
      <c r="AP52" s="43">
        <f t="shared" si="25"/>
        <v>0</v>
      </c>
      <c r="AQ52" s="59" t="e">
        <f t="shared" si="26"/>
        <v>#DIV/0!</v>
      </c>
      <c r="AR52" s="59" t="e">
        <f t="shared" si="27"/>
        <v>#DIV/0!</v>
      </c>
      <c r="AT52" s="38"/>
      <c r="AU52" s="38"/>
      <c r="AV52" s="38"/>
      <c r="AW52" s="38"/>
      <c r="AY52" s="38"/>
      <c r="AZ52" s="38"/>
      <c r="BA52" s="38"/>
      <c r="BB52" s="38"/>
      <c r="BC52" s="36"/>
      <c r="BD52" s="36"/>
      <c r="BE52" s="36"/>
      <c r="BF52" s="36"/>
    </row>
    <row r="53" spans="1:58" s="44" customFormat="1" x14ac:dyDescent="0.2">
      <c r="A53" s="41" t="str">
        <f>"502.09"</f>
        <v>502.09</v>
      </c>
      <c r="B53" s="42" t="s">
        <v>118</v>
      </c>
      <c r="C53" s="43">
        <f>CE_RegimeContributivo!B223</f>
        <v>0</v>
      </c>
      <c r="D53" s="43">
        <f>CE_RegimeContributivo!C223</f>
        <v>0</v>
      </c>
      <c r="E53" s="43">
        <f>CE_RegimeContributivo!E223</f>
        <v>0</v>
      </c>
      <c r="F53" s="43">
        <f>CE_RegimeContributivo!S223</f>
        <v>0</v>
      </c>
      <c r="G53" s="59" t="e">
        <f t="shared" si="8"/>
        <v>#DIV/0!</v>
      </c>
      <c r="H53" s="59" t="e">
        <f t="shared" si="9"/>
        <v>#DIV/0!</v>
      </c>
      <c r="I53" s="43">
        <f>CE_RegimeNaoContributivo!B223</f>
        <v>0</v>
      </c>
      <c r="J53" s="43">
        <f>CE_RegimeNaoContributivo!C223</f>
        <v>0</v>
      </c>
      <c r="K53" s="43">
        <f>CE_RegimeNaoContributivo!E223</f>
        <v>0</v>
      </c>
      <c r="L53" s="43">
        <f>CE_RegimeNaoContributivo!S223</f>
        <v>0</v>
      </c>
      <c r="M53" s="59" t="e">
        <f t="shared" si="11"/>
        <v>#DIV/0!</v>
      </c>
      <c r="N53" s="59" t="e">
        <f t="shared" si="12"/>
        <v>#DIV/0!</v>
      </c>
      <c r="O53" s="43">
        <f>CE_AdministraçãoINSS!B223</f>
        <v>40000</v>
      </c>
      <c r="P53" s="43">
        <f>CE_AdministraçãoINSS!C223</f>
        <v>40000</v>
      </c>
      <c r="Q53" s="43">
        <f>CE_AdministraçãoINSS!E223</f>
        <v>38380</v>
      </c>
      <c r="R53" s="43">
        <f>CE_AdministraçãoINSS!S223</f>
        <v>38380</v>
      </c>
      <c r="S53" s="59">
        <f t="shared" si="14"/>
        <v>0.95950000000000002</v>
      </c>
      <c r="T53" s="59">
        <f t="shared" si="15"/>
        <v>0.95950000000000002</v>
      </c>
      <c r="U53" s="43">
        <f t="shared" si="16"/>
        <v>40000</v>
      </c>
      <c r="V53" s="43">
        <f t="shared" si="16"/>
        <v>40000</v>
      </c>
      <c r="W53" s="43">
        <f t="shared" si="16"/>
        <v>38380</v>
      </c>
      <c r="X53" s="43">
        <f t="shared" si="16"/>
        <v>38380</v>
      </c>
      <c r="Y53" s="59">
        <f t="shared" si="17"/>
        <v>0.95950000000000002</v>
      </c>
      <c r="Z53" s="59">
        <f t="shared" si="18"/>
        <v>0.95950000000000002</v>
      </c>
      <c r="AA53" s="43">
        <f>CE_AdministraçãoFRSS!B223</f>
        <v>8919</v>
      </c>
      <c r="AB53" s="43">
        <f>CE_AdministraçãoFRSS!C223</f>
        <v>9430</v>
      </c>
      <c r="AC53" s="43">
        <f>CE_AdministraçãoFRSS!E223</f>
        <v>0</v>
      </c>
      <c r="AD53" s="43">
        <f>CE_AdministraçãoFRSS!S223</f>
        <v>0</v>
      </c>
      <c r="AE53" s="59">
        <f t="shared" si="20"/>
        <v>0</v>
      </c>
      <c r="AF53" s="59">
        <f t="shared" si="21"/>
        <v>0</v>
      </c>
      <c r="AG53" s="43">
        <f t="shared" si="22"/>
        <v>8919</v>
      </c>
      <c r="AH53" s="43">
        <f t="shared" si="22"/>
        <v>9430</v>
      </c>
      <c r="AI53" s="43">
        <f t="shared" si="22"/>
        <v>0</v>
      </c>
      <c r="AJ53" s="43">
        <f t="shared" si="22"/>
        <v>0</v>
      </c>
      <c r="AK53" s="59">
        <f t="shared" si="23"/>
        <v>0</v>
      </c>
      <c r="AL53" s="59">
        <f t="shared" si="24"/>
        <v>0</v>
      </c>
      <c r="AM53" s="43">
        <f t="shared" si="25"/>
        <v>48919</v>
      </c>
      <c r="AN53" s="43">
        <f t="shared" si="25"/>
        <v>49430</v>
      </c>
      <c r="AO53" s="43">
        <f t="shared" si="25"/>
        <v>38380</v>
      </c>
      <c r="AP53" s="43">
        <f t="shared" si="25"/>
        <v>38380</v>
      </c>
      <c r="AQ53" s="59">
        <f t="shared" si="26"/>
        <v>0.77645154764313173</v>
      </c>
      <c r="AR53" s="59">
        <f t="shared" si="27"/>
        <v>0.77645154764313173</v>
      </c>
      <c r="AT53" s="38"/>
      <c r="AU53" s="38"/>
      <c r="AV53" s="38"/>
      <c r="AW53" s="38"/>
      <c r="AY53" s="38"/>
      <c r="AZ53" s="38"/>
      <c r="BA53" s="38"/>
      <c r="BB53" s="38"/>
      <c r="BC53" s="36"/>
      <c r="BD53" s="36"/>
      <c r="BE53" s="36"/>
      <c r="BF53" s="36"/>
    </row>
    <row r="54" spans="1:58" s="44" customFormat="1" x14ac:dyDescent="0.2">
      <c r="A54" s="41" t="str">
        <f>"502.10"</f>
        <v>502.10</v>
      </c>
      <c r="B54" s="42" t="s">
        <v>128</v>
      </c>
      <c r="C54" s="43">
        <f>SUM(C55:C59)</f>
        <v>0</v>
      </c>
      <c r="D54" s="43">
        <f>SUM(D55:D59)</f>
        <v>0</v>
      </c>
      <c r="E54" s="43">
        <f>SUM(E55:E59)</f>
        <v>0</v>
      </c>
      <c r="F54" s="43">
        <f t="shared" ref="F54" si="48">SUM(F55:F59)</f>
        <v>0</v>
      </c>
      <c r="G54" s="59" t="e">
        <f t="shared" si="8"/>
        <v>#DIV/0!</v>
      </c>
      <c r="H54" s="59" t="e">
        <f t="shared" si="9"/>
        <v>#DIV/0!</v>
      </c>
      <c r="I54" s="43">
        <f>SUM(I55:I59)</f>
        <v>0</v>
      </c>
      <c r="J54" s="43">
        <f>SUM(J55:J59)</f>
        <v>0</v>
      </c>
      <c r="K54" s="43">
        <f t="shared" ref="K54:L54" si="49">SUM(K55:K59)</f>
        <v>0</v>
      </c>
      <c r="L54" s="43">
        <f t="shared" si="49"/>
        <v>0</v>
      </c>
      <c r="M54" s="59" t="e">
        <f t="shared" si="11"/>
        <v>#DIV/0!</v>
      </c>
      <c r="N54" s="59" t="e">
        <f t="shared" si="12"/>
        <v>#DIV/0!</v>
      </c>
      <c r="O54" s="43">
        <f>SUM(O55:O59)</f>
        <v>40000</v>
      </c>
      <c r="P54" s="43">
        <f>SUM(P55:P59)</f>
        <v>40000</v>
      </c>
      <c r="Q54" s="43">
        <f t="shared" ref="Q54:R54" si="50">SUM(Q55:Q59)</f>
        <v>37460.19</v>
      </c>
      <c r="R54" s="43">
        <f t="shared" si="50"/>
        <v>37460.19</v>
      </c>
      <c r="S54" s="59">
        <f t="shared" si="14"/>
        <v>0.93650475000000011</v>
      </c>
      <c r="T54" s="59">
        <f t="shared" si="15"/>
        <v>0.93650475000000011</v>
      </c>
      <c r="U54" s="43">
        <f t="shared" si="16"/>
        <v>40000</v>
      </c>
      <c r="V54" s="43">
        <f t="shared" si="16"/>
        <v>40000</v>
      </c>
      <c r="W54" s="43">
        <f t="shared" si="16"/>
        <v>37460.19</v>
      </c>
      <c r="X54" s="43">
        <f t="shared" si="16"/>
        <v>37460.19</v>
      </c>
      <c r="Y54" s="59">
        <f t="shared" si="17"/>
        <v>0.93650475000000011</v>
      </c>
      <c r="Z54" s="59">
        <f t="shared" si="18"/>
        <v>0.93650475000000011</v>
      </c>
      <c r="AA54" s="43">
        <f>SUM(AA55:AA59)</f>
        <v>2700</v>
      </c>
      <c r="AB54" s="43">
        <f>SUM(AB55:AB59)</f>
        <v>0</v>
      </c>
      <c r="AC54" s="43">
        <f t="shared" ref="AC54:AD54" si="51">SUM(AC55:AC59)</f>
        <v>0</v>
      </c>
      <c r="AD54" s="43">
        <f t="shared" si="51"/>
        <v>0</v>
      </c>
      <c r="AE54" s="59" t="e">
        <f t="shared" si="20"/>
        <v>#DIV/0!</v>
      </c>
      <c r="AF54" s="59" t="e">
        <f t="shared" si="21"/>
        <v>#DIV/0!</v>
      </c>
      <c r="AG54" s="43">
        <f t="shared" si="22"/>
        <v>2700</v>
      </c>
      <c r="AH54" s="43">
        <f t="shared" si="22"/>
        <v>0</v>
      </c>
      <c r="AI54" s="43">
        <f t="shared" si="22"/>
        <v>0</v>
      </c>
      <c r="AJ54" s="43">
        <f t="shared" si="22"/>
        <v>0</v>
      </c>
      <c r="AK54" s="59" t="e">
        <f t="shared" si="23"/>
        <v>#DIV/0!</v>
      </c>
      <c r="AL54" s="59" t="e">
        <f t="shared" si="24"/>
        <v>#DIV/0!</v>
      </c>
      <c r="AM54" s="43">
        <f t="shared" si="25"/>
        <v>42700</v>
      </c>
      <c r="AN54" s="43">
        <f t="shared" si="25"/>
        <v>40000</v>
      </c>
      <c r="AO54" s="43">
        <f t="shared" si="25"/>
        <v>37460.19</v>
      </c>
      <c r="AP54" s="43">
        <f t="shared" si="25"/>
        <v>37460.19</v>
      </c>
      <c r="AQ54" s="59">
        <f t="shared" si="26"/>
        <v>0.93650475000000011</v>
      </c>
      <c r="AR54" s="59">
        <f t="shared" si="27"/>
        <v>0.93650475000000011</v>
      </c>
      <c r="AT54" s="38"/>
      <c r="AU54" s="38"/>
      <c r="AV54" s="38"/>
      <c r="AW54" s="38"/>
      <c r="AY54" s="38"/>
      <c r="AZ54" s="38"/>
      <c r="BA54" s="38"/>
      <c r="BB54" s="38"/>
      <c r="BC54" s="36"/>
      <c r="BD54" s="36"/>
      <c r="BE54" s="36"/>
      <c r="BF54" s="36"/>
    </row>
    <row r="55" spans="1:58" x14ac:dyDescent="0.2">
      <c r="A55" s="45" t="str">
        <f>"502.10.01"</f>
        <v>502.10.01</v>
      </c>
      <c r="B55" s="45" t="s">
        <v>870</v>
      </c>
      <c r="C55" s="46">
        <f>CE_RegimeContributivo!B225</f>
        <v>0</v>
      </c>
      <c r="D55" s="46">
        <f>CE_RegimeContributivo!C225</f>
        <v>0</v>
      </c>
      <c r="E55" s="46">
        <f>CE_RegimeContributivo!E225</f>
        <v>0</v>
      </c>
      <c r="F55" s="46">
        <f>CE_RegimeContributivo!S225</f>
        <v>0</v>
      </c>
      <c r="G55" s="60" t="e">
        <f t="shared" si="8"/>
        <v>#DIV/0!</v>
      </c>
      <c r="H55" s="60" t="e">
        <f t="shared" si="9"/>
        <v>#DIV/0!</v>
      </c>
      <c r="I55" s="46">
        <f>CE_RegimeNaoContributivo!B225</f>
        <v>0</v>
      </c>
      <c r="J55" s="46">
        <f>CE_RegimeNaoContributivo!C225</f>
        <v>0</v>
      </c>
      <c r="K55" s="46">
        <f>CE_RegimeNaoContributivo!E225</f>
        <v>0</v>
      </c>
      <c r="L55" s="46">
        <f>CE_RegimeNaoContributivo!S225</f>
        <v>0</v>
      </c>
      <c r="M55" s="60" t="e">
        <f t="shared" si="11"/>
        <v>#DIV/0!</v>
      </c>
      <c r="N55" s="60" t="e">
        <f t="shared" si="12"/>
        <v>#DIV/0!</v>
      </c>
      <c r="O55" s="46">
        <f>CE_AdministraçãoINSS!B225</f>
        <v>2250</v>
      </c>
      <c r="P55" s="46">
        <f>CE_AdministraçãoINSS!C225</f>
        <v>2250</v>
      </c>
      <c r="Q55" s="46">
        <f>CE_AdministraçãoINSS!E225</f>
        <v>2100</v>
      </c>
      <c r="R55" s="46">
        <f>CE_AdministraçãoINSS!S225</f>
        <v>2100</v>
      </c>
      <c r="S55" s="60">
        <f t="shared" si="14"/>
        <v>0.93333333333333335</v>
      </c>
      <c r="T55" s="60">
        <f t="shared" si="15"/>
        <v>0.93333333333333335</v>
      </c>
      <c r="U55" s="46">
        <f t="shared" si="16"/>
        <v>2250</v>
      </c>
      <c r="V55" s="46">
        <f t="shared" si="16"/>
        <v>2250</v>
      </c>
      <c r="W55" s="46">
        <f t="shared" si="16"/>
        <v>2100</v>
      </c>
      <c r="X55" s="46">
        <f t="shared" si="16"/>
        <v>2100</v>
      </c>
      <c r="Y55" s="60">
        <f t="shared" si="17"/>
        <v>0.93333333333333335</v>
      </c>
      <c r="Z55" s="60">
        <f t="shared" si="18"/>
        <v>0.93333333333333335</v>
      </c>
      <c r="AA55" s="46">
        <f>CE_AdministraçãoFRSS!B225</f>
        <v>0</v>
      </c>
      <c r="AB55" s="46">
        <f>CE_AdministraçãoFRSS!C225</f>
        <v>0</v>
      </c>
      <c r="AC55" s="46">
        <f>CE_AdministraçãoFRSS!E225</f>
        <v>0</v>
      </c>
      <c r="AD55" s="46">
        <f>CE_AdministraçãoFRSS!S225</f>
        <v>0</v>
      </c>
      <c r="AE55" s="60" t="e">
        <f t="shared" si="20"/>
        <v>#DIV/0!</v>
      </c>
      <c r="AF55" s="60" t="e">
        <f t="shared" si="21"/>
        <v>#DIV/0!</v>
      </c>
      <c r="AG55" s="46">
        <f t="shared" si="22"/>
        <v>0</v>
      </c>
      <c r="AH55" s="46">
        <f t="shared" si="22"/>
        <v>0</v>
      </c>
      <c r="AI55" s="46">
        <f t="shared" si="22"/>
        <v>0</v>
      </c>
      <c r="AJ55" s="46">
        <f t="shared" si="22"/>
        <v>0</v>
      </c>
      <c r="AK55" s="60" t="e">
        <f t="shared" si="23"/>
        <v>#DIV/0!</v>
      </c>
      <c r="AL55" s="60" t="e">
        <f t="shared" si="24"/>
        <v>#DIV/0!</v>
      </c>
      <c r="AM55" s="46">
        <f t="shared" si="25"/>
        <v>2250</v>
      </c>
      <c r="AN55" s="46">
        <f t="shared" si="25"/>
        <v>2250</v>
      </c>
      <c r="AO55" s="46">
        <f t="shared" si="25"/>
        <v>2100</v>
      </c>
      <c r="AP55" s="46">
        <f t="shared" si="25"/>
        <v>2100</v>
      </c>
      <c r="AQ55" s="60">
        <f t="shared" si="26"/>
        <v>0.93333333333333335</v>
      </c>
      <c r="AR55" s="60">
        <f t="shared" si="27"/>
        <v>0.93333333333333335</v>
      </c>
      <c r="AT55" s="38"/>
      <c r="AU55" s="38"/>
      <c r="AV55" s="38"/>
      <c r="AW55" s="38"/>
      <c r="AY55" s="38"/>
      <c r="AZ55" s="38"/>
      <c r="BA55" s="38"/>
      <c r="BB55" s="38"/>
    </row>
    <row r="56" spans="1:58" x14ac:dyDescent="0.2">
      <c r="A56" s="45" t="str">
        <f>"502.10.02"</f>
        <v>502.10.02</v>
      </c>
      <c r="B56" s="45" t="s">
        <v>871</v>
      </c>
      <c r="C56" s="46">
        <f>CE_RegimeContributivo!B226</f>
        <v>0</v>
      </c>
      <c r="D56" s="46">
        <f>CE_RegimeContributivo!C226</f>
        <v>0</v>
      </c>
      <c r="E56" s="46">
        <f>CE_RegimeContributivo!E226</f>
        <v>0</v>
      </c>
      <c r="F56" s="46">
        <f>CE_RegimeContributivo!S226</f>
        <v>0</v>
      </c>
      <c r="G56" s="60" t="e">
        <f t="shared" si="8"/>
        <v>#DIV/0!</v>
      </c>
      <c r="H56" s="60" t="e">
        <f t="shared" si="9"/>
        <v>#DIV/0!</v>
      </c>
      <c r="I56" s="46">
        <f>CE_RegimeNaoContributivo!B226</f>
        <v>0</v>
      </c>
      <c r="J56" s="46">
        <f>CE_RegimeNaoContributivo!C226</f>
        <v>0</v>
      </c>
      <c r="K56" s="46">
        <f>CE_RegimeNaoContributivo!E226</f>
        <v>0</v>
      </c>
      <c r="L56" s="46">
        <f>CE_RegimeNaoContributivo!S226</f>
        <v>0</v>
      </c>
      <c r="M56" s="60" t="e">
        <f t="shared" si="11"/>
        <v>#DIV/0!</v>
      </c>
      <c r="N56" s="60" t="e">
        <f t="shared" si="12"/>
        <v>#DIV/0!</v>
      </c>
      <c r="O56" s="46">
        <f>CE_AdministraçãoINSS!B226</f>
        <v>37450</v>
      </c>
      <c r="P56" s="46">
        <f>CE_AdministraçãoINSS!C226</f>
        <v>37450</v>
      </c>
      <c r="Q56" s="46">
        <f>CE_AdministraçãoINSS!E226</f>
        <v>35360.19</v>
      </c>
      <c r="R56" s="46">
        <f>CE_AdministraçãoINSS!S226</f>
        <v>35360.19</v>
      </c>
      <c r="S56" s="60">
        <f t="shared" si="14"/>
        <v>0.94419732977303072</v>
      </c>
      <c r="T56" s="60">
        <f t="shared" si="15"/>
        <v>0.94419732977303072</v>
      </c>
      <c r="U56" s="46">
        <f t="shared" si="16"/>
        <v>37450</v>
      </c>
      <c r="V56" s="46">
        <f t="shared" si="16"/>
        <v>37450</v>
      </c>
      <c r="W56" s="46">
        <f t="shared" si="16"/>
        <v>35360.19</v>
      </c>
      <c r="X56" s="46">
        <f t="shared" si="16"/>
        <v>35360.19</v>
      </c>
      <c r="Y56" s="60">
        <f t="shared" si="17"/>
        <v>0.94419732977303072</v>
      </c>
      <c r="Z56" s="60">
        <f t="shared" si="18"/>
        <v>0.94419732977303072</v>
      </c>
      <c r="AA56" s="46">
        <f>CE_AdministraçãoFRSS!B226</f>
        <v>2700</v>
      </c>
      <c r="AB56" s="46">
        <f>CE_AdministraçãoFRSS!C226</f>
        <v>0</v>
      </c>
      <c r="AC56" s="46">
        <f>CE_AdministraçãoFRSS!E226</f>
        <v>0</v>
      </c>
      <c r="AD56" s="46">
        <f>CE_AdministraçãoFRSS!S226</f>
        <v>0</v>
      </c>
      <c r="AE56" s="60" t="e">
        <f t="shared" si="20"/>
        <v>#DIV/0!</v>
      </c>
      <c r="AF56" s="60" t="e">
        <f t="shared" si="21"/>
        <v>#DIV/0!</v>
      </c>
      <c r="AG56" s="46">
        <f t="shared" si="22"/>
        <v>2700</v>
      </c>
      <c r="AH56" s="46">
        <f t="shared" si="22"/>
        <v>0</v>
      </c>
      <c r="AI56" s="46">
        <f t="shared" si="22"/>
        <v>0</v>
      </c>
      <c r="AJ56" s="46">
        <f t="shared" si="22"/>
        <v>0</v>
      </c>
      <c r="AK56" s="60" t="e">
        <f t="shared" si="23"/>
        <v>#DIV/0!</v>
      </c>
      <c r="AL56" s="60" t="e">
        <f t="shared" si="24"/>
        <v>#DIV/0!</v>
      </c>
      <c r="AM56" s="46">
        <f t="shared" si="25"/>
        <v>40150</v>
      </c>
      <c r="AN56" s="46">
        <f t="shared" si="25"/>
        <v>37450</v>
      </c>
      <c r="AO56" s="46">
        <f t="shared" si="25"/>
        <v>35360.19</v>
      </c>
      <c r="AP56" s="46">
        <f t="shared" si="25"/>
        <v>35360.19</v>
      </c>
      <c r="AQ56" s="60">
        <f t="shared" si="26"/>
        <v>0.94419732977303072</v>
      </c>
      <c r="AR56" s="60">
        <f t="shared" si="27"/>
        <v>0.94419732977303072</v>
      </c>
      <c r="AT56" s="38"/>
      <c r="AU56" s="38"/>
      <c r="AV56" s="38"/>
      <c r="AW56" s="38"/>
      <c r="AY56" s="38"/>
      <c r="AZ56" s="38"/>
      <c r="BA56" s="38"/>
      <c r="BB56" s="38"/>
    </row>
    <row r="57" spans="1:58" x14ac:dyDescent="0.2">
      <c r="A57" s="45" t="str">
        <f t="shared" ref="A57" si="52">"502.10.03"</f>
        <v>502.10.03</v>
      </c>
      <c r="B57" s="45" t="s">
        <v>872</v>
      </c>
      <c r="C57" s="46">
        <f>CE_RegimeContributivo!B227</f>
        <v>0</v>
      </c>
      <c r="D57" s="46">
        <f>CE_RegimeContributivo!C227</f>
        <v>0</v>
      </c>
      <c r="E57" s="46">
        <f>CE_RegimeContributivo!E227</f>
        <v>0</v>
      </c>
      <c r="F57" s="46">
        <f>CE_RegimeContributivo!S227</f>
        <v>0</v>
      </c>
      <c r="G57" s="60" t="e">
        <f t="shared" si="8"/>
        <v>#DIV/0!</v>
      </c>
      <c r="H57" s="60" t="e">
        <f t="shared" si="9"/>
        <v>#DIV/0!</v>
      </c>
      <c r="I57" s="46">
        <f>CE_RegimeNaoContributivo!B227</f>
        <v>0</v>
      </c>
      <c r="J57" s="46">
        <f>CE_RegimeNaoContributivo!C227</f>
        <v>0</v>
      </c>
      <c r="K57" s="46">
        <f>CE_RegimeNaoContributivo!E227</f>
        <v>0</v>
      </c>
      <c r="L57" s="46">
        <f>CE_RegimeNaoContributivo!S227</f>
        <v>0</v>
      </c>
      <c r="M57" s="60" t="e">
        <f t="shared" si="11"/>
        <v>#DIV/0!</v>
      </c>
      <c r="N57" s="60" t="e">
        <f t="shared" si="12"/>
        <v>#DIV/0!</v>
      </c>
      <c r="O57" s="46">
        <f>CE_AdministraçãoINSS!B227</f>
        <v>0</v>
      </c>
      <c r="P57" s="46">
        <f>CE_AdministraçãoINSS!C227</f>
        <v>0</v>
      </c>
      <c r="Q57" s="46">
        <f>CE_AdministraçãoINSS!E227</f>
        <v>0</v>
      </c>
      <c r="R57" s="46">
        <f>CE_AdministraçãoINSS!S227</f>
        <v>0</v>
      </c>
      <c r="S57" s="60" t="e">
        <f t="shared" si="14"/>
        <v>#DIV/0!</v>
      </c>
      <c r="T57" s="60" t="e">
        <f t="shared" si="15"/>
        <v>#DIV/0!</v>
      </c>
      <c r="U57" s="46">
        <f t="shared" si="16"/>
        <v>0</v>
      </c>
      <c r="V57" s="46">
        <f t="shared" si="16"/>
        <v>0</v>
      </c>
      <c r="W57" s="46">
        <f t="shared" si="16"/>
        <v>0</v>
      </c>
      <c r="X57" s="46">
        <f t="shared" si="16"/>
        <v>0</v>
      </c>
      <c r="Y57" s="60" t="e">
        <f t="shared" si="17"/>
        <v>#DIV/0!</v>
      </c>
      <c r="Z57" s="60" t="e">
        <f t="shared" si="18"/>
        <v>#DIV/0!</v>
      </c>
      <c r="AA57" s="46">
        <f>CE_AdministraçãoFRSS!B227</f>
        <v>0</v>
      </c>
      <c r="AB57" s="46">
        <f>CE_AdministraçãoFRSS!C227</f>
        <v>0</v>
      </c>
      <c r="AC57" s="46">
        <f>CE_AdministraçãoFRSS!E227</f>
        <v>0</v>
      </c>
      <c r="AD57" s="46">
        <f>CE_AdministraçãoFRSS!S227</f>
        <v>0</v>
      </c>
      <c r="AE57" s="60" t="e">
        <f t="shared" si="20"/>
        <v>#DIV/0!</v>
      </c>
      <c r="AF57" s="60" t="e">
        <f t="shared" si="21"/>
        <v>#DIV/0!</v>
      </c>
      <c r="AG57" s="46">
        <f t="shared" si="22"/>
        <v>0</v>
      </c>
      <c r="AH57" s="46">
        <f t="shared" si="22"/>
        <v>0</v>
      </c>
      <c r="AI57" s="46">
        <f t="shared" si="22"/>
        <v>0</v>
      </c>
      <c r="AJ57" s="46">
        <f t="shared" si="22"/>
        <v>0</v>
      </c>
      <c r="AK57" s="60" t="e">
        <f t="shared" si="23"/>
        <v>#DIV/0!</v>
      </c>
      <c r="AL57" s="60" t="e">
        <f t="shared" si="24"/>
        <v>#DIV/0!</v>
      </c>
      <c r="AM57" s="46">
        <f t="shared" si="25"/>
        <v>0</v>
      </c>
      <c r="AN57" s="46">
        <f t="shared" si="25"/>
        <v>0</v>
      </c>
      <c r="AO57" s="46">
        <f t="shared" si="25"/>
        <v>0</v>
      </c>
      <c r="AP57" s="46">
        <f t="shared" si="25"/>
        <v>0</v>
      </c>
      <c r="AQ57" s="60" t="e">
        <f t="shared" si="26"/>
        <v>#DIV/0!</v>
      </c>
      <c r="AR57" s="60" t="e">
        <f t="shared" si="27"/>
        <v>#DIV/0!</v>
      </c>
      <c r="AT57" s="38"/>
      <c r="AU57" s="38"/>
      <c r="AV57" s="38"/>
      <c r="AW57" s="38"/>
      <c r="AY57" s="38"/>
      <c r="AZ57" s="38"/>
      <c r="BA57" s="38"/>
      <c r="BB57" s="38"/>
    </row>
    <row r="58" spans="1:58" x14ac:dyDescent="0.2">
      <c r="A58" s="45" t="str">
        <f>"502.10.04"</f>
        <v>502.10.04</v>
      </c>
      <c r="B58" s="45" t="s">
        <v>873</v>
      </c>
      <c r="C58" s="46">
        <f>CE_RegimeContributivo!B228</f>
        <v>0</v>
      </c>
      <c r="D58" s="46">
        <f>CE_RegimeContributivo!C228</f>
        <v>0</v>
      </c>
      <c r="E58" s="46">
        <f>CE_RegimeContributivo!E228</f>
        <v>0</v>
      </c>
      <c r="F58" s="46">
        <f>CE_RegimeContributivo!S228</f>
        <v>0</v>
      </c>
      <c r="G58" s="60" t="e">
        <f t="shared" si="8"/>
        <v>#DIV/0!</v>
      </c>
      <c r="H58" s="60" t="e">
        <f t="shared" si="9"/>
        <v>#DIV/0!</v>
      </c>
      <c r="I58" s="46">
        <f>CE_RegimeNaoContributivo!B228</f>
        <v>0</v>
      </c>
      <c r="J58" s="46">
        <f>CE_RegimeNaoContributivo!C228</f>
        <v>0</v>
      </c>
      <c r="K58" s="46">
        <f>CE_RegimeNaoContributivo!E228</f>
        <v>0</v>
      </c>
      <c r="L58" s="46">
        <f>CE_RegimeNaoContributivo!S228</f>
        <v>0</v>
      </c>
      <c r="M58" s="60" t="e">
        <f t="shared" si="11"/>
        <v>#DIV/0!</v>
      </c>
      <c r="N58" s="60" t="e">
        <f t="shared" si="12"/>
        <v>#DIV/0!</v>
      </c>
      <c r="O58" s="46">
        <f>CE_AdministraçãoINSS!B228</f>
        <v>0</v>
      </c>
      <c r="P58" s="46">
        <f>CE_AdministraçãoINSS!C228</f>
        <v>0</v>
      </c>
      <c r="Q58" s="46">
        <f>CE_AdministraçãoINSS!E228</f>
        <v>0</v>
      </c>
      <c r="R58" s="46">
        <f>CE_AdministraçãoINSS!S228</f>
        <v>0</v>
      </c>
      <c r="S58" s="60" t="e">
        <f t="shared" si="14"/>
        <v>#DIV/0!</v>
      </c>
      <c r="T58" s="60" t="e">
        <f t="shared" si="15"/>
        <v>#DIV/0!</v>
      </c>
      <c r="U58" s="46">
        <f t="shared" si="16"/>
        <v>0</v>
      </c>
      <c r="V58" s="46">
        <f t="shared" si="16"/>
        <v>0</v>
      </c>
      <c r="W58" s="46">
        <f t="shared" si="16"/>
        <v>0</v>
      </c>
      <c r="X58" s="46">
        <f t="shared" si="16"/>
        <v>0</v>
      </c>
      <c r="Y58" s="60" t="e">
        <f t="shared" si="17"/>
        <v>#DIV/0!</v>
      </c>
      <c r="Z58" s="60" t="e">
        <f t="shared" si="18"/>
        <v>#DIV/0!</v>
      </c>
      <c r="AA58" s="46">
        <f>CE_AdministraçãoFRSS!B228</f>
        <v>0</v>
      </c>
      <c r="AB58" s="46">
        <f>CE_AdministraçãoFRSS!C228</f>
        <v>0</v>
      </c>
      <c r="AC58" s="46">
        <f>CE_AdministraçãoFRSS!E228</f>
        <v>0</v>
      </c>
      <c r="AD58" s="46">
        <f>CE_AdministraçãoFRSS!S228</f>
        <v>0</v>
      </c>
      <c r="AE58" s="60" t="e">
        <f t="shared" si="20"/>
        <v>#DIV/0!</v>
      </c>
      <c r="AF58" s="60" t="e">
        <f t="shared" si="21"/>
        <v>#DIV/0!</v>
      </c>
      <c r="AG58" s="46">
        <f t="shared" si="22"/>
        <v>0</v>
      </c>
      <c r="AH58" s="46">
        <f t="shared" si="22"/>
        <v>0</v>
      </c>
      <c r="AI58" s="46">
        <f t="shared" si="22"/>
        <v>0</v>
      </c>
      <c r="AJ58" s="46">
        <f t="shared" si="22"/>
        <v>0</v>
      </c>
      <c r="AK58" s="60" t="e">
        <f t="shared" si="23"/>
        <v>#DIV/0!</v>
      </c>
      <c r="AL58" s="60" t="e">
        <f t="shared" si="24"/>
        <v>#DIV/0!</v>
      </c>
      <c r="AM58" s="46">
        <f t="shared" si="25"/>
        <v>0</v>
      </c>
      <c r="AN58" s="46">
        <f t="shared" si="25"/>
        <v>0</v>
      </c>
      <c r="AO58" s="46">
        <f t="shared" si="25"/>
        <v>0</v>
      </c>
      <c r="AP58" s="46">
        <f t="shared" si="25"/>
        <v>0</v>
      </c>
      <c r="AQ58" s="60" t="e">
        <f t="shared" si="26"/>
        <v>#DIV/0!</v>
      </c>
      <c r="AR58" s="60" t="e">
        <f t="shared" si="27"/>
        <v>#DIV/0!</v>
      </c>
      <c r="AT58" s="38"/>
      <c r="AU58" s="38"/>
      <c r="AV58" s="38"/>
      <c r="AW58" s="38"/>
      <c r="AY58" s="38"/>
      <c r="AZ58" s="38"/>
      <c r="BA58" s="38"/>
      <c r="BB58" s="38"/>
    </row>
    <row r="59" spans="1:58" x14ac:dyDescent="0.2">
      <c r="A59" s="45" t="str">
        <f>"502.10.05"</f>
        <v>502.10.05</v>
      </c>
      <c r="B59" s="45" t="s">
        <v>874</v>
      </c>
      <c r="C59" s="46">
        <f>CE_RegimeContributivo!B229</f>
        <v>0</v>
      </c>
      <c r="D59" s="46">
        <f>CE_RegimeContributivo!C229</f>
        <v>0</v>
      </c>
      <c r="E59" s="46">
        <f>CE_RegimeContributivo!E229</f>
        <v>0</v>
      </c>
      <c r="F59" s="46">
        <f>CE_RegimeContributivo!S229</f>
        <v>0</v>
      </c>
      <c r="G59" s="60" t="e">
        <f t="shared" si="8"/>
        <v>#DIV/0!</v>
      </c>
      <c r="H59" s="60" t="e">
        <f t="shared" si="9"/>
        <v>#DIV/0!</v>
      </c>
      <c r="I59" s="46">
        <f>CE_RegimeNaoContributivo!B229</f>
        <v>0</v>
      </c>
      <c r="J59" s="46">
        <f>CE_RegimeNaoContributivo!C229</f>
        <v>0</v>
      </c>
      <c r="K59" s="46">
        <f>CE_RegimeNaoContributivo!E229</f>
        <v>0</v>
      </c>
      <c r="L59" s="46">
        <f>CE_RegimeNaoContributivo!S229</f>
        <v>0</v>
      </c>
      <c r="M59" s="60" t="e">
        <f t="shared" si="11"/>
        <v>#DIV/0!</v>
      </c>
      <c r="N59" s="60" t="e">
        <f t="shared" si="12"/>
        <v>#DIV/0!</v>
      </c>
      <c r="O59" s="46">
        <f>CE_AdministraçãoINSS!B229</f>
        <v>300</v>
      </c>
      <c r="P59" s="46">
        <f>CE_AdministraçãoINSS!C229</f>
        <v>300</v>
      </c>
      <c r="Q59" s="46">
        <f>CE_AdministraçãoINSS!E229</f>
        <v>0</v>
      </c>
      <c r="R59" s="46">
        <f>CE_AdministraçãoINSS!S229</f>
        <v>0</v>
      </c>
      <c r="S59" s="60">
        <f t="shared" si="14"/>
        <v>0</v>
      </c>
      <c r="T59" s="60">
        <f t="shared" si="15"/>
        <v>0</v>
      </c>
      <c r="U59" s="46">
        <f t="shared" si="16"/>
        <v>300</v>
      </c>
      <c r="V59" s="46">
        <f t="shared" si="16"/>
        <v>300</v>
      </c>
      <c r="W59" s="46">
        <f t="shared" si="16"/>
        <v>0</v>
      </c>
      <c r="X59" s="46">
        <f t="shared" si="16"/>
        <v>0</v>
      </c>
      <c r="Y59" s="60">
        <f t="shared" si="17"/>
        <v>0</v>
      </c>
      <c r="Z59" s="60">
        <f t="shared" si="18"/>
        <v>0</v>
      </c>
      <c r="AA59" s="46">
        <f>CE_AdministraçãoFRSS!B229</f>
        <v>0</v>
      </c>
      <c r="AB59" s="46">
        <f>CE_AdministraçãoFRSS!C229</f>
        <v>0</v>
      </c>
      <c r="AC59" s="46">
        <f>CE_AdministraçãoFRSS!E229</f>
        <v>0</v>
      </c>
      <c r="AD59" s="46">
        <f>CE_AdministraçãoFRSS!S229</f>
        <v>0</v>
      </c>
      <c r="AE59" s="60" t="e">
        <f t="shared" si="20"/>
        <v>#DIV/0!</v>
      </c>
      <c r="AF59" s="60" t="e">
        <f t="shared" si="21"/>
        <v>#DIV/0!</v>
      </c>
      <c r="AG59" s="46">
        <f t="shared" si="22"/>
        <v>0</v>
      </c>
      <c r="AH59" s="46">
        <f t="shared" si="22"/>
        <v>0</v>
      </c>
      <c r="AI59" s="46">
        <f t="shared" si="22"/>
        <v>0</v>
      </c>
      <c r="AJ59" s="46">
        <f t="shared" si="22"/>
        <v>0</v>
      </c>
      <c r="AK59" s="60" t="e">
        <f t="shared" si="23"/>
        <v>#DIV/0!</v>
      </c>
      <c r="AL59" s="60" t="e">
        <f t="shared" si="24"/>
        <v>#DIV/0!</v>
      </c>
      <c r="AM59" s="46">
        <f t="shared" si="25"/>
        <v>300</v>
      </c>
      <c r="AN59" s="46">
        <f t="shared" si="25"/>
        <v>300</v>
      </c>
      <c r="AO59" s="46">
        <f t="shared" si="25"/>
        <v>0</v>
      </c>
      <c r="AP59" s="46">
        <f t="shared" si="25"/>
        <v>0</v>
      </c>
      <c r="AQ59" s="60">
        <f t="shared" si="26"/>
        <v>0</v>
      </c>
      <c r="AR59" s="60">
        <f t="shared" si="27"/>
        <v>0</v>
      </c>
      <c r="AT59" s="38"/>
      <c r="AU59" s="38"/>
      <c r="AV59" s="38"/>
      <c r="AW59" s="38"/>
      <c r="AY59" s="38"/>
      <c r="AZ59" s="38"/>
      <c r="BA59" s="38"/>
      <c r="BB59" s="38"/>
    </row>
    <row r="60" spans="1:58" s="44" customFormat="1" x14ac:dyDescent="0.2">
      <c r="A60" s="41" t="str">
        <f>"502.11"</f>
        <v>502.11</v>
      </c>
      <c r="B60" s="42" t="s">
        <v>129</v>
      </c>
      <c r="C60" s="43">
        <f>SUM(C61:C66)</f>
        <v>0</v>
      </c>
      <c r="D60" s="43">
        <f>SUM(D61:D66)</f>
        <v>0</v>
      </c>
      <c r="E60" s="43">
        <f>SUM(E61:E66)</f>
        <v>0</v>
      </c>
      <c r="F60" s="43">
        <f t="shared" ref="F60" si="53">SUM(F61:F66)</f>
        <v>0</v>
      </c>
      <c r="G60" s="59" t="e">
        <f t="shared" si="8"/>
        <v>#DIV/0!</v>
      </c>
      <c r="H60" s="59" t="e">
        <f t="shared" si="9"/>
        <v>#DIV/0!</v>
      </c>
      <c r="I60" s="43">
        <f>SUM(I61:I66)</f>
        <v>0</v>
      </c>
      <c r="J60" s="43">
        <f>SUM(J61:J66)</f>
        <v>0</v>
      </c>
      <c r="K60" s="43">
        <f t="shared" ref="K60:L60" si="54">SUM(K61:K66)</f>
        <v>0</v>
      </c>
      <c r="L60" s="43">
        <f t="shared" si="54"/>
        <v>0</v>
      </c>
      <c r="M60" s="59" t="e">
        <f t="shared" si="11"/>
        <v>#DIV/0!</v>
      </c>
      <c r="N60" s="59" t="e">
        <f t="shared" si="12"/>
        <v>#DIV/0!</v>
      </c>
      <c r="O60" s="43">
        <f>SUM(O61:O66)</f>
        <v>3000</v>
      </c>
      <c r="P60" s="43">
        <f>SUM(P61:P66)</f>
        <v>3000</v>
      </c>
      <c r="Q60" s="43">
        <f t="shared" ref="Q60:R60" si="55">SUM(Q61:Q66)</f>
        <v>3000</v>
      </c>
      <c r="R60" s="43">
        <f t="shared" si="55"/>
        <v>495</v>
      </c>
      <c r="S60" s="59">
        <f t="shared" si="14"/>
        <v>0.16500000000000001</v>
      </c>
      <c r="T60" s="59">
        <f t="shared" si="15"/>
        <v>1</v>
      </c>
      <c r="U60" s="43">
        <f t="shared" si="16"/>
        <v>3000</v>
      </c>
      <c r="V60" s="43">
        <f t="shared" si="16"/>
        <v>3000</v>
      </c>
      <c r="W60" s="43">
        <f t="shared" si="16"/>
        <v>3000</v>
      </c>
      <c r="X60" s="43">
        <f t="shared" si="16"/>
        <v>495</v>
      </c>
      <c r="Y60" s="59">
        <f t="shared" si="17"/>
        <v>0.16500000000000001</v>
      </c>
      <c r="Z60" s="59">
        <f t="shared" si="18"/>
        <v>1</v>
      </c>
      <c r="AA60" s="43">
        <f>SUM(AA61:AA66)</f>
        <v>1484</v>
      </c>
      <c r="AB60" s="43">
        <f>SUM(AB61:AB66)</f>
        <v>965</v>
      </c>
      <c r="AC60" s="43">
        <f t="shared" ref="AC60:AD60" si="56">SUM(AC61:AC66)</f>
        <v>0</v>
      </c>
      <c r="AD60" s="43">
        <f t="shared" si="56"/>
        <v>0</v>
      </c>
      <c r="AE60" s="59">
        <f t="shared" si="20"/>
        <v>0</v>
      </c>
      <c r="AF60" s="59">
        <f t="shared" si="21"/>
        <v>0</v>
      </c>
      <c r="AG60" s="43">
        <f t="shared" si="22"/>
        <v>1484</v>
      </c>
      <c r="AH60" s="43">
        <f t="shared" si="22"/>
        <v>965</v>
      </c>
      <c r="AI60" s="43">
        <f t="shared" si="22"/>
        <v>0</v>
      </c>
      <c r="AJ60" s="43">
        <f t="shared" si="22"/>
        <v>0</v>
      </c>
      <c r="AK60" s="59">
        <f t="shared" si="23"/>
        <v>0</v>
      </c>
      <c r="AL60" s="59">
        <f t="shared" si="24"/>
        <v>0</v>
      </c>
      <c r="AM60" s="43">
        <f t="shared" si="25"/>
        <v>4484</v>
      </c>
      <c r="AN60" s="43">
        <f t="shared" si="25"/>
        <v>3965</v>
      </c>
      <c r="AO60" s="43">
        <f t="shared" si="25"/>
        <v>3000</v>
      </c>
      <c r="AP60" s="43">
        <f t="shared" si="25"/>
        <v>495</v>
      </c>
      <c r="AQ60" s="59">
        <f t="shared" si="26"/>
        <v>0.12484237074401008</v>
      </c>
      <c r="AR60" s="59">
        <f t="shared" si="27"/>
        <v>0.75662042875157631</v>
      </c>
      <c r="AT60" s="38"/>
      <c r="AU60" s="38"/>
      <c r="AV60" s="38"/>
      <c r="AW60" s="38"/>
      <c r="AY60" s="38"/>
      <c r="AZ60" s="38"/>
      <c r="BA60" s="38"/>
      <c r="BB60" s="38"/>
      <c r="BC60" s="36"/>
      <c r="BD60" s="36"/>
      <c r="BE60" s="36"/>
      <c r="BF60" s="36"/>
    </row>
    <row r="61" spans="1:58" x14ac:dyDescent="0.2">
      <c r="A61" s="45" t="str">
        <f>"502.11.01"</f>
        <v>502.11.01</v>
      </c>
      <c r="B61" s="45" t="s">
        <v>875</v>
      </c>
      <c r="C61" s="46">
        <f>CE_RegimeContributivo!B231</f>
        <v>0</v>
      </c>
      <c r="D61" s="46">
        <f>CE_RegimeContributivo!C231</f>
        <v>0</v>
      </c>
      <c r="E61" s="46">
        <f>CE_RegimeContributivo!E231</f>
        <v>0</v>
      </c>
      <c r="F61" s="46">
        <f>CE_RegimeContributivo!S231</f>
        <v>0</v>
      </c>
      <c r="G61" s="60" t="e">
        <f t="shared" si="8"/>
        <v>#DIV/0!</v>
      </c>
      <c r="H61" s="60" t="e">
        <f t="shared" si="9"/>
        <v>#DIV/0!</v>
      </c>
      <c r="I61" s="46">
        <f>CE_RegimeNaoContributivo!B231</f>
        <v>0</v>
      </c>
      <c r="J61" s="46">
        <f>CE_RegimeNaoContributivo!C231</f>
        <v>0</v>
      </c>
      <c r="K61" s="46">
        <f>CE_RegimeNaoContributivo!E231</f>
        <v>0</v>
      </c>
      <c r="L61" s="46">
        <f>CE_RegimeNaoContributivo!S231</f>
        <v>0</v>
      </c>
      <c r="M61" s="60" t="e">
        <f t="shared" si="11"/>
        <v>#DIV/0!</v>
      </c>
      <c r="N61" s="60" t="e">
        <f t="shared" si="12"/>
        <v>#DIV/0!</v>
      </c>
      <c r="O61" s="46">
        <f>CE_AdministraçãoINSS!B231</f>
        <v>0</v>
      </c>
      <c r="P61" s="46">
        <f>CE_AdministraçãoINSS!C231</f>
        <v>0</v>
      </c>
      <c r="Q61" s="46">
        <f>CE_AdministraçãoINSS!E231</f>
        <v>0</v>
      </c>
      <c r="R61" s="46">
        <f>CE_AdministraçãoINSS!S231</f>
        <v>0</v>
      </c>
      <c r="S61" s="60" t="e">
        <f t="shared" si="14"/>
        <v>#DIV/0!</v>
      </c>
      <c r="T61" s="60" t="e">
        <f t="shared" si="15"/>
        <v>#DIV/0!</v>
      </c>
      <c r="U61" s="46">
        <f t="shared" si="16"/>
        <v>0</v>
      </c>
      <c r="V61" s="46">
        <f t="shared" si="16"/>
        <v>0</v>
      </c>
      <c r="W61" s="46">
        <f t="shared" si="16"/>
        <v>0</v>
      </c>
      <c r="X61" s="46">
        <f t="shared" si="16"/>
        <v>0</v>
      </c>
      <c r="Y61" s="60" t="e">
        <f t="shared" si="17"/>
        <v>#DIV/0!</v>
      </c>
      <c r="Z61" s="60" t="e">
        <f t="shared" si="18"/>
        <v>#DIV/0!</v>
      </c>
      <c r="AA61" s="46">
        <f>CE_AdministraçãoFRSS!B231</f>
        <v>0</v>
      </c>
      <c r="AB61" s="46">
        <f>CE_AdministraçãoFRSS!C231</f>
        <v>0</v>
      </c>
      <c r="AC61" s="46">
        <f>CE_AdministraçãoFRSS!E231</f>
        <v>0</v>
      </c>
      <c r="AD61" s="46">
        <f>CE_AdministraçãoFRSS!S231</f>
        <v>0</v>
      </c>
      <c r="AE61" s="60" t="e">
        <f t="shared" si="20"/>
        <v>#DIV/0!</v>
      </c>
      <c r="AF61" s="60" t="e">
        <f t="shared" si="21"/>
        <v>#DIV/0!</v>
      </c>
      <c r="AG61" s="46">
        <f t="shared" si="22"/>
        <v>0</v>
      </c>
      <c r="AH61" s="46">
        <f t="shared" si="22"/>
        <v>0</v>
      </c>
      <c r="AI61" s="46">
        <f t="shared" si="22"/>
        <v>0</v>
      </c>
      <c r="AJ61" s="46">
        <f t="shared" si="22"/>
        <v>0</v>
      </c>
      <c r="AK61" s="60" t="e">
        <f t="shared" si="23"/>
        <v>#DIV/0!</v>
      </c>
      <c r="AL61" s="60" t="e">
        <f t="shared" si="24"/>
        <v>#DIV/0!</v>
      </c>
      <c r="AM61" s="46">
        <f t="shared" si="25"/>
        <v>0</v>
      </c>
      <c r="AN61" s="46">
        <f t="shared" si="25"/>
        <v>0</v>
      </c>
      <c r="AO61" s="46">
        <f t="shared" si="25"/>
        <v>0</v>
      </c>
      <c r="AP61" s="46">
        <f t="shared" si="25"/>
        <v>0</v>
      </c>
      <c r="AQ61" s="60" t="e">
        <f t="shared" si="26"/>
        <v>#DIV/0!</v>
      </c>
      <c r="AR61" s="60" t="e">
        <f t="shared" si="27"/>
        <v>#DIV/0!</v>
      </c>
      <c r="AT61" s="38"/>
      <c r="AU61" s="38"/>
      <c r="AV61" s="38"/>
      <c r="AW61" s="38"/>
      <c r="AY61" s="38"/>
      <c r="AZ61" s="38"/>
      <c r="BA61" s="38"/>
      <c r="BB61" s="38"/>
    </row>
    <row r="62" spans="1:58" x14ac:dyDescent="0.2">
      <c r="A62" s="45" t="str">
        <f>"502.11.02"</f>
        <v>502.11.02</v>
      </c>
      <c r="B62" s="45" t="s">
        <v>876</v>
      </c>
      <c r="C62" s="46">
        <f>CE_RegimeContributivo!B232</f>
        <v>0</v>
      </c>
      <c r="D62" s="46">
        <f>CE_RegimeContributivo!C232</f>
        <v>0</v>
      </c>
      <c r="E62" s="46">
        <f>CE_RegimeContributivo!E232</f>
        <v>0</v>
      </c>
      <c r="F62" s="46">
        <f>CE_RegimeContributivo!S232</f>
        <v>0</v>
      </c>
      <c r="G62" s="60" t="e">
        <f t="shared" si="8"/>
        <v>#DIV/0!</v>
      </c>
      <c r="H62" s="60" t="e">
        <f t="shared" si="9"/>
        <v>#DIV/0!</v>
      </c>
      <c r="I62" s="46">
        <f>CE_RegimeNaoContributivo!B232</f>
        <v>0</v>
      </c>
      <c r="J62" s="46">
        <f>CE_RegimeNaoContributivo!C232</f>
        <v>0</v>
      </c>
      <c r="K62" s="46">
        <f>CE_RegimeNaoContributivo!E232</f>
        <v>0</v>
      </c>
      <c r="L62" s="46">
        <f>CE_RegimeNaoContributivo!S232</f>
        <v>0</v>
      </c>
      <c r="M62" s="60" t="e">
        <f t="shared" si="11"/>
        <v>#DIV/0!</v>
      </c>
      <c r="N62" s="60" t="e">
        <f t="shared" si="12"/>
        <v>#DIV/0!</v>
      </c>
      <c r="O62" s="46">
        <f>CE_AdministraçãoINSS!B232</f>
        <v>3000</v>
      </c>
      <c r="P62" s="46">
        <f>CE_AdministraçãoINSS!C232</f>
        <v>3000</v>
      </c>
      <c r="Q62" s="46">
        <f>CE_AdministraçãoINSS!E232</f>
        <v>3000</v>
      </c>
      <c r="R62" s="46">
        <f>CE_AdministraçãoINSS!S232</f>
        <v>495</v>
      </c>
      <c r="S62" s="60">
        <f t="shared" si="14"/>
        <v>0.16500000000000001</v>
      </c>
      <c r="T62" s="60">
        <f t="shared" si="15"/>
        <v>1</v>
      </c>
      <c r="U62" s="46">
        <f t="shared" si="16"/>
        <v>3000</v>
      </c>
      <c r="V62" s="46">
        <f t="shared" si="16"/>
        <v>3000</v>
      </c>
      <c r="W62" s="46">
        <f t="shared" si="16"/>
        <v>3000</v>
      </c>
      <c r="X62" s="46">
        <f t="shared" si="16"/>
        <v>495</v>
      </c>
      <c r="Y62" s="60">
        <f t="shared" si="17"/>
        <v>0.16500000000000001</v>
      </c>
      <c r="Z62" s="60">
        <f t="shared" si="18"/>
        <v>1</v>
      </c>
      <c r="AA62" s="46">
        <f>CE_AdministraçãoFRSS!B232</f>
        <v>1484</v>
      </c>
      <c r="AB62" s="46">
        <f>CE_AdministraçãoFRSS!C232</f>
        <v>965</v>
      </c>
      <c r="AC62" s="46">
        <f>CE_AdministraçãoFRSS!E232</f>
        <v>0</v>
      </c>
      <c r="AD62" s="46">
        <f>CE_AdministraçãoFRSS!S232</f>
        <v>0</v>
      </c>
      <c r="AE62" s="60">
        <f t="shared" si="20"/>
        <v>0</v>
      </c>
      <c r="AF62" s="60">
        <f t="shared" si="21"/>
        <v>0</v>
      </c>
      <c r="AG62" s="46">
        <f t="shared" si="22"/>
        <v>1484</v>
      </c>
      <c r="AH62" s="46">
        <f t="shared" si="22"/>
        <v>965</v>
      </c>
      <c r="AI62" s="46">
        <f t="shared" si="22"/>
        <v>0</v>
      </c>
      <c r="AJ62" s="46">
        <f t="shared" si="22"/>
        <v>0</v>
      </c>
      <c r="AK62" s="60">
        <f t="shared" si="23"/>
        <v>0</v>
      </c>
      <c r="AL62" s="60">
        <f t="shared" si="24"/>
        <v>0</v>
      </c>
      <c r="AM62" s="46">
        <f t="shared" si="25"/>
        <v>4484</v>
      </c>
      <c r="AN62" s="46">
        <f t="shared" si="25"/>
        <v>3965</v>
      </c>
      <c r="AO62" s="46">
        <f t="shared" si="25"/>
        <v>3000</v>
      </c>
      <c r="AP62" s="46">
        <f t="shared" si="25"/>
        <v>495</v>
      </c>
      <c r="AQ62" s="60">
        <f t="shared" si="26"/>
        <v>0.12484237074401008</v>
      </c>
      <c r="AR62" s="60">
        <f t="shared" si="27"/>
        <v>0.75662042875157631</v>
      </c>
      <c r="AT62" s="38"/>
      <c r="AU62" s="38"/>
      <c r="AV62" s="38"/>
      <c r="AW62" s="38"/>
      <c r="AY62" s="38"/>
      <c r="AZ62" s="38"/>
      <c r="BA62" s="38"/>
      <c r="BB62" s="38"/>
    </row>
    <row r="63" spans="1:58" x14ac:dyDescent="0.2">
      <c r="A63" s="45" t="str">
        <f>"502.11.03"</f>
        <v>502.11.03</v>
      </c>
      <c r="B63" s="45" t="s">
        <v>877</v>
      </c>
      <c r="C63" s="46">
        <f>CE_RegimeContributivo!B233</f>
        <v>0</v>
      </c>
      <c r="D63" s="46">
        <f>CE_RegimeContributivo!C233</f>
        <v>0</v>
      </c>
      <c r="E63" s="46">
        <f>CE_RegimeContributivo!E233</f>
        <v>0</v>
      </c>
      <c r="F63" s="46">
        <f>CE_RegimeContributivo!S233</f>
        <v>0</v>
      </c>
      <c r="G63" s="60" t="e">
        <f t="shared" si="8"/>
        <v>#DIV/0!</v>
      </c>
      <c r="H63" s="60" t="e">
        <f t="shared" si="9"/>
        <v>#DIV/0!</v>
      </c>
      <c r="I63" s="46">
        <f>CE_RegimeNaoContributivo!B233</f>
        <v>0</v>
      </c>
      <c r="J63" s="46">
        <f>CE_RegimeNaoContributivo!C233</f>
        <v>0</v>
      </c>
      <c r="K63" s="46">
        <f>CE_RegimeNaoContributivo!E233</f>
        <v>0</v>
      </c>
      <c r="L63" s="46">
        <f>CE_RegimeNaoContributivo!S233</f>
        <v>0</v>
      </c>
      <c r="M63" s="60" t="e">
        <f t="shared" si="11"/>
        <v>#DIV/0!</v>
      </c>
      <c r="N63" s="60" t="e">
        <f t="shared" si="12"/>
        <v>#DIV/0!</v>
      </c>
      <c r="O63" s="46">
        <f>CE_AdministraçãoINSS!B233</f>
        <v>0</v>
      </c>
      <c r="P63" s="46">
        <f>CE_AdministraçãoINSS!C233</f>
        <v>0</v>
      </c>
      <c r="Q63" s="46">
        <f>CE_AdministraçãoINSS!E233</f>
        <v>0</v>
      </c>
      <c r="R63" s="46">
        <f>CE_AdministraçãoINSS!S233</f>
        <v>0</v>
      </c>
      <c r="S63" s="60" t="e">
        <f t="shared" si="14"/>
        <v>#DIV/0!</v>
      </c>
      <c r="T63" s="60" t="e">
        <f t="shared" si="15"/>
        <v>#DIV/0!</v>
      </c>
      <c r="U63" s="46">
        <f t="shared" si="16"/>
        <v>0</v>
      </c>
      <c r="V63" s="46">
        <f t="shared" si="16"/>
        <v>0</v>
      </c>
      <c r="W63" s="46">
        <f t="shared" si="16"/>
        <v>0</v>
      </c>
      <c r="X63" s="46">
        <f t="shared" si="16"/>
        <v>0</v>
      </c>
      <c r="Y63" s="60" t="e">
        <f t="shared" si="17"/>
        <v>#DIV/0!</v>
      </c>
      <c r="Z63" s="60" t="e">
        <f t="shared" si="18"/>
        <v>#DIV/0!</v>
      </c>
      <c r="AA63" s="46">
        <f>CE_AdministraçãoFRSS!B233</f>
        <v>0</v>
      </c>
      <c r="AB63" s="46">
        <f>CE_AdministraçãoFRSS!C233</f>
        <v>0</v>
      </c>
      <c r="AC63" s="46">
        <f>CE_AdministraçãoFRSS!E233</f>
        <v>0</v>
      </c>
      <c r="AD63" s="46">
        <f>CE_AdministraçãoFRSS!S233</f>
        <v>0</v>
      </c>
      <c r="AE63" s="60" t="e">
        <f t="shared" si="20"/>
        <v>#DIV/0!</v>
      </c>
      <c r="AF63" s="60" t="e">
        <f t="shared" si="21"/>
        <v>#DIV/0!</v>
      </c>
      <c r="AG63" s="46">
        <f t="shared" si="22"/>
        <v>0</v>
      </c>
      <c r="AH63" s="46">
        <f t="shared" si="22"/>
        <v>0</v>
      </c>
      <c r="AI63" s="46">
        <f t="shared" si="22"/>
        <v>0</v>
      </c>
      <c r="AJ63" s="46">
        <f t="shared" si="22"/>
        <v>0</v>
      </c>
      <c r="AK63" s="60" t="e">
        <f t="shared" si="23"/>
        <v>#DIV/0!</v>
      </c>
      <c r="AL63" s="60" t="e">
        <f t="shared" si="24"/>
        <v>#DIV/0!</v>
      </c>
      <c r="AM63" s="46">
        <f t="shared" si="25"/>
        <v>0</v>
      </c>
      <c r="AN63" s="46">
        <f t="shared" si="25"/>
        <v>0</v>
      </c>
      <c r="AO63" s="46">
        <f t="shared" si="25"/>
        <v>0</v>
      </c>
      <c r="AP63" s="46">
        <f t="shared" si="25"/>
        <v>0</v>
      </c>
      <c r="AQ63" s="60" t="e">
        <f t="shared" si="26"/>
        <v>#DIV/0!</v>
      </c>
      <c r="AR63" s="60" t="e">
        <f t="shared" si="27"/>
        <v>#DIV/0!</v>
      </c>
      <c r="AT63" s="38"/>
      <c r="AU63" s="38"/>
      <c r="AV63" s="38"/>
      <c r="AW63" s="38"/>
      <c r="AY63" s="38"/>
      <c r="AZ63" s="38"/>
      <c r="BA63" s="38"/>
      <c r="BB63" s="38"/>
    </row>
    <row r="64" spans="1:58" x14ac:dyDescent="0.2">
      <c r="A64" s="45" t="str">
        <f>"502.11.04"</f>
        <v>502.11.04</v>
      </c>
      <c r="B64" s="45" t="s">
        <v>878</v>
      </c>
      <c r="C64" s="46">
        <f>CE_RegimeContributivo!B234</f>
        <v>0</v>
      </c>
      <c r="D64" s="46">
        <f>CE_RegimeContributivo!C234</f>
        <v>0</v>
      </c>
      <c r="E64" s="46">
        <f>CE_RegimeContributivo!E234</f>
        <v>0</v>
      </c>
      <c r="F64" s="46">
        <f>CE_RegimeContributivo!S234</f>
        <v>0</v>
      </c>
      <c r="G64" s="60" t="e">
        <f t="shared" si="8"/>
        <v>#DIV/0!</v>
      </c>
      <c r="H64" s="60" t="e">
        <f t="shared" si="9"/>
        <v>#DIV/0!</v>
      </c>
      <c r="I64" s="46">
        <f>CE_RegimeNaoContributivo!B234</f>
        <v>0</v>
      </c>
      <c r="J64" s="46">
        <f>CE_RegimeNaoContributivo!C234</f>
        <v>0</v>
      </c>
      <c r="K64" s="46">
        <f>CE_RegimeNaoContributivo!E234</f>
        <v>0</v>
      </c>
      <c r="L64" s="46">
        <f>CE_RegimeNaoContributivo!S234</f>
        <v>0</v>
      </c>
      <c r="M64" s="60" t="e">
        <f t="shared" si="11"/>
        <v>#DIV/0!</v>
      </c>
      <c r="N64" s="60" t="e">
        <f t="shared" si="12"/>
        <v>#DIV/0!</v>
      </c>
      <c r="O64" s="46">
        <f>CE_AdministraçãoINSS!B234</f>
        <v>0</v>
      </c>
      <c r="P64" s="46">
        <f>CE_AdministraçãoINSS!C234</f>
        <v>0</v>
      </c>
      <c r="Q64" s="46">
        <f>CE_AdministraçãoINSS!E234</f>
        <v>0</v>
      </c>
      <c r="R64" s="46">
        <f>CE_AdministraçãoINSS!S234</f>
        <v>0</v>
      </c>
      <c r="S64" s="60" t="e">
        <f t="shared" si="14"/>
        <v>#DIV/0!</v>
      </c>
      <c r="T64" s="60" t="e">
        <f t="shared" si="15"/>
        <v>#DIV/0!</v>
      </c>
      <c r="U64" s="46">
        <f t="shared" si="16"/>
        <v>0</v>
      </c>
      <c r="V64" s="46">
        <f t="shared" si="16"/>
        <v>0</v>
      </c>
      <c r="W64" s="46">
        <f t="shared" si="16"/>
        <v>0</v>
      </c>
      <c r="X64" s="46">
        <f t="shared" si="16"/>
        <v>0</v>
      </c>
      <c r="Y64" s="60" t="e">
        <f t="shared" si="17"/>
        <v>#DIV/0!</v>
      </c>
      <c r="Z64" s="60" t="e">
        <f t="shared" si="18"/>
        <v>#DIV/0!</v>
      </c>
      <c r="AA64" s="46">
        <f>CE_AdministraçãoFRSS!B234</f>
        <v>0</v>
      </c>
      <c r="AB64" s="46">
        <f>CE_AdministraçãoFRSS!C234</f>
        <v>0</v>
      </c>
      <c r="AC64" s="46">
        <f>CE_AdministraçãoFRSS!E234</f>
        <v>0</v>
      </c>
      <c r="AD64" s="46">
        <f>CE_AdministraçãoFRSS!S234</f>
        <v>0</v>
      </c>
      <c r="AE64" s="60" t="e">
        <f t="shared" si="20"/>
        <v>#DIV/0!</v>
      </c>
      <c r="AF64" s="60" t="e">
        <f t="shared" si="21"/>
        <v>#DIV/0!</v>
      </c>
      <c r="AG64" s="46">
        <f t="shared" si="22"/>
        <v>0</v>
      </c>
      <c r="AH64" s="46">
        <f t="shared" si="22"/>
        <v>0</v>
      </c>
      <c r="AI64" s="46">
        <f t="shared" si="22"/>
        <v>0</v>
      </c>
      <c r="AJ64" s="46">
        <f t="shared" si="22"/>
        <v>0</v>
      </c>
      <c r="AK64" s="60" t="e">
        <f t="shared" si="23"/>
        <v>#DIV/0!</v>
      </c>
      <c r="AL64" s="60" t="e">
        <f t="shared" si="24"/>
        <v>#DIV/0!</v>
      </c>
      <c r="AM64" s="46">
        <f t="shared" si="25"/>
        <v>0</v>
      </c>
      <c r="AN64" s="46">
        <f t="shared" si="25"/>
        <v>0</v>
      </c>
      <c r="AO64" s="46">
        <f t="shared" si="25"/>
        <v>0</v>
      </c>
      <c r="AP64" s="46">
        <f t="shared" si="25"/>
        <v>0</v>
      </c>
      <c r="AQ64" s="60" t="e">
        <f t="shared" si="26"/>
        <v>#DIV/0!</v>
      </c>
      <c r="AR64" s="60" t="e">
        <f t="shared" si="27"/>
        <v>#DIV/0!</v>
      </c>
      <c r="AT64" s="38"/>
      <c r="AU64" s="38"/>
      <c r="AV64" s="38"/>
      <c r="AW64" s="38"/>
      <c r="AY64" s="38"/>
      <c r="AZ64" s="38"/>
      <c r="BA64" s="38"/>
      <c r="BB64" s="38"/>
    </row>
    <row r="65" spans="1:58" x14ac:dyDescent="0.2">
      <c r="A65" s="45" t="str">
        <f>"502.11.05"</f>
        <v>502.11.05</v>
      </c>
      <c r="B65" s="45" t="s">
        <v>879</v>
      </c>
      <c r="C65" s="46">
        <f>CE_RegimeContributivo!B235</f>
        <v>0</v>
      </c>
      <c r="D65" s="46">
        <f>CE_RegimeContributivo!C235</f>
        <v>0</v>
      </c>
      <c r="E65" s="46">
        <f>CE_RegimeContributivo!E235</f>
        <v>0</v>
      </c>
      <c r="F65" s="46">
        <f>CE_RegimeContributivo!S235</f>
        <v>0</v>
      </c>
      <c r="G65" s="60" t="e">
        <f t="shared" si="8"/>
        <v>#DIV/0!</v>
      </c>
      <c r="H65" s="60" t="e">
        <f t="shared" si="9"/>
        <v>#DIV/0!</v>
      </c>
      <c r="I65" s="46">
        <f>CE_RegimeNaoContributivo!B235</f>
        <v>0</v>
      </c>
      <c r="J65" s="46">
        <f>CE_RegimeNaoContributivo!C235</f>
        <v>0</v>
      </c>
      <c r="K65" s="46">
        <f>CE_RegimeNaoContributivo!E235</f>
        <v>0</v>
      </c>
      <c r="L65" s="46">
        <f>CE_RegimeNaoContributivo!S235</f>
        <v>0</v>
      </c>
      <c r="M65" s="60" t="e">
        <f t="shared" si="11"/>
        <v>#DIV/0!</v>
      </c>
      <c r="N65" s="60" t="e">
        <f t="shared" si="12"/>
        <v>#DIV/0!</v>
      </c>
      <c r="O65" s="46">
        <f>CE_AdministraçãoINSS!B235</f>
        <v>0</v>
      </c>
      <c r="P65" s="46">
        <f>CE_AdministraçãoINSS!C235</f>
        <v>0</v>
      </c>
      <c r="Q65" s="46">
        <f>CE_AdministraçãoINSS!E235</f>
        <v>0</v>
      </c>
      <c r="R65" s="46">
        <f>CE_AdministraçãoINSS!S235</f>
        <v>0</v>
      </c>
      <c r="S65" s="60" t="e">
        <f t="shared" si="14"/>
        <v>#DIV/0!</v>
      </c>
      <c r="T65" s="60" t="e">
        <f t="shared" si="15"/>
        <v>#DIV/0!</v>
      </c>
      <c r="U65" s="46">
        <f t="shared" si="16"/>
        <v>0</v>
      </c>
      <c r="V65" s="46">
        <f t="shared" si="16"/>
        <v>0</v>
      </c>
      <c r="W65" s="46">
        <f t="shared" si="16"/>
        <v>0</v>
      </c>
      <c r="X65" s="46">
        <f t="shared" si="16"/>
        <v>0</v>
      </c>
      <c r="Y65" s="60" t="e">
        <f t="shared" si="17"/>
        <v>#DIV/0!</v>
      </c>
      <c r="Z65" s="60" t="e">
        <f t="shared" si="18"/>
        <v>#DIV/0!</v>
      </c>
      <c r="AA65" s="46">
        <f>CE_AdministraçãoFRSS!B235</f>
        <v>0</v>
      </c>
      <c r="AB65" s="46">
        <f>CE_AdministraçãoFRSS!C235</f>
        <v>0</v>
      </c>
      <c r="AC65" s="46">
        <f>CE_AdministraçãoFRSS!E235</f>
        <v>0</v>
      </c>
      <c r="AD65" s="46">
        <f>CE_AdministraçãoFRSS!S235</f>
        <v>0</v>
      </c>
      <c r="AE65" s="60" t="e">
        <f t="shared" si="20"/>
        <v>#DIV/0!</v>
      </c>
      <c r="AF65" s="60" t="e">
        <f t="shared" si="21"/>
        <v>#DIV/0!</v>
      </c>
      <c r="AG65" s="46">
        <f t="shared" si="22"/>
        <v>0</v>
      </c>
      <c r="AH65" s="46">
        <f t="shared" si="22"/>
        <v>0</v>
      </c>
      <c r="AI65" s="46">
        <f t="shared" si="22"/>
        <v>0</v>
      </c>
      <c r="AJ65" s="46">
        <f t="shared" si="22"/>
        <v>0</v>
      </c>
      <c r="AK65" s="60" t="e">
        <f t="shared" si="23"/>
        <v>#DIV/0!</v>
      </c>
      <c r="AL65" s="60" t="e">
        <f t="shared" si="24"/>
        <v>#DIV/0!</v>
      </c>
      <c r="AM65" s="46">
        <f t="shared" si="25"/>
        <v>0</v>
      </c>
      <c r="AN65" s="46">
        <f t="shared" si="25"/>
        <v>0</v>
      </c>
      <c r="AO65" s="46">
        <f t="shared" si="25"/>
        <v>0</v>
      </c>
      <c r="AP65" s="46">
        <f t="shared" si="25"/>
        <v>0</v>
      </c>
      <c r="AQ65" s="60" t="e">
        <f t="shared" si="26"/>
        <v>#DIV/0!</v>
      </c>
      <c r="AR65" s="60" t="e">
        <f t="shared" si="27"/>
        <v>#DIV/0!</v>
      </c>
      <c r="AT65" s="38"/>
      <c r="AU65" s="38"/>
      <c r="AV65" s="38"/>
      <c r="AW65" s="38"/>
      <c r="AY65" s="38"/>
      <c r="AZ65" s="38"/>
      <c r="BA65" s="38"/>
      <c r="BB65" s="38"/>
    </row>
    <row r="66" spans="1:58" x14ac:dyDescent="0.2">
      <c r="A66" s="45" t="str">
        <f>"502.11.06"</f>
        <v>502.11.06</v>
      </c>
      <c r="B66" s="45" t="s">
        <v>880</v>
      </c>
      <c r="C66" s="46">
        <f>CE_RegimeContributivo!B236</f>
        <v>0</v>
      </c>
      <c r="D66" s="46">
        <f>CE_RegimeContributivo!C236</f>
        <v>0</v>
      </c>
      <c r="E66" s="46">
        <f>CE_RegimeContributivo!E236</f>
        <v>0</v>
      </c>
      <c r="F66" s="46">
        <f>CE_RegimeContributivo!S236</f>
        <v>0</v>
      </c>
      <c r="G66" s="60" t="e">
        <f t="shared" si="8"/>
        <v>#DIV/0!</v>
      </c>
      <c r="H66" s="60" t="e">
        <f t="shared" si="9"/>
        <v>#DIV/0!</v>
      </c>
      <c r="I66" s="46">
        <f>CE_RegimeNaoContributivo!B236</f>
        <v>0</v>
      </c>
      <c r="J66" s="46">
        <f>CE_RegimeNaoContributivo!C236</f>
        <v>0</v>
      </c>
      <c r="K66" s="46">
        <f>CE_RegimeNaoContributivo!E236</f>
        <v>0</v>
      </c>
      <c r="L66" s="46">
        <f>CE_RegimeNaoContributivo!S236</f>
        <v>0</v>
      </c>
      <c r="M66" s="60" t="e">
        <f t="shared" si="11"/>
        <v>#DIV/0!</v>
      </c>
      <c r="N66" s="60" t="e">
        <f t="shared" si="12"/>
        <v>#DIV/0!</v>
      </c>
      <c r="O66" s="46">
        <f>CE_AdministraçãoINSS!B236</f>
        <v>0</v>
      </c>
      <c r="P66" s="46">
        <f>CE_AdministraçãoINSS!C236</f>
        <v>0</v>
      </c>
      <c r="Q66" s="46">
        <f>CE_AdministraçãoINSS!E236</f>
        <v>0</v>
      </c>
      <c r="R66" s="46">
        <f>CE_AdministraçãoINSS!S236</f>
        <v>0</v>
      </c>
      <c r="S66" s="60" t="e">
        <f t="shared" si="14"/>
        <v>#DIV/0!</v>
      </c>
      <c r="T66" s="60" t="e">
        <f t="shared" si="15"/>
        <v>#DIV/0!</v>
      </c>
      <c r="U66" s="46">
        <f t="shared" si="16"/>
        <v>0</v>
      </c>
      <c r="V66" s="46">
        <f t="shared" si="16"/>
        <v>0</v>
      </c>
      <c r="W66" s="46">
        <f t="shared" si="16"/>
        <v>0</v>
      </c>
      <c r="X66" s="46">
        <f t="shared" si="16"/>
        <v>0</v>
      </c>
      <c r="Y66" s="60" t="e">
        <f t="shared" si="17"/>
        <v>#DIV/0!</v>
      </c>
      <c r="Z66" s="60" t="e">
        <f t="shared" si="18"/>
        <v>#DIV/0!</v>
      </c>
      <c r="AA66" s="46">
        <f>CE_AdministraçãoFRSS!B236</f>
        <v>0</v>
      </c>
      <c r="AB66" s="46">
        <f>CE_AdministraçãoFRSS!C236</f>
        <v>0</v>
      </c>
      <c r="AC66" s="46">
        <f>CE_AdministraçãoFRSS!E236</f>
        <v>0</v>
      </c>
      <c r="AD66" s="46">
        <f>CE_AdministraçãoFRSS!S236</f>
        <v>0</v>
      </c>
      <c r="AE66" s="60" t="e">
        <f t="shared" si="20"/>
        <v>#DIV/0!</v>
      </c>
      <c r="AF66" s="60" t="e">
        <f t="shared" si="21"/>
        <v>#DIV/0!</v>
      </c>
      <c r="AG66" s="46">
        <f t="shared" si="22"/>
        <v>0</v>
      </c>
      <c r="AH66" s="46">
        <f t="shared" si="22"/>
        <v>0</v>
      </c>
      <c r="AI66" s="46">
        <f t="shared" si="22"/>
        <v>0</v>
      </c>
      <c r="AJ66" s="46">
        <f t="shared" si="22"/>
        <v>0</v>
      </c>
      <c r="AK66" s="60" t="e">
        <f t="shared" si="23"/>
        <v>#DIV/0!</v>
      </c>
      <c r="AL66" s="60" t="e">
        <f t="shared" si="24"/>
        <v>#DIV/0!</v>
      </c>
      <c r="AM66" s="46">
        <f t="shared" si="25"/>
        <v>0</v>
      </c>
      <c r="AN66" s="46">
        <f t="shared" si="25"/>
        <v>0</v>
      </c>
      <c r="AO66" s="46">
        <f t="shared" si="25"/>
        <v>0</v>
      </c>
      <c r="AP66" s="46">
        <f t="shared" si="25"/>
        <v>0</v>
      </c>
      <c r="AQ66" s="60" t="e">
        <f t="shared" si="26"/>
        <v>#DIV/0!</v>
      </c>
      <c r="AR66" s="60" t="e">
        <f t="shared" si="27"/>
        <v>#DIV/0!</v>
      </c>
      <c r="AT66" s="38"/>
      <c r="AU66" s="38"/>
      <c r="AV66" s="38"/>
      <c r="AW66" s="38"/>
      <c r="AY66" s="38"/>
      <c r="AZ66" s="38"/>
      <c r="BA66" s="38"/>
      <c r="BB66" s="38"/>
    </row>
    <row r="67" spans="1:58" s="44" customFormat="1" x14ac:dyDescent="0.2">
      <c r="A67" s="41" t="str">
        <f>"502.12"</f>
        <v>502.12</v>
      </c>
      <c r="B67" s="42" t="s">
        <v>881</v>
      </c>
      <c r="C67" s="43">
        <f>C68+C69</f>
        <v>0</v>
      </c>
      <c r="D67" s="43">
        <f>D68+D69</f>
        <v>0</v>
      </c>
      <c r="E67" s="43">
        <f>E68+E69</f>
        <v>0</v>
      </c>
      <c r="F67" s="43">
        <f t="shared" ref="F67" si="57">F68+F69</f>
        <v>0</v>
      </c>
      <c r="G67" s="59" t="e">
        <f t="shared" si="8"/>
        <v>#DIV/0!</v>
      </c>
      <c r="H67" s="59" t="e">
        <f t="shared" si="9"/>
        <v>#DIV/0!</v>
      </c>
      <c r="I67" s="43">
        <f>I68+I69</f>
        <v>0</v>
      </c>
      <c r="J67" s="43">
        <f>J68+J69</f>
        <v>0</v>
      </c>
      <c r="K67" s="43">
        <f t="shared" ref="K67:L67" si="58">K68+K69</f>
        <v>0</v>
      </c>
      <c r="L67" s="43">
        <f t="shared" si="58"/>
        <v>0</v>
      </c>
      <c r="M67" s="59" t="e">
        <f t="shared" si="11"/>
        <v>#DIV/0!</v>
      </c>
      <c r="N67" s="59" t="e">
        <f t="shared" si="12"/>
        <v>#DIV/0!</v>
      </c>
      <c r="O67" s="43">
        <f>O68+O69</f>
        <v>0</v>
      </c>
      <c r="P67" s="43">
        <f>P68+P69</f>
        <v>0</v>
      </c>
      <c r="Q67" s="43">
        <f t="shared" ref="Q67:R67" si="59">Q68+Q69</f>
        <v>0</v>
      </c>
      <c r="R67" s="43">
        <f t="shared" si="59"/>
        <v>0</v>
      </c>
      <c r="S67" s="59" t="e">
        <f t="shared" si="14"/>
        <v>#DIV/0!</v>
      </c>
      <c r="T67" s="59" t="e">
        <f t="shared" si="15"/>
        <v>#DIV/0!</v>
      </c>
      <c r="U67" s="43">
        <f t="shared" si="16"/>
        <v>0</v>
      </c>
      <c r="V67" s="43">
        <f t="shared" si="16"/>
        <v>0</v>
      </c>
      <c r="W67" s="43">
        <f t="shared" si="16"/>
        <v>0</v>
      </c>
      <c r="X67" s="43">
        <f t="shared" si="16"/>
        <v>0</v>
      </c>
      <c r="Y67" s="59" t="e">
        <f t="shared" si="17"/>
        <v>#DIV/0!</v>
      </c>
      <c r="Z67" s="59" t="e">
        <f t="shared" si="18"/>
        <v>#DIV/0!</v>
      </c>
      <c r="AA67" s="43">
        <f>AA68+AA69</f>
        <v>0</v>
      </c>
      <c r="AB67" s="43">
        <f>AB68+AB69</f>
        <v>0</v>
      </c>
      <c r="AC67" s="43">
        <f t="shared" ref="AC67:AD67" si="60">AC68+AC69</f>
        <v>0</v>
      </c>
      <c r="AD67" s="43">
        <f t="shared" si="60"/>
        <v>0</v>
      </c>
      <c r="AE67" s="59" t="e">
        <f t="shared" si="20"/>
        <v>#DIV/0!</v>
      </c>
      <c r="AF67" s="59" t="e">
        <f t="shared" si="21"/>
        <v>#DIV/0!</v>
      </c>
      <c r="AG67" s="43">
        <f t="shared" si="22"/>
        <v>0</v>
      </c>
      <c r="AH67" s="43">
        <f t="shared" si="22"/>
        <v>0</v>
      </c>
      <c r="AI67" s="43">
        <f t="shared" si="22"/>
        <v>0</v>
      </c>
      <c r="AJ67" s="43">
        <f t="shared" si="22"/>
        <v>0</v>
      </c>
      <c r="AK67" s="59" t="e">
        <f t="shared" si="23"/>
        <v>#DIV/0!</v>
      </c>
      <c r="AL67" s="59" t="e">
        <f t="shared" si="24"/>
        <v>#DIV/0!</v>
      </c>
      <c r="AM67" s="43">
        <f t="shared" si="25"/>
        <v>0</v>
      </c>
      <c r="AN67" s="43">
        <f t="shared" si="25"/>
        <v>0</v>
      </c>
      <c r="AO67" s="43">
        <f t="shared" si="25"/>
        <v>0</v>
      </c>
      <c r="AP67" s="43">
        <f t="shared" si="25"/>
        <v>0</v>
      </c>
      <c r="AQ67" s="59" t="e">
        <f t="shared" si="26"/>
        <v>#DIV/0!</v>
      </c>
      <c r="AR67" s="59" t="e">
        <f t="shared" si="27"/>
        <v>#DIV/0!</v>
      </c>
      <c r="AT67" s="38"/>
      <c r="AU67" s="38"/>
      <c r="AV67" s="38"/>
      <c r="AW67" s="38"/>
      <c r="AY67" s="38"/>
      <c r="AZ67" s="38"/>
      <c r="BA67" s="38"/>
      <c r="BB67" s="38"/>
      <c r="BC67" s="36"/>
      <c r="BD67" s="36"/>
      <c r="BE67" s="36"/>
      <c r="BF67" s="36"/>
    </row>
    <row r="68" spans="1:58" x14ac:dyDescent="0.2">
      <c r="A68" s="45" t="str">
        <f>"502.12.01"</f>
        <v>502.12.01</v>
      </c>
      <c r="B68" s="45" t="s">
        <v>882</v>
      </c>
      <c r="C68" s="46">
        <f>CE_RegimeContributivo!B238</f>
        <v>0</v>
      </c>
      <c r="D68" s="46">
        <f>CE_RegimeContributivo!C238</f>
        <v>0</v>
      </c>
      <c r="E68" s="46">
        <f>CE_RegimeContributivo!E238</f>
        <v>0</v>
      </c>
      <c r="F68" s="46">
        <f>CE_RegimeContributivo!S238</f>
        <v>0</v>
      </c>
      <c r="G68" s="60" t="e">
        <f t="shared" si="8"/>
        <v>#DIV/0!</v>
      </c>
      <c r="H68" s="60" t="e">
        <f t="shared" si="9"/>
        <v>#DIV/0!</v>
      </c>
      <c r="I68" s="46">
        <f>CE_RegimeNaoContributivo!B238</f>
        <v>0</v>
      </c>
      <c r="J68" s="46">
        <f>CE_RegimeNaoContributivo!C238</f>
        <v>0</v>
      </c>
      <c r="K68" s="46">
        <f>CE_RegimeNaoContributivo!E238</f>
        <v>0</v>
      </c>
      <c r="L68" s="46">
        <f>CE_RegimeNaoContributivo!S238</f>
        <v>0</v>
      </c>
      <c r="M68" s="60" t="e">
        <f t="shared" si="11"/>
        <v>#DIV/0!</v>
      </c>
      <c r="N68" s="60" t="e">
        <f t="shared" si="12"/>
        <v>#DIV/0!</v>
      </c>
      <c r="O68" s="46">
        <f>CE_AdministraçãoINSS!B238</f>
        <v>0</v>
      </c>
      <c r="P68" s="46">
        <f>CE_AdministraçãoINSS!C238</f>
        <v>0</v>
      </c>
      <c r="Q68" s="46">
        <f>CE_AdministraçãoINSS!E238</f>
        <v>0</v>
      </c>
      <c r="R68" s="46">
        <f>CE_AdministraçãoINSS!S238</f>
        <v>0</v>
      </c>
      <c r="S68" s="60" t="e">
        <f t="shared" si="14"/>
        <v>#DIV/0!</v>
      </c>
      <c r="T68" s="60" t="e">
        <f t="shared" si="15"/>
        <v>#DIV/0!</v>
      </c>
      <c r="U68" s="46">
        <f t="shared" si="16"/>
        <v>0</v>
      </c>
      <c r="V68" s="46">
        <f t="shared" si="16"/>
        <v>0</v>
      </c>
      <c r="W68" s="46">
        <f t="shared" si="16"/>
        <v>0</v>
      </c>
      <c r="X68" s="46">
        <f t="shared" si="16"/>
        <v>0</v>
      </c>
      <c r="Y68" s="60" t="e">
        <f t="shared" si="17"/>
        <v>#DIV/0!</v>
      </c>
      <c r="Z68" s="60" t="e">
        <f t="shared" si="18"/>
        <v>#DIV/0!</v>
      </c>
      <c r="AA68" s="46">
        <f>CE_AdministraçãoFRSS!B238</f>
        <v>0</v>
      </c>
      <c r="AB68" s="46">
        <f>CE_AdministraçãoFRSS!C238</f>
        <v>0</v>
      </c>
      <c r="AC68" s="46">
        <f>CE_AdministraçãoFRSS!E238</f>
        <v>0</v>
      </c>
      <c r="AD68" s="46">
        <f>CE_AdministraçãoFRSS!S238</f>
        <v>0</v>
      </c>
      <c r="AE68" s="60" t="e">
        <f t="shared" si="20"/>
        <v>#DIV/0!</v>
      </c>
      <c r="AF68" s="60" t="e">
        <f t="shared" si="21"/>
        <v>#DIV/0!</v>
      </c>
      <c r="AG68" s="46">
        <f t="shared" si="22"/>
        <v>0</v>
      </c>
      <c r="AH68" s="46">
        <f t="shared" si="22"/>
        <v>0</v>
      </c>
      <c r="AI68" s="46">
        <f t="shared" si="22"/>
        <v>0</v>
      </c>
      <c r="AJ68" s="46">
        <f t="shared" si="22"/>
        <v>0</v>
      </c>
      <c r="AK68" s="60" t="e">
        <f t="shared" si="23"/>
        <v>#DIV/0!</v>
      </c>
      <c r="AL68" s="60" t="e">
        <f t="shared" si="24"/>
        <v>#DIV/0!</v>
      </c>
      <c r="AM68" s="46">
        <f t="shared" si="25"/>
        <v>0</v>
      </c>
      <c r="AN68" s="46">
        <f t="shared" si="25"/>
        <v>0</v>
      </c>
      <c r="AO68" s="46">
        <f t="shared" si="25"/>
        <v>0</v>
      </c>
      <c r="AP68" s="46">
        <f t="shared" si="25"/>
        <v>0</v>
      </c>
      <c r="AQ68" s="60" t="e">
        <f t="shared" si="26"/>
        <v>#DIV/0!</v>
      </c>
      <c r="AR68" s="60" t="e">
        <f t="shared" si="27"/>
        <v>#DIV/0!</v>
      </c>
      <c r="AT68" s="38"/>
      <c r="AU68" s="38"/>
      <c r="AV68" s="38"/>
      <c r="AW68" s="38"/>
      <c r="AY68" s="38"/>
      <c r="AZ68" s="38"/>
      <c r="BA68" s="38"/>
      <c r="BB68" s="38"/>
    </row>
    <row r="69" spans="1:58" x14ac:dyDescent="0.2">
      <c r="A69" s="45" t="str">
        <f>"502.12.02"</f>
        <v>502.12.02</v>
      </c>
      <c r="B69" s="45" t="s">
        <v>883</v>
      </c>
      <c r="C69" s="46">
        <f>CE_RegimeContributivo!B239</f>
        <v>0</v>
      </c>
      <c r="D69" s="46">
        <f>CE_RegimeContributivo!C239</f>
        <v>0</v>
      </c>
      <c r="E69" s="46">
        <f>CE_RegimeContributivo!E239</f>
        <v>0</v>
      </c>
      <c r="F69" s="46">
        <f>CE_RegimeContributivo!S239</f>
        <v>0</v>
      </c>
      <c r="G69" s="60" t="e">
        <f t="shared" si="8"/>
        <v>#DIV/0!</v>
      </c>
      <c r="H69" s="60" t="e">
        <f t="shared" si="9"/>
        <v>#DIV/0!</v>
      </c>
      <c r="I69" s="46">
        <f>CE_RegimeNaoContributivo!B239</f>
        <v>0</v>
      </c>
      <c r="J69" s="46">
        <f>CE_RegimeNaoContributivo!C239</f>
        <v>0</v>
      </c>
      <c r="K69" s="46">
        <f>CE_RegimeNaoContributivo!E239</f>
        <v>0</v>
      </c>
      <c r="L69" s="46">
        <f>CE_RegimeNaoContributivo!S239</f>
        <v>0</v>
      </c>
      <c r="M69" s="60" t="e">
        <f t="shared" si="11"/>
        <v>#DIV/0!</v>
      </c>
      <c r="N69" s="60" t="e">
        <f t="shared" si="12"/>
        <v>#DIV/0!</v>
      </c>
      <c r="O69" s="46">
        <f>CE_AdministraçãoINSS!B239</f>
        <v>0</v>
      </c>
      <c r="P69" s="46">
        <f>CE_AdministraçãoINSS!C239</f>
        <v>0</v>
      </c>
      <c r="Q69" s="46">
        <f>CE_AdministraçãoINSS!E239</f>
        <v>0</v>
      </c>
      <c r="R69" s="46">
        <f>CE_AdministraçãoINSS!S239</f>
        <v>0</v>
      </c>
      <c r="S69" s="60" t="e">
        <f t="shared" si="14"/>
        <v>#DIV/0!</v>
      </c>
      <c r="T69" s="60" t="e">
        <f t="shared" si="15"/>
        <v>#DIV/0!</v>
      </c>
      <c r="U69" s="46">
        <f t="shared" si="16"/>
        <v>0</v>
      </c>
      <c r="V69" s="46">
        <f t="shared" si="16"/>
        <v>0</v>
      </c>
      <c r="W69" s="46">
        <f t="shared" si="16"/>
        <v>0</v>
      </c>
      <c r="X69" s="46">
        <f t="shared" si="16"/>
        <v>0</v>
      </c>
      <c r="Y69" s="60" t="e">
        <f t="shared" si="17"/>
        <v>#DIV/0!</v>
      </c>
      <c r="Z69" s="60" t="e">
        <f t="shared" si="18"/>
        <v>#DIV/0!</v>
      </c>
      <c r="AA69" s="46">
        <f>CE_AdministraçãoFRSS!B239</f>
        <v>0</v>
      </c>
      <c r="AB69" s="46">
        <f>CE_AdministraçãoFRSS!C239</f>
        <v>0</v>
      </c>
      <c r="AC69" s="46">
        <f>CE_AdministraçãoFRSS!E239</f>
        <v>0</v>
      </c>
      <c r="AD69" s="46">
        <f>CE_AdministraçãoFRSS!S239</f>
        <v>0</v>
      </c>
      <c r="AE69" s="60" t="e">
        <f t="shared" si="20"/>
        <v>#DIV/0!</v>
      </c>
      <c r="AF69" s="60" t="e">
        <f t="shared" si="21"/>
        <v>#DIV/0!</v>
      </c>
      <c r="AG69" s="46">
        <f t="shared" si="22"/>
        <v>0</v>
      </c>
      <c r="AH69" s="46">
        <f t="shared" si="22"/>
        <v>0</v>
      </c>
      <c r="AI69" s="46">
        <f t="shared" si="22"/>
        <v>0</v>
      </c>
      <c r="AJ69" s="46">
        <f t="shared" si="22"/>
        <v>0</v>
      </c>
      <c r="AK69" s="60" t="e">
        <f t="shared" si="23"/>
        <v>#DIV/0!</v>
      </c>
      <c r="AL69" s="60" t="e">
        <f t="shared" si="24"/>
        <v>#DIV/0!</v>
      </c>
      <c r="AM69" s="46">
        <f t="shared" si="25"/>
        <v>0</v>
      </c>
      <c r="AN69" s="46">
        <f t="shared" si="25"/>
        <v>0</v>
      </c>
      <c r="AO69" s="46">
        <f t="shared" si="25"/>
        <v>0</v>
      </c>
      <c r="AP69" s="46">
        <f t="shared" si="25"/>
        <v>0</v>
      </c>
      <c r="AQ69" s="60" t="e">
        <f t="shared" si="26"/>
        <v>#DIV/0!</v>
      </c>
      <c r="AR69" s="60" t="e">
        <f t="shared" si="27"/>
        <v>#DIV/0!</v>
      </c>
      <c r="AT69" s="38"/>
      <c r="AU69" s="38"/>
      <c r="AV69" s="38"/>
      <c r="AW69" s="38"/>
      <c r="AY69" s="38"/>
      <c r="AZ69" s="38"/>
      <c r="BA69" s="38"/>
      <c r="BB69" s="38"/>
    </row>
    <row r="70" spans="1:58" s="44" customFormat="1" x14ac:dyDescent="0.2">
      <c r="A70" s="41" t="str">
        <f>"502.13"</f>
        <v>502.13</v>
      </c>
      <c r="B70" s="42" t="s">
        <v>884</v>
      </c>
      <c r="C70" s="43">
        <f>CE_RegimeContributivo!B240</f>
        <v>0</v>
      </c>
      <c r="D70" s="43">
        <f>CE_RegimeContributivo!C240</f>
        <v>0</v>
      </c>
      <c r="E70" s="43">
        <f>CE_RegimeContributivo!E240</f>
        <v>0</v>
      </c>
      <c r="F70" s="43">
        <f>CE_RegimeContributivo!S240</f>
        <v>0</v>
      </c>
      <c r="G70" s="59" t="e">
        <f t="shared" si="8"/>
        <v>#DIV/0!</v>
      </c>
      <c r="H70" s="59" t="e">
        <f t="shared" si="9"/>
        <v>#DIV/0!</v>
      </c>
      <c r="I70" s="43">
        <f>CE_RegimeNaoContributivo!B240</f>
        <v>0</v>
      </c>
      <c r="J70" s="43">
        <f>CE_RegimeNaoContributivo!C240</f>
        <v>0</v>
      </c>
      <c r="K70" s="43">
        <f>CE_RegimeNaoContributivo!E240</f>
        <v>0</v>
      </c>
      <c r="L70" s="43">
        <f>CE_RegimeNaoContributivo!S240</f>
        <v>0</v>
      </c>
      <c r="M70" s="59" t="e">
        <f t="shared" si="11"/>
        <v>#DIV/0!</v>
      </c>
      <c r="N70" s="59" t="e">
        <f t="shared" si="12"/>
        <v>#DIV/0!</v>
      </c>
      <c r="O70" s="43">
        <f>CE_AdministraçãoINSS!B240</f>
        <v>0</v>
      </c>
      <c r="P70" s="43">
        <f>CE_AdministraçãoINSS!C240</f>
        <v>0</v>
      </c>
      <c r="Q70" s="43">
        <f>CE_AdministraçãoINSS!E240</f>
        <v>0</v>
      </c>
      <c r="R70" s="43">
        <f>CE_AdministraçãoINSS!S240</f>
        <v>0</v>
      </c>
      <c r="S70" s="59" t="e">
        <f t="shared" si="14"/>
        <v>#DIV/0!</v>
      </c>
      <c r="T70" s="59" t="e">
        <f t="shared" si="15"/>
        <v>#DIV/0!</v>
      </c>
      <c r="U70" s="43">
        <f t="shared" si="16"/>
        <v>0</v>
      </c>
      <c r="V70" s="43">
        <f t="shared" si="16"/>
        <v>0</v>
      </c>
      <c r="W70" s="43">
        <f t="shared" si="16"/>
        <v>0</v>
      </c>
      <c r="X70" s="43">
        <f t="shared" si="16"/>
        <v>0</v>
      </c>
      <c r="Y70" s="59" t="e">
        <f t="shared" si="17"/>
        <v>#DIV/0!</v>
      </c>
      <c r="Z70" s="59" t="e">
        <f t="shared" si="18"/>
        <v>#DIV/0!</v>
      </c>
      <c r="AA70" s="43">
        <f>CE_AdministraçãoFRSS!B240</f>
        <v>0</v>
      </c>
      <c r="AB70" s="43">
        <f>CE_AdministraçãoFRSS!C240</f>
        <v>9000</v>
      </c>
      <c r="AC70" s="43">
        <f>CE_AdministraçãoFRSS!E240</f>
        <v>0</v>
      </c>
      <c r="AD70" s="43">
        <f>CE_AdministraçãoFRSS!S240</f>
        <v>0</v>
      </c>
      <c r="AE70" s="59">
        <f t="shared" si="20"/>
        <v>0</v>
      </c>
      <c r="AF70" s="59">
        <f t="shared" si="21"/>
        <v>0</v>
      </c>
      <c r="AG70" s="43">
        <f t="shared" si="22"/>
        <v>0</v>
      </c>
      <c r="AH70" s="43">
        <f t="shared" si="22"/>
        <v>9000</v>
      </c>
      <c r="AI70" s="43">
        <f t="shared" si="22"/>
        <v>0</v>
      </c>
      <c r="AJ70" s="43">
        <f t="shared" si="22"/>
        <v>0</v>
      </c>
      <c r="AK70" s="59">
        <f t="shared" si="23"/>
        <v>0</v>
      </c>
      <c r="AL70" s="59">
        <f t="shared" si="24"/>
        <v>0</v>
      </c>
      <c r="AM70" s="43">
        <f t="shared" si="25"/>
        <v>0</v>
      </c>
      <c r="AN70" s="43">
        <f t="shared" si="25"/>
        <v>9000</v>
      </c>
      <c r="AO70" s="43">
        <f t="shared" si="25"/>
        <v>0</v>
      </c>
      <c r="AP70" s="43">
        <f t="shared" si="25"/>
        <v>0</v>
      </c>
      <c r="AQ70" s="59">
        <f t="shared" si="26"/>
        <v>0</v>
      </c>
      <c r="AR70" s="59">
        <f t="shared" si="27"/>
        <v>0</v>
      </c>
      <c r="AT70" s="38"/>
      <c r="AU70" s="38"/>
      <c r="AV70" s="38"/>
      <c r="AW70" s="38"/>
      <c r="AY70" s="38"/>
      <c r="AZ70" s="38"/>
      <c r="BA70" s="38"/>
      <c r="BB70" s="38"/>
      <c r="BC70" s="36"/>
      <c r="BD70" s="36"/>
      <c r="BE70" s="36"/>
      <c r="BF70" s="36"/>
    </row>
    <row r="71" spans="1:58" s="44" customFormat="1" x14ac:dyDescent="0.2">
      <c r="A71" s="41" t="str">
        <f>"502.14"</f>
        <v>502.14</v>
      </c>
      <c r="B71" s="42" t="s">
        <v>885</v>
      </c>
      <c r="C71" s="43">
        <f>CE_RegimeContributivo!B241</f>
        <v>0</v>
      </c>
      <c r="D71" s="43">
        <f>CE_RegimeContributivo!C241</f>
        <v>0</v>
      </c>
      <c r="E71" s="43">
        <f>CE_RegimeContributivo!E241</f>
        <v>0</v>
      </c>
      <c r="F71" s="43">
        <f>CE_RegimeContributivo!S241</f>
        <v>0</v>
      </c>
      <c r="G71" s="59" t="e">
        <f t="shared" si="8"/>
        <v>#DIV/0!</v>
      </c>
      <c r="H71" s="59" t="e">
        <f t="shared" si="9"/>
        <v>#DIV/0!</v>
      </c>
      <c r="I71" s="43">
        <f>CE_RegimeNaoContributivo!B241</f>
        <v>0</v>
      </c>
      <c r="J71" s="43">
        <f>CE_RegimeNaoContributivo!C241</f>
        <v>0</v>
      </c>
      <c r="K71" s="43">
        <f>CE_RegimeNaoContributivo!E241</f>
        <v>0</v>
      </c>
      <c r="L71" s="43">
        <f>CE_RegimeNaoContributivo!S241</f>
        <v>0</v>
      </c>
      <c r="M71" s="59" t="e">
        <f t="shared" si="11"/>
        <v>#DIV/0!</v>
      </c>
      <c r="N71" s="59" t="e">
        <f t="shared" si="12"/>
        <v>#DIV/0!</v>
      </c>
      <c r="O71" s="43">
        <f>CE_AdministraçãoINSS!B241</f>
        <v>0</v>
      </c>
      <c r="P71" s="43">
        <f>CE_AdministraçãoINSS!C241</f>
        <v>0</v>
      </c>
      <c r="Q71" s="43">
        <f>CE_AdministraçãoINSS!E241</f>
        <v>0</v>
      </c>
      <c r="R71" s="43">
        <f>CE_AdministraçãoINSS!S241</f>
        <v>0</v>
      </c>
      <c r="S71" s="59" t="e">
        <f t="shared" si="14"/>
        <v>#DIV/0!</v>
      </c>
      <c r="T71" s="59" t="e">
        <f t="shared" si="15"/>
        <v>#DIV/0!</v>
      </c>
      <c r="U71" s="43">
        <f t="shared" si="16"/>
        <v>0</v>
      </c>
      <c r="V71" s="43">
        <f t="shared" si="16"/>
        <v>0</v>
      </c>
      <c r="W71" s="43">
        <f t="shared" si="16"/>
        <v>0</v>
      </c>
      <c r="X71" s="43">
        <f t="shared" si="16"/>
        <v>0</v>
      </c>
      <c r="Y71" s="59" t="e">
        <f t="shared" si="17"/>
        <v>#DIV/0!</v>
      </c>
      <c r="Z71" s="59" t="e">
        <f t="shared" si="18"/>
        <v>#DIV/0!</v>
      </c>
      <c r="AA71" s="43">
        <f>CE_AdministraçãoFRSS!B241</f>
        <v>0</v>
      </c>
      <c r="AB71" s="43">
        <f>CE_AdministraçãoFRSS!C241</f>
        <v>0</v>
      </c>
      <c r="AC71" s="43">
        <f>CE_AdministraçãoFRSS!E241</f>
        <v>0</v>
      </c>
      <c r="AD71" s="43">
        <f>CE_AdministraçãoFRSS!S241</f>
        <v>0</v>
      </c>
      <c r="AE71" s="59" t="e">
        <f t="shared" si="20"/>
        <v>#DIV/0!</v>
      </c>
      <c r="AF71" s="59" t="e">
        <f t="shared" si="21"/>
        <v>#DIV/0!</v>
      </c>
      <c r="AG71" s="43">
        <f t="shared" si="22"/>
        <v>0</v>
      </c>
      <c r="AH71" s="43">
        <f t="shared" si="22"/>
        <v>0</v>
      </c>
      <c r="AI71" s="43">
        <f t="shared" si="22"/>
        <v>0</v>
      </c>
      <c r="AJ71" s="43">
        <f t="shared" si="22"/>
        <v>0</v>
      </c>
      <c r="AK71" s="59" t="e">
        <f t="shared" si="23"/>
        <v>#DIV/0!</v>
      </c>
      <c r="AL71" s="59" t="e">
        <f t="shared" si="24"/>
        <v>#DIV/0!</v>
      </c>
      <c r="AM71" s="43">
        <f t="shared" si="25"/>
        <v>0</v>
      </c>
      <c r="AN71" s="43">
        <f t="shared" si="25"/>
        <v>0</v>
      </c>
      <c r="AO71" s="43">
        <f t="shared" si="25"/>
        <v>0</v>
      </c>
      <c r="AP71" s="43">
        <f t="shared" si="25"/>
        <v>0</v>
      </c>
      <c r="AQ71" s="59" t="e">
        <f t="shared" si="26"/>
        <v>#DIV/0!</v>
      </c>
      <c r="AR71" s="59" t="e">
        <f t="shared" si="27"/>
        <v>#DIV/0!</v>
      </c>
      <c r="AT71" s="38"/>
      <c r="AU71" s="38"/>
      <c r="AV71" s="38"/>
      <c r="AW71" s="38"/>
      <c r="AY71" s="38"/>
      <c r="AZ71" s="38"/>
      <c r="BA71" s="38"/>
      <c r="BB71" s="38"/>
      <c r="BC71" s="36"/>
      <c r="BD71" s="36"/>
      <c r="BE71" s="36"/>
      <c r="BF71" s="36"/>
    </row>
    <row r="72" spans="1:58" s="44" customFormat="1" x14ac:dyDescent="0.2">
      <c r="A72" s="41" t="str">
        <f>"502.15"</f>
        <v>502.15</v>
      </c>
      <c r="B72" s="42" t="s">
        <v>785</v>
      </c>
      <c r="C72" s="43">
        <f>CE_RegimeContributivo!B242</f>
        <v>0</v>
      </c>
      <c r="D72" s="43">
        <f>CE_RegimeContributivo!C242</f>
        <v>0</v>
      </c>
      <c r="E72" s="43">
        <f>CE_RegimeContributivo!E242</f>
        <v>0</v>
      </c>
      <c r="F72" s="43">
        <f>CE_RegimeContributivo!S242</f>
        <v>0</v>
      </c>
      <c r="G72" s="59" t="e">
        <f t="shared" si="8"/>
        <v>#DIV/0!</v>
      </c>
      <c r="H72" s="59" t="e">
        <f t="shared" si="9"/>
        <v>#DIV/0!</v>
      </c>
      <c r="I72" s="43">
        <f>CE_RegimeNaoContributivo!B242</f>
        <v>0</v>
      </c>
      <c r="J72" s="43">
        <f>CE_RegimeNaoContributivo!C242</f>
        <v>0</v>
      </c>
      <c r="K72" s="43">
        <f>CE_RegimeNaoContributivo!E242</f>
        <v>0</v>
      </c>
      <c r="L72" s="43">
        <f>CE_RegimeNaoContributivo!S242</f>
        <v>0</v>
      </c>
      <c r="M72" s="59" t="e">
        <f t="shared" si="11"/>
        <v>#DIV/0!</v>
      </c>
      <c r="N72" s="59" t="e">
        <f t="shared" si="12"/>
        <v>#DIV/0!</v>
      </c>
      <c r="O72" s="43">
        <f>CE_AdministraçãoINSS!B242</f>
        <v>30000</v>
      </c>
      <c r="P72" s="43">
        <f>CE_AdministraçãoINSS!C242</f>
        <v>30000</v>
      </c>
      <c r="Q72" s="43">
        <f>CE_AdministraçãoINSS!E242</f>
        <v>14180.25</v>
      </c>
      <c r="R72" s="43">
        <f>CE_AdministraçãoINSS!S242</f>
        <v>2943.8</v>
      </c>
      <c r="S72" s="59">
        <f t="shared" si="14"/>
        <v>9.8126666666666668E-2</v>
      </c>
      <c r="T72" s="59">
        <f t="shared" si="15"/>
        <v>0.47267500000000001</v>
      </c>
      <c r="U72" s="43">
        <f t="shared" si="16"/>
        <v>30000</v>
      </c>
      <c r="V72" s="43">
        <f t="shared" si="16"/>
        <v>30000</v>
      </c>
      <c r="W72" s="43">
        <f t="shared" si="16"/>
        <v>14180.25</v>
      </c>
      <c r="X72" s="43">
        <f t="shared" si="16"/>
        <v>2943.8</v>
      </c>
      <c r="Y72" s="59">
        <f t="shared" si="17"/>
        <v>9.8126666666666668E-2</v>
      </c>
      <c r="Z72" s="59">
        <f t="shared" si="18"/>
        <v>0.47267500000000001</v>
      </c>
      <c r="AA72" s="43">
        <f>CE_AdministraçãoFRSS!B242</f>
        <v>0</v>
      </c>
      <c r="AB72" s="43">
        <f>CE_AdministraçãoFRSS!C242</f>
        <v>251</v>
      </c>
      <c r="AC72" s="43">
        <f>CE_AdministraçãoFRSS!E242</f>
        <v>251</v>
      </c>
      <c r="AD72" s="43">
        <f>CE_AdministraçãoFRSS!S242</f>
        <v>251</v>
      </c>
      <c r="AE72" s="59">
        <f t="shared" si="20"/>
        <v>1</v>
      </c>
      <c r="AF72" s="59">
        <f t="shared" si="21"/>
        <v>1</v>
      </c>
      <c r="AG72" s="43">
        <f t="shared" si="22"/>
        <v>0</v>
      </c>
      <c r="AH72" s="43">
        <f t="shared" si="22"/>
        <v>251</v>
      </c>
      <c r="AI72" s="43">
        <f t="shared" si="22"/>
        <v>251</v>
      </c>
      <c r="AJ72" s="43">
        <f t="shared" si="22"/>
        <v>251</v>
      </c>
      <c r="AK72" s="59">
        <f t="shared" si="23"/>
        <v>1</v>
      </c>
      <c r="AL72" s="59">
        <f t="shared" si="24"/>
        <v>1</v>
      </c>
      <c r="AM72" s="43">
        <f t="shared" si="25"/>
        <v>30000</v>
      </c>
      <c r="AN72" s="43">
        <f t="shared" si="25"/>
        <v>30251</v>
      </c>
      <c r="AO72" s="43">
        <f t="shared" si="25"/>
        <v>14431.25</v>
      </c>
      <c r="AP72" s="43">
        <f t="shared" si="25"/>
        <v>3194.8</v>
      </c>
      <c r="AQ72" s="698">
        <f t="shared" si="26"/>
        <v>0.10560973190968895</v>
      </c>
      <c r="AR72" s="59">
        <f t="shared" si="27"/>
        <v>0.47705034544312586</v>
      </c>
      <c r="AT72" s="38"/>
      <c r="AU72" s="38"/>
      <c r="AV72" s="38"/>
      <c r="AW72" s="38"/>
      <c r="AY72" s="38"/>
      <c r="AZ72" s="38"/>
      <c r="BA72" s="38"/>
      <c r="BB72" s="38"/>
      <c r="BC72" s="36"/>
      <c r="BD72" s="36"/>
      <c r="BE72" s="36"/>
      <c r="BF72" s="36"/>
    </row>
    <row r="73" spans="1:58" s="44" customFormat="1" x14ac:dyDescent="0.2">
      <c r="A73" s="41" t="str">
        <f>"502.16"</f>
        <v>502.16</v>
      </c>
      <c r="B73" s="42" t="s">
        <v>886</v>
      </c>
      <c r="C73" s="43">
        <f>C74+C75</f>
        <v>0</v>
      </c>
      <c r="D73" s="43">
        <f>D74+D75</f>
        <v>0</v>
      </c>
      <c r="E73" s="43">
        <f>E74+E75</f>
        <v>0</v>
      </c>
      <c r="F73" s="43">
        <f t="shared" ref="F73" si="61">F74+F75</f>
        <v>0</v>
      </c>
      <c r="G73" s="59" t="e">
        <f t="shared" ref="G73:G136" si="62">F73/D73</f>
        <v>#DIV/0!</v>
      </c>
      <c r="H73" s="59" t="e">
        <f t="shared" ref="H73:H136" si="63">E73/D73</f>
        <v>#DIV/0!</v>
      </c>
      <c r="I73" s="43">
        <f>I74+I75</f>
        <v>0</v>
      </c>
      <c r="J73" s="43">
        <f>J74+J75</f>
        <v>0</v>
      </c>
      <c r="K73" s="43">
        <f t="shared" ref="K73:L73" si="64">K74+K75</f>
        <v>0</v>
      </c>
      <c r="L73" s="43">
        <f t="shared" si="64"/>
        <v>0</v>
      </c>
      <c r="M73" s="59" t="e">
        <f t="shared" ref="M73:M136" si="65">L73/J73</f>
        <v>#DIV/0!</v>
      </c>
      <c r="N73" s="59" t="e">
        <f t="shared" ref="N73:N136" si="66">K73/J73</f>
        <v>#DIV/0!</v>
      </c>
      <c r="O73" s="43">
        <f>O74+O75</f>
        <v>27000</v>
      </c>
      <c r="P73" s="43">
        <f>P74+P75</f>
        <v>27000</v>
      </c>
      <c r="Q73" s="43">
        <f t="shared" ref="Q73:R73" si="67">Q74+Q75</f>
        <v>25106</v>
      </c>
      <c r="R73" s="43">
        <f t="shared" si="67"/>
        <v>18803</v>
      </c>
      <c r="S73" s="59">
        <f t="shared" ref="S73:S136" si="68">R73/P73</f>
        <v>0.69640740740740736</v>
      </c>
      <c r="T73" s="59">
        <f t="shared" ref="T73:T136" si="69">Q73/P73</f>
        <v>0.92985185185185182</v>
      </c>
      <c r="U73" s="43">
        <f t="shared" ref="U73:X136" si="70">C73+I73+O73</f>
        <v>27000</v>
      </c>
      <c r="V73" s="43">
        <f t="shared" si="70"/>
        <v>27000</v>
      </c>
      <c r="W73" s="43">
        <f t="shared" si="70"/>
        <v>25106</v>
      </c>
      <c r="X73" s="43">
        <f t="shared" si="70"/>
        <v>18803</v>
      </c>
      <c r="Y73" s="59">
        <f t="shared" ref="Y73:Y136" si="71">X73/V73</f>
        <v>0.69640740740740736</v>
      </c>
      <c r="Z73" s="59">
        <f t="shared" ref="Z73:Z136" si="72">W73/V73</f>
        <v>0.92985185185185182</v>
      </c>
      <c r="AA73" s="43">
        <f>AA74+AA75</f>
        <v>0</v>
      </c>
      <c r="AB73" s="43">
        <f>AB74+AB75</f>
        <v>0</v>
      </c>
      <c r="AC73" s="43">
        <f t="shared" ref="AC73:AD73" si="73">AC74+AC75</f>
        <v>0</v>
      </c>
      <c r="AD73" s="43">
        <f t="shared" si="73"/>
        <v>0</v>
      </c>
      <c r="AE73" s="59" t="e">
        <f t="shared" ref="AE73:AE136" si="74">AD73/AB73</f>
        <v>#DIV/0!</v>
      </c>
      <c r="AF73" s="59" t="e">
        <f t="shared" ref="AF73:AF136" si="75">AC73/AB73</f>
        <v>#DIV/0!</v>
      </c>
      <c r="AG73" s="43">
        <f t="shared" ref="AG73:AJ136" si="76">AA73</f>
        <v>0</v>
      </c>
      <c r="AH73" s="43">
        <f t="shared" si="76"/>
        <v>0</v>
      </c>
      <c r="AI73" s="43">
        <f t="shared" si="76"/>
        <v>0</v>
      </c>
      <c r="AJ73" s="43">
        <f t="shared" si="76"/>
        <v>0</v>
      </c>
      <c r="AK73" s="59" t="e">
        <f t="shared" ref="AK73:AK136" si="77">AJ73/AH73</f>
        <v>#DIV/0!</v>
      </c>
      <c r="AL73" s="59" t="e">
        <f t="shared" ref="AL73:AL136" si="78">AI73/AH73</f>
        <v>#DIV/0!</v>
      </c>
      <c r="AM73" s="43">
        <f t="shared" ref="AM73:AP136" si="79">U73+AG73</f>
        <v>27000</v>
      </c>
      <c r="AN73" s="43">
        <f t="shared" si="79"/>
        <v>27000</v>
      </c>
      <c r="AO73" s="43">
        <f t="shared" si="79"/>
        <v>25106</v>
      </c>
      <c r="AP73" s="43">
        <f t="shared" si="79"/>
        <v>18803</v>
      </c>
      <c r="AQ73" s="59">
        <f t="shared" ref="AQ73:AQ136" si="80">AP73/AN73</f>
        <v>0.69640740740740736</v>
      </c>
      <c r="AR73" s="59">
        <f t="shared" ref="AR73:AR136" si="81">AO73/AN73</f>
        <v>0.92985185185185182</v>
      </c>
      <c r="AT73" s="38"/>
      <c r="AU73" s="38"/>
      <c r="AV73" s="38"/>
      <c r="AW73" s="38"/>
      <c r="AY73" s="38"/>
      <c r="AZ73" s="38"/>
      <c r="BA73" s="38"/>
      <c r="BB73" s="38"/>
      <c r="BC73" s="36"/>
      <c r="BD73" s="36"/>
      <c r="BE73" s="36"/>
      <c r="BF73" s="36"/>
    </row>
    <row r="74" spans="1:58" x14ac:dyDescent="0.2">
      <c r="A74" s="45" t="str">
        <f>"502.16.01"</f>
        <v>502.16.01</v>
      </c>
      <c r="B74" s="45" t="s">
        <v>887</v>
      </c>
      <c r="C74" s="46">
        <f>CE_RegimeContributivo!B244</f>
        <v>0</v>
      </c>
      <c r="D74" s="46">
        <f>CE_RegimeContributivo!C244</f>
        <v>0</v>
      </c>
      <c r="E74" s="46">
        <f>CE_RegimeContributivo!E244</f>
        <v>0</v>
      </c>
      <c r="F74" s="46">
        <f>CE_RegimeContributivo!S244</f>
        <v>0</v>
      </c>
      <c r="G74" s="60" t="e">
        <f t="shared" si="62"/>
        <v>#DIV/0!</v>
      </c>
      <c r="H74" s="60" t="e">
        <f t="shared" si="63"/>
        <v>#DIV/0!</v>
      </c>
      <c r="I74" s="46">
        <f>CE_RegimeNaoContributivo!B244</f>
        <v>0</v>
      </c>
      <c r="J74" s="46">
        <f>CE_RegimeNaoContributivo!C244</f>
        <v>0</v>
      </c>
      <c r="K74" s="46">
        <f>CE_RegimeNaoContributivo!E244</f>
        <v>0</v>
      </c>
      <c r="L74" s="46">
        <f>CE_RegimeNaoContributivo!S244</f>
        <v>0</v>
      </c>
      <c r="M74" s="60" t="e">
        <f t="shared" si="65"/>
        <v>#DIV/0!</v>
      </c>
      <c r="N74" s="60" t="e">
        <f t="shared" si="66"/>
        <v>#DIV/0!</v>
      </c>
      <c r="O74" s="46">
        <f>CE_AdministraçãoINSS!B244</f>
        <v>27000</v>
      </c>
      <c r="P74" s="46">
        <f>CE_AdministraçãoINSS!C244</f>
        <v>27000</v>
      </c>
      <c r="Q74" s="46">
        <f>CE_AdministraçãoINSS!E244</f>
        <v>25106</v>
      </c>
      <c r="R74" s="46">
        <f>CE_AdministraçãoINSS!S244</f>
        <v>18803</v>
      </c>
      <c r="S74" s="60">
        <f t="shared" si="68"/>
        <v>0.69640740740740736</v>
      </c>
      <c r="T74" s="60">
        <f t="shared" si="69"/>
        <v>0.92985185185185182</v>
      </c>
      <c r="U74" s="46">
        <f t="shared" si="70"/>
        <v>27000</v>
      </c>
      <c r="V74" s="46">
        <f t="shared" si="70"/>
        <v>27000</v>
      </c>
      <c r="W74" s="46">
        <f t="shared" si="70"/>
        <v>25106</v>
      </c>
      <c r="X74" s="46">
        <f t="shared" si="70"/>
        <v>18803</v>
      </c>
      <c r="Y74" s="60">
        <f t="shared" si="71"/>
        <v>0.69640740740740736</v>
      </c>
      <c r="Z74" s="60">
        <f t="shared" si="72"/>
        <v>0.92985185185185182</v>
      </c>
      <c r="AA74" s="46">
        <f>CE_AdministraçãoFRSS!B244</f>
        <v>0</v>
      </c>
      <c r="AB74" s="46">
        <f>CE_AdministraçãoFRSS!C244</f>
        <v>0</v>
      </c>
      <c r="AC74" s="46">
        <f>CE_AdministraçãoFRSS!E244</f>
        <v>0</v>
      </c>
      <c r="AD74" s="46">
        <f>CE_AdministraçãoFRSS!S244</f>
        <v>0</v>
      </c>
      <c r="AE74" s="60" t="e">
        <f t="shared" si="74"/>
        <v>#DIV/0!</v>
      </c>
      <c r="AF74" s="60" t="e">
        <f t="shared" si="75"/>
        <v>#DIV/0!</v>
      </c>
      <c r="AG74" s="46">
        <f t="shared" si="76"/>
        <v>0</v>
      </c>
      <c r="AH74" s="46">
        <f t="shared" si="76"/>
        <v>0</v>
      </c>
      <c r="AI74" s="46">
        <f t="shared" si="76"/>
        <v>0</v>
      </c>
      <c r="AJ74" s="46">
        <f t="shared" si="76"/>
        <v>0</v>
      </c>
      <c r="AK74" s="60" t="e">
        <f t="shared" si="77"/>
        <v>#DIV/0!</v>
      </c>
      <c r="AL74" s="60" t="e">
        <f t="shared" si="78"/>
        <v>#DIV/0!</v>
      </c>
      <c r="AM74" s="46">
        <f t="shared" si="79"/>
        <v>27000</v>
      </c>
      <c r="AN74" s="46">
        <f t="shared" si="79"/>
        <v>27000</v>
      </c>
      <c r="AO74" s="46">
        <f t="shared" si="79"/>
        <v>25106</v>
      </c>
      <c r="AP74" s="46">
        <f t="shared" si="79"/>
        <v>18803</v>
      </c>
      <c r="AQ74" s="60">
        <f t="shared" si="80"/>
        <v>0.69640740740740736</v>
      </c>
      <c r="AR74" s="60">
        <f t="shared" si="81"/>
        <v>0.92985185185185182</v>
      </c>
      <c r="AT74" s="38"/>
      <c r="AU74" s="38"/>
      <c r="AV74" s="38"/>
      <c r="AW74" s="38"/>
      <c r="AY74" s="38"/>
      <c r="AZ74" s="38"/>
      <c r="BA74" s="38"/>
      <c r="BB74" s="38"/>
    </row>
    <row r="75" spans="1:58" x14ac:dyDescent="0.2">
      <c r="A75" s="45" t="str">
        <f>"502.16.02"</f>
        <v>502.16.02</v>
      </c>
      <c r="B75" s="45" t="s">
        <v>888</v>
      </c>
      <c r="C75" s="46">
        <f>CE_RegimeContributivo!B245</f>
        <v>0</v>
      </c>
      <c r="D75" s="46">
        <f>CE_RegimeContributivo!C245</f>
        <v>0</v>
      </c>
      <c r="E75" s="46">
        <f>CE_RegimeContributivo!E245</f>
        <v>0</v>
      </c>
      <c r="F75" s="46">
        <f>CE_RegimeContributivo!S245</f>
        <v>0</v>
      </c>
      <c r="G75" s="60" t="e">
        <f t="shared" si="62"/>
        <v>#DIV/0!</v>
      </c>
      <c r="H75" s="60" t="e">
        <f t="shared" si="63"/>
        <v>#DIV/0!</v>
      </c>
      <c r="I75" s="46">
        <f>CE_RegimeNaoContributivo!B245</f>
        <v>0</v>
      </c>
      <c r="J75" s="46">
        <f>CE_RegimeNaoContributivo!C245</f>
        <v>0</v>
      </c>
      <c r="K75" s="46">
        <f>CE_RegimeNaoContributivo!E245</f>
        <v>0</v>
      </c>
      <c r="L75" s="46">
        <f>CE_RegimeNaoContributivo!S245</f>
        <v>0</v>
      </c>
      <c r="M75" s="60" t="e">
        <f t="shared" si="65"/>
        <v>#DIV/0!</v>
      </c>
      <c r="N75" s="60" t="e">
        <f t="shared" si="66"/>
        <v>#DIV/0!</v>
      </c>
      <c r="O75" s="46">
        <f>CE_AdministraçãoINSS!B245</f>
        <v>0</v>
      </c>
      <c r="P75" s="46">
        <f>CE_AdministraçãoINSS!C245</f>
        <v>0</v>
      </c>
      <c r="Q75" s="46">
        <f>CE_AdministraçãoINSS!E245</f>
        <v>0</v>
      </c>
      <c r="R75" s="46">
        <f>CE_AdministraçãoINSS!S245</f>
        <v>0</v>
      </c>
      <c r="S75" s="60" t="e">
        <f t="shared" si="68"/>
        <v>#DIV/0!</v>
      </c>
      <c r="T75" s="60" t="e">
        <f t="shared" si="69"/>
        <v>#DIV/0!</v>
      </c>
      <c r="U75" s="46">
        <f t="shared" si="70"/>
        <v>0</v>
      </c>
      <c r="V75" s="46">
        <f t="shared" si="70"/>
        <v>0</v>
      </c>
      <c r="W75" s="46">
        <f t="shared" si="70"/>
        <v>0</v>
      </c>
      <c r="X75" s="46">
        <f t="shared" si="70"/>
        <v>0</v>
      </c>
      <c r="Y75" s="60" t="e">
        <f t="shared" si="71"/>
        <v>#DIV/0!</v>
      </c>
      <c r="Z75" s="60" t="e">
        <f t="shared" si="72"/>
        <v>#DIV/0!</v>
      </c>
      <c r="AA75" s="46">
        <f>CE_AdministraçãoFRSS!B245</f>
        <v>0</v>
      </c>
      <c r="AB75" s="46">
        <f>CE_AdministraçãoFRSS!C245</f>
        <v>0</v>
      </c>
      <c r="AC75" s="46">
        <f>CE_AdministraçãoFRSS!E245</f>
        <v>0</v>
      </c>
      <c r="AD75" s="46">
        <f>CE_AdministraçãoFRSS!S245</f>
        <v>0</v>
      </c>
      <c r="AE75" s="60" t="e">
        <f t="shared" si="74"/>
        <v>#DIV/0!</v>
      </c>
      <c r="AF75" s="60" t="e">
        <f t="shared" si="75"/>
        <v>#DIV/0!</v>
      </c>
      <c r="AG75" s="46">
        <f t="shared" si="76"/>
        <v>0</v>
      </c>
      <c r="AH75" s="46">
        <f t="shared" si="76"/>
        <v>0</v>
      </c>
      <c r="AI75" s="46">
        <f t="shared" si="76"/>
        <v>0</v>
      </c>
      <c r="AJ75" s="46">
        <f t="shared" si="76"/>
        <v>0</v>
      </c>
      <c r="AK75" s="60" t="e">
        <f t="shared" si="77"/>
        <v>#DIV/0!</v>
      </c>
      <c r="AL75" s="60" t="e">
        <f t="shared" si="78"/>
        <v>#DIV/0!</v>
      </c>
      <c r="AM75" s="46">
        <f t="shared" si="79"/>
        <v>0</v>
      </c>
      <c r="AN75" s="46">
        <f t="shared" si="79"/>
        <v>0</v>
      </c>
      <c r="AO75" s="46">
        <f t="shared" si="79"/>
        <v>0</v>
      </c>
      <c r="AP75" s="46">
        <f t="shared" si="79"/>
        <v>0</v>
      </c>
      <c r="AQ75" s="60" t="e">
        <f t="shared" si="80"/>
        <v>#DIV/0!</v>
      </c>
      <c r="AR75" s="60" t="e">
        <f t="shared" si="81"/>
        <v>#DIV/0!</v>
      </c>
      <c r="AT75" s="38"/>
      <c r="AU75" s="38"/>
      <c r="AV75" s="38"/>
      <c r="AW75" s="38"/>
      <c r="AY75" s="38"/>
      <c r="AZ75" s="38"/>
      <c r="BA75" s="38"/>
      <c r="BB75" s="38"/>
    </row>
    <row r="76" spans="1:58" s="44" customFormat="1" x14ac:dyDescent="0.2">
      <c r="A76" s="41" t="str">
        <f>"502.17"</f>
        <v>502.17</v>
      </c>
      <c r="B76" s="42" t="s">
        <v>889</v>
      </c>
      <c r="C76" s="43">
        <f>SUM(C77:C102)</f>
        <v>0</v>
      </c>
      <c r="D76" s="43">
        <f>SUM(D77:D102)</f>
        <v>0</v>
      </c>
      <c r="E76" s="43">
        <f>SUM(E77:E102)</f>
        <v>0</v>
      </c>
      <c r="F76" s="43">
        <f t="shared" ref="F76" si="82">SUM(F77:F102)</f>
        <v>0</v>
      </c>
      <c r="G76" s="59" t="e">
        <f t="shared" si="62"/>
        <v>#DIV/0!</v>
      </c>
      <c r="H76" s="59" t="e">
        <f t="shared" si="63"/>
        <v>#DIV/0!</v>
      </c>
      <c r="I76" s="43">
        <f>SUM(I77:I102)</f>
        <v>0</v>
      </c>
      <c r="J76" s="43">
        <f>SUM(J77:J102)</f>
        <v>0</v>
      </c>
      <c r="K76" s="43">
        <f t="shared" ref="K76:L76" si="83">SUM(K77:K102)</f>
        <v>0</v>
      </c>
      <c r="L76" s="43">
        <f t="shared" si="83"/>
        <v>0</v>
      </c>
      <c r="M76" s="59" t="e">
        <f t="shared" si="65"/>
        <v>#DIV/0!</v>
      </c>
      <c r="N76" s="59" t="e">
        <f t="shared" si="66"/>
        <v>#DIV/0!</v>
      </c>
      <c r="O76" s="43">
        <f>SUM(O77:O102)</f>
        <v>41500</v>
      </c>
      <c r="P76" s="43">
        <f>SUM(P77:P102)</f>
        <v>45000</v>
      </c>
      <c r="Q76" s="43">
        <f t="shared" ref="Q76:R76" si="84">SUM(Q77:Q102)</f>
        <v>40200</v>
      </c>
      <c r="R76" s="43">
        <f t="shared" si="84"/>
        <v>6905.57</v>
      </c>
      <c r="S76" s="59">
        <f t="shared" si="68"/>
        <v>0.1534571111111111</v>
      </c>
      <c r="T76" s="59">
        <f t="shared" si="69"/>
        <v>0.89333333333333331</v>
      </c>
      <c r="U76" s="43">
        <f t="shared" si="70"/>
        <v>41500</v>
      </c>
      <c r="V76" s="43">
        <f t="shared" si="70"/>
        <v>45000</v>
      </c>
      <c r="W76" s="43">
        <f t="shared" si="70"/>
        <v>40200</v>
      </c>
      <c r="X76" s="43">
        <f t="shared" si="70"/>
        <v>6905.57</v>
      </c>
      <c r="Y76" s="59">
        <f t="shared" si="71"/>
        <v>0.1534571111111111</v>
      </c>
      <c r="Z76" s="59">
        <f t="shared" si="72"/>
        <v>0.89333333333333331</v>
      </c>
      <c r="AA76" s="43">
        <f>SUM(AA77:AA102)</f>
        <v>0</v>
      </c>
      <c r="AB76" s="43">
        <f>SUM(AB77:AB102)</f>
        <v>0</v>
      </c>
      <c r="AC76" s="43">
        <f t="shared" ref="AC76:AD76" si="85">SUM(AC77:AC102)</f>
        <v>0</v>
      </c>
      <c r="AD76" s="43">
        <f t="shared" si="85"/>
        <v>0</v>
      </c>
      <c r="AE76" s="59" t="e">
        <f t="shared" si="74"/>
        <v>#DIV/0!</v>
      </c>
      <c r="AF76" s="59" t="e">
        <f t="shared" si="75"/>
        <v>#DIV/0!</v>
      </c>
      <c r="AG76" s="43">
        <f t="shared" si="76"/>
        <v>0</v>
      </c>
      <c r="AH76" s="43">
        <f t="shared" si="76"/>
        <v>0</v>
      </c>
      <c r="AI76" s="43">
        <f t="shared" si="76"/>
        <v>0</v>
      </c>
      <c r="AJ76" s="43">
        <f t="shared" si="76"/>
        <v>0</v>
      </c>
      <c r="AK76" s="59" t="e">
        <f t="shared" si="77"/>
        <v>#DIV/0!</v>
      </c>
      <c r="AL76" s="59" t="e">
        <f t="shared" si="78"/>
        <v>#DIV/0!</v>
      </c>
      <c r="AM76" s="43">
        <f t="shared" si="79"/>
        <v>41500</v>
      </c>
      <c r="AN76" s="43">
        <f t="shared" si="79"/>
        <v>45000</v>
      </c>
      <c r="AO76" s="43">
        <f t="shared" si="79"/>
        <v>40200</v>
      </c>
      <c r="AP76" s="43">
        <f t="shared" si="79"/>
        <v>6905.57</v>
      </c>
      <c r="AQ76" s="59">
        <f t="shared" si="80"/>
        <v>0.1534571111111111</v>
      </c>
      <c r="AR76" s="59">
        <f t="shared" si="81"/>
        <v>0.89333333333333331</v>
      </c>
      <c r="AT76" s="38"/>
      <c r="AU76" s="38"/>
      <c r="AV76" s="38"/>
      <c r="AW76" s="38"/>
      <c r="AY76" s="38"/>
      <c r="AZ76" s="38"/>
      <c r="BA76" s="38"/>
      <c r="BB76" s="38"/>
      <c r="BC76" s="36"/>
      <c r="BD76" s="36"/>
      <c r="BE76" s="36"/>
      <c r="BF76" s="36"/>
    </row>
    <row r="77" spans="1:58" x14ac:dyDescent="0.2">
      <c r="A77" s="45" t="str">
        <f>"502.17.01"</f>
        <v>502.17.01</v>
      </c>
      <c r="B77" s="47" t="s">
        <v>890</v>
      </c>
      <c r="C77" s="46">
        <f>CE_RegimeContributivo!B247</f>
        <v>0</v>
      </c>
      <c r="D77" s="46">
        <f>CE_RegimeContributivo!C247</f>
        <v>0</v>
      </c>
      <c r="E77" s="46">
        <f>CE_RegimeContributivo!E247</f>
        <v>0</v>
      </c>
      <c r="F77" s="46">
        <f>CE_RegimeContributivo!S247</f>
        <v>0</v>
      </c>
      <c r="G77" s="60" t="e">
        <f t="shared" si="62"/>
        <v>#DIV/0!</v>
      </c>
      <c r="H77" s="60" t="e">
        <f t="shared" si="63"/>
        <v>#DIV/0!</v>
      </c>
      <c r="I77" s="46">
        <f>CE_RegimeNaoContributivo!B247</f>
        <v>0</v>
      </c>
      <c r="J77" s="46">
        <f>CE_RegimeNaoContributivo!C247</f>
        <v>0</v>
      </c>
      <c r="K77" s="46">
        <f>CE_RegimeNaoContributivo!E247</f>
        <v>0</v>
      </c>
      <c r="L77" s="46">
        <f>CE_RegimeNaoContributivo!S247</f>
        <v>0</v>
      </c>
      <c r="M77" s="60" t="e">
        <f t="shared" si="65"/>
        <v>#DIV/0!</v>
      </c>
      <c r="N77" s="60" t="e">
        <f t="shared" si="66"/>
        <v>#DIV/0!</v>
      </c>
      <c r="O77" s="46">
        <f>CE_AdministraçãoINSS!B247</f>
        <v>21900</v>
      </c>
      <c r="P77" s="46">
        <f>CE_AdministraçãoINSS!C247</f>
        <v>21900</v>
      </c>
      <c r="Q77" s="46">
        <f>CE_AdministraçãoINSS!E247</f>
        <v>21900</v>
      </c>
      <c r="R77" s="46">
        <f>CE_AdministraçãoINSS!S247</f>
        <v>4804.57</v>
      </c>
      <c r="S77" s="60">
        <f t="shared" si="68"/>
        <v>0.21938675799086757</v>
      </c>
      <c r="T77" s="60">
        <f t="shared" si="69"/>
        <v>1</v>
      </c>
      <c r="U77" s="46">
        <f t="shared" si="70"/>
        <v>21900</v>
      </c>
      <c r="V77" s="46">
        <f t="shared" si="70"/>
        <v>21900</v>
      </c>
      <c r="W77" s="46">
        <f t="shared" si="70"/>
        <v>21900</v>
      </c>
      <c r="X77" s="46">
        <f t="shared" si="70"/>
        <v>4804.57</v>
      </c>
      <c r="Y77" s="60">
        <f t="shared" si="71"/>
        <v>0.21938675799086757</v>
      </c>
      <c r="Z77" s="60">
        <f t="shared" si="72"/>
        <v>1</v>
      </c>
      <c r="AA77" s="46">
        <f>CE_AdministraçãoFRSS!B247</f>
        <v>0</v>
      </c>
      <c r="AB77" s="46">
        <f>CE_AdministraçãoFRSS!C247</f>
        <v>0</v>
      </c>
      <c r="AC77" s="46">
        <f>CE_AdministraçãoFRSS!E247</f>
        <v>0</v>
      </c>
      <c r="AD77" s="46">
        <f>CE_AdministraçãoFRSS!S247</f>
        <v>0</v>
      </c>
      <c r="AE77" s="60" t="e">
        <f t="shared" si="74"/>
        <v>#DIV/0!</v>
      </c>
      <c r="AF77" s="60" t="e">
        <f t="shared" si="75"/>
        <v>#DIV/0!</v>
      </c>
      <c r="AG77" s="46">
        <f t="shared" si="76"/>
        <v>0</v>
      </c>
      <c r="AH77" s="46">
        <f t="shared" si="76"/>
        <v>0</v>
      </c>
      <c r="AI77" s="46">
        <f t="shared" si="76"/>
        <v>0</v>
      </c>
      <c r="AJ77" s="46">
        <f t="shared" si="76"/>
        <v>0</v>
      </c>
      <c r="AK77" s="60" t="e">
        <f t="shared" si="77"/>
        <v>#DIV/0!</v>
      </c>
      <c r="AL77" s="60" t="e">
        <f t="shared" si="78"/>
        <v>#DIV/0!</v>
      </c>
      <c r="AM77" s="46">
        <f t="shared" si="79"/>
        <v>21900</v>
      </c>
      <c r="AN77" s="46">
        <f t="shared" si="79"/>
        <v>21900</v>
      </c>
      <c r="AO77" s="46">
        <f t="shared" si="79"/>
        <v>21900</v>
      </c>
      <c r="AP77" s="46">
        <f t="shared" si="79"/>
        <v>4804.57</v>
      </c>
      <c r="AQ77" s="60">
        <f t="shared" si="80"/>
        <v>0.21938675799086757</v>
      </c>
      <c r="AR77" s="60">
        <f t="shared" si="81"/>
        <v>1</v>
      </c>
      <c r="AT77" s="38"/>
      <c r="AU77" s="38"/>
      <c r="AV77" s="38"/>
      <c r="AW77" s="38"/>
      <c r="AY77" s="38"/>
      <c r="AZ77" s="38"/>
      <c r="BA77" s="38"/>
      <c r="BB77" s="38"/>
    </row>
    <row r="78" spans="1:58" s="44" customFormat="1" x14ac:dyDescent="0.2">
      <c r="A78" s="45" t="str">
        <f>"502.17.02"</f>
        <v>502.17.02</v>
      </c>
      <c r="B78" s="47" t="s">
        <v>891</v>
      </c>
      <c r="C78" s="46">
        <f>CE_RegimeContributivo!B248</f>
        <v>0</v>
      </c>
      <c r="D78" s="46">
        <f>CE_RegimeContributivo!C248</f>
        <v>0</v>
      </c>
      <c r="E78" s="46">
        <f>CE_RegimeContributivo!E248</f>
        <v>0</v>
      </c>
      <c r="F78" s="46">
        <f>CE_RegimeContributivo!S248</f>
        <v>0</v>
      </c>
      <c r="G78" s="60" t="e">
        <f t="shared" si="62"/>
        <v>#DIV/0!</v>
      </c>
      <c r="H78" s="60" t="e">
        <f t="shared" si="63"/>
        <v>#DIV/0!</v>
      </c>
      <c r="I78" s="46">
        <f>CE_RegimeNaoContributivo!B248</f>
        <v>0</v>
      </c>
      <c r="J78" s="46">
        <f>CE_RegimeNaoContributivo!C248</f>
        <v>0</v>
      </c>
      <c r="K78" s="46">
        <f>CE_RegimeNaoContributivo!E248</f>
        <v>0</v>
      </c>
      <c r="L78" s="46">
        <f>CE_RegimeNaoContributivo!S248</f>
        <v>0</v>
      </c>
      <c r="M78" s="60" t="e">
        <f t="shared" si="65"/>
        <v>#DIV/0!</v>
      </c>
      <c r="N78" s="60" t="e">
        <f t="shared" si="66"/>
        <v>#DIV/0!</v>
      </c>
      <c r="O78" s="46">
        <f>CE_AdministraçãoINSS!B248</f>
        <v>0</v>
      </c>
      <c r="P78" s="46">
        <f>CE_AdministraçãoINSS!C248</f>
        <v>0</v>
      </c>
      <c r="Q78" s="46">
        <f>CE_AdministraçãoINSS!E248</f>
        <v>0</v>
      </c>
      <c r="R78" s="46">
        <f>CE_AdministraçãoINSS!S248</f>
        <v>0</v>
      </c>
      <c r="S78" s="60" t="e">
        <f t="shared" si="68"/>
        <v>#DIV/0!</v>
      </c>
      <c r="T78" s="60" t="e">
        <f t="shared" si="69"/>
        <v>#DIV/0!</v>
      </c>
      <c r="U78" s="46">
        <f t="shared" si="70"/>
        <v>0</v>
      </c>
      <c r="V78" s="46">
        <f t="shared" si="70"/>
        <v>0</v>
      </c>
      <c r="W78" s="46">
        <f t="shared" si="70"/>
        <v>0</v>
      </c>
      <c r="X78" s="46">
        <f t="shared" si="70"/>
        <v>0</v>
      </c>
      <c r="Y78" s="60" t="e">
        <f t="shared" si="71"/>
        <v>#DIV/0!</v>
      </c>
      <c r="Z78" s="60" t="e">
        <f t="shared" si="72"/>
        <v>#DIV/0!</v>
      </c>
      <c r="AA78" s="46">
        <f>CE_AdministraçãoFRSS!B248</f>
        <v>0</v>
      </c>
      <c r="AB78" s="46">
        <f>CE_AdministraçãoFRSS!C248</f>
        <v>0</v>
      </c>
      <c r="AC78" s="46">
        <f>CE_AdministraçãoFRSS!E248</f>
        <v>0</v>
      </c>
      <c r="AD78" s="46">
        <f>CE_AdministraçãoFRSS!S248</f>
        <v>0</v>
      </c>
      <c r="AE78" s="60" t="e">
        <f t="shared" si="74"/>
        <v>#DIV/0!</v>
      </c>
      <c r="AF78" s="60" t="e">
        <f t="shared" si="75"/>
        <v>#DIV/0!</v>
      </c>
      <c r="AG78" s="46">
        <f t="shared" si="76"/>
        <v>0</v>
      </c>
      <c r="AH78" s="46">
        <f t="shared" si="76"/>
        <v>0</v>
      </c>
      <c r="AI78" s="46">
        <f t="shared" si="76"/>
        <v>0</v>
      </c>
      <c r="AJ78" s="46">
        <f t="shared" si="76"/>
        <v>0</v>
      </c>
      <c r="AK78" s="60" t="e">
        <f t="shared" si="77"/>
        <v>#DIV/0!</v>
      </c>
      <c r="AL78" s="60" t="e">
        <f t="shared" si="78"/>
        <v>#DIV/0!</v>
      </c>
      <c r="AM78" s="46">
        <f t="shared" si="79"/>
        <v>0</v>
      </c>
      <c r="AN78" s="46">
        <f t="shared" si="79"/>
        <v>0</v>
      </c>
      <c r="AO78" s="46">
        <f t="shared" si="79"/>
        <v>0</v>
      </c>
      <c r="AP78" s="46">
        <f t="shared" si="79"/>
        <v>0</v>
      </c>
      <c r="AQ78" s="60" t="e">
        <f t="shared" si="80"/>
        <v>#DIV/0!</v>
      </c>
      <c r="AR78" s="60" t="e">
        <f t="shared" si="81"/>
        <v>#DIV/0!</v>
      </c>
      <c r="AT78" s="38"/>
      <c r="AU78" s="38"/>
      <c r="AV78" s="38"/>
      <c r="AW78" s="38"/>
      <c r="AY78" s="38"/>
      <c r="AZ78" s="38"/>
      <c r="BA78" s="38"/>
      <c r="BB78" s="38"/>
      <c r="BC78" s="36"/>
      <c r="BD78" s="36"/>
      <c r="BE78" s="36"/>
      <c r="BF78" s="36"/>
    </row>
    <row r="79" spans="1:58" s="44" customFormat="1" x14ac:dyDescent="0.2">
      <c r="A79" s="45" t="str">
        <f>"502.17.03"</f>
        <v>502.17.03</v>
      </c>
      <c r="B79" s="47" t="s">
        <v>892</v>
      </c>
      <c r="C79" s="46">
        <f>CE_RegimeContributivo!B249</f>
        <v>0</v>
      </c>
      <c r="D79" s="46">
        <f>CE_RegimeContributivo!C249</f>
        <v>0</v>
      </c>
      <c r="E79" s="46">
        <f>CE_RegimeContributivo!E249</f>
        <v>0</v>
      </c>
      <c r="F79" s="46">
        <f>CE_RegimeContributivo!S249</f>
        <v>0</v>
      </c>
      <c r="G79" s="60" t="e">
        <f t="shared" si="62"/>
        <v>#DIV/0!</v>
      </c>
      <c r="H79" s="60" t="e">
        <f t="shared" si="63"/>
        <v>#DIV/0!</v>
      </c>
      <c r="I79" s="46">
        <f>CE_RegimeNaoContributivo!B249</f>
        <v>0</v>
      </c>
      <c r="J79" s="46">
        <f>CE_RegimeNaoContributivo!C249</f>
        <v>0</v>
      </c>
      <c r="K79" s="46">
        <f>CE_RegimeNaoContributivo!E249</f>
        <v>0</v>
      </c>
      <c r="L79" s="46">
        <f>CE_RegimeNaoContributivo!S249</f>
        <v>0</v>
      </c>
      <c r="M79" s="60" t="e">
        <f t="shared" si="65"/>
        <v>#DIV/0!</v>
      </c>
      <c r="N79" s="60" t="e">
        <f t="shared" si="66"/>
        <v>#DIV/0!</v>
      </c>
      <c r="O79" s="46">
        <f>CE_AdministraçãoINSS!B249</f>
        <v>0</v>
      </c>
      <c r="P79" s="46">
        <f>CE_AdministraçãoINSS!C249</f>
        <v>0</v>
      </c>
      <c r="Q79" s="46">
        <f>CE_AdministraçãoINSS!E249</f>
        <v>0</v>
      </c>
      <c r="R79" s="46">
        <f>CE_AdministraçãoINSS!S249</f>
        <v>0</v>
      </c>
      <c r="S79" s="60" t="e">
        <f t="shared" si="68"/>
        <v>#DIV/0!</v>
      </c>
      <c r="T79" s="60" t="e">
        <f t="shared" si="69"/>
        <v>#DIV/0!</v>
      </c>
      <c r="U79" s="46">
        <f t="shared" si="70"/>
        <v>0</v>
      </c>
      <c r="V79" s="46">
        <f t="shared" si="70"/>
        <v>0</v>
      </c>
      <c r="W79" s="46">
        <f t="shared" si="70"/>
        <v>0</v>
      </c>
      <c r="X79" s="46">
        <f t="shared" si="70"/>
        <v>0</v>
      </c>
      <c r="Y79" s="60" t="e">
        <f t="shared" si="71"/>
        <v>#DIV/0!</v>
      </c>
      <c r="Z79" s="60" t="e">
        <f t="shared" si="72"/>
        <v>#DIV/0!</v>
      </c>
      <c r="AA79" s="46">
        <f>CE_AdministraçãoFRSS!B249</f>
        <v>0</v>
      </c>
      <c r="AB79" s="46">
        <f>CE_AdministraçãoFRSS!C249</f>
        <v>0</v>
      </c>
      <c r="AC79" s="46">
        <f>CE_AdministraçãoFRSS!E249</f>
        <v>0</v>
      </c>
      <c r="AD79" s="46">
        <f>CE_AdministraçãoFRSS!S249</f>
        <v>0</v>
      </c>
      <c r="AE79" s="60" t="e">
        <f t="shared" si="74"/>
        <v>#DIV/0!</v>
      </c>
      <c r="AF79" s="60" t="e">
        <f t="shared" si="75"/>
        <v>#DIV/0!</v>
      </c>
      <c r="AG79" s="46">
        <f t="shared" si="76"/>
        <v>0</v>
      </c>
      <c r="AH79" s="46">
        <f t="shared" si="76"/>
        <v>0</v>
      </c>
      <c r="AI79" s="46">
        <f t="shared" si="76"/>
        <v>0</v>
      </c>
      <c r="AJ79" s="46">
        <f t="shared" si="76"/>
        <v>0</v>
      </c>
      <c r="AK79" s="60" t="e">
        <f t="shared" si="77"/>
        <v>#DIV/0!</v>
      </c>
      <c r="AL79" s="60" t="e">
        <f t="shared" si="78"/>
        <v>#DIV/0!</v>
      </c>
      <c r="AM79" s="46">
        <f t="shared" si="79"/>
        <v>0</v>
      </c>
      <c r="AN79" s="46">
        <f t="shared" si="79"/>
        <v>0</v>
      </c>
      <c r="AO79" s="46">
        <f t="shared" si="79"/>
        <v>0</v>
      </c>
      <c r="AP79" s="46">
        <f t="shared" si="79"/>
        <v>0</v>
      </c>
      <c r="AQ79" s="60" t="e">
        <f t="shared" si="80"/>
        <v>#DIV/0!</v>
      </c>
      <c r="AR79" s="60" t="e">
        <f t="shared" si="81"/>
        <v>#DIV/0!</v>
      </c>
      <c r="AT79" s="38"/>
      <c r="AU79" s="38"/>
      <c r="AV79" s="38"/>
      <c r="AW79" s="38"/>
      <c r="AY79" s="38"/>
      <c r="AZ79" s="38"/>
      <c r="BA79" s="38"/>
      <c r="BB79" s="38"/>
      <c r="BC79" s="36"/>
      <c r="BD79" s="36"/>
      <c r="BE79" s="36"/>
      <c r="BF79" s="36"/>
    </row>
    <row r="80" spans="1:58" s="44" customFormat="1" x14ac:dyDescent="0.2">
      <c r="A80" s="45" t="str">
        <f>"502.17.04"</f>
        <v>502.17.04</v>
      </c>
      <c r="B80" s="47" t="s">
        <v>893</v>
      </c>
      <c r="C80" s="46">
        <f>CE_RegimeContributivo!B250</f>
        <v>0</v>
      </c>
      <c r="D80" s="46">
        <f>CE_RegimeContributivo!C250</f>
        <v>0</v>
      </c>
      <c r="E80" s="46">
        <f>CE_RegimeContributivo!E250</f>
        <v>0</v>
      </c>
      <c r="F80" s="46">
        <f>CE_RegimeContributivo!S250</f>
        <v>0</v>
      </c>
      <c r="G80" s="60" t="e">
        <f t="shared" si="62"/>
        <v>#DIV/0!</v>
      </c>
      <c r="H80" s="60" t="e">
        <f t="shared" si="63"/>
        <v>#DIV/0!</v>
      </c>
      <c r="I80" s="46">
        <f>CE_RegimeNaoContributivo!B250</f>
        <v>0</v>
      </c>
      <c r="J80" s="46">
        <f>CE_RegimeNaoContributivo!C250</f>
        <v>0</v>
      </c>
      <c r="K80" s="46">
        <f>CE_RegimeNaoContributivo!E250</f>
        <v>0</v>
      </c>
      <c r="L80" s="46">
        <f>CE_RegimeNaoContributivo!S250</f>
        <v>0</v>
      </c>
      <c r="M80" s="60" t="e">
        <f t="shared" si="65"/>
        <v>#DIV/0!</v>
      </c>
      <c r="N80" s="60" t="e">
        <f t="shared" si="66"/>
        <v>#DIV/0!</v>
      </c>
      <c r="O80" s="46">
        <f>CE_AdministraçãoINSS!B250</f>
        <v>2000</v>
      </c>
      <c r="P80" s="46">
        <f>CE_AdministraçãoINSS!C250</f>
        <v>2000</v>
      </c>
      <c r="Q80" s="46">
        <f>CE_AdministraçãoINSS!E250</f>
        <v>2000</v>
      </c>
      <c r="R80" s="46">
        <f>CE_AdministraçãoINSS!S250</f>
        <v>216</v>
      </c>
      <c r="S80" s="60">
        <f t="shared" si="68"/>
        <v>0.108</v>
      </c>
      <c r="T80" s="60">
        <f t="shared" si="69"/>
        <v>1</v>
      </c>
      <c r="U80" s="46">
        <f t="shared" si="70"/>
        <v>2000</v>
      </c>
      <c r="V80" s="46">
        <f t="shared" si="70"/>
        <v>2000</v>
      </c>
      <c r="W80" s="46">
        <f t="shared" si="70"/>
        <v>2000</v>
      </c>
      <c r="X80" s="46">
        <f t="shared" si="70"/>
        <v>216</v>
      </c>
      <c r="Y80" s="60">
        <f t="shared" si="71"/>
        <v>0.108</v>
      </c>
      <c r="Z80" s="60">
        <f t="shared" si="72"/>
        <v>1</v>
      </c>
      <c r="AA80" s="46">
        <f>CE_AdministraçãoFRSS!B250</f>
        <v>0</v>
      </c>
      <c r="AB80" s="46">
        <f>CE_AdministraçãoFRSS!C250</f>
        <v>0</v>
      </c>
      <c r="AC80" s="46">
        <f>CE_AdministraçãoFRSS!E250</f>
        <v>0</v>
      </c>
      <c r="AD80" s="46">
        <f>CE_AdministraçãoFRSS!S250</f>
        <v>0</v>
      </c>
      <c r="AE80" s="60" t="e">
        <f t="shared" si="74"/>
        <v>#DIV/0!</v>
      </c>
      <c r="AF80" s="60" t="e">
        <f t="shared" si="75"/>
        <v>#DIV/0!</v>
      </c>
      <c r="AG80" s="46">
        <f t="shared" si="76"/>
        <v>0</v>
      </c>
      <c r="AH80" s="46">
        <f t="shared" si="76"/>
        <v>0</v>
      </c>
      <c r="AI80" s="46">
        <f t="shared" si="76"/>
        <v>0</v>
      </c>
      <c r="AJ80" s="46">
        <f t="shared" si="76"/>
        <v>0</v>
      </c>
      <c r="AK80" s="60" t="e">
        <f t="shared" si="77"/>
        <v>#DIV/0!</v>
      </c>
      <c r="AL80" s="60" t="e">
        <f t="shared" si="78"/>
        <v>#DIV/0!</v>
      </c>
      <c r="AM80" s="46">
        <f t="shared" si="79"/>
        <v>2000</v>
      </c>
      <c r="AN80" s="46">
        <f t="shared" si="79"/>
        <v>2000</v>
      </c>
      <c r="AO80" s="46">
        <f t="shared" si="79"/>
        <v>2000</v>
      </c>
      <c r="AP80" s="46">
        <f t="shared" si="79"/>
        <v>216</v>
      </c>
      <c r="AQ80" s="60">
        <f t="shared" si="80"/>
        <v>0.108</v>
      </c>
      <c r="AR80" s="60">
        <f t="shared" si="81"/>
        <v>1</v>
      </c>
      <c r="AT80" s="38"/>
      <c r="AU80" s="38"/>
      <c r="AV80" s="38"/>
      <c r="AW80" s="38"/>
      <c r="AY80" s="38"/>
      <c r="AZ80" s="38"/>
      <c r="BA80" s="38"/>
      <c r="BB80" s="38"/>
      <c r="BC80" s="36"/>
      <c r="BD80" s="36"/>
      <c r="BE80" s="36"/>
      <c r="BF80" s="36"/>
    </row>
    <row r="81" spans="1:58" s="44" customFormat="1" x14ac:dyDescent="0.2">
      <c r="A81" s="45" t="str">
        <f>"502.17.05"</f>
        <v>502.17.05</v>
      </c>
      <c r="B81" s="47" t="s">
        <v>894</v>
      </c>
      <c r="C81" s="46">
        <f>CE_RegimeContributivo!B251</f>
        <v>0</v>
      </c>
      <c r="D81" s="46">
        <f>CE_RegimeContributivo!C251</f>
        <v>0</v>
      </c>
      <c r="E81" s="46">
        <f>CE_RegimeContributivo!E251</f>
        <v>0</v>
      </c>
      <c r="F81" s="46">
        <f>CE_RegimeContributivo!S251</f>
        <v>0</v>
      </c>
      <c r="G81" s="60" t="e">
        <f t="shared" si="62"/>
        <v>#DIV/0!</v>
      </c>
      <c r="H81" s="60" t="e">
        <f t="shared" si="63"/>
        <v>#DIV/0!</v>
      </c>
      <c r="I81" s="46">
        <f>CE_RegimeNaoContributivo!B251</f>
        <v>0</v>
      </c>
      <c r="J81" s="46">
        <f>CE_RegimeNaoContributivo!C251</f>
        <v>0</v>
      </c>
      <c r="K81" s="46">
        <f>CE_RegimeNaoContributivo!E251</f>
        <v>0</v>
      </c>
      <c r="L81" s="46">
        <f>CE_RegimeNaoContributivo!S251</f>
        <v>0</v>
      </c>
      <c r="M81" s="60" t="e">
        <f t="shared" si="65"/>
        <v>#DIV/0!</v>
      </c>
      <c r="N81" s="60" t="e">
        <f t="shared" si="66"/>
        <v>#DIV/0!</v>
      </c>
      <c r="O81" s="46">
        <f>CE_AdministraçãoINSS!B251</f>
        <v>0</v>
      </c>
      <c r="P81" s="46">
        <f>CE_AdministraçãoINSS!C251</f>
        <v>0</v>
      </c>
      <c r="Q81" s="46">
        <f>CE_AdministraçãoINSS!E251</f>
        <v>0</v>
      </c>
      <c r="R81" s="46">
        <f>CE_AdministraçãoINSS!S251</f>
        <v>0</v>
      </c>
      <c r="S81" s="60" t="e">
        <f t="shared" si="68"/>
        <v>#DIV/0!</v>
      </c>
      <c r="T81" s="60" t="e">
        <f t="shared" si="69"/>
        <v>#DIV/0!</v>
      </c>
      <c r="U81" s="46">
        <f t="shared" si="70"/>
        <v>0</v>
      </c>
      <c r="V81" s="46">
        <f t="shared" si="70"/>
        <v>0</v>
      </c>
      <c r="W81" s="46">
        <f t="shared" si="70"/>
        <v>0</v>
      </c>
      <c r="X81" s="46">
        <f t="shared" si="70"/>
        <v>0</v>
      </c>
      <c r="Y81" s="60" t="e">
        <f t="shared" si="71"/>
        <v>#DIV/0!</v>
      </c>
      <c r="Z81" s="60" t="e">
        <f t="shared" si="72"/>
        <v>#DIV/0!</v>
      </c>
      <c r="AA81" s="46">
        <f>CE_AdministraçãoFRSS!B251</f>
        <v>0</v>
      </c>
      <c r="AB81" s="46">
        <f>CE_AdministraçãoFRSS!C251</f>
        <v>0</v>
      </c>
      <c r="AC81" s="46">
        <f>CE_AdministraçãoFRSS!E251</f>
        <v>0</v>
      </c>
      <c r="AD81" s="46">
        <f>CE_AdministraçãoFRSS!S251</f>
        <v>0</v>
      </c>
      <c r="AE81" s="60" t="e">
        <f t="shared" si="74"/>
        <v>#DIV/0!</v>
      </c>
      <c r="AF81" s="60" t="e">
        <f t="shared" si="75"/>
        <v>#DIV/0!</v>
      </c>
      <c r="AG81" s="46">
        <f t="shared" si="76"/>
        <v>0</v>
      </c>
      <c r="AH81" s="46">
        <f t="shared" si="76"/>
        <v>0</v>
      </c>
      <c r="AI81" s="46">
        <f t="shared" si="76"/>
        <v>0</v>
      </c>
      <c r="AJ81" s="46">
        <f t="shared" si="76"/>
        <v>0</v>
      </c>
      <c r="AK81" s="60" t="e">
        <f t="shared" si="77"/>
        <v>#DIV/0!</v>
      </c>
      <c r="AL81" s="60" t="e">
        <f t="shared" si="78"/>
        <v>#DIV/0!</v>
      </c>
      <c r="AM81" s="46">
        <f t="shared" si="79"/>
        <v>0</v>
      </c>
      <c r="AN81" s="46">
        <f t="shared" si="79"/>
        <v>0</v>
      </c>
      <c r="AO81" s="46">
        <f t="shared" si="79"/>
        <v>0</v>
      </c>
      <c r="AP81" s="46">
        <f t="shared" si="79"/>
        <v>0</v>
      </c>
      <c r="AQ81" s="60" t="e">
        <f t="shared" si="80"/>
        <v>#DIV/0!</v>
      </c>
      <c r="AR81" s="60" t="e">
        <f t="shared" si="81"/>
        <v>#DIV/0!</v>
      </c>
      <c r="AT81" s="38"/>
      <c r="AU81" s="38"/>
      <c r="AV81" s="38"/>
      <c r="AW81" s="38"/>
      <c r="AY81" s="38"/>
      <c r="AZ81" s="38"/>
      <c r="BA81" s="38"/>
      <c r="BB81" s="38"/>
      <c r="BC81" s="36"/>
      <c r="BD81" s="36"/>
      <c r="BE81" s="36"/>
      <c r="BF81" s="36"/>
    </row>
    <row r="82" spans="1:58" s="44" customFormat="1" x14ac:dyDescent="0.2">
      <c r="A82" s="45" t="str">
        <f>"502.17.06"</f>
        <v>502.17.06</v>
      </c>
      <c r="B82" s="47" t="s">
        <v>895</v>
      </c>
      <c r="C82" s="46">
        <f>CE_RegimeContributivo!B252</f>
        <v>0</v>
      </c>
      <c r="D82" s="46">
        <f>CE_RegimeContributivo!C252</f>
        <v>0</v>
      </c>
      <c r="E82" s="46">
        <f>CE_RegimeContributivo!E252</f>
        <v>0</v>
      </c>
      <c r="F82" s="46">
        <f>CE_RegimeContributivo!S252</f>
        <v>0</v>
      </c>
      <c r="G82" s="60" t="e">
        <f t="shared" si="62"/>
        <v>#DIV/0!</v>
      </c>
      <c r="H82" s="60" t="e">
        <f t="shared" si="63"/>
        <v>#DIV/0!</v>
      </c>
      <c r="I82" s="46">
        <f>CE_RegimeNaoContributivo!B252</f>
        <v>0</v>
      </c>
      <c r="J82" s="46">
        <f>CE_RegimeNaoContributivo!C252</f>
        <v>0</v>
      </c>
      <c r="K82" s="46">
        <f>CE_RegimeNaoContributivo!E252</f>
        <v>0</v>
      </c>
      <c r="L82" s="46">
        <f>CE_RegimeNaoContributivo!S252</f>
        <v>0</v>
      </c>
      <c r="M82" s="60" t="e">
        <f t="shared" si="65"/>
        <v>#DIV/0!</v>
      </c>
      <c r="N82" s="60" t="e">
        <f t="shared" si="66"/>
        <v>#DIV/0!</v>
      </c>
      <c r="O82" s="46">
        <f>CE_AdministraçãoINSS!B252</f>
        <v>7200</v>
      </c>
      <c r="P82" s="46">
        <f>CE_AdministraçãoINSS!C252</f>
        <v>7200</v>
      </c>
      <c r="Q82" s="46">
        <f>CE_AdministraçãoINSS!E252</f>
        <v>7200</v>
      </c>
      <c r="R82" s="46">
        <f>CE_AdministraçãoINSS!S252</f>
        <v>1000</v>
      </c>
      <c r="S82" s="60">
        <f t="shared" si="68"/>
        <v>0.1388888888888889</v>
      </c>
      <c r="T82" s="60">
        <f t="shared" si="69"/>
        <v>1</v>
      </c>
      <c r="U82" s="46">
        <f t="shared" si="70"/>
        <v>7200</v>
      </c>
      <c r="V82" s="46">
        <f t="shared" si="70"/>
        <v>7200</v>
      </c>
      <c r="W82" s="46">
        <f t="shared" si="70"/>
        <v>7200</v>
      </c>
      <c r="X82" s="46">
        <f t="shared" si="70"/>
        <v>1000</v>
      </c>
      <c r="Y82" s="60">
        <f t="shared" si="71"/>
        <v>0.1388888888888889</v>
      </c>
      <c r="Z82" s="60">
        <f t="shared" si="72"/>
        <v>1</v>
      </c>
      <c r="AA82" s="46">
        <f>CE_AdministraçãoFRSS!B252</f>
        <v>0</v>
      </c>
      <c r="AB82" s="46">
        <f>CE_AdministraçãoFRSS!C252</f>
        <v>0</v>
      </c>
      <c r="AC82" s="46">
        <f>CE_AdministraçãoFRSS!E252</f>
        <v>0</v>
      </c>
      <c r="AD82" s="46">
        <f>CE_AdministraçãoFRSS!S252</f>
        <v>0</v>
      </c>
      <c r="AE82" s="60" t="e">
        <f t="shared" si="74"/>
        <v>#DIV/0!</v>
      </c>
      <c r="AF82" s="60" t="e">
        <f t="shared" si="75"/>
        <v>#DIV/0!</v>
      </c>
      <c r="AG82" s="46">
        <f t="shared" si="76"/>
        <v>0</v>
      </c>
      <c r="AH82" s="46">
        <f t="shared" si="76"/>
        <v>0</v>
      </c>
      <c r="AI82" s="46">
        <f t="shared" si="76"/>
        <v>0</v>
      </c>
      <c r="AJ82" s="46">
        <f t="shared" si="76"/>
        <v>0</v>
      </c>
      <c r="AK82" s="60" t="e">
        <f t="shared" si="77"/>
        <v>#DIV/0!</v>
      </c>
      <c r="AL82" s="60" t="e">
        <f t="shared" si="78"/>
        <v>#DIV/0!</v>
      </c>
      <c r="AM82" s="46">
        <f t="shared" si="79"/>
        <v>7200</v>
      </c>
      <c r="AN82" s="46">
        <f t="shared" si="79"/>
        <v>7200</v>
      </c>
      <c r="AO82" s="46">
        <f t="shared" si="79"/>
        <v>7200</v>
      </c>
      <c r="AP82" s="46">
        <f t="shared" si="79"/>
        <v>1000</v>
      </c>
      <c r="AQ82" s="60">
        <f t="shared" si="80"/>
        <v>0.1388888888888889</v>
      </c>
      <c r="AR82" s="60">
        <f t="shared" si="81"/>
        <v>1</v>
      </c>
      <c r="AT82" s="38"/>
      <c r="AU82" s="38"/>
      <c r="AV82" s="38"/>
      <c r="AW82" s="38"/>
      <c r="AY82" s="38"/>
      <c r="AZ82" s="38"/>
      <c r="BA82" s="38"/>
      <c r="BB82" s="38"/>
      <c r="BC82" s="36"/>
      <c r="BD82" s="36"/>
      <c r="BE82" s="36"/>
      <c r="BF82" s="36"/>
    </row>
    <row r="83" spans="1:58" s="44" customFormat="1" x14ac:dyDescent="0.2">
      <c r="A83" s="45" t="str">
        <f>"502.17.07"</f>
        <v>502.17.07</v>
      </c>
      <c r="B83" s="47" t="s">
        <v>896</v>
      </c>
      <c r="C83" s="46">
        <f>CE_RegimeContributivo!B253</f>
        <v>0</v>
      </c>
      <c r="D83" s="46">
        <f>CE_RegimeContributivo!C253</f>
        <v>0</v>
      </c>
      <c r="E83" s="46">
        <f>CE_RegimeContributivo!E253</f>
        <v>0</v>
      </c>
      <c r="F83" s="46">
        <f>CE_RegimeContributivo!S253</f>
        <v>0</v>
      </c>
      <c r="G83" s="60" t="e">
        <f t="shared" si="62"/>
        <v>#DIV/0!</v>
      </c>
      <c r="H83" s="60" t="e">
        <f t="shared" si="63"/>
        <v>#DIV/0!</v>
      </c>
      <c r="I83" s="46">
        <f>CE_RegimeNaoContributivo!B253</f>
        <v>0</v>
      </c>
      <c r="J83" s="46">
        <f>CE_RegimeNaoContributivo!C253</f>
        <v>0</v>
      </c>
      <c r="K83" s="46">
        <f>CE_RegimeNaoContributivo!E253</f>
        <v>0</v>
      </c>
      <c r="L83" s="46">
        <f>CE_RegimeNaoContributivo!S253</f>
        <v>0</v>
      </c>
      <c r="M83" s="60" t="e">
        <f t="shared" si="65"/>
        <v>#DIV/0!</v>
      </c>
      <c r="N83" s="60" t="e">
        <f t="shared" si="66"/>
        <v>#DIV/0!</v>
      </c>
      <c r="O83" s="46">
        <f>CE_AdministraçãoINSS!B253</f>
        <v>400</v>
      </c>
      <c r="P83" s="46">
        <f>CE_AdministraçãoINSS!C253</f>
        <v>400</v>
      </c>
      <c r="Q83" s="46">
        <f>CE_AdministraçãoINSS!E253</f>
        <v>0</v>
      </c>
      <c r="R83" s="46">
        <f>CE_AdministraçãoINSS!S253</f>
        <v>0</v>
      </c>
      <c r="S83" s="60">
        <f t="shared" si="68"/>
        <v>0</v>
      </c>
      <c r="T83" s="60">
        <f t="shared" si="69"/>
        <v>0</v>
      </c>
      <c r="U83" s="46">
        <f t="shared" si="70"/>
        <v>400</v>
      </c>
      <c r="V83" s="46">
        <f t="shared" si="70"/>
        <v>400</v>
      </c>
      <c r="W83" s="46">
        <f t="shared" si="70"/>
        <v>0</v>
      </c>
      <c r="X83" s="46">
        <f t="shared" si="70"/>
        <v>0</v>
      </c>
      <c r="Y83" s="60">
        <f t="shared" si="71"/>
        <v>0</v>
      </c>
      <c r="Z83" s="60">
        <f t="shared" si="72"/>
        <v>0</v>
      </c>
      <c r="AA83" s="46">
        <f>CE_AdministraçãoFRSS!B253</f>
        <v>0</v>
      </c>
      <c r="AB83" s="46">
        <f>CE_AdministraçãoFRSS!C253</f>
        <v>0</v>
      </c>
      <c r="AC83" s="46">
        <f>CE_AdministraçãoFRSS!E253</f>
        <v>0</v>
      </c>
      <c r="AD83" s="46">
        <f>CE_AdministraçãoFRSS!S253</f>
        <v>0</v>
      </c>
      <c r="AE83" s="60" t="e">
        <f t="shared" si="74"/>
        <v>#DIV/0!</v>
      </c>
      <c r="AF83" s="60" t="e">
        <f t="shared" si="75"/>
        <v>#DIV/0!</v>
      </c>
      <c r="AG83" s="46">
        <f t="shared" si="76"/>
        <v>0</v>
      </c>
      <c r="AH83" s="46">
        <f t="shared" si="76"/>
        <v>0</v>
      </c>
      <c r="AI83" s="46">
        <f t="shared" si="76"/>
        <v>0</v>
      </c>
      <c r="AJ83" s="46">
        <f t="shared" si="76"/>
        <v>0</v>
      </c>
      <c r="AK83" s="60" t="e">
        <f t="shared" si="77"/>
        <v>#DIV/0!</v>
      </c>
      <c r="AL83" s="60" t="e">
        <f t="shared" si="78"/>
        <v>#DIV/0!</v>
      </c>
      <c r="AM83" s="46">
        <f t="shared" si="79"/>
        <v>400</v>
      </c>
      <c r="AN83" s="46">
        <f t="shared" si="79"/>
        <v>400</v>
      </c>
      <c r="AO83" s="46">
        <f t="shared" si="79"/>
        <v>0</v>
      </c>
      <c r="AP83" s="46">
        <f t="shared" si="79"/>
        <v>0</v>
      </c>
      <c r="AQ83" s="60">
        <f t="shared" si="80"/>
        <v>0</v>
      </c>
      <c r="AR83" s="60">
        <f t="shared" si="81"/>
        <v>0</v>
      </c>
      <c r="AT83" s="38"/>
      <c r="AU83" s="38"/>
      <c r="AV83" s="38"/>
      <c r="AW83" s="38"/>
      <c r="AY83" s="38"/>
      <c r="AZ83" s="38"/>
      <c r="BA83" s="38"/>
      <c r="BB83" s="38"/>
      <c r="BC83" s="36"/>
      <c r="BD83" s="36"/>
      <c r="BE83" s="36"/>
      <c r="BF83" s="36"/>
    </row>
    <row r="84" spans="1:58" s="44" customFormat="1" x14ac:dyDescent="0.2">
      <c r="A84" s="45" t="str">
        <f>"502.17.08"</f>
        <v>502.17.08</v>
      </c>
      <c r="B84" s="47" t="s">
        <v>897</v>
      </c>
      <c r="C84" s="46">
        <f>CE_RegimeContributivo!B254</f>
        <v>0</v>
      </c>
      <c r="D84" s="46">
        <f>CE_RegimeContributivo!C254</f>
        <v>0</v>
      </c>
      <c r="E84" s="46">
        <f>CE_RegimeContributivo!E254</f>
        <v>0</v>
      </c>
      <c r="F84" s="46">
        <f>CE_RegimeContributivo!S254</f>
        <v>0</v>
      </c>
      <c r="G84" s="60" t="e">
        <f t="shared" si="62"/>
        <v>#DIV/0!</v>
      </c>
      <c r="H84" s="60" t="e">
        <f t="shared" si="63"/>
        <v>#DIV/0!</v>
      </c>
      <c r="I84" s="46">
        <f>CE_RegimeNaoContributivo!B254</f>
        <v>0</v>
      </c>
      <c r="J84" s="46">
        <f>CE_RegimeNaoContributivo!C254</f>
        <v>0</v>
      </c>
      <c r="K84" s="46">
        <f>CE_RegimeNaoContributivo!E254</f>
        <v>0</v>
      </c>
      <c r="L84" s="46">
        <f>CE_RegimeNaoContributivo!S254</f>
        <v>0</v>
      </c>
      <c r="M84" s="60" t="e">
        <f t="shared" si="65"/>
        <v>#DIV/0!</v>
      </c>
      <c r="N84" s="60" t="e">
        <f t="shared" si="66"/>
        <v>#DIV/0!</v>
      </c>
      <c r="O84" s="46">
        <f>CE_AdministraçãoINSS!B254</f>
        <v>10000</v>
      </c>
      <c r="P84" s="46">
        <f>CE_AdministraçãoINSS!C254</f>
        <v>10000</v>
      </c>
      <c r="Q84" s="46">
        <f>CE_AdministraçãoINSS!E254</f>
        <v>9100</v>
      </c>
      <c r="R84" s="46">
        <f>CE_AdministraçãoINSS!S254</f>
        <v>885</v>
      </c>
      <c r="S84" s="60">
        <f t="shared" si="68"/>
        <v>8.8499999999999995E-2</v>
      </c>
      <c r="T84" s="60">
        <f t="shared" si="69"/>
        <v>0.91</v>
      </c>
      <c r="U84" s="46">
        <f t="shared" si="70"/>
        <v>10000</v>
      </c>
      <c r="V84" s="46">
        <f t="shared" si="70"/>
        <v>10000</v>
      </c>
      <c r="W84" s="46">
        <f t="shared" si="70"/>
        <v>9100</v>
      </c>
      <c r="X84" s="46">
        <f t="shared" si="70"/>
        <v>885</v>
      </c>
      <c r="Y84" s="60">
        <f t="shared" si="71"/>
        <v>8.8499999999999995E-2</v>
      </c>
      <c r="Z84" s="60">
        <f t="shared" si="72"/>
        <v>0.91</v>
      </c>
      <c r="AA84" s="46">
        <f>CE_AdministraçãoFRSS!B254</f>
        <v>0</v>
      </c>
      <c r="AB84" s="46">
        <f>CE_AdministraçãoFRSS!C254</f>
        <v>0</v>
      </c>
      <c r="AC84" s="46">
        <f>CE_AdministraçãoFRSS!E254</f>
        <v>0</v>
      </c>
      <c r="AD84" s="46">
        <f>CE_AdministraçãoFRSS!S254</f>
        <v>0</v>
      </c>
      <c r="AE84" s="60" t="e">
        <f t="shared" si="74"/>
        <v>#DIV/0!</v>
      </c>
      <c r="AF84" s="60" t="e">
        <f t="shared" si="75"/>
        <v>#DIV/0!</v>
      </c>
      <c r="AG84" s="46">
        <f t="shared" si="76"/>
        <v>0</v>
      </c>
      <c r="AH84" s="46">
        <f t="shared" si="76"/>
        <v>0</v>
      </c>
      <c r="AI84" s="46">
        <f t="shared" si="76"/>
        <v>0</v>
      </c>
      <c r="AJ84" s="46">
        <f t="shared" si="76"/>
        <v>0</v>
      </c>
      <c r="AK84" s="60" t="e">
        <f t="shared" si="77"/>
        <v>#DIV/0!</v>
      </c>
      <c r="AL84" s="60" t="e">
        <f t="shared" si="78"/>
        <v>#DIV/0!</v>
      </c>
      <c r="AM84" s="46">
        <f t="shared" si="79"/>
        <v>10000</v>
      </c>
      <c r="AN84" s="46">
        <f t="shared" si="79"/>
        <v>10000</v>
      </c>
      <c r="AO84" s="46">
        <f t="shared" si="79"/>
        <v>9100</v>
      </c>
      <c r="AP84" s="46">
        <f t="shared" si="79"/>
        <v>885</v>
      </c>
      <c r="AQ84" s="60">
        <f t="shared" si="80"/>
        <v>8.8499999999999995E-2</v>
      </c>
      <c r="AR84" s="60">
        <f t="shared" si="81"/>
        <v>0.91</v>
      </c>
      <c r="AT84" s="38"/>
      <c r="AU84" s="38"/>
      <c r="AV84" s="38"/>
      <c r="AW84" s="38"/>
      <c r="AY84" s="38"/>
      <c r="AZ84" s="38"/>
      <c r="BA84" s="38"/>
      <c r="BB84" s="38"/>
      <c r="BC84" s="36"/>
      <c r="BD84" s="36"/>
      <c r="BE84" s="36"/>
      <c r="BF84" s="36"/>
    </row>
    <row r="85" spans="1:58" s="44" customFormat="1" x14ac:dyDescent="0.2">
      <c r="A85" s="45" t="str">
        <f>"502.17.09"</f>
        <v>502.17.09</v>
      </c>
      <c r="B85" s="47" t="s">
        <v>898</v>
      </c>
      <c r="C85" s="46">
        <f>CE_RegimeContributivo!B255</f>
        <v>0</v>
      </c>
      <c r="D85" s="46">
        <f>CE_RegimeContributivo!C255</f>
        <v>0</v>
      </c>
      <c r="E85" s="46">
        <f>CE_RegimeContributivo!E255</f>
        <v>0</v>
      </c>
      <c r="F85" s="46">
        <f>CE_RegimeContributivo!S255</f>
        <v>0</v>
      </c>
      <c r="G85" s="60" t="e">
        <f t="shared" si="62"/>
        <v>#DIV/0!</v>
      </c>
      <c r="H85" s="60" t="e">
        <f t="shared" si="63"/>
        <v>#DIV/0!</v>
      </c>
      <c r="I85" s="46">
        <f>CE_RegimeNaoContributivo!B255</f>
        <v>0</v>
      </c>
      <c r="J85" s="46">
        <f>CE_RegimeNaoContributivo!C255</f>
        <v>0</v>
      </c>
      <c r="K85" s="46">
        <f>CE_RegimeNaoContributivo!E255</f>
        <v>0</v>
      </c>
      <c r="L85" s="46">
        <f>CE_RegimeNaoContributivo!S255</f>
        <v>0</v>
      </c>
      <c r="M85" s="60" t="e">
        <f t="shared" si="65"/>
        <v>#DIV/0!</v>
      </c>
      <c r="N85" s="60" t="e">
        <f t="shared" si="66"/>
        <v>#DIV/0!</v>
      </c>
      <c r="O85" s="46">
        <f>CE_AdministraçãoINSS!B255</f>
        <v>0</v>
      </c>
      <c r="P85" s="46">
        <f>CE_AdministraçãoINSS!C255</f>
        <v>0</v>
      </c>
      <c r="Q85" s="46">
        <f>CE_AdministraçãoINSS!E255</f>
        <v>0</v>
      </c>
      <c r="R85" s="46">
        <f>CE_AdministraçãoINSS!S255</f>
        <v>0</v>
      </c>
      <c r="S85" s="60" t="e">
        <f t="shared" si="68"/>
        <v>#DIV/0!</v>
      </c>
      <c r="T85" s="60" t="e">
        <f t="shared" si="69"/>
        <v>#DIV/0!</v>
      </c>
      <c r="U85" s="46">
        <f t="shared" si="70"/>
        <v>0</v>
      </c>
      <c r="V85" s="46">
        <f t="shared" si="70"/>
        <v>0</v>
      </c>
      <c r="W85" s="46">
        <f t="shared" si="70"/>
        <v>0</v>
      </c>
      <c r="X85" s="46">
        <f t="shared" si="70"/>
        <v>0</v>
      </c>
      <c r="Y85" s="60" t="e">
        <f t="shared" si="71"/>
        <v>#DIV/0!</v>
      </c>
      <c r="Z85" s="60" t="e">
        <f t="shared" si="72"/>
        <v>#DIV/0!</v>
      </c>
      <c r="AA85" s="46">
        <f>CE_AdministraçãoFRSS!B255</f>
        <v>0</v>
      </c>
      <c r="AB85" s="46">
        <f>CE_AdministraçãoFRSS!C255</f>
        <v>0</v>
      </c>
      <c r="AC85" s="46">
        <f>CE_AdministraçãoFRSS!E255</f>
        <v>0</v>
      </c>
      <c r="AD85" s="46">
        <f>CE_AdministraçãoFRSS!S255</f>
        <v>0</v>
      </c>
      <c r="AE85" s="60" t="e">
        <f t="shared" si="74"/>
        <v>#DIV/0!</v>
      </c>
      <c r="AF85" s="60" t="e">
        <f t="shared" si="75"/>
        <v>#DIV/0!</v>
      </c>
      <c r="AG85" s="46">
        <f t="shared" si="76"/>
        <v>0</v>
      </c>
      <c r="AH85" s="46">
        <f t="shared" si="76"/>
        <v>0</v>
      </c>
      <c r="AI85" s="46">
        <f t="shared" si="76"/>
        <v>0</v>
      </c>
      <c r="AJ85" s="46">
        <f t="shared" si="76"/>
        <v>0</v>
      </c>
      <c r="AK85" s="60" t="e">
        <f t="shared" si="77"/>
        <v>#DIV/0!</v>
      </c>
      <c r="AL85" s="60" t="e">
        <f t="shared" si="78"/>
        <v>#DIV/0!</v>
      </c>
      <c r="AM85" s="46">
        <f t="shared" si="79"/>
        <v>0</v>
      </c>
      <c r="AN85" s="46">
        <f t="shared" si="79"/>
        <v>0</v>
      </c>
      <c r="AO85" s="46">
        <f t="shared" si="79"/>
        <v>0</v>
      </c>
      <c r="AP85" s="46">
        <f t="shared" si="79"/>
        <v>0</v>
      </c>
      <c r="AQ85" s="60" t="e">
        <f t="shared" si="80"/>
        <v>#DIV/0!</v>
      </c>
      <c r="AR85" s="60" t="e">
        <f t="shared" si="81"/>
        <v>#DIV/0!</v>
      </c>
      <c r="AT85" s="38"/>
      <c r="AU85" s="38"/>
      <c r="AV85" s="38"/>
      <c r="AW85" s="38"/>
      <c r="AY85" s="38"/>
      <c r="AZ85" s="38"/>
      <c r="BA85" s="38"/>
      <c r="BB85" s="38"/>
      <c r="BC85" s="36"/>
      <c r="BD85" s="36"/>
      <c r="BE85" s="36"/>
      <c r="BF85" s="36"/>
    </row>
    <row r="86" spans="1:58" s="44" customFormat="1" x14ac:dyDescent="0.2">
      <c r="A86" s="45" t="str">
        <f>"502.17.10"</f>
        <v>502.17.10</v>
      </c>
      <c r="B86" s="47" t="s">
        <v>899</v>
      </c>
      <c r="C86" s="46">
        <f>CE_RegimeContributivo!B256</f>
        <v>0</v>
      </c>
      <c r="D86" s="46">
        <f>CE_RegimeContributivo!C256</f>
        <v>0</v>
      </c>
      <c r="E86" s="46">
        <f>CE_RegimeContributivo!E256</f>
        <v>0</v>
      </c>
      <c r="F86" s="46">
        <f>CE_RegimeContributivo!S256</f>
        <v>0</v>
      </c>
      <c r="G86" s="60" t="e">
        <f t="shared" si="62"/>
        <v>#DIV/0!</v>
      </c>
      <c r="H86" s="60" t="e">
        <f t="shared" si="63"/>
        <v>#DIV/0!</v>
      </c>
      <c r="I86" s="46">
        <f>CE_RegimeNaoContributivo!B256</f>
        <v>0</v>
      </c>
      <c r="J86" s="46">
        <f>CE_RegimeNaoContributivo!C256</f>
        <v>0</v>
      </c>
      <c r="K86" s="46">
        <f>CE_RegimeNaoContributivo!E256</f>
        <v>0</v>
      </c>
      <c r="L86" s="46">
        <f>CE_RegimeNaoContributivo!S256</f>
        <v>0</v>
      </c>
      <c r="M86" s="60" t="e">
        <f t="shared" si="65"/>
        <v>#DIV/0!</v>
      </c>
      <c r="N86" s="60" t="e">
        <f t="shared" si="66"/>
        <v>#DIV/0!</v>
      </c>
      <c r="O86" s="46">
        <f>CE_AdministraçãoINSS!B256</f>
        <v>0</v>
      </c>
      <c r="P86" s="46">
        <f>CE_AdministraçãoINSS!C256</f>
        <v>0</v>
      </c>
      <c r="Q86" s="46">
        <f>CE_AdministraçãoINSS!E256</f>
        <v>0</v>
      </c>
      <c r="R86" s="46">
        <f>CE_AdministraçãoINSS!S256</f>
        <v>0</v>
      </c>
      <c r="S86" s="60" t="e">
        <f t="shared" si="68"/>
        <v>#DIV/0!</v>
      </c>
      <c r="T86" s="60" t="e">
        <f t="shared" si="69"/>
        <v>#DIV/0!</v>
      </c>
      <c r="U86" s="46">
        <f t="shared" si="70"/>
        <v>0</v>
      </c>
      <c r="V86" s="46">
        <f t="shared" si="70"/>
        <v>0</v>
      </c>
      <c r="W86" s="46">
        <f t="shared" si="70"/>
        <v>0</v>
      </c>
      <c r="X86" s="46">
        <f t="shared" si="70"/>
        <v>0</v>
      </c>
      <c r="Y86" s="60" t="e">
        <f t="shared" si="71"/>
        <v>#DIV/0!</v>
      </c>
      <c r="Z86" s="60" t="e">
        <f t="shared" si="72"/>
        <v>#DIV/0!</v>
      </c>
      <c r="AA86" s="46">
        <f>CE_AdministraçãoFRSS!B256</f>
        <v>0</v>
      </c>
      <c r="AB86" s="46">
        <f>CE_AdministraçãoFRSS!C256</f>
        <v>0</v>
      </c>
      <c r="AC86" s="46">
        <f>CE_AdministraçãoFRSS!E256</f>
        <v>0</v>
      </c>
      <c r="AD86" s="46">
        <f>CE_AdministraçãoFRSS!S256</f>
        <v>0</v>
      </c>
      <c r="AE86" s="60" t="e">
        <f t="shared" si="74"/>
        <v>#DIV/0!</v>
      </c>
      <c r="AF86" s="60" t="e">
        <f t="shared" si="75"/>
        <v>#DIV/0!</v>
      </c>
      <c r="AG86" s="46">
        <f t="shared" si="76"/>
        <v>0</v>
      </c>
      <c r="AH86" s="46">
        <f t="shared" si="76"/>
        <v>0</v>
      </c>
      <c r="AI86" s="46">
        <f t="shared" si="76"/>
        <v>0</v>
      </c>
      <c r="AJ86" s="46">
        <f t="shared" si="76"/>
        <v>0</v>
      </c>
      <c r="AK86" s="60" t="e">
        <f t="shared" si="77"/>
        <v>#DIV/0!</v>
      </c>
      <c r="AL86" s="60" t="e">
        <f t="shared" si="78"/>
        <v>#DIV/0!</v>
      </c>
      <c r="AM86" s="46">
        <f t="shared" si="79"/>
        <v>0</v>
      </c>
      <c r="AN86" s="46">
        <f t="shared" si="79"/>
        <v>0</v>
      </c>
      <c r="AO86" s="46">
        <f t="shared" si="79"/>
        <v>0</v>
      </c>
      <c r="AP86" s="46">
        <f t="shared" si="79"/>
        <v>0</v>
      </c>
      <c r="AQ86" s="60" t="e">
        <f t="shared" si="80"/>
        <v>#DIV/0!</v>
      </c>
      <c r="AR86" s="60" t="e">
        <f t="shared" si="81"/>
        <v>#DIV/0!</v>
      </c>
      <c r="AT86" s="38"/>
      <c r="AU86" s="38"/>
      <c r="AV86" s="38"/>
      <c r="AW86" s="38"/>
      <c r="AY86" s="38"/>
      <c r="AZ86" s="38"/>
      <c r="BA86" s="38"/>
      <c r="BB86" s="38"/>
      <c r="BC86" s="36"/>
      <c r="BD86" s="36"/>
      <c r="BE86" s="36"/>
      <c r="BF86" s="36"/>
    </row>
    <row r="87" spans="1:58" s="44" customFormat="1" x14ac:dyDescent="0.2">
      <c r="A87" s="45" t="str">
        <f>"502.17.11"</f>
        <v>502.17.11</v>
      </c>
      <c r="B87" s="47" t="s">
        <v>900</v>
      </c>
      <c r="C87" s="46">
        <f>CE_RegimeContributivo!B257</f>
        <v>0</v>
      </c>
      <c r="D87" s="46">
        <f>CE_RegimeContributivo!C257</f>
        <v>0</v>
      </c>
      <c r="E87" s="46">
        <f>CE_RegimeContributivo!E257</f>
        <v>0</v>
      </c>
      <c r="F87" s="46">
        <f>CE_RegimeContributivo!S257</f>
        <v>0</v>
      </c>
      <c r="G87" s="60" t="e">
        <f t="shared" si="62"/>
        <v>#DIV/0!</v>
      </c>
      <c r="H87" s="60" t="e">
        <f t="shared" si="63"/>
        <v>#DIV/0!</v>
      </c>
      <c r="I87" s="46">
        <f>CE_RegimeNaoContributivo!B257</f>
        <v>0</v>
      </c>
      <c r="J87" s="46">
        <f>CE_RegimeNaoContributivo!C257</f>
        <v>0</v>
      </c>
      <c r="K87" s="46">
        <f>CE_RegimeNaoContributivo!E257</f>
        <v>0</v>
      </c>
      <c r="L87" s="46">
        <f>CE_RegimeNaoContributivo!S257</f>
        <v>0</v>
      </c>
      <c r="M87" s="60" t="e">
        <f t="shared" si="65"/>
        <v>#DIV/0!</v>
      </c>
      <c r="N87" s="60" t="e">
        <f t="shared" si="66"/>
        <v>#DIV/0!</v>
      </c>
      <c r="O87" s="46">
        <f>CE_AdministraçãoINSS!B257</f>
        <v>0</v>
      </c>
      <c r="P87" s="46">
        <f>CE_AdministraçãoINSS!C257</f>
        <v>0</v>
      </c>
      <c r="Q87" s="46">
        <f>CE_AdministraçãoINSS!E257</f>
        <v>0</v>
      </c>
      <c r="R87" s="46">
        <f>CE_AdministraçãoINSS!S257</f>
        <v>0</v>
      </c>
      <c r="S87" s="60" t="e">
        <f t="shared" si="68"/>
        <v>#DIV/0!</v>
      </c>
      <c r="T87" s="60" t="e">
        <f t="shared" si="69"/>
        <v>#DIV/0!</v>
      </c>
      <c r="U87" s="46">
        <f t="shared" si="70"/>
        <v>0</v>
      </c>
      <c r="V87" s="46">
        <f t="shared" si="70"/>
        <v>0</v>
      </c>
      <c r="W87" s="46">
        <f t="shared" si="70"/>
        <v>0</v>
      </c>
      <c r="X87" s="46">
        <f t="shared" si="70"/>
        <v>0</v>
      </c>
      <c r="Y87" s="60" t="e">
        <f t="shared" si="71"/>
        <v>#DIV/0!</v>
      </c>
      <c r="Z87" s="60" t="e">
        <f t="shared" si="72"/>
        <v>#DIV/0!</v>
      </c>
      <c r="AA87" s="46">
        <f>CE_AdministraçãoFRSS!B257</f>
        <v>0</v>
      </c>
      <c r="AB87" s="46">
        <f>CE_AdministraçãoFRSS!C257</f>
        <v>0</v>
      </c>
      <c r="AC87" s="46">
        <f>CE_AdministraçãoFRSS!E257</f>
        <v>0</v>
      </c>
      <c r="AD87" s="46">
        <f>CE_AdministraçãoFRSS!S257</f>
        <v>0</v>
      </c>
      <c r="AE87" s="60" t="e">
        <f t="shared" si="74"/>
        <v>#DIV/0!</v>
      </c>
      <c r="AF87" s="60" t="e">
        <f t="shared" si="75"/>
        <v>#DIV/0!</v>
      </c>
      <c r="AG87" s="46">
        <f t="shared" si="76"/>
        <v>0</v>
      </c>
      <c r="AH87" s="46">
        <f t="shared" si="76"/>
        <v>0</v>
      </c>
      <c r="AI87" s="46">
        <f t="shared" si="76"/>
        <v>0</v>
      </c>
      <c r="AJ87" s="46">
        <f t="shared" si="76"/>
        <v>0</v>
      </c>
      <c r="AK87" s="60" t="e">
        <f t="shared" si="77"/>
        <v>#DIV/0!</v>
      </c>
      <c r="AL87" s="60" t="e">
        <f t="shared" si="78"/>
        <v>#DIV/0!</v>
      </c>
      <c r="AM87" s="46">
        <f t="shared" si="79"/>
        <v>0</v>
      </c>
      <c r="AN87" s="46">
        <f t="shared" si="79"/>
        <v>0</v>
      </c>
      <c r="AO87" s="46">
        <f t="shared" si="79"/>
        <v>0</v>
      </c>
      <c r="AP87" s="46">
        <f t="shared" si="79"/>
        <v>0</v>
      </c>
      <c r="AQ87" s="60" t="e">
        <f t="shared" si="80"/>
        <v>#DIV/0!</v>
      </c>
      <c r="AR87" s="60" t="e">
        <f t="shared" si="81"/>
        <v>#DIV/0!</v>
      </c>
      <c r="AT87" s="38"/>
      <c r="AU87" s="38"/>
      <c r="AV87" s="38"/>
      <c r="AW87" s="38"/>
      <c r="AY87" s="38"/>
      <c r="AZ87" s="38"/>
      <c r="BA87" s="38"/>
      <c r="BB87" s="38"/>
      <c r="BC87" s="36"/>
      <c r="BD87" s="36"/>
      <c r="BE87" s="36"/>
      <c r="BF87" s="36"/>
    </row>
    <row r="88" spans="1:58" s="44" customFormat="1" x14ac:dyDescent="0.2">
      <c r="A88" s="45" t="str">
        <f>"502.17.12"</f>
        <v>502.17.12</v>
      </c>
      <c r="B88" s="47" t="s">
        <v>901</v>
      </c>
      <c r="C88" s="46">
        <f>CE_RegimeContributivo!B258</f>
        <v>0</v>
      </c>
      <c r="D88" s="46">
        <f>CE_RegimeContributivo!C258</f>
        <v>0</v>
      </c>
      <c r="E88" s="46">
        <f>CE_RegimeContributivo!E258</f>
        <v>0</v>
      </c>
      <c r="F88" s="46">
        <f>CE_RegimeContributivo!S258</f>
        <v>0</v>
      </c>
      <c r="G88" s="60" t="e">
        <f t="shared" si="62"/>
        <v>#DIV/0!</v>
      </c>
      <c r="H88" s="60" t="e">
        <f t="shared" si="63"/>
        <v>#DIV/0!</v>
      </c>
      <c r="I88" s="46">
        <f>CE_RegimeNaoContributivo!B258</f>
        <v>0</v>
      </c>
      <c r="J88" s="46">
        <f>CE_RegimeNaoContributivo!C258</f>
        <v>0</v>
      </c>
      <c r="K88" s="46">
        <f>CE_RegimeNaoContributivo!E258</f>
        <v>0</v>
      </c>
      <c r="L88" s="46">
        <f>CE_RegimeNaoContributivo!S258</f>
        <v>0</v>
      </c>
      <c r="M88" s="60" t="e">
        <f t="shared" si="65"/>
        <v>#DIV/0!</v>
      </c>
      <c r="N88" s="60" t="e">
        <f t="shared" si="66"/>
        <v>#DIV/0!</v>
      </c>
      <c r="O88" s="46">
        <f>CE_AdministraçãoINSS!B258</f>
        <v>0</v>
      </c>
      <c r="P88" s="46">
        <f>CE_AdministraçãoINSS!C258</f>
        <v>0</v>
      </c>
      <c r="Q88" s="46">
        <f>CE_AdministraçãoINSS!E258</f>
        <v>0</v>
      </c>
      <c r="R88" s="46">
        <f>CE_AdministraçãoINSS!S258</f>
        <v>0</v>
      </c>
      <c r="S88" s="60" t="e">
        <f t="shared" si="68"/>
        <v>#DIV/0!</v>
      </c>
      <c r="T88" s="60" t="e">
        <f t="shared" si="69"/>
        <v>#DIV/0!</v>
      </c>
      <c r="U88" s="46">
        <f t="shared" si="70"/>
        <v>0</v>
      </c>
      <c r="V88" s="46">
        <f t="shared" si="70"/>
        <v>0</v>
      </c>
      <c r="W88" s="46">
        <f t="shared" si="70"/>
        <v>0</v>
      </c>
      <c r="X88" s="46">
        <f t="shared" si="70"/>
        <v>0</v>
      </c>
      <c r="Y88" s="60" t="e">
        <f t="shared" si="71"/>
        <v>#DIV/0!</v>
      </c>
      <c r="Z88" s="60" t="e">
        <f t="shared" si="72"/>
        <v>#DIV/0!</v>
      </c>
      <c r="AA88" s="46">
        <f>CE_AdministraçãoFRSS!B258</f>
        <v>0</v>
      </c>
      <c r="AB88" s="46">
        <f>CE_AdministraçãoFRSS!C258</f>
        <v>0</v>
      </c>
      <c r="AC88" s="46">
        <f>CE_AdministraçãoFRSS!E258</f>
        <v>0</v>
      </c>
      <c r="AD88" s="46">
        <f>CE_AdministraçãoFRSS!S258</f>
        <v>0</v>
      </c>
      <c r="AE88" s="60" t="e">
        <f t="shared" si="74"/>
        <v>#DIV/0!</v>
      </c>
      <c r="AF88" s="60" t="e">
        <f t="shared" si="75"/>
        <v>#DIV/0!</v>
      </c>
      <c r="AG88" s="46">
        <f t="shared" si="76"/>
        <v>0</v>
      </c>
      <c r="AH88" s="46">
        <f t="shared" si="76"/>
        <v>0</v>
      </c>
      <c r="AI88" s="46">
        <f t="shared" si="76"/>
        <v>0</v>
      </c>
      <c r="AJ88" s="46">
        <f t="shared" si="76"/>
        <v>0</v>
      </c>
      <c r="AK88" s="60" t="e">
        <f t="shared" si="77"/>
        <v>#DIV/0!</v>
      </c>
      <c r="AL88" s="60" t="e">
        <f t="shared" si="78"/>
        <v>#DIV/0!</v>
      </c>
      <c r="AM88" s="46">
        <f t="shared" si="79"/>
        <v>0</v>
      </c>
      <c r="AN88" s="46">
        <f t="shared" si="79"/>
        <v>0</v>
      </c>
      <c r="AO88" s="46">
        <f t="shared" si="79"/>
        <v>0</v>
      </c>
      <c r="AP88" s="46">
        <f t="shared" si="79"/>
        <v>0</v>
      </c>
      <c r="AQ88" s="60" t="e">
        <f t="shared" si="80"/>
        <v>#DIV/0!</v>
      </c>
      <c r="AR88" s="60" t="e">
        <f t="shared" si="81"/>
        <v>#DIV/0!</v>
      </c>
      <c r="AT88" s="38"/>
      <c r="AU88" s="38"/>
      <c r="AV88" s="38"/>
      <c r="AW88" s="38"/>
      <c r="AY88" s="38"/>
      <c r="AZ88" s="38"/>
      <c r="BA88" s="38"/>
      <c r="BB88" s="38"/>
      <c r="BC88" s="36"/>
      <c r="BD88" s="36"/>
      <c r="BE88" s="36"/>
      <c r="BF88" s="36"/>
    </row>
    <row r="89" spans="1:58" s="44" customFormat="1" x14ac:dyDescent="0.2">
      <c r="A89" s="45" t="str">
        <f>"502.17.13"</f>
        <v>502.17.13</v>
      </c>
      <c r="B89" s="47" t="s">
        <v>902</v>
      </c>
      <c r="C89" s="46">
        <f>CE_RegimeContributivo!B259</f>
        <v>0</v>
      </c>
      <c r="D89" s="46">
        <f>CE_RegimeContributivo!C259</f>
        <v>0</v>
      </c>
      <c r="E89" s="46">
        <f>CE_RegimeContributivo!E259</f>
        <v>0</v>
      </c>
      <c r="F89" s="46">
        <f>CE_RegimeContributivo!S259</f>
        <v>0</v>
      </c>
      <c r="G89" s="60" t="e">
        <f t="shared" si="62"/>
        <v>#DIV/0!</v>
      </c>
      <c r="H89" s="60" t="e">
        <f t="shared" si="63"/>
        <v>#DIV/0!</v>
      </c>
      <c r="I89" s="46">
        <f>CE_RegimeNaoContributivo!B259</f>
        <v>0</v>
      </c>
      <c r="J89" s="46">
        <f>CE_RegimeNaoContributivo!C259</f>
        <v>0</v>
      </c>
      <c r="K89" s="46">
        <f>CE_RegimeNaoContributivo!E259</f>
        <v>0</v>
      </c>
      <c r="L89" s="46">
        <f>CE_RegimeNaoContributivo!S259</f>
        <v>0</v>
      </c>
      <c r="M89" s="60" t="e">
        <f t="shared" si="65"/>
        <v>#DIV/0!</v>
      </c>
      <c r="N89" s="60" t="e">
        <f t="shared" si="66"/>
        <v>#DIV/0!</v>
      </c>
      <c r="O89" s="46">
        <f>CE_AdministraçãoINSS!B259</f>
        <v>0</v>
      </c>
      <c r="P89" s="46">
        <f>CE_AdministraçãoINSS!C259</f>
        <v>0</v>
      </c>
      <c r="Q89" s="46">
        <f>CE_AdministraçãoINSS!E259</f>
        <v>0</v>
      </c>
      <c r="R89" s="46">
        <f>CE_AdministraçãoINSS!S259</f>
        <v>0</v>
      </c>
      <c r="S89" s="60" t="e">
        <f t="shared" si="68"/>
        <v>#DIV/0!</v>
      </c>
      <c r="T89" s="60" t="e">
        <f t="shared" si="69"/>
        <v>#DIV/0!</v>
      </c>
      <c r="U89" s="46">
        <f t="shared" si="70"/>
        <v>0</v>
      </c>
      <c r="V89" s="46">
        <f t="shared" si="70"/>
        <v>0</v>
      </c>
      <c r="W89" s="46">
        <f t="shared" si="70"/>
        <v>0</v>
      </c>
      <c r="X89" s="46">
        <f t="shared" si="70"/>
        <v>0</v>
      </c>
      <c r="Y89" s="60" t="e">
        <f t="shared" si="71"/>
        <v>#DIV/0!</v>
      </c>
      <c r="Z89" s="60" t="e">
        <f t="shared" si="72"/>
        <v>#DIV/0!</v>
      </c>
      <c r="AA89" s="46">
        <f>CE_AdministraçãoFRSS!B259</f>
        <v>0</v>
      </c>
      <c r="AB89" s="46">
        <f>CE_AdministraçãoFRSS!C259</f>
        <v>0</v>
      </c>
      <c r="AC89" s="46">
        <f>CE_AdministraçãoFRSS!E259</f>
        <v>0</v>
      </c>
      <c r="AD89" s="46">
        <f>CE_AdministraçãoFRSS!S259</f>
        <v>0</v>
      </c>
      <c r="AE89" s="60" t="e">
        <f t="shared" si="74"/>
        <v>#DIV/0!</v>
      </c>
      <c r="AF89" s="60" t="e">
        <f t="shared" si="75"/>
        <v>#DIV/0!</v>
      </c>
      <c r="AG89" s="46">
        <f t="shared" si="76"/>
        <v>0</v>
      </c>
      <c r="AH89" s="46">
        <f t="shared" si="76"/>
        <v>0</v>
      </c>
      <c r="AI89" s="46">
        <f t="shared" si="76"/>
        <v>0</v>
      </c>
      <c r="AJ89" s="46">
        <f t="shared" si="76"/>
        <v>0</v>
      </c>
      <c r="AK89" s="60" t="e">
        <f t="shared" si="77"/>
        <v>#DIV/0!</v>
      </c>
      <c r="AL89" s="60" t="e">
        <f t="shared" si="78"/>
        <v>#DIV/0!</v>
      </c>
      <c r="AM89" s="46">
        <f t="shared" si="79"/>
        <v>0</v>
      </c>
      <c r="AN89" s="46">
        <f t="shared" si="79"/>
        <v>0</v>
      </c>
      <c r="AO89" s="46">
        <f t="shared" si="79"/>
        <v>0</v>
      </c>
      <c r="AP89" s="46">
        <f t="shared" si="79"/>
        <v>0</v>
      </c>
      <c r="AQ89" s="60" t="e">
        <f t="shared" si="80"/>
        <v>#DIV/0!</v>
      </c>
      <c r="AR89" s="60" t="e">
        <f t="shared" si="81"/>
        <v>#DIV/0!</v>
      </c>
      <c r="AT89" s="38"/>
      <c r="AU89" s="38"/>
      <c r="AV89" s="38"/>
      <c r="AW89" s="38"/>
      <c r="AY89" s="38"/>
      <c r="AZ89" s="38"/>
      <c r="BA89" s="38"/>
      <c r="BB89" s="38"/>
      <c r="BC89" s="36"/>
      <c r="BD89" s="36"/>
      <c r="BE89" s="36"/>
      <c r="BF89" s="36"/>
    </row>
    <row r="90" spans="1:58" s="44" customFormat="1" x14ac:dyDescent="0.2">
      <c r="A90" s="45" t="str">
        <f>"502.17.14"</f>
        <v>502.17.14</v>
      </c>
      <c r="B90" s="47" t="s">
        <v>903</v>
      </c>
      <c r="C90" s="46">
        <f>CE_RegimeContributivo!B260</f>
        <v>0</v>
      </c>
      <c r="D90" s="46">
        <f>CE_RegimeContributivo!C260</f>
        <v>0</v>
      </c>
      <c r="E90" s="46">
        <f>CE_RegimeContributivo!E260</f>
        <v>0</v>
      </c>
      <c r="F90" s="46">
        <f>CE_RegimeContributivo!S260</f>
        <v>0</v>
      </c>
      <c r="G90" s="60" t="e">
        <f t="shared" si="62"/>
        <v>#DIV/0!</v>
      </c>
      <c r="H90" s="60" t="e">
        <f t="shared" si="63"/>
        <v>#DIV/0!</v>
      </c>
      <c r="I90" s="46">
        <f>CE_RegimeNaoContributivo!B260</f>
        <v>0</v>
      </c>
      <c r="J90" s="46">
        <f>CE_RegimeNaoContributivo!C260</f>
        <v>0</v>
      </c>
      <c r="K90" s="46">
        <f>CE_RegimeNaoContributivo!E260</f>
        <v>0</v>
      </c>
      <c r="L90" s="46">
        <f>CE_RegimeNaoContributivo!S260</f>
        <v>0</v>
      </c>
      <c r="M90" s="60" t="e">
        <f t="shared" si="65"/>
        <v>#DIV/0!</v>
      </c>
      <c r="N90" s="60" t="e">
        <f t="shared" si="66"/>
        <v>#DIV/0!</v>
      </c>
      <c r="O90" s="46">
        <f>CE_AdministraçãoINSS!B260</f>
        <v>0</v>
      </c>
      <c r="P90" s="46">
        <f>CE_AdministraçãoINSS!C260</f>
        <v>0</v>
      </c>
      <c r="Q90" s="46">
        <f>CE_AdministraçãoINSS!E260</f>
        <v>0</v>
      </c>
      <c r="R90" s="46">
        <f>CE_AdministraçãoINSS!S260</f>
        <v>0</v>
      </c>
      <c r="S90" s="60" t="e">
        <f t="shared" si="68"/>
        <v>#DIV/0!</v>
      </c>
      <c r="T90" s="60" t="e">
        <f t="shared" si="69"/>
        <v>#DIV/0!</v>
      </c>
      <c r="U90" s="46">
        <f t="shared" si="70"/>
        <v>0</v>
      </c>
      <c r="V90" s="46">
        <f t="shared" si="70"/>
        <v>0</v>
      </c>
      <c r="W90" s="46">
        <f t="shared" si="70"/>
        <v>0</v>
      </c>
      <c r="X90" s="46">
        <f t="shared" si="70"/>
        <v>0</v>
      </c>
      <c r="Y90" s="60" t="e">
        <f t="shared" si="71"/>
        <v>#DIV/0!</v>
      </c>
      <c r="Z90" s="60" t="e">
        <f t="shared" si="72"/>
        <v>#DIV/0!</v>
      </c>
      <c r="AA90" s="46">
        <f>CE_AdministraçãoFRSS!B260</f>
        <v>0</v>
      </c>
      <c r="AB90" s="46">
        <f>CE_AdministraçãoFRSS!C260</f>
        <v>0</v>
      </c>
      <c r="AC90" s="46">
        <f>CE_AdministraçãoFRSS!E260</f>
        <v>0</v>
      </c>
      <c r="AD90" s="46">
        <f>CE_AdministraçãoFRSS!S260</f>
        <v>0</v>
      </c>
      <c r="AE90" s="60" t="e">
        <f t="shared" si="74"/>
        <v>#DIV/0!</v>
      </c>
      <c r="AF90" s="60" t="e">
        <f t="shared" si="75"/>
        <v>#DIV/0!</v>
      </c>
      <c r="AG90" s="46">
        <f t="shared" si="76"/>
        <v>0</v>
      </c>
      <c r="AH90" s="46">
        <f t="shared" si="76"/>
        <v>0</v>
      </c>
      <c r="AI90" s="46">
        <f t="shared" si="76"/>
        <v>0</v>
      </c>
      <c r="AJ90" s="46">
        <f t="shared" si="76"/>
        <v>0</v>
      </c>
      <c r="AK90" s="60" t="e">
        <f t="shared" si="77"/>
        <v>#DIV/0!</v>
      </c>
      <c r="AL90" s="60" t="e">
        <f t="shared" si="78"/>
        <v>#DIV/0!</v>
      </c>
      <c r="AM90" s="46">
        <f t="shared" si="79"/>
        <v>0</v>
      </c>
      <c r="AN90" s="46">
        <f t="shared" si="79"/>
        <v>0</v>
      </c>
      <c r="AO90" s="46">
        <f t="shared" si="79"/>
        <v>0</v>
      </c>
      <c r="AP90" s="46">
        <f t="shared" si="79"/>
        <v>0</v>
      </c>
      <c r="AQ90" s="60" t="e">
        <f t="shared" si="80"/>
        <v>#DIV/0!</v>
      </c>
      <c r="AR90" s="60" t="e">
        <f t="shared" si="81"/>
        <v>#DIV/0!</v>
      </c>
      <c r="AT90" s="38"/>
      <c r="AU90" s="38"/>
      <c r="AV90" s="38"/>
      <c r="AW90" s="38"/>
      <c r="AY90" s="38"/>
      <c r="AZ90" s="38"/>
      <c r="BA90" s="38"/>
      <c r="BB90" s="38"/>
      <c r="BC90" s="36"/>
      <c r="BD90" s="36"/>
      <c r="BE90" s="36"/>
      <c r="BF90" s="36"/>
    </row>
    <row r="91" spans="1:58" s="44" customFormat="1" x14ac:dyDescent="0.2">
      <c r="A91" s="45" t="str">
        <f>"502.17.15"</f>
        <v>502.17.15</v>
      </c>
      <c r="B91" s="47" t="s">
        <v>904</v>
      </c>
      <c r="C91" s="46">
        <f>CE_RegimeContributivo!B261</f>
        <v>0</v>
      </c>
      <c r="D91" s="46">
        <f>CE_RegimeContributivo!C261</f>
        <v>0</v>
      </c>
      <c r="E91" s="46">
        <f>CE_RegimeContributivo!E261</f>
        <v>0</v>
      </c>
      <c r="F91" s="46">
        <f>CE_RegimeContributivo!S261</f>
        <v>0</v>
      </c>
      <c r="G91" s="60" t="e">
        <f t="shared" si="62"/>
        <v>#DIV/0!</v>
      </c>
      <c r="H91" s="60" t="e">
        <f t="shared" si="63"/>
        <v>#DIV/0!</v>
      </c>
      <c r="I91" s="46">
        <f>CE_RegimeNaoContributivo!B261</f>
        <v>0</v>
      </c>
      <c r="J91" s="46">
        <f>CE_RegimeNaoContributivo!C261</f>
        <v>0</v>
      </c>
      <c r="K91" s="46">
        <f>CE_RegimeNaoContributivo!E261</f>
        <v>0</v>
      </c>
      <c r="L91" s="46">
        <f>CE_RegimeNaoContributivo!S261</f>
        <v>0</v>
      </c>
      <c r="M91" s="60" t="e">
        <f t="shared" si="65"/>
        <v>#DIV/0!</v>
      </c>
      <c r="N91" s="60" t="e">
        <f t="shared" si="66"/>
        <v>#DIV/0!</v>
      </c>
      <c r="O91" s="46">
        <f>CE_AdministraçãoINSS!B261</f>
        <v>0</v>
      </c>
      <c r="P91" s="46">
        <f>CE_AdministraçãoINSS!C261</f>
        <v>0</v>
      </c>
      <c r="Q91" s="46">
        <f>CE_AdministraçãoINSS!E261</f>
        <v>0</v>
      </c>
      <c r="R91" s="46">
        <f>CE_AdministraçãoINSS!S261</f>
        <v>0</v>
      </c>
      <c r="S91" s="60" t="e">
        <f t="shared" si="68"/>
        <v>#DIV/0!</v>
      </c>
      <c r="T91" s="60" t="e">
        <f t="shared" si="69"/>
        <v>#DIV/0!</v>
      </c>
      <c r="U91" s="46">
        <f t="shared" si="70"/>
        <v>0</v>
      </c>
      <c r="V91" s="46">
        <f t="shared" si="70"/>
        <v>0</v>
      </c>
      <c r="W91" s="46">
        <f t="shared" si="70"/>
        <v>0</v>
      </c>
      <c r="X91" s="46">
        <f t="shared" si="70"/>
        <v>0</v>
      </c>
      <c r="Y91" s="60" t="e">
        <f t="shared" si="71"/>
        <v>#DIV/0!</v>
      </c>
      <c r="Z91" s="60" t="e">
        <f t="shared" si="72"/>
        <v>#DIV/0!</v>
      </c>
      <c r="AA91" s="46">
        <f>CE_AdministraçãoFRSS!B261</f>
        <v>0</v>
      </c>
      <c r="AB91" s="46">
        <f>CE_AdministraçãoFRSS!C261</f>
        <v>0</v>
      </c>
      <c r="AC91" s="46">
        <f>CE_AdministraçãoFRSS!E261</f>
        <v>0</v>
      </c>
      <c r="AD91" s="46">
        <f>CE_AdministraçãoFRSS!S261</f>
        <v>0</v>
      </c>
      <c r="AE91" s="60" t="e">
        <f t="shared" si="74"/>
        <v>#DIV/0!</v>
      </c>
      <c r="AF91" s="60" t="e">
        <f t="shared" si="75"/>
        <v>#DIV/0!</v>
      </c>
      <c r="AG91" s="46">
        <f t="shared" si="76"/>
        <v>0</v>
      </c>
      <c r="AH91" s="46">
        <f t="shared" si="76"/>
        <v>0</v>
      </c>
      <c r="AI91" s="46">
        <f t="shared" si="76"/>
        <v>0</v>
      </c>
      <c r="AJ91" s="46">
        <f t="shared" si="76"/>
        <v>0</v>
      </c>
      <c r="AK91" s="60" t="e">
        <f t="shared" si="77"/>
        <v>#DIV/0!</v>
      </c>
      <c r="AL91" s="60" t="e">
        <f t="shared" si="78"/>
        <v>#DIV/0!</v>
      </c>
      <c r="AM91" s="46">
        <f t="shared" si="79"/>
        <v>0</v>
      </c>
      <c r="AN91" s="46">
        <f t="shared" si="79"/>
        <v>0</v>
      </c>
      <c r="AO91" s="46">
        <f t="shared" si="79"/>
        <v>0</v>
      </c>
      <c r="AP91" s="46">
        <f t="shared" si="79"/>
        <v>0</v>
      </c>
      <c r="AQ91" s="60" t="e">
        <f t="shared" si="80"/>
        <v>#DIV/0!</v>
      </c>
      <c r="AR91" s="60" t="e">
        <f t="shared" si="81"/>
        <v>#DIV/0!</v>
      </c>
      <c r="AT91" s="38"/>
      <c r="AU91" s="38"/>
      <c r="AV91" s="38"/>
      <c r="AW91" s="38"/>
      <c r="AY91" s="38"/>
      <c r="AZ91" s="38"/>
      <c r="BA91" s="38"/>
      <c r="BB91" s="38"/>
      <c r="BC91" s="36"/>
      <c r="BD91" s="36"/>
      <c r="BE91" s="36"/>
      <c r="BF91" s="36"/>
    </row>
    <row r="92" spans="1:58" s="44" customFormat="1" x14ac:dyDescent="0.2">
      <c r="A92" s="45" t="str">
        <f>"502.17.16"</f>
        <v>502.17.16</v>
      </c>
      <c r="B92" s="47" t="s">
        <v>905</v>
      </c>
      <c r="C92" s="46">
        <f>CE_RegimeContributivo!B262</f>
        <v>0</v>
      </c>
      <c r="D92" s="46">
        <f>CE_RegimeContributivo!C262</f>
        <v>0</v>
      </c>
      <c r="E92" s="46">
        <f>CE_RegimeContributivo!E262</f>
        <v>0</v>
      </c>
      <c r="F92" s="46">
        <f>CE_RegimeContributivo!S262</f>
        <v>0</v>
      </c>
      <c r="G92" s="60" t="e">
        <f t="shared" si="62"/>
        <v>#DIV/0!</v>
      </c>
      <c r="H92" s="60" t="e">
        <f t="shared" si="63"/>
        <v>#DIV/0!</v>
      </c>
      <c r="I92" s="46">
        <f>CE_RegimeNaoContributivo!B262</f>
        <v>0</v>
      </c>
      <c r="J92" s="46">
        <f>CE_RegimeNaoContributivo!C262</f>
        <v>0</v>
      </c>
      <c r="K92" s="46">
        <f>CE_RegimeNaoContributivo!E262</f>
        <v>0</v>
      </c>
      <c r="L92" s="46">
        <f>CE_RegimeNaoContributivo!S262</f>
        <v>0</v>
      </c>
      <c r="M92" s="60" t="e">
        <f t="shared" si="65"/>
        <v>#DIV/0!</v>
      </c>
      <c r="N92" s="60" t="e">
        <f t="shared" si="66"/>
        <v>#DIV/0!</v>
      </c>
      <c r="O92" s="46">
        <f>CE_AdministraçãoINSS!B262</f>
        <v>0</v>
      </c>
      <c r="P92" s="46">
        <f>CE_AdministraçãoINSS!C262</f>
        <v>0</v>
      </c>
      <c r="Q92" s="46">
        <f>CE_AdministraçãoINSS!E262</f>
        <v>0</v>
      </c>
      <c r="R92" s="46">
        <f>CE_AdministraçãoINSS!S262</f>
        <v>0</v>
      </c>
      <c r="S92" s="60" t="e">
        <f t="shared" si="68"/>
        <v>#DIV/0!</v>
      </c>
      <c r="T92" s="60" t="e">
        <f t="shared" si="69"/>
        <v>#DIV/0!</v>
      </c>
      <c r="U92" s="46">
        <f t="shared" si="70"/>
        <v>0</v>
      </c>
      <c r="V92" s="46">
        <f t="shared" si="70"/>
        <v>0</v>
      </c>
      <c r="W92" s="46">
        <f t="shared" si="70"/>
        <v>0</v>
      </c>
      <c r="X92" s="46">
        <f t="shared" si="70"/>
        <v>0</v>
      </c>
      <c r="Y92" s="60" t="e">
        <f t="shared" si="71"/>
        <v>#DIV/0!</v>
      </c>
      <c r="Z92" s="60" t="e">
        <f t="shared" si="72"/>
        <v>#DIV/0!</v>
      </c>
      <c r="AA92" s="46">
        <f>CE_AdministraçãoFRSS!B262</f>
        <v>0</v>
      </c>
      <c r="AB92" s="46">
        <f>CE_AdministraçãoFRSS!C262</f>
        <v>0</v>
      </c>
      <c r="AC92" s="46">
        <f>CE_AdministraçãoFRSS!E262</f>
        <v>0</v>
      </c>
      <c r="AD92" s="46">
        <f>CE_AdministraçãoFRSS!S262</f>
        <v>0</v>
      </c>
      <c r="AE92" s="60" t="e">
        <f t="shared" si="74"/>
        <v>#DIV/0!</v>
      </c>
      <c r="AF92" s="60" t="e">
        <f t="shared" si="75"/>
        <v>#DIV/0!</v>
      </c>
      <c r="AG92" s="46">
        <f t="shared" si="76"/>
        <v>0</v>
      </c>
      <c r="AH92" s="46">
        <f t="shared" si="76"/>
        <v>0</v>
      </c>
      <c r="AI92" s="46">
        <f t="shared" si="76"/>
        <v>0</v>
      </c>
      <c r="AJ92" s="46">
        <f t="shared" si="76"/>
        <v>0</v>
      </c>
      <c r="AK92" s="60" t="e">
        <f t="shared" si="77"/>
        <v>#DIV/0!</v>
      </c>
      <c r="AL92" s="60" t="e">
        <f t="shared" si="78"/>
        <v>#DIV/0!</v>
      </c>
      <c r="AM92" s="46">
        <f t="shared" si="79"/>
        <v>0</v>
      </c>
      <c r="AN92" s="46">
        <f t="shared" si="79"/>
        <v>0</v>
      </c>
      <c r="AO92" s="46">
        <f t="shared" si="79"/>
        <v>0</v>
      </c>
      <c r="AP92" s="46">
        <f t="shared" si="79"/>
        <v>0</v>
      </c>
      <c r="AQ92" s="60" t="e">
        <f t="shared" si="80"/>
        <v>#DIV/0!</v>
      </c>
      <c r="AR92" s="60" t="e">
        <f t="shared" si="81"/>
        <v>#DIV/0!</v>
      </c>
      <c r="AT92" s="38"/>
      <c r="AU92" s="38"/>
      <c r="AV92" s="38"/>
      <c r="AW92" s="38"/>
      <c r="AY92" s="38"/>
      <c r="AZ92" s="38"/>
      <c r="BA92" s="38"/>
      <c r="BB92" s="38"/>
      <c r="BC92" s="36"/>
      <c r="BD92" s="36"/>
      <c r="BE92" s="36"/>
      <c r="BF92" s="36"/>
    </row>
    <row r="93" spans="1:58" s="44" customFormat="1" x14ac:dyDescent="0.2">
      <c r="A93" s="45" t="str">
        <f>"502.17.17"</f>
        <v>502.17.17</v>
      </c>
      <c r="B93" s="47" t="s">
        <v>906</v>
      </c>
      <c r="C93" s="46">
        <f>CE_RegimeContributivo!B263</f>
        <v>0</v>
      </c>
      <c r="D93" s="46">
        <f>CE_RegimeContributivo!C263</f>
        <v>0</v>
      </c>
      <c r="E93" s="46">
        <f>CE_RegimeContributivo!E263</f>
        <v>0</v>
      </c>
      <c r="F93" s="46">
        <f>CE_RegimeContributivo!S263</f>
        <v>0</v>
      </c>
      <c r="G93" s="60" t="e">
        <f t="shared" si="62"/>
        <v>#DIV/0!</v>
      </c>
      <c r="H93" s="60" t="e">
        <f t="shared" si="63"/>
        <v>#DIV/0!</v>
      </c>
      <c r="I93" s="46">
        <f>CE_RegimeNaoContributivo!B263</f>
        <v>0</v>
      </c>
      <c r="J93" s="46">
        <f>CE_RegimeNaoContributivo!C263</f>
        <v>0</v>
      </c>
      <c r="K93" s="46">
        <f>CE_RegimeNaoContributivo!E263</f>
        <v>0</v>
      </c>
      <c r="L93" s="46">
        <f>CE_RegimeNaoContributivo!S263</f>
        <v>0</v>
      </c>
      <c r="M93" s="60" t="e">
        <f t="shared" si="65"/>
        <v>#DIV/0!</v>
      </c>
      <c r="N93" s="60" t="e">
        <f t="shared" si="66"/>
        <v>#DIV/0!</v>
      </c>
      <c r="O93" s="46">
        <f>CE_AdministraçãoINSS!B263</f>
        <v>0</v>
      </c>
      <c r="P93" s="46">
        <f>CE_AdministraçãoINSS!C263</f>
        <v>0</v>
      </c>
      <c r="Q93" s="46">
        <f>CE_AdministraçãoINSS!E263</f>
        <v>0</v>
      </c>
      <c r="R93" s="46">
        <f>CE_AdministraçãoINSS!S263</f>
        <v>0</v>
      </c>
      <c r="S93" s="60" t="e">
        <f t="shared" si="68"/>
        <v>#DIV/0!</v>
      </c>
      <c r="T93" s="60" t="e">
        <f t="shared" si="69"/>
        <v>#DIV/0!</v>
      </c>
      <c r="U93" s="46">
        <f t="shared" si="70"/>
        <v>0</v>
      </c>
      <c r="V93" s="46">
        <f t="shared" si="70"/>
        <v>0</v>
      </c>
      <c r="W93" s="46">
        <f t="shared" si="70"/>
        <v>0</v>
      </c>
      <c r="X93" s="46">
        <f t="shared" si="70"/>
        <v>0</v>
      </c>
      <c r="Y93" s="60" t="e">
        <f t="shared" si="71"/>
        <v>#DIV/0!</v>
      </c>
      <c r="Z93" s="60" t="e">
        <f t="shared" si="72"/>
        <v>#DIV/0!</v>
      </c>
      <c r="AA93" s="46">
        <f>CE_AdministraçãoFRSS!B263</f>
        <v>0</v>
      </c>
      <c r="AB93" s="46">
        <f>CE_AdministraçãoFRSS!C263</f>
        <v>0</v>
      </c>
      <c r="AC93" s="46">
        <f>CE_AdministraçãoFRSS!E263</f>
        <v>0</v>
      </c>
      <c r="AD93" s="46">
        <f>CE_AdministraçãoFRSS!S263</f>
        <v>0</v>
      </c>
      <c r="AE93" s="60" t="e">
        <f t="shared" si="74"/>
        <v>#DIV/0!</v>
      </c>
      <c r="AF93" s="60" t="e">
        <f t="shared" si="75"/>
        <v>#DIV/0!</v>
      </c>
      <c r="AG93" s="46">
        <f t="shared" si="76"/>
        <v>0</v>
      </c>
      <c r="AH93" s="46">
        <f t="shared" si="76"/>
        <v>0</v>
      </c>
      <c r="AI93" s="46">
        <f t="shared" si="76"/>
        <v>0</v>
      </c>
      <c r="AJ93" s="46">
        <f t="shared" si="76"/>
        <v>0</v>
      </c>
      <c r="AK93" s="60" t="e">
        <f t="shared" si="77"/>
        <v>#DIV/0!</v>
      </c>
      <c r="AL93" s="60" t="e">
        <f t="shared" si="78"/>
        <v>#DIV/0!</v>
      </c>
      <c r="AM93" s="46">
        <f t="shared" si="79"/>
        <v>0</v>
      </c>
      <c r="AN93" s="46">
        <f t="shared" si="79"/>
        <v>0</v>
      </c>
      <c r="AO93" s="46">
        <f t="shared" si="79"/>
        <v>0</v>
      </c>
      <c r="AP93" s="46">
        <f t="shared" si="79"/>
        <v>0</v>
      </c>
      <c r="AQ93" s="60" t="e">
        <f t="shared" si="80"/>
        <v>#DIV/0!</v>
      </c>
      <c r="AR93" s="60" t="e">
        <f t="shared" si="81"/>
        <v>#DIV/0!</v>
      </c>
      <c r="AT93" s="38"/>
      <c r="AU93" s="38"/>
      <c r="AV93" s="38"/>
      <c r="AW93" s="38"/>
      <c r="AY93" s="38"/>
      <c r="AZ93" s="38"/>
      <c r="BA93" s="38"/>
      <c r="BB93" s="38"/>
      <c r="BC93" s="36"/>
      <c r="BD93" s="36"/>
      <c r="BE93" s="36"/>
      <c r="BF93" s="36"/>
    </row>
    <row r="94" spans="1:58" s="44" customFormat="1" x14ac:dyDescent="0.2">
      <c r="A94" s="45" t="str">
        <f>"502.17.18"</f>
        <v>502.17.18</v>
      </c>
      <c r="B94" s="47" t="s">
        <v>907</v>
      </c>
      <c r="C94" s="46">
        <f>CE_RegimeContributivo!B264</f>
        <v>0</v>
      </c>
      <c r="D94" s="46">
        <f>CE_RegimeContributivo!C264</f>
        <v>0</v>
      </c>
      <c r="E94" s="46">
        <f>CE_RegimeContributivo!E264</f>
        <v>0</v>
      </c>
      <c r="F94" s="46">
        <f>CE_RegimeContributivo!S264</f>
        <v>0</v>
      </c>
      <c r="G94" s="60" t="e">
        <f t="shared" si="62"/>
        <v>#DIV/0!</v>
      </c>
      <c r="H94" s="60" t="e">
        <f t="shared" si="63"/>
        <v>#DIV/0!</v>
      </c>
      <c r="I94" s="46">
        <f>CE_RegimeNaoContributivo!B264</f>
        <v>0</v>
      </c>
      <c r="J94" s="46">
        <f>CE_RegimeNaoContributivo!C264</f>
        <v>0</v>
      </c>
      <c r="K94" s="46">
        <f>CE_RegimeNaoContributivo!E264</f>
        <v>0</v>
      </c>
      <c r="L94" s="46">
        <f>CE_RegimeNaoContributivo!S264</f>
        <v>0</v>
      </c>
      <c r="M94" s="60" t="e">
        <f t="shared" si="65"/>
        <v>#DIV/0!</v>
      </c>
      <c r="N94" s="60" t="e">
        <f t="shared" si="66"/>
        <v>#DIV/0!</v>
      </c>
      <c r="O94" s="46">
        <f>CE_AdministraçãoINSS!B264</f>
        <v>0</v>
      </c>
      <c r="P94" s="46">
        <f>CE_AdministraçãoINSS!C264</f>
        <v>0</v>
      </c>
      <c r="Q94" s="46">
        <f>CE_AdministraçãoINSS!E264</f>
        <v>0</v>
      </c>
      <c r="R94" s="46">
        <f>CE_AdministraçãoINSS!S264</f>
        <v>0</v>
      </c>
      <c r="S94" s="60" t="e">
        <f t="shared" si="68"/>
        <v>#DIV/0!</v>
      </c>
      <c r="T94" s="60" t="e">
        <f t="shared" si="69"/>
        <v>#DIV/0!</v>
      </c>
      <c r="U94" s="46">
        <f t="shared" si="70"/>
        <v>0</v>
      </c>
      <c r="V94" s="46">
        <f t="shared" si="70"/>
        <v>0</v>
      </c>
      <c r="W94" s="46">
        <f t="shared" si="70"/>
        <v>0</v>
      </c>
      <c r="X94" s="46">
        <f t="shared" si="70"/>
        <v>0</v>
      </c>
      <c r="Y94" s="60" t="e">
        <f t="shared" si="71"/>
        <v>#DIV/0!</v>
      </c>
      <c r="Z94" s="60" t="e">
        <f t="shared" si="72"/>
        <v>#DIV/0!</v>
      </c>
      <c r="AA94" s="46">
        <f>CE_AdministraçãoFRSS!B264</f>
        <v>0</v>
      </c>
      <c r="AB94" s="46">
        <f>CE_AdministraçãoFRSS!C264</f>
        <v>0</v>
      </c>
      <c r="AC94" s="46">
        <f>CE_AdministraçãoFRSS!E264</f>
        <v>0</v>
      </c>
      <c r="AD94" s="46">
        <f>CE_AdministraçãoFRSS!S264</f>
        <v>0</v>
      </c>
      <c r="AE94" s="60" t="e">
        <f t="shared" si="74"/>
        <v>#DIV/0!</v>
      </c>
      <c r="AF94" s="60" t="e">
        <f t="shared" si="75"/>
        <v>#DIV/0!</v>
      </c>
      <c r="AG94" s="46">
        <f t="shared" si="76"/>
        <v>0</v>
      </c>
      <c r="AH94" s="46">
        <f t="shared" si="76"/>
        <v>0</v>
      </c>
      <c r="AI94" s="46">
        <f t="shared" si="76"/>
        <v>0</v>
      </c>
      <c r="AJ94" s="46">
        <f t="shared" si="76"/>
        <v>0</v>
      </c>
      <c r="AK94" s="60" t="e">
        <f t="shared" si="77"/>
        <v>#DIV/0!</v>
      </c>
      <c r="AL94" s="60" t="e">
        <f t="shared" si="78"/>
        <v>#DIV/0!</v>
      </c>
      <c r="AM94" s="46">
        <f t="shared" si="79"/>
        <v>0</v>
      </c>
      <c r="AN94" s="46">
        <f t="shared" si="79"/>
        <v>0</v>
      </c>
      <c r="AO94" s="46">
        <f t="shared" si="79"/>
        <v>0</v>
      </c>
      <c r="AP94" s="46">
        <f t="shared" si="79"/>
        <v>0</v>
      </c>
      <c r="AQ94" s="60" t="e">
        <f t="shared" si="80"/>
        <v>#DIV/0!</v>
      </c>
      <c r="AR94" s="60" t="e">
        <f t="shared" si="81"/>
        <v>#DIV/0!</v>
      </c>
      <c r="AT94" s="38"/>
      <c r="AU94" s="38"/>
      <c r="AV94" s="38"/>
      <c r="AW94" s="38"/>
      <c r="AY94" s="38"/>
      <c r="AZ94" s="38"/>
      <c r="BA94" s="38"/>
      <c r="BB94" s="38"/>
      <c r="BC94" s="36"/>
      <c r="BD94" s="36"/>
      <c r="BE94" s="36"/>
      <c r="BF94" s="36"/>
    </row>
    <row r="95" spans="1:58" s="44" customFormat="1" x14ac:dyDescent="0.2">
      <c r="A95" s="45" t="str">
        <f>"502.17.19"</f>
        <v>502.17.19</v>
      </c>
      <c r="B95" s="47" t="s">
        <v>908</v>
      </c>
      <c r="C95" s="46">
        <f>CE_RegimeContributivo!B265</f>
        <v>0</v>
      </c>
      <c r="D95" s="46">
        <f>CE_RegimeContributivo!C265</f>
        <v>0</v>
      </c>
      <c r="E95" s="46">
        <f>CE_RegimeContributivo!E265</f>
        <v>0</v>
      </c>
      <c r="F95" s="46">
        <f>CE_RegimeContributivo!S265</f>
        <v>0</v>
      </c>
      <c r="G95" s="60" t="e">
        <f t="shared" si="62"/>
        <v>#DIV/0!</v>
      </c>
      <c r="H95" s="60" t="e">
        <f t="shared" si="63"/>
        <v>#DIV/0!</v>
      </c>
      <c r="I95" s="46">
        <f>CE_RegimeNaoContributivo!B265</f>
        <v>0</v>
      </c>
      <c r="J95" s="46">
        <f>CE_RegimeNaoContributivo!C265</f>
        <v>0</v>
      </c>
      <c r="K95" s="46">
        <f>CE_RegimeNaoContributivo!E265</f>
        <v>0</v>
      </c>
      <c r="L95" s="46">
        <f>CE_RegimeNaoContributivo!S265</f>
        <v>0</v>
      </c>
      <c r="M95" s="60" t="e">
        <f t="shared" si="65"/>
        <v>#DIV/0!</v>
      </c>
      <c r="N95" s="60" t="e">
        <f t="shared" si="66"/>
        <v>#DIV/0!</v>
      </c>
      <c r="O95" s="46">
        <f>CE_AdministraçãoINSS!B265</f>
        <v>0</v>
      </c>
      <c r="P95" s="46">
        <f>CE_AdministraçãoINSS!C265</f>
        <v>0</v>
      </c>
      <c r="Q95" s="46">
        <f>CE_AdministraçãoINSS!E265</f>
        <v>0</v>
      </c>
      <c r="R95" s="46">
        <f>CE_AdministraçãoINSS!S265</f>
        <v>0</v>
      </c>
      <c r="S95" s="60" t="e">
        <f t="shared" si="68"/>
        <v>#DIV/0!</v>
      </c>
      <c r="T95" s="60" t="e">
        <f t="shared" si="69"/>
        <v>#DIV/0!</v>
      </c>
      <c r="U95" s="46">
        <f t="shared" si="70"/>
        <v>0</v>
      </c>
      <c r="V95" s="46">
        <f t="shared" si="70"/>
        <v>0</v>
      </c>
      <c r="W95" s="46">
        <f t="shared" si="70"/>
        <v>0</v>
      </c>
      <c r="X95" s="46">
        <f t="shared" si="70"/>
        <v>0</v>
      </c>
      <c r="Y95" s="60" t="e">
        <f t="shared" si="71"/>
        <v>#DIV/0!</v>
      </c>
      <c r="Z95" s="60" t="e">
        <f t="shared" si="72"/>
        <v>#DIV/0!</v>
      </c>
      <c r="AA95" s="46">
        <f>CE_AdministraçãoFRSS!B265</f>
        <v>0</v>
      </c>
      <c r="AB95" s="46">
        <f>CE_AdministraçãoFRSS!C265</f>
        <v>0</v>
      </c>
      <c r="AC95" s="46">
        <f>CE_AdministraçãoFRSS!E265</f>
        <v>0</v>
      </c>
      <c r="AD95" s="46">
        <f>CE_AdministraçãoFRSS!S265</f>
        <v>0</v>
      </c>
      <c r="AE95" s="60" t="e">
        <f t="shared" si="74"/>
        <v>#DIV/0!</v>
      </c>
      <c r="AF95" s="60" t="e">
        <f t="shared" si="75"/>
        <v>#DIV/0!</v>
      </c>
      <c r="AG95" s="46">
        <f t="shared" si="76"/>
        <v>0</v>
      </c>
      <c r="AH95" s="46">
        <f t="shared" si="76"/>
        <v>0</v>
      </c>
      <c r="AI95" s="46">
        <f t="shared" si="76"/>
        <v>0</v>
      </c>
      <c r="AJ95" s="46">
        <f t="shared" si="76"/>
        <v>0</v>
      </c>
      <c r="AK95" s="60" t="e">
        <f t="shared" si="77"/>
        <v>#DIV/0!</v>
      </c>
      <c r="AL95" s="60" t="e">
        <f t="shared" si="78"/>
        <v>#DIV/0!</v>
      </c>
      <c r="AM95" s="46">
        <f t="shared" si="79"/>
        <v>0</v>
      </c>
      <c r="AN95" s="46">
        <f t="shared" si="79"/>
        <v>0</v>
      </c>
      <c r="AO95" s="46">
        <f t="shared" si="79"/>
        <v>0</v>
      </c>
      <c r="AP95" s="46">
        <f t="shared" si="79"/>
        <v>0</v>
      </c>
      <c r="AQ95" s="60" t="e">
        <f t="shared" si="80"/>
        <v>#DIV/0!</v>
      </c>
      <c r="AR95" s="60" t="e">
        <f t="shared" si="81"/>
        <v>#DIV/0!</v>
      </c>
      <c r="AT95" s="38"/>
      <c r="AU95" s="38"/>
      <c r="AV95" s="38"/>
      <c r="AW95" s="38"/>
      <c r="AY95" s="38"/>
      <c r="AZ95" s="38"/>
      <c r="BA95" s="38"/>
      <c r="BB95" s="38"/>
      <c r="BC95" s="36"/>
      <c r="BD95" s="36"/>
      <c r="BE95" s="36"/>
      <c r="BF95" s="36"/>
    </row>
    <row r="96" spans="1:58" s="44" customFormat="1" x14ac:dyDescent="0.2">
      <c r="A96" s="45" t="str">
        <f>"502.17.20"</f>
        <v>502.17.20</v>
      </c>
      <c r="B96" s="47" t="s">
        <v>909</v>
      </c>
      <c r="C96" s="46">
        <f>CE_RegimeContributivo!B266</f>
        <v>0</v>
      </c>
      <c r="D96" s="46">
        <f>CE_RegimeContributivo!C266</f>
        <v>0</v>
      </c>
      <c r="E96" s="46">
        <f>CE_RegimeContributivo!E266</f>
        <v>0</v>
      </c>
      <c r="F96" s="46">
        <f>CE_RegimeContributivo!S266</f>
        <v>0</v>
      </c>
      <c r="G96" s="60" t="e">
        <f t="shared" si="62"/>
        <v>#DIV/0!</v>
      </c>
      <c r="H96" s="60" t="e">
        <f t="shared" si="63"/>
        <v>#DIV/0!</v>
      </c>
      <c r="I96" s="46">
        <f>CE_RegimeNaoContributivo!B266</f>
        <v>0</v>
      </c>
      <c r="J96" s="46">
        <f>CE_RegimeNaoContributivo!C266</f>
        <v>0</v>
      </c>
      <c r="K96" s="46">
        <f>CE_RegimeNaoContributivo!E266</f>
        <v>0</v>
      </c>
      <c r="L96" s="46">
        <f>CE_RegimeNaoContributivo!S266</f>
        <v>0</v>
      </c>
      <c r="M96" s="60" t="e">
        <f t="shared" si="65"/>
        <v>#DIV/0!</v>
      </c>
      <c r="N96" s="60" t="e">
        <f t="shared" si="66"/>
        <v>#DIV/0!</v>
      </c>
      <c r="O96" s="46">
        <f>CE_AdministraçãoINSS!B266</f>
        <v>0</v>
      </c>
      <c r="P96" s="46">
        <f>CE_AdministraçãoINSS!C266</f>
        <v>0</v>
      </c>
      <c r="Q96" s="46">
        <f>CE_AdministraçãoINSS!E266</f>
        <v>0</v>
      </c>
      <c r="R96" s="46">
        <f>CE_AdministraçãoINSS!S266</f>
        <v>0</v>
      </c>
      <c r="S96" s="60" t="e">
        <f t="shared" si="68"/>
        <v>#DIV/0!</v>
      </c>
      <c r="T96" s="60" t="e">
        <f t="shared" si="69"/>
        <v>#DIV/0!</v>
      </c>
      <c r="U96" s="46">
        <f t="shared" si="70"/>
        <v>0</v>
      </c>
      <c r="V96" s="46">
        <f t="shared" si="70"/>
        <v>0</v>
      </c>
      <c r="W96" s="46">
        <f t="shared" si="70"/>
        <v>0</v>
      </c>
      <c r="X96" s="46">
        <f t="shared" si="70"/>
        <v>0</v>
      </c>
      <c r="Y96" s="60" t="e">
        <f t="shared" si="71"/>
        <v>#DIV/0!</v>
      </c>
      <c r="Z96" s="60" t="e">
        <f t="shared" si="72"/>
        <v>#DIV/0!</v>
      </c>
      <c r="AA96" s="46">
        <f>CE_AdministraçãoFRSS!B266</f>
        <v>0</v>
      </c>
      <c r="AB96" s="46">
        <f>CE_AdministraçãoFRSS!C266</f>
        <v>0</v>
      </c>
      <c r="AC96" s="46">
        <f>CE_AdministraçãoFRSS!E266</f>
        <v>0</v>
      </c>
      <c r="AD96" s="46">
        <f>CE_AdministraçãoFRSS!S266</f>
        <v>0</v>
      </c>
      <c r="AE96" s="60" t="e">
        <f t="shared" si="74"/>
        <v>#DIV/0!</v>
      </c>
      <c r="AF96" s="60" t="e">
        <f t="shared" si="75"/>
        <v>#DIV/0!</v>
      </c>
      <c r="AG96" s="46">
        <f t="shared" si="76"/>
        <v>0</v>
      </c>
      <c r="AH96" s="46">
        <f t="shared" si="76"/>
        <v>0</v>
      </c>
      <c r="AI96" s="46">
        <f t="shared" si="76"/>
        <v>0</v>
      </c>
      <c r="AJ96" s="46">
        <f t="shared" si="76"/>
        <v>0</v>
      </c>
      <c r="AK96" s="60" t="e">
        <f t="shared" si="77"/>
        <v>#DIV/0!</v>
      </c>
      <c r="AL96" s="60" t="e">
        <f t="shared" si="78"/>
        <v>#DIV/0!</v>
      </c>
      <c r="AM96" s="46">
        <f t="shared" si="79"/>
        <v>0</v>
      </c>
      <c r="AN96" s="46">
        <f t="shared" si="79"/>
        <v>0</v>
      </c>
      <c r="AO96" s="46">
        <f t="shared" si="79"/>
        <v>0</v>
      </c>
      <c r="AP96" s="46">
        <f t="shared" si="79"/>
        <v>0</v>
      </c>
      <c r="AQ96" s="60" t="e">
        <f t="shared" si="80"/>
        <v>#DIV/0!</v>
      </c>
      <c r="AR96" s="60" t="e">
        <f t="shared" si="81"/>
        <v>#DIV/0!</v>
      </c>
      <c r="AT96" s="38"/>
      <c r="AU96" s="38"/>
      <c r="AV96" s="38"/>
      <c r="AW96" s="38"/>
      <c r="AY96" s="38"/>
      <c r="AZ96" s="38"/>
      <c r="BA96" s="38"/>
      <c r="BB96" s="38"/>
      <c r="BC96" s="36"/>
      <c r="BD96" s="36"/>
      <c r="BE96" s="36"/>
      <c r="BF96" s="36"/>
    </row>
    <row r="97" spans="1:58" s="44" customFormat="1" x14ac:dyDescent="0.2">
      <c r="A97" s="45" t="str">
        <f>"502.17.21"</f>
        <v>502.17.21</v>
      </c>
      <c r="B97" s="47" t="s">
        <v>910</v>
      </c>
      <c r="C97" s="46">
        <f>CE_RegimeContributivo!B267</f>
        <v>0</v>
      </c>
      <c r="D97" s="46">
        <f>CE_RegimeContributivo!C267</f>
        <v>0</v>
      </c>
      <c r="E97" s="46">
        <f>CE_RegimeContributivo!E267</f>
        <v>0</v>
      </c>
      <c r="F97" s="46">
        <f>CE_RegimeContributivo!S267</f>
        <v>0</v>
      </c>
      <c r="G97" s="60" t="e">
        <f t="shared" si="62"/>
        <v>#DIV/0!</v>
      </c>
      <c r="H97" s="60" t="e">
        <f t="shared" si="63"/>
        <v>#DIV/0!</v>
      </c>
      <c r="I97" s="46">
        <f>CE_RegimeNaoContributivo!B267</f>
        <v>0</v>
      </c>
      <c r="J97" s="46">
        <f>CE_RegimeNaoContributivo!C267</f>
        <v>0</v>
      </c>
      <c r="K97" s="46">
        <f>CE_RegimeNaoContributivo!E267</f>
        <v>0</v>
      </c>
      <c r="L97" s="46">
        <f>CE_RegimeNaoContributivo!S267</f>
        <v>0</v>
      </c>
      <c r="M97" s="60" t="e">
        <f t="shared" si="65"/>
        <v>#DIV/0!</v>
      </c>
      <c r="N97" s="60" t="e">
        <f t="shared" si="66"/>
        <v>#DIV/0!</v>
      </c>
      <c r="O97" s="46">
        <f>CE_AdministraçãoINSS!B267</f>
        <v>0</v>
      </c>
      <c r="P97" s="46">
        <f>CE_AdministraçãoINSS!C267</f>
        <v>0</v>
      </c>
      <c r="Q97" s="46">
        <f>CE_AdministraçãoINSS!E267</f>
        <v>0</v>
      </c>
      <c r="R97" s="46">
        <f>CE_AdministraçãoINSS!S267</f>
        <v>0</v>
      </c>
      <c r="S97" s="60" t="e">
        <f t="shared" si="68"/>
        <v>#DIV/0!</v>
      </c>
      <c r="T97" s="60" t="e">
        <f t="shared" si="69"/>
        <v>#DIV/0!</v>
      </c>
      <c r="U97" s="46">
        <f t="shared" si="70"/>
        <v>0</v>
      </c>
      <c r="V97" s="46">
        <f t="shared" si="70"/>
        <v>0</v>
      </c>
      <c r="W97" s="46">
        <f t="shared" si="70"/>
        <v>0</v>
      </c>
      <c r="X97" s="46">
        <f t="shared" si="70"/>
        <v>0</v>
      </c>
      <c r="Y97" s="60" t="e">
        <f t="shared" si="71"/>
        <v>#DIV/0!</v>
      </c>
      <c r="Z97" s="60" t="e">
        <f t="shared" si="72"/>
        <v>#DIV/0!</v>
      </c>
      <c r="AA97" s="46">
        <f>CE_AdministraçãoFRSS!B267</f>
        <v>0</v>
      </c>
      <c r="AB97" s="46">
        <f>CE_AdministraçãoFRSS!C267</f>
        <v>0</v>
      </c>
      <c r="AC97" s="46">
        <f>CE_AdministraçãoFRSS!E267</f>
        <v>0</v>
      </c>
      <c r="AD97" s="46">
        <f>CE_AdministraçãoFRSS!S267</f>
        <v>0</v>
      </c>
      <c r="AE97" s="60" t="e">
        <f t="shared" si="74"/>
        <v>#DIV/0!</v>
      </c>
      <c r="AF97" s="60" t="e">
        <f t="shared" si="75"/>
        <v>#DIV/0!</v>
      </c>
      <c r="AG97" s="46">
        <f t="shared" si="76"/>
        <v>0</v>
      </c>
      <c r="AH97" s="46">
        <f t="shared" si="76"/>
        <v>0</v>
      </c>
      <c r="AI97" s="46">
        <f t="shared" si="76"/>
        <v>0</v>
      </c>
      <c r="AJ97" s="46">
        <f t="shared" si="76"/>
        <v>0</v>
      </c>
      <c r="AK97" s="60" t="e">
        <f t="shared" si="77"/>
        <v>#DIV/0!</v>
      </c>
      <c r="AL97" s="60" t="e">
        <f t="shared" si="78"/>
        <v>#DIV/0!</v>
      </c>
      <c r="AM97" s="46">
        <f t="shared" si="79"/>
        <v>0</v>
      </c>
      <c r="AN97" s="46">
        <f t="shared" si="79"/>
        <v>0</v>
      </c>
      <c r="AO97" s="46">
        <f t="shared" si="79"/>
        <v>0</v>
      </c>
      <c r="AP97" s="46">
        <f t="shared" si="79"/>
        <v>0</v>
      </c>
      <c r="AQ97" s="60" t="e">
        <f t="shared" si="80"/>
        <v>#DIV/0!</v>
      </c>
      <c r="AR97" s="60" t="e">
        <f t="shared" si="81"/>
        <v>#DIV/0!</v>
      </c>
      <c r="AT97" s="38"/>
      <c r="AU97" s="38"/>
      <c r="AV97" s="38"/>
      <c r="AW97" s="38"/>
      <c r="AY97" s="38"/>
      <c r="AZ97" s="38"/>
      <c r="BA97" s="38"/>
      <c r="BB97" s="38"/>
      <c r="BC97" s="36"/>
      <c r="BD97" s="36"/>
      <c r="BE97" s="36"/>
      <c r="BF97" s="36"/>
    </row>
    <row r="98" spans="1:58" s="44" customFormat="1" x14ac:dyDescent="0.2">
      <c r="A98" s="45" t="str">
        <f>"502.17.22"</f>
        <v>502.17.22</v>
      </c>
      <c r="B98" s="47" t="s">
        <v>911</v>
      </c>
      <c r="C98" s="46">
        <f>CE_RegimeContributivo!B268</f>
        <v>0</v>
      </c>
      <c r="D98" s="46">
        <f>CE_RegimeContributivo!C268</f>
        <v>0</v>
      </c>
      <c r="E98" s="46">
        <f>CE_RegimeContributivo!E268</f>
        <v>0</v>
      </c>
      <c r="F98" s="46">
        <f>CE_RegimeContributivo!S268</f>
        <v>0</v>
      </c>
      <c r="G98" s="60" t="e">
        <f t="shared" si="62"/>
        <v>#DIV/0!</v>
      </c>
      <c r="H98" s="60" t="e">
        <f t="shared" si="63"/>
        <v>#DIV/0!</v>
      </c>
      <c r="I98" s="46">
        <f>CE_RegimeNaoContributivo!B268</f>
        <v>0</v>
      </c>
      <c r="J98" s="46">
        <f>CE_RegimeNaoContributivo!C268</f>
        <v>0</v>
      </c>
      <c r="K98" s="46">
        <f>CE_RegimeNaoContributivo!E268</f>
        <v>0</v>
      </c>
      <c r="L98" s="46">
        <f>CE_RegimeNaoContributivo!S268</f>
        <v>0</v>
      </c>
      <c r="M98" s="60" t="e">
        <f t="shared" si="65"/>
        <v>#DIV/0!</v>
      </c>
      <c r="N98" s="60" t="e">
        <f t="shared" si="66"/>
        <v>#DIV/0!</v>
      </c>
      <c r="O98" s="46">
        <f>CE_AdministraçãoINSS!B268</f>
        <v>0</v>
      </c>
      <c r="P98" s="46">
        <f>CE_AdministraçãoINSS!C268</f>
        <v>0</v>
      </c>
      <c r="Q98" s="46">
        <f>CE_AdministraçãoINSS!E268</f>
        <v>0</v>
      </c>
      <c r="R98" s="46">
        <f>CE_AdministraçãoINSS!S268</f>
        <v>0</v>
      </c>
      <c r="S98" s="60" t="e">
        <f t="shared" si="68"/>
        <v>#DIV/0!</v>
      </c>
      <c r="T98" s="60" t="e">
        <f t="shared" si="69"/>
        <v>#DIV/0!</v>
      </c>
      <c r="U98" s="46">
        <f t="shared" si="70"/>
        <v>0</v>
      </c>
      <c r="V98" s="46">
        <f t="shared" si="70"/>
        <v>0</v>
      </c>
      <c r="W98" s="46">
        <f t="shared" si="70"/>
        <v>0</v>
      </c>
      <c r="X98" s="46">
        <f t="shared" si="70"/>
        <v>0</v>
      </c>
      <c r="Y98" s="60" t="e">
        <f t="shared" si="71"/>
        <v>#DIV/0!</v>
      </c>
      <c r="Z98" s="60" t="e">
        <f t="shared" si="72"/>
        <v>#DIV/0!</v>
      </c>
      <c r="AA98" s="46">
        <f>CE_AdministraçãoFRSS!B268</f>
        <v>0</v>
      </c>
      <c r="AB98" s="46">
        <f>CE_AdministraçãoFRSS!C268</f>
        <v>0</v>
      </c>
      <c r="AC98" s="46">
        <f>CE_AdministraçãoFRSS!E268</f>
        <v>0</v>
      </c>
      <c r="AD98" s="46">
        <f>CE_AdministraçãoFRSS!S268</f>
        <v>0</v>
      </c>
      <c r="AE98" s="60" t="e">
        <f t="shared" si="74"/>
        <v>#DIV/0!</v>
      </c>
      <c r="AF98" s="60" t="e">
        <f t="shared" si="75"/>
        <v>#DIV/0!</v>
      </c>
      <c r="AG98" s="46">
        <f t="shared" si="76"/>
        <v>0</v>
      </c>
      <c r="AH98" s="46">
        <f t="shared" si="76"/>
        <v>0</v>
      </c>
      <c r="AI98" s="46">
        <f t="shared" si="76"/>
        <v>0</v>
      </c>
      <c r="AJ98" s="46">
        <f t="shared" si="76"/>
        <v>0</v>
      </c>
      <c r="AK98" s="60" t="e">
        <f t="shared" si="77"/>
        <v>#DIV/0!</v>
      </c>
      <c r="AL98" s="60" t="e">
        <f t="shared" si="78"/>
        <v>#DIV/0!</v>
      </c>
      <c r="AM98" s="46">
        <f t="shared" si="79"/>
        <v>0</v>
      </c>
      <c r="AN98" s="46">
        <f t="shared" si="79"/>
        <v>0</v>
      </c>
      <c r="AO98" s="46">
        <f t="shared" si="79"/>
        <v>0</v>
      </c>
      <c r="AP98" s="46">
        <f t="shared" si="79"/>
        <v>0</v>
      </c>
      <c r="AQ98" s="60" t="e">
        <f t="shared" si="80"/>
        <v>#DIV/0!</v>
      </c>
      <c r="AR98" s="60" t="e">
        <f t="shared" si="81"/>
        <v>#DIV/0!</v>
      </c>
      <c r="AT98" s="38"/>
      <c r="AU98" s="38"/>
      <c r="AV98" s="38"/>
      <c r="AW98" s="38"/>
      <c r="AY98" s="38"/>
      <c r="AZ98" s="38"/>
      <c r="BA98" s="38"/>
      <c r="BB98" s="38"/>
      <c r="BC98" s="36"/>
      <c r="BD98" s="36"/>
      <c r="BE98" s="36"/>
      <c r="BF98" s="36"/>
    </row>
    <row r="99" spans="1:58" s="44" customFormat="1" ht="30" x14ac:dyDescent="0.2">
      <c r="A99" s="45" t="str">
        <f>"502.17.23"</f>
        <v>502.17.23</v>
      </c>
      <c r="B99" s="47" t="s">
        <v>912</v>
      </c>
      <c r="C99" s="46">
        <f>CE_RegimeContributivo!B269</f>
        <v>0</v>
      </c>
      <c r="D99" s="46">
        <f>CE_RegimeContributivo!C269</f>
        <v>0</v>
      </c>
      <c r="E99" s="46">
        <f>CE_RegimeContributivo!E269</f>
        <v>0</v>
      </c>
      <c r="F99" s="46">
        <f>CE_RegimeContributivo!S269</f>
        <v>0</v>
      </c>
      <c r="G99" s="60" t="e">
        <f t="shared" si="62"/>
        <v>#DIV/0!</v>
      </c>
      <c r="H99" s="60" t="e">
        <f t="shared" si="63"/>
        <v>#DIV/0!</v>
      </c>
      <c r="I99" s="46">
        <f>CE_RegimeNaoContributivo!B269</f>
        <v>0</v>
      </c>
      <c r="J99" s="46">
        <f>CE_RegimeNaoContributivo!C269</f>
        <v>0</v>
      </c>
      <c r="K99" s="46">
        <f>CE_RegimeNaoContributivo!E269</f>
        <v>0</v>
      </c>
      <c r="L99" s="46">
        <f>CE_RegimeNaoContributivo!S269</f>
        <v>0</v>
      </c>
      <c r="M99" s="60" t="e">
        <f t="shared" si="65"/>
        <v>#DIV/0!</v>
      </c>
      <c r="N99" s="60" t="e">
        <f t="shared" si="66"/>
        <v>#DIV/0!</v>
      </c>
      <c r="O99" s="46">
        <f>CE_AdministraçãoINSS!B269</f>
        <v>0</v>
      </c>
      <c r="P99" s="46">
        <f>CE_AdministraçãoINSS!C269</f>
        <v>0</v>
      </c>
      <c r="Q99" s="46">
        <f>CE_AdministraçãoINSS!E269</f>
        <v>0</v>
      </c>
      <c r="R99" s="46">
        <f>CE_AdministraçãoINSS!S269</f>
        <v>0</v>
      </c>
      <c r="S99" s="60" t="e">
        <f t="shared" si="68"/>
        <v>#DIV/0!</v>
      </c>
      <c r="T99" s="60" t="e">
        <f t="shared" si="69"/>
        <v>#DIV/0!</v>
      </c>
      <c r="U99" s="46">
        <f t="shared" si="70"/>
        <v>0</v>
      </c>
      <c r="V99" s="46">
        <f t="shared" si="70"/>
        <v>0</v>
      </c>
      <c r="W99" s="46">
        <f t="shared" si="70"/>
        <v>0</v>
      </c>
      <c r="X99" s="46">
        <f t="shared" si="70"/>
        <v>0</v>
      </c>
      <c r="Y99" s="60" t="e">
        <f t="shared" si="71"/>
        <v>#DIV/0!</v>
      </c>
      <c r="Z99" s="60" t="e">
        <f t="shared" si="72"/>
        <v>#DIV/0!</v>
      </c>
      <c r="AA99" s="46">
        <f>CE_AdministraçãoFRSS!B269</f>
        <v>0</v>
      </c>
      <c r="AB99" s="46">
        <f>CE_AdministraçãoFRSS!C269</f>
        <v>0</v>
      </c>
      <c r="AC99" s="46">
        <f>CE_AdministraçãoFRSS!E269</f>
        <v>0</v>
      </c>
      <c r="AD99" s="46">
        <f>CE_AdministraçãoFRSS!S269</f>
        <v>0</v>
      </c>
      <c r="AE99" s="60" t="e">
        <f t="shared" si="74"/>
        <v>#DIV/0!</v>
      </c>
      <c r="AF99" s="60" t="e">
        <f t="shared" si="75"/>
        <v>#DIV/0!</v>
      </c>
      <c r="AG99" s="46">
        <f t="shared" si="76"/>
        <v>0</v>
      </c>
      <c r="AH99" s="46">
        <f t="shared" si="76"/>
        <v>0</v>
      </c>
      <c r="AI99" s="46">
        <f t="shared" si="76"/>
        <v>0</v>
      </c>
      <c r="AJ99" s="46">
        <f t="shared" si="76"/>
        <v>0</v>
      </c>
      <c r="AK99" s="60" t="e">
        <f t="shared" si="77"/>
        <v>#DIV/0!</v>
      </c>
      <c r="AL99" s="60" t="e">
        <f t="shared" si="78"/>
        <v>#DIV/0!</v>
      </c>
      <c r="AM99" s="46">
        <f t="shared" si="79"/>
        <v>0</v>
      </c>
      <c r="AN99" s="46">
        <f t="shared" si="79"/>
        <v>0</v>
      </c>
      <c r="AO99" s="46">
        <f t="shared" si="79"/>
        <v>0</v>
      </c>
      <c r="AP99" s="46">
        <f t="shared" si="79"/>
        <v>0</v>
      </c>
      <c r="AQ99" s="60" t="e">
        <f t="shared" si="80"/>
        <v>#DIV/0!</v>
      </c>
      <c r="AR99" s="60" t="e">
        <f t="shared" si="81"/>
        <v>#DIV/0!</v>
      </c>
      <c r="AT99" s="38"/>
      <c r="AU99" s="38"/>
      <c r="AV99" s="38"/>
      <c r="AW99" s="38"/>
      <c r="AY99" s="38"/>
      <c r="AZ99" s="38"/>
      <c r="BA99" s="38"/>
      <c r="BB99" s="38"/>
      <c r="BC99" s="36"/>
      <c r="BD99" s="36"/>
      <c r="BE99" s="36"/>
      <c r="BF99" s="36"/>
    </row>
    <row r="100" spans="1:58" s="44" customFormat="1" x14ac:dyDescent="0.2">
      <c r="A100" s="45" t="str">
        <f>"502.17.24"</f>
        <v>502.17.24</v>
      </c>
      <c r="B100" s="47" t="s">
        <v>913</v>
      </c>
      <c r="C100" s="46">
        <f>CE_RegimeContributivo!B270</f>
        <v>0</v>
      </c>
      <c r="D100" s="46">
        <f>CE_RegimeContributivo!C270</f>
        <v>0</v>
      </c>
      <c r="E100" s="46">
        <f>CE_RegimeContributivo!E270</f>
        <v>0</v>
      </c>
      <c r="F100" s="46">
        <f>CE_RegimeContributivo!S270</f>
        <v>0</v>
      </c>
      <c r="G100" s="60" t="e">
        <f t="shared" si="62"/>
        <v>#DIV/0!</v>
      </c>
      <c r="H100" s="60" t="e">
        <f t="shared" si="63"/>
        <v>#DIV/0!</v>
      </c>
      <c r="I100" s="46">
        <f>CE_RegimeNaoContributivo!B270</f>
        <v>0</v>
      </c>
      <c r="J100" s="46">
        <f>CE_RegimeNaoContributivo!C270</f>
        <v>0</v>
      </c>
      <c r="K100" s="46">
        <f>CE_RegimeNaoContributivo!E270</f>
        <v>0</v>
      </c>
      <c r="L100" s="46">
        <f>CE_RegimeNaoContributivo!S270</f>
        <v>0</v>
      </c>
      <c r="M100" s="60" t="e">
        <f t="shared" si="65"/>
        <v>#DIV/0!</v>
      </c>
      <c r="N100" s="60" t="e">
        <f t="shared" si="66"/>
        <v>#DIV/0!</v>
      </c>
      <c r="O100" s="46">
        <f>CE_AdministraçãoINSS!B270</f>
        <v>0</v>
      </c>
      <c r="P100" s="46">
        <f>CE_AdministraçãoINSS!C270</f>
        <v>0</v>
      </c>
      <c r="Q100" s="46">
        <f>CE_AdministraçãoINSS!E270</f>
        <v>0</v>
      </c>
      <c r="R100" s="46">
        <f>CE_AdministraçãoINSS!S270</f>
        <v>0</v>
      </c>
      <c r="S100" s="60" t="e">
        <f t="shared" si="68"/>
        <v>#DIV/0!</v>
      </c>
      <c r="T100" s="60" t="e">
        <f t="shared" si="69"/>
        <v>#DIV/0!</v>
      </c>
      <c r="U100" s="46">
        <f t="shared" si="70"/>
        <v>0</v>
      </c>
      <c r="V100" s="46">
        <f t="shared" si="70"/>
        <v>0</v>
      </c>
      <c r="W100" s="46">
        <f t="shared" si="70"/>
        <v>0</v>
      </c>
      <c r="X100" s="46">
        <f t="shared" si="70"/>
        <v>0</v>
      </c>
      <c r="Y100" s="60" t="e">
        <f t="shared" si="71"/>
        <v>#DIV/0!</v>
      </c>
      <c r="Z100" s="60" t="e">
        <f t="shared" si="72"/>
        <v>#DIV/0!</v>
      </c>
      <c r="AA100" s="46">
        <f>CE_AdministraçãoFRSS!B270</f>
        <v>0</v>
      </c>
      <c r="AB100" s="46">
        <f>CE_AdministraçãoFRSS!C270</f>
        <v>0</v>
      </c>
      <c r="AC100" s="46">
        <f>CE_AdministraçãoFRSS!E270</f>
        <v>0</v>
      </c>
      <c r="AD100" s="46">
        <f>CE_AdministraçãoFRSS!S270</f>
        <v>0</v>
      </c>
      <c r="AE100" s="60" t="e">
        <f t="shared" si="74"/>
        <v>#DIV/0!</v>
      </c>
      <c r="AF100" s="60" t="e">
        <f t="shared" si="75"/>
        <v>#DIV/0!</v>
      </c>
      <c r="AG100" s="46">
        <f t="shared" si="76"/>
        <v>0</v>
      </c>
      <c r="AH100" s="46">
        <f t="shared" si="76"/>
        <v>0</v>
      </c>
      <c r="AI100" s="46">
        <f t="shared" si="76"/>
        <v>0</v>
      </c>
      <c r="AJ100" s="46">
        <f t="shared" si="76"/>
        <v>0</v>
      </c>
      <c r="AK100" s="60" t="e">
        <f t="shared" si="77"/>
        <v>#DIV/0!</v>
      </c>
      <c r="AL100" s="60" t="e">
        <f t="shared" si="78"/>
        <v>#DIV/0!</v>
      </c>
      <c r="AM100" s="46">
        <f t="shared" si="79"/>
        <v>0</v>
      </c>
      <c r="AN100" s="46">
        <f t="shared" si="79"/>
        <v>0</v>
      </c>
      <c r="AO100" s="46">
        <f t="shared" si="79"/>
        <v>0</v>
      </c>
      <c r="AP100" s="46">
        <f t="shared" si="79"/>
        <v>0</v>
      </c>
      <c r="AQ100" s="60" t="e">
        <f t="shared" si="80"/>
        <v>#DIV/0!</v>
      </c>
      <c r="AR100" s="60" t="e">
        <f t="shared" si="81"/>
        <v>#DIV/0!</v>
      </c>
      <c r="AT100" s="38"/>
      <c r="AU100" s="38"/>
      <c r="AV100" s="38"/>
      <c r="AW100" s="38"/>
      <c r="AY100" s="38"/>
      <c r="AZ100" s="38"/>
      <c r="BA100" s="38"/>
      <c r="BB100" s="38"/>
      <c r="BC100" s="36"/>
      <c r="BD100" s="36"/>
      <c r="BE100" s="36"/>
      <c r="BF100" s="36"/>
    </row>
    <row r="101" spans="1:58" s="44" customFormat="1" x14ac:dyDescent="0.2">
      <c r="A101" s="45" t="str">
        <f>"502.17.25"</f>
        <v>502.17.25</v>
      </c>
      <c r="B101" s="47" t="s">
        <v>914</v>
      </c>
      <c r="C101" s="46">
        <f>CE_RegimeContributivo!B271</f>
        <v>0</v>
      </c>
      <c r="D101" s="46">
        <f>CE_RegimeContributivo!C271</f>
        <v>0</v>
      </c>
      <c r="E101" s="46">
        <f>CE_RegimeContributivo!E271</f>
        <v>0</v>
      </c>
      <c r="F101" s="46">
        <f>CE_RegimeContributivo!S271</f>
        <v>0</v>
      </c>
      <c r="G101" s="60" t="e">
        <f t="shared" si="62"/>
        <v>#DIV/0!</v>
      </c>
      <c r="H101" s="60" t="e">
        <f t="shared" si="63"/>
        <v>#DIV/0!</v>
      </c>
      <c r="I101" s="46">
        <f>CE_RegimeNaoContributivo!B271</f>
        <v>0</v>
      </c>
      <c r="J101" s="46">
        <f>CE_RegimeNaoContributivo!C271</f>
        <v>0</v>
      </c>
      <c r="K101" s="46">
        <f>CE_RegimeNaoContributivo!E271</f>
        <v>0</v>
      </c>
      <c r="L101" s="46">
        <f>CE_RegimeNaoContributivo!S271</f>
        <v>0</v>
      </c>
      <c r="M101" s="60" t="e">
        <f t="shared" si="65"/>
        <v>#DIV/0!</v>
      </c>
      <c r="N101" s="60" t="e">
        <f t="shared" si="66"/>
        <v>#DIV/0!</v>
      </c>
      <c r="O101" s="46">
        <f>CE_AdministraçãoINSS!B271</f>
        <v>0</v>
      </c>
      <c r="P101" s="46">
        <f>CE_AdministraçãoINSS!C271</f>
        <v>0</v>
      </c>
      <c r="Q101" s="46">
        <f>CE_AdministraçãoINSS!E271</f>
        <v>0</v>
      </c>
      <c r="R101" s="46">
        <f>CE_AdministraçãoINSS!S271</f>
        <v>0</v>
      </c>
      <c r="S101" s="60" t="e">
        <f t="shared" si="68"/>
        <v>#DIV/0!</v>
      </c>
      <c r="T101" s="60" t="e">
        <f t="shared" si="69"/>
        <v>#DIV/0!</v>
      </c>
      <c r="U101" s="46">
        <f t="shared" si="70"/>
        <v>0</v>
      </c>
      <c r="V101" s="46">
        <f t="shared" si="70"/>
        <v>0</v>
      </c>
      <c r="W101" s="46">
        <f t="shared" si="70"/>
        <v>0</v>
      </c>
      <c r="X101" s="46">
        <f t="shared" si="70"/>
        <v>0</v>
      </c>
      <c r="Y101" s="60" t="e">
        <f t="shared" si="71"/>
        <v>#DIV/0!</v>
      </c>
      <c r="Z101" s="60" t="e">
        <f t="shared" si="72"/>
        <v>#DIV/0!</v>
      </c>
      <c r="AA101" s="46">
        <f>CE_AdministraçãoFRSS!B271</f>
        <v>0</v>
      </c>
      <c r="AB101" s="46">
        <f>CE_AdministraçãoFRSS!C271</f>
        <v>0</v>
      </c>
      <c r="AC101" s="46">
        <f>CE_AdministraçãoFRSS!E271</f>
        <v>0</v>
      </c>
      <c r="AD101" s="46">
        <f>CE_AdministraçãoFRSS!S271</f>
        <v>0</v>
      </c>
      <c r="AE101" s="60" t="e">
        <f t="shared" si="74"/>
        <v>#DIV/0!</v>
      </c>
      <c r="AF101" s="60" t="e">
        <f t="shared" si="75"/>
        <v>#DIV/0!</v>
      </c>
      <c r="AG101" s="46">
        <f t="shared" si="76"/>
        <v>0</v>
      </c>
      <c r="AH101" s="46">
        <f t="shared" si="76"/>
        <v>0</v>
      </c>
      <c r="AI101" s="46">
        <f t="shared" si="76"/>
        <v>0</v>
      </c>
      <c r="AJ101" s="46">
        <f t="shared" si="76"/>
        <v>0</v>
      </c>
      <c r="AK101" s="60" t="e">
        <f t="shared" si="77"/>
        <v>#DIV/0!</v>
      </c>
      <c r="AL101" s="60" t="e">
        <f t="shared" si="78"/>
        <v>#DIV/0!</v>
      </c>
      <c r="AM101" s="46">
        <f t="shared" si="79"/>
        <v>0</v>
      </c>
      <c r="AN101" s="46">
        <f t="shared" si="79"/>
        <v>0</v>
      </c>
      <c r="AO101" s="46">
        <f t="shared" si="79"/>
        <v>0</v>
      </c>
      <c r="AP101" s="46">
        <f t="shared" si="79"/>
        <v>0</v>
      </c>
      <c r="AQ101" s="60" t="e">
        <f t="shared" si="80"/>
        <v>#DIV/0!</v>
      </c>
      <c r="AR101" s="60" t="e">
        <f t="shared" si="81"/>
        <v>#DIV/0!</v>
      </c>
      <c r="AT101" s="38"/>
      <c r="AU101" s="38"/>
      <c r="AV101" s="38"/>
      <c r="AW101" s="38"/>
      <c r="AY101" s="38"/>
      <c r="AZ101" s="38"/>
      <c r="BA101" s="38"/>
      <c r="BB101" s="38"/>
      <c r="BC101" s="36"/>
      <c r="BD101" s="36"/>
      <c r="BE101" s="36"/>
      <c r="BF101" s="36"/>
    </row>
    <row r="102" spans="1:58" s="44" customFormat="1" x14ac:dyDescent="0.2">
      <c r="A102" s="45" t="str">
        <f>"502.17.26"</f>
        <v>502.17.26</v>
      </c>
      <c r="B102" s="47" t="s">
        <v>915</v>
      </c>
      <c r="C102" s="46">
        <f>CE_RegimeContributivo!B272</f>
        <v>0</v>
      </c>
      <c r="D102" s="46">
        <f>CE_RegimeContributivo!C272</f>
        <v>0</v>
      </c>
      <c r="E102" s="46">
        <f>CE_RegimeContributivo!E272</f>
        <v>0</v>
      </c>
      <c r="F102" s="46">
        <f>CE_RegimeContributivo!S272</f>
        <v>0</v>
      </c>
      <c r="G102" s="60" t="e">
        <f t="shared" si="62"/>
        <v>#DIV/0!</v>
      </c>
      <c r="H102" s="60" t="e">
        <f t="shared" si="63"/>
        <v>#DIV/0!</v>
      </c>
      <c r="I102" s="46">
        <f>CE_RegimeNaoContributivo!B272</f>
        <v>0</v>
      </c>
      <c r="J102" s="46">
        <f>CE_RegimeNaoContributivo!C272</f>
        <v>0</v>
      </c>
      <c r="K102" s="46">
        <f>CE_RegimeNaoContributivo!E272</f>
        <v>0</v>
      </c>
      <c r="L102" s="46">
        <f>CE_RegimeNaoContributivo!S272</f>
        <v>0</v>
      </c>
      <c r="M102" s="60" t="e">
        <f t="shared" si="65"/>
        <v>#DIV/0!</v>
      </c>
      <c r="N102" s="60" t="e">
        <f t="shared" si="66"/>
        <v>#DIV/0!</v>
      </c>
      <c r="O102" s="46">
        <f>CE_AdministraçãoINSS!B272</f>
        <v>0</v>
      </c>
      <c r="P102" s="46">
        <f>CE_AdministraçãoINSS!C272</f>
        <v>3500</v>
      </c>
      <c r="Q102" s="46">
        <f>CE_AdministraçãoINSS!E272</f>
        <v>0</v>
      </c>
      <c r="R102" s="46">
        <f>CE_AdministraçãoINSS!S272</f>
        <v>0</v>
      </c>
      <c r="S102" s="60">
        <f t="shared" si="68"/>
        <v>0</v>
      </c>
      <c r="T102" s="60">
        <f t="shared" si="69"/>
        <v>0</v>
      </c>
      <c r="U102" s="46">
        <f t="shared" si="70"/>
        <v>0</v>
      </c>
      <c r="V102" s="46">
        <f t="shared" si="70"/>
        <v>3500</v>
      </c>
      <c r="W102" s="46">
        <f t="shared" si="70"/>
        <v>0</v>
      </c>
      <c r="X102" s="46">
        <f t="shared" si="70"/>
        <v>0</v>
      </c>
      <c r="Y102" s="60">
        <f t="shared" si="71"/>
        <v>0</v>
      </c>
      <c r="Z102" s="60">
        <f t="shared" si="72"/>
        <v>0</v>
      </c>
      <c r="AA102" s="46">
        <f>CE_AdministraçãoFRSS!B272</f>
        <v>0</v>
      </c>
      <c r="AB102" s="46">
        <f>CE_AdministraçãoFRSS!C272</f>
        <v>0</v>
      </c>
      <c r="AC102" s="46">
        <f>CE_AdministraçãoFRSS!E272</f>
        <v>0</v>
      </c>
      <c r="AD102" s="46">
        <f>CE_AdministraçãoFRSS!S272</f>
        <v>0</v>
      </c>
      <c r="AE102" s="60" t="e">
        <f t="shared" si="74"/>
        <v>#DIV/0!</v>
      </c>
      <c r="AF102" s="60" t="e">
        <f t="shared" si="75"/>
        <v>#DIV/0!</v>
      </c>
      <c r="AG102" s="46">
        <f t="shared" si="76"/>
        <v>0</v>
      </c>
      <c r="AH102" s="46">
        <f t="shared" si="76"/>
        <v>0</v>
      </c>
      <c r="AI102" s="46">
        <f t="shared" si="76"/>
        <v>0</v>
      </c>
      <c r="AJ102" s="46">
        <f t="shared" si="76"/>
        <v>0</v>
      </c>
      <c r="AK102" s="60" t="e">
        <f t="shared" si="77"/>
        <v>#DIV/0!</v>
      </c>
      <c r="AL102" s="60" t="e">
        <f t="shared" si="78"/>
        <v>#DIV/0!</v>
      </c>
      <c r="AM102" s="46">
        <f t="shared" si="79"/>
        <v>0</v>
      </c>
      <c r="AN102" s="46">
        <f t="shared" si="79"/>
        <v>3500</v>
      </c>
      <c r="AO102" s="46">
        <f t="shared" si="79"/>
        <v>0</v>
      </c>
      <c r="AP102" s="46">
        <f t="shared" si="79"/>
        <v>0</v>
      </c>
      <c r="AQ102" s="60">
        <f t="shared" si="80"/>
        <v>0</v>
      </c>
      <c r="AR102" s="60">
        <f t="shared" si="81"/>
        <v>0</v>
      </c>
      <c r="AT102" s="38"/>
      <c r="AU102" s="38"/>
      <c r="AV102" s="38"/>
      <c r="AW102" s="38"/>
      <c r="AY102" s="38"/>
      <c r="AZ102" s="38"/>
      <c r="BA102" s="38"/>
      <c r="BB102" s="38"/>
      <c r="BC102" s="36"/>
      <c r="BD102" s="36"/>
      <c r="BE102" s="36"/>
      <c r="BF102" s="36"/>
    </row>
    <row r="103" spans="1:58" s="44" customFormat="1" x14ac:dyDescent="0.2">
      <c r="A103" s="41" t="str">
        <f>"502.18"</f>
        <v>502.18</v>
      </c>
      <c r="B103" s="42" t="s">
        <v>130</v>
      </c>
      <c r="C103" s="43">
        <f>SUM(C104:C107)</f>
        <v>0</v>
      </c>
      <c r="D103" s="43">
        <f>SUM(D104:D107)</f>
        <v>0</v>
      </c>
      <c r="E103" s="43">
        <f>SUM(E104:E107)</f>
        <v>0</v>
      </c>
      <c r="F103" s="43">
        <f t="shared" ref="F103" si="86">SUM(F104:F107)</f>
        <v>0</v>
      </c>
      <c r="G103" s="59" t="e">
        <f t="shared" si="62"/>
        <v>#DIV/0!</v>
      </c>
      <c r="H103" s="59" t="e">
        <f t="shared" si="63"/>
        <v>#DIV/0!</v>
      </c>
      <c r="I103" s="43">
        <f>SUM(I104:I107)</f>
        <v>0</v>
      </c>
      <c r="J103" s="43">
        <f>SUM(J104:J107)</f>
        <v>0</v>
      </c>
      <c r="K103" s="43">
        <f t="shared" ref="K103:L103" si="87">SUM(K104:K107)</f>
        <v>0</v>
      </c>
      <c r="L103" s="43">
        <f t="shared" si="87"/>
        <v>0</v>
      </c>
      <c r="M103" s="59" t="e">
        <f t="shared" si="65"/>
        <v>#DIV/0!</v>
      </c>
      <c r="N103" s="59" t="e">
        <f t="shared" si="66"/>
        <v>#DIV/0!</v>
      </c>
      <c r="O103" s="43">
        <f>SUM(O104:O107)</f>
        <v>63600</v>
      </c>
      <c r="P103" s="43">
        <f>SUM(P104:P107)</f>
        <v>60100</v>
      </c>
      <c r="Q103" s="43">
        <f t="shared" ref="Q103:R103" si="88">SUM(Q104:Q107)</f>
        <v>26901.600000000002</v>
      </c>
      <c r="R103" s="43">
        <f t="shared" si="88"/>
        <v>26901.599999999995</v>
      </c>
      <c r="S103" s="59">
        <f t="shared" si="68"/>
        <v>0.44761397670549075</v>
      </c>
      <c r="T103" s="59">
        <f t="shared" si="69"/>
        <v>0.44761397670549091</v>
      </c>
      <c r="U103" s="43">
        <f t="shared" si="70"/>
        <v>63600</v>
      </c>
      <c r="V103" s="43">
        <f t="shared" si="70"/>
        <v>60100</v>
      </c>
      <c r="W103" s="43">
        <f t="shared" si="70"/>
        <v>26901.600000000002</v>
      </c>
      <c r="X103" s="43">
        <f t="shared" si="70"/>
        <v>26901.599999999995</v>
      </c>
      <c r="Y103" s="59">
        <f t="shared" si="71"/>
        <v>0.44761397670549075</v>
      </c>
      <c r="Z103" s="59">
        <f t="shared" si="72"/>
        <v>0.44761397670549091</v>
      </c>
      <c r="AA103" s="43">
        <f>SUM(AA104:AA107)</f>
        <v>9600</v>
      </c>
      <c r="AB103" s="43">
        <f>SUM(AB104:AB107)</f>
        <v>2922</v>
      </c>
      <c r="AC103" s="43">
        <f t="shared" ref="AC103:AD103" si="89">SUM(AC104:AC107)</f>
        <v>1811.28</v>
      </c>
      <c r="AD103" s="43">
        <f t="shared" si="89"/>
        <v>1811.28</v>
      </c>
      <c r="AE103" s="59">
        <f t="shared" si="74"/>
        <v>0.61987679671457907</v>
      </c>
      <c r="AF103" s="59">
        <f t="shared" si="75"/>
        <v>0.61987679671457907</v>
      </c>
      <c r="AG103" s="43">
        <f t="shared" si="76"/>
        <v>9600</v>
      </c>
      <c r="AH103" s="43">
        <f t="shared" si="76"/>
        <v>2922</v>
      </c>
      <c r="AI103" s="43">
        <f t="shared" si="76"/>
        <v>1811.28</v>
      </c>
      <c r="AJ103" s="43">
        <f t="shared" si="76"/>
        <v>1811.28</v>
      </c>
      <c r="AK103" s="59">
        <f t="shared" si="77"/>
        <v>0.61987679671457907</v>
      </c>
      <c r="AL103" s="59">
        <f t="shared" si="78"/>
        <v>0.61987679671457907</v>
      </c>
      <c r="AM103" s="43">
        <f t="shared" si="79"/>
        <v>73200</v>
      </c>
      <c r="AN103" s="43">
        <f t="shared" si="79"/>
        <v>63022</v>
      </c>
      <c r="AO103" s="43">
        <f t="shared" si="79"/>
        <v>28712.880000000001</v>
      </c>
      <c r="AP103" s="43">
        <f t="shared" si="79"/>
        <v>28712.879999999994</v>
      </c>
      <c r="AQ103" s="59">
        <f t="shared" si="80"/>
        <v>0.45560090127257136</v>
      </c>
      <c r="AR103" s="59">
        <f t="shared" si="81"/>
        <v>0.45560090127257152</v>
      </c>
      <c r="AT103" s="38"/>
      <c r="AU103" s="38"/>
      <c r="AV103" s="38"/>
      <c r="AW103" s="38"/>
      <c r="AY103" s="38"/>
      <c r="AZ103" s="38"/>
      <c r="BA103" s="38"/>
      <c r="BB103" s="38"/>
      <c r="BC103" s="36"/>
      <c r="BD103" s="36"/>
      <c r="BE103" s="36"/>
      <c r="BF103" s="36"/>
    </row>
    <row r="104" spans="1:58" x14ac:dyDescent="0.2">
      <c r="A104" s="45" t="str">
        <f>"502.18.01"</f>
        <v>502.18.01</v>
      </c>
      <c r="B104" s="47" t="s">
        <v>916</v>
      </c>
      <c r="C104" s="46">
        <f>CE_RegimeContributivo!B274</f>
        <v>0</v>
      </c>
      <c r="D104" s="46">
        <f>CE_RegimeContributivo!C274</f>
        <v>0</v>
      </c>
      <c r="E104" s="46">
        <f>CE_RegimeContributivo!E274</f>
        <v>0</v>
      </c>
      <c r="F104" s="46">
        <f>CE_RegimeContributivo!S274</f>
        <v>0</v>
      </c>
      <c r="G104" s="60" t="e">
        <f t="shared" si="62"/>
        <v>#DIV/0!</v>
      </c>
      <c r="H104" s="60" t="e">
        <f t="shared" si="63"/>
        <v>#DIV/0!</v>
      </c>
      <c r="I104" s="46">
        <f>CE_RegimeNaoContributivo!B274</f>
        <v>0</v>
      </c>
      <c r="J104" s="46">
        <f>CE_RegimeNaoContributivo!C274</f>
        <v>0</v>
      </c>
      <c r="K104" s="46">
        <f>CE_RegimeNaoContributivo!E274</f>
        <v>0</v>
      </c>
      <c r="L104" s="46">
        <f>CE_RegimeNaoContributivo!S274</f>
        <v>0</v>
      </c>
      <c r="M104" s="60" t="e">
        <f t="shared" si="65"/>
        <v>#DIV/0!</v>
      </c>
      <c r="N104" s="60" t="e">
        <f t="shared" si="66"/>
        <v>#DIV/0!</v>
      </c>
      <c r="O104" s="46">
        <f>CE_AdministraçãoINSS!B274</f>
        <v>7800</v>
      </c>
      <c r="P104" s="46">
        <f>CE_AdministraçãoINSS!C274</f>
        <v>4300</v>
      </c>
      <c r="Q104" s="46">
        <f>CE_AdministraçãoINSS!E274</f>
        <v>174</v>
      </c>
      <c r="R104" s="46">
        <f>CE_AdministraçãoINSS!S274</f>
        <v>174</v>
      </c>
      <c r="S104" s="60">
        <f t="shared" si="68"/>
        <v>4.046511627906977E-2</v>
      </c>
      <c r="T104" s="60">
        <f t="shared" si="69"/>
        <v>4.046511627906977E-2</v>
      </c>
      <c r="U104" s="46">
        <f t="shared" si="70"/>
        <v>7800</v>
      </c>
      <c r="V104" s="46">
        <f t="shared" si="70"/>
        <v>4300</v>
      </c>
      <c r="W104" s="46">
        <f t="shared" si="70"/>
        <v>174</v>
      </c>
      <c r="X104" s="46">
        <f t="shared" si="70"/>
        <v>174</v>
      </c>
      <c r="Y104" s="60">
        <f t="shared" si="71"/>
        <v>4.046511627906977E-2</v>
      </c>
      <c r="Z104" s="60">
        <f t="shared" si="72"/>
        <v>4.046511627906977E-2</v>
      </c>
      <c r="AA104" s="46">
        <f>CE_AdministraçãoFRSS!B274</f>
        <v>0</v>
      </c>
      <c r="AB104" s="46">
        <f>CE_AdministraçãoFRSS!C274</f>
        <v>0</v>
      </c>
      <c r="AC104" s="46">
        <f>CE_AdministraçãoFRSS!E274</f>
        <v>0</v>
      </c>
      <c r="AD104" s="46">
        <f>CE_AdministraçãoFRSS!S274</f>
        <v>0</v>
      </c>
      <c r="AE104" s="60" t="e">
        <f t="shared" si="74"/>
        <v>#DIV/0!</v>
      </c>
      <c r="AF104" s="60" t="e">
        <f t="shared" si="75"/>
        <v>#DIV/0!</v>
      </c>
      <c r="AG104" s="46">
        <f t="shared" si="76"/>
        <v>0</v>
      </c>
      <c r="AH104" s="46">
        <f t="shared" si="76"/>
        <v>0</v>
      </c>
      <c r="AI104" s="46">
        <f t="shared" si="76"/>
        <v>0</v>
      </c>
      <c r="AJ104" s="46">
        <f t="shared" si="76"/>
        <v>0</v>
      </c>
      <c r="AK104" s="60" t="e">
        <f t="shared" si="77"/>
        <v>#DIV/0!</v>
      </c>
      <c r="AL104" s="60" t="e">
        <f t="shared" si="78"/>
        <v>#DIV/0!</v>
      </c>
      <c r="AM104" s="46">
        <f t="shared" si="79"/>
        <v>7800</v>
      </c>
      <c r="AN104" s="46">
        <f t="shared" si="79"/>
        <v>4300</v>
      </c>
      <c r="AO104" s="46">
        <f t="shared" si="79"/>
        <v>174</v>
      </c>
      <c r="AP104" s="46">
        <f t="shared" si="79"/>
        <v>174</v>
      </c>
      <c r="AQ104" s="702">
        <f t="shared" si="80"/>
        <v>4.046511627906977E-2</v>
      </c>
      <c r="AR104" s="60">
        <f t="shared" si="81"/>
        <v>4.046511627906977E-2</v>
      </c>
      <c r="AT104" s="38"/>
      <c r="AU104" s="38"/>
      <c r="AV104" s="38"/>
      <c r="AW104" s="38"/>
      <c r="AY104" s="38"/>
      <c r="AZ104" s="38"/>
      <c r="BA104" s="38"/>
      <c r="BB104" s="38"/>
    </row>
    <row r="105" spans="1:58" x14ac:dyDescent="0.2">
      <c r="A105" s="45" t="str">
        <f>"502.18.02"</f>
        <v>502.18.02</v>
      </c>
      <c r="B105" s="47" t="s">
        <v>917</v>
      </c>
      <c r="C105" s="46">
        <f>CE_RegimeContributivo!B275</f>
        <v>0</v>
      </c>
      <c r="D105" s="46">
        <f>CE_RegimeContributivo!C275</f>
        <v>0</v>
      </c>
      <c r="E105" s="46">
        <f>CE_RegimeContributivo!E275</f>
        <v>0</v>
      </c>
      <c r="F105" s="46">
        <f>CE_RegimeContributivo!S275</f>
        <v>0</v>
      </c>
      <c r="G105" s="60" t="e">
        <f t="shared" si="62"/>
        <v>#DIV/0!</v>
      </c>
      <c r="H105" s="60" t="e">
        <f t="shared" si="63"/>
        <v>#DIV/0!</v>
      </c>
      <c r="I105" s="46">
        <f>CE_RegimeNaoContributivo!B275</f>
        <v>0</v>
      </c>
      <c r="J105" s="46">
        <f>CE_RegimeNaoContributivo!C275</f>
        <v>0</v>
      </c>
      <c r="K105" s="46">
        <f>CE_RegimeNaoContributivo!E275</f>
        <v>0</v>
      </c>
      <c r="L105" s="46">
        <f>CE_RegimeNaoContributivo!S275</f>
        <v>0</v>
      </c>
      <c r="M105" s="60" t="e">
        <f t="shared" si="65"/>
        <v>#DIV/0!</v>
      </c>
      <c r="N105" s="60" t="e">
        <f t="shared" si="66"/>
        <v>#DIV/0!</v>
      </c>
      <c r="O105" s="46">
        <f>CE_AdministraçãoINSS!B275</f>
        <v>55800</v>
      </c>
      <c r="P105" s="46">
        <f>CE_AdministraçãoINSS!C275</f>
        <v>55800</v>
      </c>
      <c r="Q105" s="46">
        <f>CE_AdministraçãoINSS!E275</f>
        <v>26727.600000000002</v>
      </c>
      <c r="R105" s="46">
        <f>CE_AdministraçãoINSS!S275</f>
        <v>26727.599999999995</v>
      </c>
      <c r="S105" s="60">
        <f t="shared" si="68"/>
        <v>0.47898924731182785</v>
      </c>
      <c r="T105" s="60">
        <f t="shared" si="69"/>
        <v>0.47898924731182801</v>
      </c>
      <c r="U105" s="46">
        <f t="shared" si="70"/>
        <v>55800</v>
      </c>
      <c r="V105" s="46">
        <f t="shared" si="70"/>
        <v>55800</v>
      </c>
      <c r="W105" s="46">
        <f t="shared" si="70"/>
        <v>26727.600000000002</v>
      </c>
      <c r="X105" s="46">
        <f t="shared" si="70"/>
        <v>26727.599999999995</v>
      </c>
      <c r="Y105" s="60">
        <f t="shared" si="71"/>
        <v>0.47898924731182785</v>
      </c>
      <c r="Z105" s="60">
        <f t="shared" si="72"/>
        <v>0.47898924731182801</v>
      </c>
      <c r="AA105" s="46">
        <f>CE_AdministraçãoFRSS!B275</f>
        <v>9600</v>
      </c>
      <c r="AB105" s="46">
        <f>CE_AdministraçãoFRSS!C275</f>
        <v>2922</v>
      </c>
      <c r="AC105" s="46">
        <f>CE_AdministraçãoFRSS!E275</f>
        <v>1811.28</v>
      </c>
      <c r="AD105" s="46">
        <f>CE_AdministraçãoFRSS!S275</f>
        <v>1811.28</v>
      </c>
      <c r="AE105" s="60">
        <f t="shared" si="74"/>
        <v>0.61987679671457907</v>
      </c>
      <c r="AF105" s="60">
        <f t="shared" si="75"/>
        <v>0.61987679671457907</v>
      </c>
      <c r="AG105" s="46">
        <f t="shared" si="76"/>
        <v>9600</v>
      </c>
      <c r="AH105" s="46">
        <f t="shared" si="76"/>
        <v>2922</v>
      </c>
      <c r="AI105" s="46">
        <f t="shared" si="76"/>
        <v>1811.28</v>
      </c>
      <c r="AJ105" s="46">
        <f t="shared" si="76"/>
        <v>1811.28</v>
      </c>
      <c r="AK105" s="60">
        <f t="shared" si="77"/>
        <v>0.61987679671457907</v>
      </c>
      <c r="AL105" s="60">
        <f t="shared" si="78"/>
        <v>0.61987679671457907</v>
      </c>
      <c r="AM105" s="46">
        <f t="shared" si="79"/>
        <v>65400</v>
      </c>
      <c r="AN105" s="46">
        <f t="shared" si="79"/>
        <v>58722</v>
      </c>
      <c r="AO105" s="46">
        <f t="shared" si="79"/>
        <v>28538.880000000001</v>
      </c>
      <c r="AP105" s="46">
        <f t="shared" si="79"/>
        <v>28538.879999999994</v>
      </c>
      <c r="AQ105" s="702">
        <f t="shared" si="80"/>
        <v>0.48599979564728712</v>
      </c>
      <c r="AR105" s="60">
        <f t="shared" si="81"/>
        <v>0.48599979564728724</v>
      </c>
      <c r="AT105" s="38"/>
      <c r="AU105" s="38"/>
      <c r="AV105" s="38"/>
      <c r="AW105" s="38"/>
      <c r="AY105" s="38"/>
      <c r="AZ105" s="38"/>
      <c r="BA105" s="38"/>
      <c r="BB105" s="38"/>
    </row>
    <row r="106" spans="1:58" x14ac:dyDescent="0.2">
      <c r="A106" s="45" t="str">
        <f>"502.18.03"</f>
        <v>502.18.03</v>
      </c>
      <c r="B106" s="47" t="s">
        <v>918</v>
      </c>
      <c r="C106" s="46">
        <f>CE_RegimeContributivo!B276</f>
        <v>0</v>
      </c>
      <c r="D106" s="46">
        <f>CE_RegimeContributivo!C276</f>
        <v>0</v>
      </c>
      <c r="E106" s="46">
        <f>CE_RegimeContributivo!E276</f>
        <v>0</v>
      </c>
      <c r="F106" s="46">
        <f>CE_RegimeContributivo!S276</f>
        <v>0</v>
      </c>
      <c r="G106" s="60" t="e">
        <f t="shared" si="62"/>
        <v>#DIV/0!</v>
      </c>
      <c r="H106" s="60" t="e">
        <f t="shared" si="63"/>
        <v>#DIV/0!</v>
      </c>
      <c r="I106" s="46">
        <f>CE_RegimeNaoContributivo!B276</f>
        <v>0</v>
      </c>
      <c r="J106" s="46">
        <f>CE_RegimeNaoContributivo!C276</f>
        <v>0</v>
      </c>
      <c r="K106" s="46">
        <f>CE_RegimeNaoContributivo!E276</f>
        <v>0</v>
      </c>
      <c r="L106" s="46">
        <f>CE_RegimeNaoContributivo!S276</f>
        <v>0</v>
      </c>
      <c r="M106" s="60" t="e">
        <f t="shared" si="65"/>
        <v>#DIV/0!</v>
      </c>
      <c r="N106" s="60" t="e">
        <f t="shared" si="66"/>
        <v>#DIV/0!</v>
      </c>
      <c r="O106" s="46">
        <f>CE_AdministraçãoINSS!B276</f>
        <v>0</v>
      </c>
      <c r="P106" s="46">
        <f>CE_AdministraçãoINSS!C276</f>
        <v>0</v>
      </c>
      <c r="Q106" s="46">
        <f>CE_AdministraçãoINSS!E276</f>
        <v>0</v>
      </c>
      <c r="R106" s="46">
        <f>CE_AdministraçãoINSS!S276</f>
        <v>0</v>
      </c>
      <c r="S106" s="60" t="e">
        <f t="shared" si="68"/>
        <v>#DIV/0!</v>
      </c>
      <c r="T106" s="60" t="e">
        <f t="shared" si="69"/>
        <v>#DIV/0!</v>
      </c>
      <c r="U106" s="46">
        <f t="shared" si="70"/>
        <v>0</v>
      </c>
      <c r="V106" s="46">
        <f t="shared" si="70"/>
        <v>0</v>
      </c>
      <c r="W106" s="46">
        <f t="shared" si="70"/>
        <v>0</v>
      </c>
      <c r="X106" s="46">
        <f t="shared" si="70"/>
        <v>0</v>
      </c>
      <c r="Y106" s="60" t="e">
        <f t="shared" si="71"/>
        <v>#DIV/0!</v>
      </c>
      <c r="Z106" s="60" t="e">
        <f t="shared" si="72"/>
        <v>#DIV/0!</v>
      </c>
      <c r="AA106" s="46">
        <f>CE_AdministraçãoFRSS!B276</f>
        <v>0</v>
      </c>
      <c r="AB106" s="46">
        <f>CE_AdministraçãoFRSS!C276</f>
        <v>0</v>
      </c>
      <c r="AC106" s="46">
        <f>CE_AdministraçãoFRSS!E276</f>
        <v>0</v>
      </c>
      <c r="AD106" s="46">
        <f>CE_AdministraçãoFRSS!S276</f>
        <v>0</v>
      </c>
      <c r="AE106" s="60" t="e">
        <f t="shared" si="74"/>
        <v>#DIV/0!</v>
      </c>
      <c r="AF106" s="60" t="e">
        <f t="shared" si="75"/>
        <v>#DIV/0!</v>
      </c>
      <c r="AG106" s="46">
        <f t="shared" si="76"/>
        <v>0</v>
      </c>
      <c r="AH106" s="46">
        <f t="shared" si="76"/>
        <v>0</v>
      </c>
      <c r="AI106" s="46">
        <f t="shared" si="76"/>
        <v>0</v>
      </c>
      <c r="AJ106" s="46">
        <f t="shared" si="76"/>
        <v>0</v>
      </c>
      <c r="AK106" s="60" t="e">
        <f t="shared" si="77"/>
        <v>#DIV/0!</v>
      </c>
      <c r="AL106" s="60" t="e">
        <f t="shared" si="78"/>
        <v>#DIV/0!</v>
      </c>
      <c r="AM106" s="46">
        <f t="shared" si="79"/>
        <v>0</v>
      </c>
      <c r="AN106" s="46">
        <f t="shared" si="79"/>
        <v>0</v>
      </c>
      <c r="AO106" s="46">
        <f t="shared" si="79"/>
        <v>0</v>
      </c>
      <c r="AP106" s="46">
        <f t="shared" si="79"/>
        <v>0</v>
      </c>
      <c r="AQ106" s="60" t="e">
        <f t="shared" si="80"/>
        <v>#DIV/0!</v>
      </c>
      <c r="AR106" s="60" t="e">
        <f t="shared" si="81"/>
        <v>#DIV/0!</v>
      </c>
      <c r="AT106" s="38"/>
      <c r="AU106" s="38"/>
      <c r="AV106" s="38"/>
      <c r="AW106" s="38"/>
      <c r="AY106" s="38"/>
      <c r="AZ106" s="38"/>
      <c r="BA106" s="38"/>
      <c r="BB106" s="38"/>
    </row>
    <row r="107" spans="1:58" x14ac:dyDescent="0.2">
      <c r="A107" s="45" t="str">
        <f>"502.18.04"</f>
        <v>502.18.04</v>
      </c>
      <c r="B107" s="47" t="s">
        <v>919</v>
      </c>
      <c r="C107" s="46">
        <f>CE_RegimeContributivo!B277</f>
        <v>0</v>
      </c>
      <c r="D107" s="46">
        <f>CE_RegimeContributivo!C277</f>
        <v>0</v>
      </c>
      <c r="E107" s="46">
        <f>CE_RegimeContributivo!E277</f>
        <v>0</v>
      </c>
      <c r="F107" s="46">
        <f>CE_RegimeContributivo!S277</f>
        <v>0</v>
      </c>
      <c r="G107" s="60" t="e">
        <f t="shared" si="62"/>
        <v>#DIV/0!</v>
      </c>
      <c r="H107" s="60" t="e">
        <f t="shared" si="63"/>
        <v>#DIV/0!</v>
      </c>
      <c r="I107" s="46">
        <f>CE_RegimeNaoContributivo!B277</f>
        <v>0</v>
      </c>
      <c r="J107" s="46">
        <f>CE_RegimeNaoContributivo!C277</f>
        <v>0</v>
      </c>
      <c r="K107" s="46">
        <f>CE_RegimeNaoContributivo!E277</f>
        <v>0</v>
      </c>
      <c r="L107" s="46">
        <f>CE_RegimeNaoContributivo!S277</f>
        <v>0</v>
      </c>
      <c r="M107" s="60" t="e">
        <f t="shared" si="65"/>
        <v>#DIV/0!</v>
      </c>
      <c r="N107" s="60" t="e">
        <f t="shared" si="66"/>
        <v>#DIV/0!</v>
      </c>
      <c r="O107" s="46">
        <f>CE_AdministraçãoINSS!B277</f>
        <v>0</v>
      </c>
      <c r="P107" s="46">
        <f>CE_AdministraçãoINSS!C277</f>
        <v>0</v>
      </c>
      <c r="Q107" s="46">
        <f>CE_AdministraçãoINSS!E277</f>
        <v>0</v>
      </c>
      <c r="R107" s="46">
        <f>CE_AdministraçãoINSS!S277</f>
        <v>0</v>
      </c>
      <c r="S107" s="60" t="e">
        <f t="shared" si="68"/>
        <v>#DIV/0!</v>
      </c>
      <c r="T107" s="60" t="e">
        <f t="shared" si="69"/>
        <v>#DIV/0!</v>
      </c>
      <c r="U107" s="46">
        <f t="shared" si="70"/>
        <v>0</v>
      </c>
      <c r="V107" s="46">
        <f t="shared" si="70"/>
        <v>0</v>
      </c>
      <c r="W107" s="46">
        <f t="shared" si="70"/>
        <v>0</v>
      </c>
      <c r="X107" s="46">
        <f t="shared" si="70"/>
        <v>0</v>
      </c>
      <c r="Y107" s="60" t="e">
        <f t="shared" si="71"/>
        <v>#DIV/0!</v>
      </c>
      <c r="Z107" s="60" t="e">
        <f t="shared" si="72"/>
        <v>#DIV/0!</v>
      </c>
      <c r="AA107" s="46">
        <f>CE_AdministraçãoFRSS!B277</f>
        <v>0</v>
      </c>
      <c r="AB107" s="46">
        <f>CE_AdministraçãoFRSS!C277</f>
        <v>0</v>
      </c>
      <c r="AC107" s="46">
        <f>CE_AdministraçãoFRSS!E277</f>
        <v>0</v>
      </c>
      <c r="AD107" s="46">
        <f>CE_AdministraçãoFRSS!S277</f>
        <v>0</v>
      </c>
      <c r="AE107" s="60" t="e">
        <f t="shared" si="74"/>
        <v>#DIV/0!</v>
      </c>
      <c r="AF107" s="60" t="e">
        <f t="shared" si="75"/>
        <v>#DIV/0!</v>
      </c>
      <c r="AG107" s="46">
        <f t="shared" si="76"/>
        <v>0</v>
      </c>
      <c r="AH107" s="46">
        <f t="shared" si="76"/>
        <v>0</v>
      </c>
      <c r="AI107" s="46">
        <f t="shared" si="76"/>
        <v>0</v>
      </c>
      <c r="AJ107" s="46">
        <f t="shared" si="76"/>
        <v>0</v>
      </c>
      <c r="AK107" s="60" t="e">
        <f t="shared" si="77"/>
        <v>#DIV/0!</v>
      </c>
      <c r="AL107" s="60" t="e">
        <f t="shared" si="78"/>
        <v>#DIV/0!</v>
      </c>
      <c r="AM107" s="46">
        <f t="shared" si="79"/>
        <v>0</v>
      </c>
      <c r="AN107" s="46">
        <f t="shared" si="79"/>
        <v>0</v>
      </c>
      <c r="AO107" s="46">
        <f t="shared" si="79"/>
        <v>0</v>
      </c>
      <c r="AP107" s="46">
        <f t="shared" si="79"/>
        <v>0</v>
      </c>
      <c r="AQ107" s="60" t="e">
        <f t="shared" si="80"/>
        <v>#DIV/0!</v>
      </c>
      <c r="AR107" s="60" t="e">
        <f t="shared" si="81"/>
        <v>#DIV/0!</v>
      </c>
      <c r="AT107" s="38"/>
      <c r="AU107" s="38"/>
      <c r="AV107" s="38"/>
      <c r="AW107" s="38"/>
      <c r="AY107" s="38"/>
      <c r="AZ107" s="38"/>
      <c r="BA107" s="38"/>
      <c r="BB107" s="38"/>
    </row>
    <row r="108" spans="1:58" s="44" customFormat="1" x14ac:dyDescent="0.2">
      <c r="A108" s="41" t="str">
        <f>"502.19"</f>
        <v>502.19</v>
      </c>
      <c r="B108" s="42" t="s">
        <v>131</v>
      </c>
      <c r="C108" s="43">
        <f>SUM(C109:C114)</f>
        <v>0</v>
      </c>
      <c r="D108" s="43">
        <f>SUM(D109:D114)</f>
        <v>0</v>
      </c>
      <c r="E108" s="43">
        <f>SUM(E109:E114)</f>
        <v>0</v>
      </c>
      <c r="F108" s="43">
        <f t="shared" ref="F108" si="90">SUM(F109:F114)</f>
        <v>0</v>
      </c>
      <c r="G108" s="59" t="e">
        <f t="shared" si="62"/>
        <v>#DIV/0!</v>
      </c>
      <c r="H108" s="59" t="e">
        <f t="shared" si="63"/>
        <v>#DIV/0!</v>
      </c>
      <c r="I108" s="43">
        <f>SUM(I109:I114)</f>
        <v>0</v>
      </c>
      <c r="J108" s="43">
        <f>SUM(J109:J114)</f>
        <v>0</v>
      </c>
      <c r="K108" s="43">
        <f t="shared" ref="K108:L108" si="91">SUM(K109:K114)</f>
        <v>0</v>
      </c>
      <c r="L108" s="43">
        <f t="shared" si="91"/>
        <v>0</v>
      </c>
      <c r="M108" s="59" t="e">
        <f t="shared" si="65"/>
        <v>#DIV/0!</v>
      </c>
      <c r="N108" s="59" t="e">
        <f t="shared" si="66"/>
        <v>#DIV/0!</v>
      </c>
      <c r="O108" s="43">
        <f>SUM(O109:O114)</f>
        <v>158140</v>
      </c>
      <c r="P108" s="43">
        <f>SUM(P109:P114)</f>
        <v>158140</v>
      </c>
      <c r="Q108" s="43">
        <f t="shared" ref="Q108:R108" si="92">SUM(Q109:Q114)</f>
        <v>124900</v>
      </c>
      <c r="R108" s="43">
        <f t="shared" si="92"/>
        <v>72505</v>
      </c>
      <c r="S108" s="59">
        <f t="shared" si="68"/>
        <v>0.45848615151131911</v>
      </c>
      <c r="T108" s="59">
        <f t="shared" si="69"/>
        <v>0.78980650056911594</v>
      </c>
      <c r="U108" s="43">
        <f t="shared" si="70"/>
        <v>158140</v>
      </c>
      <c r="V108" s="43">
        <f t="shared" si="70"/>
        <v>158140</v>
      </c>
      <c r="W108" s="43">
        <f t="shared" si="70"/>
        <v>124900</v>
      </c>
      <c r="X108" s="43">
        <f t="shared" si="70"/>
        <v>72505</v>
      </c>
      <c r="Y108" s="59">
        <f t="shared" si="71"/>
        <v>0.45848615151131911</v>
      </c>
      <c r="Z108" s="59">
        <f t="shared" si="72"/>
        <v>0.78980650056911594</v>
      </c>
      <c r="AA108" s="43">
        <f>SUM(AA109:AA114)</f>
        <v>3600</v>
      </c>
      <c r="AB108" s="43">
        <f>SUM(AB109:AB114)</f>
        <v>6960</v>
      </c>
      <c r="AC108" s="43">
        <f t="shared" ref="AC108:AD108" si="93">SUM(AC109:AC114)</f>
        <v>2400</v>
      </c>
      <c r="AD108" s="43">
        <f t="shared" si="93"/>
        <v>2400</v>
      </c>
      <c r="AE108" s="59">
        <f t="shared" si="74"/>
        <v>0.34482758620689657</v>
      </c>
      <c r="AF108" s="59">
        <f t="shared" si="75"/>
        <v>0.34482758620689657</v>
      </c>
      <c r="AG108" s="43">
        <f t="shared" si="76"/>
        <v>3600</v>
      </c>
      <c r="AH108" s="43">
        <f t="shared" si="76"/>
        <v>6960</v>
      </c>
      <c r="AI108" s="43">
        <f t="shared" si="76"/>
        <v>2400</v>
      </c>
      <c r="AJ108" s="43">
        <f t="shared" si="76"/>
        <v>2400</v>
      </c>
      <c r="AK108" s="59">
        <f t="shared" si="77"/>
        <v>0.34482758620689657</v>
      </c>
      <c r="AL108" s="59">
        <f t="shared" si="78"/>
        <v>0.34482758620689657</v>
      </c>
      <c r="AM108" s="43">
        <f t="shared" si="79"/>
        <v>161740</v>
      </c>
      <c r="AN108" s="43">
        <f t="shared" si="79"/>
        <v>165100</v>
      </c>
      <c r="AO108" s="43">
        <f t="shared" si="79"/>
        <v>127300</v>
      </c>
      <c r="AP108" s="43">
        <f t="shared" si="79"/>
        <v>74905</v>
      </c>
      <c r="AQ108" s="59">
        <f t="shared" si="80"/>
        <v>0.45369473046638403</v>
      </c>
      <c r="AR108" s="59">
        <f t="shared" si="81"/>
        <v>0.77104784978800722</v>
      </c>
      <c r="AT108" s="38"/>
      <c r="AU108" s="38"/>
      <c r="AV108" s="38"/>
      <c r="AW108" s="38"/>
      <c r="AY108" s="38"/>
      <c r="AZ108" s="38"/>
      <c r="BA108" s="38"/>
      <c r="BB108" s="38"/>
      <c r="BC108" s="36"/>
      <c r="BD108" s="36"/>
      <c r="BE108" s="36"/>
      <c r="BF108" s="36"/>
    </row>
    <row r="109" spans="1:58" x14ac:dyDescent="0.2">
      <c r="A109" s="45" t="str">
        <f>"502.19.01"</f>
        <v>502.19.01</v>
      </c>
      <c r="B109" s="47" t="s">
        <v>920</v>
      </c>
      <c r="C109" s="46">
        <f>CE_RegimeContributivo!B279</f>
        <v>0</v>
      </c>
      <c r="D109" s="46">
        <f>CE_RegimeContributivo!C279</f>
        <v>0</v>
      </c>
      <c r="E109" s="46">
        <f>CE_RegimeContributivo!E279</f>
        <v>0</v>
      </c>
      <c r="F109" s="46">
        <f>CE_RegimeContributivo!S279</f>
        <v>0</v>
      </c>
      <c r="G109" s="60" t="e">
        <f t="shared" si="62"/>
        <v>#DIV/0!</v>
      </c>
      <c r="H109" s="60" t="e">
        <f t="shared" si="63"/>
        <v>#DIV/0!</v>
      </c>
      <c r="I109" s="46">
        <f>CE_RegimeNaoContributivo!B279</f>
        <v>0</v>
      </c>
      <c r="J109" s="46">
        <f>CE_RegimeNaoContributivo!C279</f>
        <v>0</v>
      </c>
      <c r="K109" s="46">
        <f>CE_RegimeNaoContributivo!E279</f>
        <v>0</v>
      </c>
      <c r="L109" s="46">
        <f>CE_RegimeNaoContributivo!S279</f>
        <v>0</v>
      </c>
      <c r="M109" s="60" t="e">
        <f t="shared" si="65"/>
        <v>#DIV/0!</v>
      </c>
      <c r="N109" s="60" t="e">
        <f t="shared" si="66"/>
        <v>#DIV/0!</v>
      </c>
      <c r="O109" s="46">
        <f>CE_AdministraçãoINSS!B279</f>
        <v>0</v>
      </c>
      <c r="P109" s="46">
        <f>CE_AdministraçãoINSS!C279</f>
        <v>0</v>
      </c>
      <c r="Q109" s="46">
        <f>CE_AdministraçãoINSS!E279</f>
        <v>0</v>
      </c>
      <c r="R109" s="46">
        <f>CE_AdministraçãoINSS!S279</f>
        <v>0</v>
      </c>
      <c r="S109" s="60" t="e">
        <f t="shared" si="68"/>
        <v>#DIV/0!</v>
      </c>
      <c r="T109" s="60" t="e">
        <f t="shared" si="69"/>
        <v>#DIV/0!</v>
      </c>
      <c r="U109" s="46">
        <f t="shared" si="70"/>
        <v>0</v>
      </c>
      <c r="V109" s="46">
        <f t="shared" si="70"/>
        <v>0</v>
      </c>
      <c r="W109" s="46">
        <f t="shared" si="70"/>
        <v>0</v>
      </c>
      <c r="X109" s="46">
        <f t="shared" si="70"/>
        <v>0</v>
      </c>
      <c r="Y109" s="60" t="e">
        <f t="shared" si="71"/>
        <v>#DIV/0!</v>
      </c>
      <c r="Z109" s="60" t="e">
        <f t="shared" si="72"/>
        <v>#DIV/0!</v>
      </c>
      <c r="AA109" s="46">
        <f>CE_AdministraçãoFRSS!B279</f>
        <v>0</v>
      </c>
      <c r="AB109" s="46">
        <f>CE_AdministraçãoFRSS!C279</f>
        <v>0</v>
      </c>
      <c r="AC109" s="46">
        <f>CE_AdministraçãoFRSS!E279</f>
        <v>0</v>
      </c>
      <c r="AD109" s="46">
        <f>CE_AdministraçãoFRSS!S279</f>
        <v>0</v>
      </c>
      <c r="AE109" s="60" t="e">
        <f t="shared" si="74"/>
        <v>#DIV/0!</v>
      </c>
      <c r="AF109" s="60" t="e">
        <f t="shared" si="75"/>
        <v>#DIV/0!</v>
      </c>
      <c r="AG109" s="46">
        <f t="shared" si="76"/>
        <v>0</v>
      </c>
      <c r="AH109" s="46">
        <f t="shared" si="76"/>
        <v>0</v>
      </c>
      <c r="AI109" s="46">
        <f t="shared" si="76"/>
        <v>0</v>
      </c>
      <c r="AJ109" s="46">
        <f t="shared" si="76"/>
        <v>0</v>
      </c>
      <c r="AK109" s="60" t="e">
        <f t="shared" si="77"/>
        <v>#DIV/0!</v>
      </c>
      <c r="AL109" s="60" t="e">
        <f t="shared" si="78"/>
        <v>#DIV/0!</v>
      </c>
      <c r="AM109" s="46">
        <f t="shared" si="79"/>
        <v>0</v>
      </c>
      <c r="AN109" s="46">
        <f t="shared" si="79"/>
        <v>0</v>
      </c>
      <c r="AO109" s="46">
        <f t="shared" si="79"/>
        <v>0</v>
      </c>
      <c r="AP109" s="46">
        <f t="shared" si="79"/>
        <v>0</v>
      </c>
      <c r="AQ109" s="60" t="e">
        <f t="shared" si="80"/>
        <v>#DIV/0!</v>
      </c>
      <c r="AR109" s="60" t="e">
        <f t="shared" si="81"/>
        <v>#DIV/0!</v>
      </c>
      <c r="AT109" s="38"/>
      <c r="AU109" s="38"/>
      <c r="AV109" s="38"/>
      <c r="AW109" s="38"/>
      <c r="AY109" s="38"/>
      <c r="AZ109" s="38"/>
      <c r="BA109" s="38"/>
      <c r="BB109" s="38"/>
    </row>
    <row r="110" spans="1:58" x14ac:dyDescent="0.2">
      <c r="A110" s="45" t="str">
        <f>"502.19.02"</f>
        <v>502.19.02</v>
      </c>
      <c r="B110" s="47" t="s">
        <v>921</v>
      </c>
      <c r="C110" s="46">
        <f>CE_RegimeContributivo!B280</f>
        <v>0</v>
      </c>
      <c r="D110" s="46">
        <f>CE_RegimeContributivo!C280</f>
        <v>0</v>
      </c>
      <c r="E110" s="46">
        <f>CE_RegimeContributivo!E280</f>
        <v>0</v>
      </c>
      <c r="F110" s="46">
        <f>CE_RegimeContributivo!S280</f>
        <v>0</v>
      </c>
      <c r="G110" s="60" t="e">
        <f t="shared" si="62"/>
        <v>#DIV/0!</v>
      </c>
      <c r="H110" s="60" t="e">
        <f t="shared" si="63"/>
        <v>#DIV/0!</v>
      </c>
      <c r="I110" s="46">
        <f>CE_RegimeNaoContributivo!B280</f>
        <v>0</v>
      </c>
      <c r="J110" s="46">
        <f>CE_RegimeNaoContributivo!C280</f>
        <v>0</v>
      </c>
      <c r="K110" s="46">
        <f>CE_RegimeNaoContributivo!E280</f>
        <v>0</v>
      </c>
      <c r="L110" s="46">
        <f>CE_RegimeNaoContributivo!S280</f>
        <v>0</v>
      </c>
      <c r="M110" s="60" t="e">
        <f t="shared" si="65"/>
        <v>#DIV/0!</v>
      </c>
      <c r="N110" s="60" t="e">
        <f t="shared" si="66"/>
        <v>#DIV/0!</v>
      </c>
      <c r="O110" s="46">
        <f>CE_AdministraçãoINSS!B280</f>
        <v>30000</v>
      </c>
      <c r="P110" s="46">
        <f>CE_AdministraçãoINSS!C280</f>
        <v>30000</v>
      </c>
      <c r="Q110" s="46">
        <f>CE_AdministraçãoINSS!E280</f>
        <v>30000</v>
      </c>
      <c r="R110" s="46">
        <f>CE_AdministraçãoINSS!S280</f>
        <v>30000</v>
      </c>
      <c r="S110" s="60">
        <f t="shared" si="68"/>
        <v>1</v>
      </c>
      <c r="T110" s="60">
        <f t="shared" si="69"/>
        <v>1</v>
      </c>
      <c r="U110" s="46">
        <f t="shared" si="70"/>
        <v>30000</v>
      </c>
      <c r="V110" s="46">
        <f t="shared" si="70"/>
        <v>30000</v>
      </c>
      <c r="W110" s="46">
        <f t="shared" si="70"/>
        <v>30000</v>
      </c>
      <c r="X110" s="46">
        <f t="shared" si="70"/>
        <v>30000</v>
      </c>
      <c r="Y110" s="60">
        <f t="shared" si="71"/>
        <v>1</v>
      </c>
      <c r="Z110" s="60">
        <f t="shared" si="72"/>
        <v>1</v>
      </c>
      <c r="AA110" s="46">
        <f>CE_AdministraçãoFRSS!B280</f>
        <v>2400</v>
      </c>
      <c r="AB110" s="46">
        <f>CE_AdministraçãoFRSS!C280</f>
        <v>2400</v>
      </c>
      <c r="AC110" s="46">
        <f>CE_AdministraçãoFRSS!E280</f>
        <v>2400</v>
      </c>
      <c r="AD110" s="46">
        <f>CE_AdministraçãoFRSS!S280</f>
        <v>2400</v>
      </c>
      <c r="AE110" s="60">
        <f t="shared" si="74"/>
        <v>1</v>
      </c>
      <c r="AF110" s="60">
        <f t="shared" si="75"/>
        <v>1</v>
      </c>
      <c r="AG110" s="46">
        <f t="shared" si="76"/>
        <v>2400</v>
      </c>
      <c r="AH110" s="46">
        <f t="shared" si="76"/>
        <v>2400</v>
      </c>
      <c r="AI110" s="46">
        <f t="shared" si="76"/>
        <v>2400</v>
      </c>
      <c r="AJ110" s="46">
        <f t="shared" si="76"/>
        <v>2400</v>
      </c>
      <c r="AK110" s="60">
        <f t="shared" si="77"/>
        <v>1</v>
      </c>
      <c r="AL110" s="60">
        <f t="shared" si="78"/>
        <v>1</v>
      </c>
      <c r="AM110" s="46">
        <f t="shared" si="79"/>
        <v>32400</v>
      </c>
      <c r="AN110" s="46">
        <f t="shared" si="79"/>
        <v>32400</v>
      </c>
      <c r="AO110" s="46">
        <f t="shared" si="79"/>
        <v>32400</v>
      </c>
      <c r="AP110" s="46">
        <f t="shared" si="79"/>
        <v>32400</v>
      </c>
      <c r="AQ110" s="60">
        <f t="shared" si="80"/>
        <v>1</v>
      </c>
      <c r="AR110" s="60">
        <f t="shared" si="81"/>
        <v>1</v>
      </c>
      <c r="AT110" s="38"/>
      <c r="AU110" s="38"/>
      <c r="AV110" s="38"/>
      <c r="AW110" s="38"/>
      <c r="AY110" s="38"/>
      <c r="AZ110" s="38"/>
      <c r="BA110" s="38"/>
      <c r="BB110" s="38"/>
    </row>
    <row r="111" spans="1:58" x14ac:dyDescent="0.2">
      <c r="A111" s="45" t="str">
        <f>"502.19.03"</f>
        <v>502.19.03</v>
      </c>
      <c r="B111" s="47" t="s">
        <v>922</v>
      </c>
      <c r="C111" s="46">
        <f>CE_RegimeContributivo!B281</f>
        <v>0</v>
      </c>
      <c r="D111" s="46">
        <f>CE_RegimeContributivo!C281</f>
        <v>0</v>
      </c>
      <c r="E111" s="46">
        <f>CE_RegimeContributivo!E281</f>
        <v>0</v>
      </c>
      <c r="F111" s="46">
        <f>CE_RegimeContributivo!S281</f>
        <v>0</v>
      </c>
      <c r="G111" s="60" t="e">
        <f t="shared" si="62"/>
        <v>#DIV/0!</v>
      </c>
      <c r="H111" s="60" t="e">
        <f t="shared" si="63"/>
        <v>#DIV/0!</v>
      </c>
      <c r="I111" s="46">
        <f>CE_RegimeNaoContributivo!B281</f>
        <v>0</v>
      </c>
      <c r="J111" s="46">
        <f>CE_RegimeNaoContributivo!C281</f>
        <v>0</v>
      </c>
      <c r="K111" s="46">
        <f>CE_RegimeNaoContributivo!E281</f>
        <v>0</v>
      </c>
      <c r="L111" s="46">
        <f>CE_RegimeNaoContributivo!S281</f>
        <v>0</v>
      </c>
      <c r="M111" s="60" t="e">
        <f t="shared" si="65"/>
        <v>#DIV/0!</v>
      </c>
      <c r="N111" s="60" t="e">
        <f t="shared" si="66"/>
        <v>#DIV/0!</v>
      </c>
      <c r="O111" s="46">
        <f>CE_AdministraçãoINSS!B281</f>
        <v>128140</v>
      </c>
      <c r="P111" s="46">
        <f>CE_AdministraçãoINSS!C281</f>
        <v>128140</v>
      </c>
      <c r="Q111" s="46">
        <f>CE_AdministraçãoINSS!E281</f>
        <v>94900</v>
      </c>
      <c r="R111" s="46">
        <f>CE_AdministraçãoINSS!S281</f>
        <v>42505</v>
      </c>
      <c r="S111" s="60">
        <f t="shared" si="68"/>
        <v>0.3317075074137662</v>
      </c>
      <c r="T111" s="60">
        <f t="shared" si="69"/>
        <v>0.74059622288122362</v>
      </c>
      <c r="U111" s="46">
        <f t="shared" si="70"/>
        <v>128140</v>
      </c>
      <c r="V111" s="46">
        <f t="shared" si="70"/>
        <v>128140</v>
      </c>
      <c r="W111" s="46">
        <f t="shared" si="70"/>
        <v>94900</v>
      </c>
      <c r="X111" s="46">
        <f t="shared" si="70"/>
        <v>42505</v>
      </c>
      <c r="Y111" s="60">
        <f t="shared" si="71"/>
        <v>0.3317075074137662</v>
      </c>
      <c r="Z111" s="60">
        <f t="shared" si="72"/>
        <v>0.74059622288122362</v>
      </c>
      <c r="AA111" s="46">
        <f>CE_AdministraçãoFRSS!B281</f>
        <v>1200</v>
      </c>
      <c r="AB111" s="46">
        <f>CE_AdministraçãoFRSS!C281</f>
        <v>4560</v>
      </c>
      <c r="AC111" s="46">
        <f>CE_AdministraçãoFRSS!E281</f>
        <v>0</v>
      </c>
      <c r="AD111" s="46">
        <f>CE_AdministraçãoFRSS!S281</f>
        <v>0</v>
      </c>
      <c r="AE111" s="60">
        <f t="shared" si="74"/>
        <v>0</v>
      </c>
      <c r="AF111" s="60">
        <f t="shared" si="75"/>
        <v>0</v>
      </c>
      <c r="AG111" s="46">
        <f t="shared" si="76"/>
        <v>1200</v>
      </c>
      <c r="AH111" s="46">
        <f t="shared" si="76"/>
        <v>4560</v>
      </c>
      <c r="AI111" s="46">
        <f t="shared" si="76"/>
        <v>0</v>
      </c>
      <c r="AJ111" s="46">
        <f t="shared" si="76"/>
        <v>0</v>
      </c>
      <c r="AK111" s="60">
        <f t="shared" si="77"/>
        <v>0</v>
      </c>
      <c r="AL111" s="60">
        <f t="shared" si="78"/>
        <v>0</v>
      </c>
      <c r="AM111" s="46">
        <f t="shared" si="79"/>
        <v>129340</v>
      </c>
      <c r="AN111" s="46">
        <f t="shared" si="79"/>
        <v>132700</v>
      </c>
      <c r="AO111" s="46">
        <f t="shared" si="79"/>
        <v>94900</v>
      </c>
      <c r="AP111" s="46">
        <f t="shared" si="79"/>
        <v>42505</v>
      </c>
      <c r="AQ111" s="702">
        <f t="shared" si="80"/>
        <v>0.32030896759608141</v>
      </c>
      <c r="AR111" s="60">
        <f t="shared" si="81"/>
        <v>0.71514694800301437</v>
      </c>
      <c r="AT111" s="38"/>
      <c r="AU111" s="38"/>
      <c r="AV111" s="38"/>
      <c r="AW111" s="38"/>
      <c r="AY111" s="38"/>
      <c r="AZ111" s="38"/>
      <c r="BA111" s="38"/>
      <c r="BB111" s="38"/>
    </row>
    <row r="112" spans="1:58" x14ac:dyDescent="0.2">
      <c r="A112" s="45" t="str">
        <f>"502.19.04"</f>
        <v>502.19.04</v>
      </c>
      <c r="B112" s="47" t="s">
        <v>923</v>
      </c>
      <c r="C112" s="46">
        <f>CE_RegimeContributivo!B282</f>
        <v>0</v>
      </c>
      <c r="D112" s="46">
        <f>CE_RegimeContributivo!C282</f>
        <v>0</v>
      </c>
      <c r="E112" s="46">
        <f>CE_RegimeContributivo!E282</f>
        <v>0</v>
      </c>
      <c r="F112" s="46">
        <f>CE_RegimeContributivo!S282</f>
        <v>0</v>
      </c>
      <c r="G112" s="60" t="e">
        <f t="shared" si="62"/>
        <v>#DIV/0!</v>
      </c>
      <c r="H112" s="60" t="e">
        <f t="shared" si="63"/>
        <v>#DIV/0!</v>
      </c>
      <c r="I112" s="46">
        <f>CE_RegimeNaoContributivo!B282</f>
        <v>0</v>
      </c>
      <c r="J112" s="46">
        <f>CE_RegimeNaoContributivo!C282</f>
        <v>0</v>
      </c>
      <c r="K112" s="46">
        <f>CE_RegimeNaoContributivo!E282</f>
        <v>0</v>
      </c>
      <c r="L112" s="46">
        <f>CE_RegimeNaoContributivo!S282</f>
        <v>0</v>
      </c>
      <c r="M112" s="60" t="e">
        <f t="shared" si="65"/>
        <v>#DIV/0!</v>
      </c>
      <c r="N112" s="60" t="e">
        <f t="shared" si="66"/>
        <v>#DIV/0!</v>
      </c>
      <c r="O112" s="46">
        <f>CE_AdministraçãoINSS!B282</f>
        <v>0</v>
      </c>
      <c r="P112" s="46">
        <f>CE_AdministraçãoINSS!C282</f>
        <v>0</v>
      </c>
      <c r="Q112" s="46">
        <f>CE_AdministraçãoINSS!E282</f>
        <v>0</v>
      </c>
      <c r="R112" s="46">
        <f>CE_AdministraçãoINSS!S282</f>
        <v>0</v>
      </c>
      <c r="S112" s="60" t="e">
        <f t="shared" si="68"/>
        <v>#DIV/0!</v>
      </c>
      <c r="T112" s="60" t="e">
        <f t="shared" si="69"/>
        <v>#DIV/0!</v>
      </c>
      <c r="U112" s="46">
        <f t="shared" si="70"/>
        <v>0</v>
      </c>
      <c r="V112" s="46">
        <f t="shared" si="70"/>
        <v>0</v>
      </c>
      <c r="W112" s="46">
        <f t="shared" si="70"/>
        <v>0</v>
      </c>
      <c r="X112" s="46">
        <f t="shared" si="70"/>
        <v>0</v>
      </c>
      <c r="Y112" s="60" t="e">
        <f t="shared" si="71"/>
        <v>#DIV/0!</v>
      </c>
      <c r="Z112" s="60" t="e">
        <f t="shared" si="72"/>
        <v>#DIV/0!</v>
      </c>
      <c r="AA112" s="46">
        <f>CE_AdministraçãoFRSS!B282</f>
        <v>0</v>
      </c>
      <c r="AB112" s="46">
        <f>CE_AdministraçãoFRSS!C282</f>
        <v>0</v>
      </c>
      <c r="AC112" s="46">
        <f>CE_AdministraçãoFRSS!E282</f>
        <v>0</v>
      </c>
      <c r="AD112" s="46">
        <f>CE_AdministraçãoFRSS!S282</f>
        <v>0</v>
      </c>
      <c r="AE112" s="60" t="e">
        <f t="shared" si="74"/>
        <v>#DIV/0!</v>
      </c>
      <c r="AF112" s="60" t="e">
        <f t="shared" si="75"/>
        <v>#DIV/0!</v>
      </c>
      <c r="AG112" s="46">
        <f t="shared" si="76"/>
        <v>0</v>
      </c>
      <c r="AH112" s="46">
        <f t="shared" si="76"/>
        <v>0</v>
      </c>
      <c r="AI112" s="46">
        <f t="shared" si="76"/>
        <v>0</v>
      </c>
      <c r="AJ112" s="46">
        <f t="shared" si="76"/>
        <v>0</v>
      </c>
      <c r="AK112" s="60" t="e">
        <f t="shared" si="77"/>
        <v>#DIV/0!</v>
      </c>
      <c r="AL112" s="60" t="e">
        <f t="shared" si="78"/>
        <v>#DIV/0!</v>
      </c>
      <c r="AM112" s="46">
        <f t="shared" si="79"/>
        <v>0</v>
      </c>
      <c r="AN112" s="46">
        <f t="shared" si="79"/>
        <v>0</v>
      </c>
      <c r="AO112" s="46">
        <f t="shared" si="79"/>
        <v>0</v>
      </c>
      <c r="AP112" s="46">
        <f t="shared" si="79"/>
        <v>0</v>
      </c>
      <c r="AQ112" s="702" t="e">
        <f t="shared" si="80"/>
        <v>#DIV/0!</v>
      </c>
      <c r="AR112" s="60" t="e">
        <f t="shared" si="81"/>
        <v>#DIV/0!</v>
      </c>
      <c r="AT112" s="38"/>
      <c r="AU112" s="38"/>
      <c r="AV112" s="38"/>
      <c r="AW112" s="38"/>
      <c r="AY112" s="38"/>
      <c r="AZ112" s="38"/>
      <c r="BA112" s="38"/>
      <c r="BB112" s="38"/>
    </row>
    <row r="113" spans="1:58" x14ac:dyDescent="0.2">
      <c r="A113" s="45" t="str">
        <f>"502.19.05"</f>
        <v>502.19.05</v>
      </c>
      <c r="B113" s="47" t="s">
        <v>924</v>
      </c>
      <c r="C113" s="46">
        <f>CE_RegimeContributivo!B283</f>
        <v>0</v>
      </c>
      <c r="D113" s="46">
        <f>CE_RegimeContributivo!C283</f>
        <v>0</v>
      </c>
      <c r="E113" s="46">
        <f>CE_RegimeContributivo!E283</f>
        <v>0</v>
      </c>
      <c r="F113" s="46">
        <f>CE_RegimeContributivo!S283</f>
        <v>0</v>
      </c>
      <c r="G113" s="60" t="e">
        <f t="shared" si="62"/>
        <v>#DIV/0!</v>
      </c>
      <c r="H113" s="60" t="e">
        <f t="shared" si="63"/>
        <v>#DIV/0!</v>
      </c>
      <c r="I113" s="46">
        <f>CE_RegimeNaoContributivo!B283</f>
        <v>0</v>
      </c>
      <c r="J113" s="46">
        <f>CE_RegimeNaoContributivo!C283</f>
        <v>0</v>
      </c>
      <c r="K113" s="46">
        <f>CE_RegimeNaoContributivo!E283</f>
        <v>0</v>
      </c>
      <c r="L113" s="46">
        <f>CE_RegimeNaoContributivo!S283</f>
        <v>0</v>
      </c>
      <c r="M113" s="60" t="e">
        <f t="shared" si="65"/>
        <v>#DIV/0!</v>
      </c>
      <c r="N113" s="60" t="e">
        <f t="shared" si="66"/>
        <v>#DIV/0!</v>
      </c>
      <c r="O113" s="46">
        <f>CE_AdministraçãoINSS!B283</f>
        <v>0</v>
      </c>
      <c r="P113" s="46">
        <f>CE_AdministraçãoINSS!C283</f>
        <v>0</v>
      </c>
      <c r="Q113" s="46">
        <f>CE_AdministraçãoINSS!E283</f>
        <v>0</v>
      </c>
      <c r="R113" s="46">
        <f>CE_AdministraçãoINSS!S283</f>
        <v>0</v>
      </c>
      <c r="S113" s="60" t="e">
        <f t="shared" si="68"/>
        <v>#DIV/0!</v>
      </c>
      <c r="T113" s="60" t="e">
        <f t="shared" si="69"/>
        <v>#DIV/0!</v>
      </c>
      <c r="U113" s="46">
        <f t="shared" si="70"/>
        <v>0</v>
      </c>
      <c r="V113" s="46">
        <f t="shared" si="70"/>
        <v>0</v>
      </c>
      <c r="W113" s="46">
        <f t="shared" si="70"/>
        <v>0</v>
      </c>
      <c r="X113" s="46">
        <f t="shared" si="70"/>
        <v>0</v>
      </c>
      <c r="Y113" s="60" t="e">
        <f t="shared" si="71"/>
        <v>#DIV/0!</v>
      </c>
      <c r="Z113" s="60" t="e">
        <f t="shared" si="72"/>
        <v>#DIV/0!</v>
      </c>
      <c r="AA113" s="46">
        <f>CE_AdministraçãoFRSS!B283</f>
        <v>0</v>
      </c>
      <c r="AB113" s="46">
        <f>CE_AdministraçãoFRSS!C283</f>
        <v>0</v>
      </c>
      <c r="AC113" s="46">
        <f>CE_AdministraçãoFRSS!E283</f>
        <v>0</v>
      </c>
      <c r="AD113" s="46">
        <f>CE_AdministraçãoFRSS!S283</f>
        <v>0</v>
      </c>
      <c r="AE113" s="60" t="e">
        <f t="shared" si="74"/>
        <v>#DIV/0!</v>
      </c>
      <c r="AF113" s="60" t="e">
        <f t="shared" si="75"/>
        <v>#DIV/0!</v>
      </c>
      <c r="AG113" s="46">
        <f t="shared" si="76"/>
        <v>0</v>
      </c>
      <c r="AH113" s="46">
        <f t="shared" si="76"/>
        <v>0</v>
      </c>
      <c r="AI113" s="46">
        <f t="shared" si="76"/>
        <v>0</v>
      </c>
      <c r="AJ113" s="46">
        <f t="shared" si="76"/>
        <v>0</v>
      </c>
      <c r="AK113" s="60" t="e">
        <f t="shared" si="77"/>
        <v>#DIV/0!</v>
      </c>
      <c r="AL113" s="60" t="e">
        <f t="shared" si="78"/>
        <v>#DIV/0!</v>
      </c>
      <c r="AM113" s="46">
        <f t="shared" si="79"/>
        <v>0</v>
      </c>
      <c r="AN113" s="46">
        <f t="shared" si="79"/>
        <v>0</v>
      </c>
      <c r="AO113" s="46">
        <f t="shared" si="79"/>
        <v>0</v>
      </c>
      <c r="AP113" s="46">
        <f t="shared" si="79"/>
        <v>0</v>
      </c>
      <c r="AQ113" s="702" t="e">
        <f t="shared" si="80"/>
        <v>#DIV/0!</v>
      </c>
      <c r="AR113" s="60" t="e">
        <f t="shared" si="81"/>
        <v>#DIV/0!</v>
      </c>
      <c r="AT113" s="38"/>
      <c r="AU113" s="38"/>
      <c r="AV113" s="38"/>
      <c r="AW113" s="38"/>
      <c r="AY113" s="38"/>
      <c r="AZ113" s="38"/>
      <c r="BA113" s="38"/>
      <c r="BB113" s="38"/>
    </row>
    <row r="114" spans="1:58" x14ac:dyDescent="0.2">
      <c r="A114" s="45" t="str">
        <f>"502.19.06"</f>
        <v>502.19.06</v>
      </c>
      <c r="B114" s="47" t="s">
        <v>925</v>
      </c>
      <c r="C114" s="46">
        <f>CE_RegimeContributivo!B284</f>
        <v>0</v>
      </c>
      <c r="D114" s="46">
        <f>CE_RegimeContributivo!C284</f>
        <v>0</v>
      </c>
      <c r="E114" s="46">
        <f>CE_RegimeContributivo!E284</f>
        <v>0</v>
      </c>
      <c r="F114" s="46">
        <f>CE_RegimeContributivo!S284</f>
        <v>0</v>
      </c>
      <c r="G114" s="60" t="e">
        <f t="shared" si="62"/>
        <v>#DIV/0!</v>
      </c>
      <c r="H114" s="60" t="e">
        <f t="shared" si="63"/>
        <v>#DIV/0!</v>
      </c>
      <c r="I114" s="46">
        <f>CE_RegimeNaoContributivo!B284</f>
        <v>0</v>
      </c>
      <c r="J114" s="46">
        <f>CE_RegimeNaoContributivo!C284</f>
        <v>0</v>
      </c>
      <c r="K114" s="46">
        <f>CE_RegimeNaoContributivo!E284</f>
        <v>0</v>
      </c>
      <c r="L114" s="46">
        <f>CE_RegimeNaoContributivo!S284</f>
        <v>0</v>
      </c>
      <c r="M114" s="60" t="e">
        <f t="shared" si="65"/>
        <v>#DIV/0!</v>
      </c>
      <c r="N114" s="60" t="e">
        <f t="shared" si="66"/>
        <v>#DIV/0!</v>
      </c>
      <c r="O114" s="46">
        <f>CE_AdministraçãoINSS!B284</f>
        <v>0</v>
      </c>
      <c r="P114" s="46">
        <f>CE_AdministraçãoINSS!C284</f>
        <v>0</v>
      </c>
      <c r="Q114" s="46">
        <f>CE_AdministraçãoINSS!E284</f>
        <v>0</v>
      </c>
      <c r="R114" s="46">
        <f>CE_AdministraçãoINSS!S284</f>
        <v>0</v>
      </c>
      <c r="S114" s="60" t="e">
        <f t="shared" si="68"/>
        <v>#DIV/0!</v>
      </c>
      <c r="T114" s="60" t="e">
        <f t="shared" si="69"/>
        <v>#DIV/0!</v>
      </c>
      <c r="U114" s="46">
        <f t="shared" si="70"/>
        <v>0</v>
      </c>
      <c r="V114" s="46">
        <f t="shared" si="70"/>
        <v>0</v>
      </c>
      <c r="W114" s="46">
        <f t="shared" si="70"/>
        <v>0</v>
      </c>
      <c r="X114" s="46">
        <f t="shared" si="70"/>
        <v>0</v>
      </c>
      <c r="Y114" s="60" t="e">
        <f t="shared" si="71"/>
        <v>#DIV/0!</v>
      </c>
      <c r="Z114" s="60" t="e">
        <f t="shared" si="72"/>
        <v>#DIV/0!</v>
      </c>
      <c r="AA114" s="46">
        <f>CE_AdministraçãoFRSS!B284</f>
        <v>0</v>
      </c>
      <c r="AB114" s="46">
        <f>CE_AdministraçãoFRSS!C284</f>
        <v>0</v>
      </c>
      <c r="AC114" s="46">
        <f>CE_AdministraçãoFRSS!E284</f>
        <v>0</v>
      </c>
      <c r="AD114" s="46">
        <f>CE_AdministraçãoFRSS!S284</f>
        <v>0</v>
      </c>
      <c r="AE114" s="60" t="e">
        <f t="shared" si="74"/>
        <v>#DIV/0!</v>
      </c>
      <c r="AF114" s="60" t="e">
        <f t="shared" si="75"/>
        <v>#DIV/0!</v>
      </c>
      <c r="AG114" s="46">
        <f t="shared" si="76"/>
        <v>0</v>
      </c>
      <c r="AH114" s="46">
        <f t="shared" si="76"/>
        <v>0</v>
      </c>
      <c r="AI114" s="46">
        <f t="shared" si="76"/>
        <v>0</v>
      </c>
      <c r="AJ114" s="46">
        <f t="shared" si="76"/>
        <v>0</v>
      </c>
      <c r="AK114" s="60" t="e">
        <f t="shared" si="77"/>
        <v>#DIV/0!</v>
      </c>
      <c r="AL114" s="60" t="e">
        <f t="shared" si="78"/>
        <v>#DIV/0!</v>
      </c>
      <c r="AM114" s="46">
        <f t="shared" si="79"/>
        <v>0</v>
      </c>
      <c r="AN114" s="46">
        <f t="shared" si="79"/>
        <v>0</v>
      </c>
      <c r="AO114" s="46">
        <f t="shared" si="79"/>
        <v>0</v>
      </c>
      <c r="AP114" s="46">
        <f t="shared" si="79"/>
        <v>0</v>
      </c>
      <c r="AQ114" s="702" t="e">
        <f t="shared" si="80"/>
        <v>#DIV/0!</v>
      </c>
      <c r="AR114" s="60" t="e">
        <f t="shared" si="81"/>
        <v>#DIV/0!</v>
      </c>
      <c r="AT114" s="38"/>
      <c r="AU114" s="38"/>
      <c r="AV114" s="38"/>
      <c r="AW114" s="38"/>
      <c r="AY114" s="38"/>
      <c r="AZ114" s="38"/>
      <c r="BA114" s="38"/>
      <c r="BB114" s="38"/>
    </row>
    <row r="115" spans="1:58" s="44" customFormat="1" x14ac:dyDescent="0.2">
      <c r="A115" s="41" t="str">
        <f>"502.20"</f>
        <v>502.20</v>
      </c>
      <c r="B115" s="42" t="s">
        <v>132</v>
      </c>
      <c r="C115" s="43">
        <f>C116+C117</f>
        <v>0</v>
      </c>
      <c r="D115" s="43">
        <f>D116+D117</f>
        <v>0</v>
      </c>
      <c r="E115" s="43">
        <f>E116+E117</f>
        <v>0</v>
      </c>
      <c r="F115" s="43">
        <f t="shared" ref="F115" si="94">F116+F117</f>
        <v>0</v>
      </c>
      <c r="G115" s="59" t="e">
        <f t="shared" si="62"/>
        <v>#DIV/0!</v>
      </c>
      <c r="H115" s="59" t="e">
        <f t="shared" si="63"/>
        <v>#DIV/0!</v>
      </c>
      <c r="I115" s="43">
        <f>I116+I117</f>
        <v>0</v>
      </c>
      <c r="J115" s="43">
        <f>J116+J117</f>
        <v>0</v>
      </c>
      <c r="K115" s="43">
        <f t="shared" ref="K115:L115" si="95">K116+K117</f>
        <v>0</v>
      </c>
      <c r="L115" s="43">
        <f t="shared" si="95"/>
        <v>0</v>
      </c>
      <c r="M115" s="59" t="e">
        <f t="shared" si="65"/>
        <v>#DIV/0!</v>
      </c>
      <c r="N115" s="59" t="e">
        <f t="shared" si="66"/>
        <v>#DIV/0!</v>
      </c>
      <c r="O115" s="43">
        <f>O116+O117</f>
        <v>99444</v>
      </c>
      <c r="P115" s="43">
        <f t="shared" ref="P115:R115" si="96">P116+P117</f>
        <v>99444</v>
      </c>
      <c r="Q115" s="43">
        <f t="shared" si="96"/>
        <v>50694</v>
      </c>
      <c r="R115" s="43">
        <f t="shared" si="96"/>
        <v>50694</v>
      </c>
      <c r="S115" s="59">
        <f t="shared" si="68"/>
        <v>0.50977434536020272</v>
      </c>
      <c r="T115" s="59">
        <f t="shared" si="69"/>
        <v>0.50977434536020272</v>
      </c>
      <c r="U115" s="43">
        <f t="shared" si="70"/>
        <v>99444</v>
      </c>
      <c r="V115" s="43">
        <f t="shared" si="70"/>
        <v>99444</v>
      </c>
      <c r="W115" s="43">
        <f t="shared" si="70"/>
        <v>50694</v>
      </c>
      <c r="X115" s="43">
        <f t="shared" si="70"/>
        <v>50694</v>
      </c>
      <c r="Y115" s="59">
        <f t="shared" si="71"/>
        <v>0.50977434536020272</v>
      </c>
      <c r="Z115" s="59">
        <f t="shared" si="72"/>
        <v>0.50977434536020272</v>
      </c>
      <c r="AA115" s="43">
        <f>AA116+AA117</f>
        <v>65000</v>
      </c>
      <c r="AB115" s="43">
        <f>AB116+AB117</f>
        <v>65000</v>
      </c>
      <c r="AC115" s="43">
        <f t="shared" ref="AC115:AD115" si="97">AC116+AC117</f>
        <v>10739.98</v>
      </c>
      <c r="AD115" s="43">
        <f t="shared" si="97"/>
        <v>10739.98</v>
      </c>
      <c r="AE115" s="59">
        <f t="shared" si="74"/>
        <v>0.16523046153846152</v>
      </c>
      <c r="AF115" s="59">
        <f t="shared" si="75"/>
        <v>0.16523046153846152</v>
      </c>
      <c r="AG115" s="43">
        <f t="shared" si="76"/>
        <v>65000</v>
      </c>
      <c r="AH115" s="43">
        <f t="shared" si="76"/>
        <v>65000</v>
      </c>
      <c r="AI115" s="43">
        <f t="shared" si="76"/>
        <v>10739.98</v>
      </c>
      <c r="AJ115" s="43">
        <f t="shared" si="76"/>
        <v>10739.98</v>
      </c>
      <c r="AK115" s="59">
        <f t="shared" si="77"/>
        <v>0.16523046153846152</v>
      </c>
      <c r="AL115" s="59">
        <f t="shared" si="78"/>
        <v>0.16523046153846152</v>
      </c>
      <c r="AM115" s="43">
        <f t="shared" si="79"/>
        <v>164444</v>
      </c>
      <c r="AN115" s="43">
        <f t="shared" si="79"/>
        <v>164444</v>
      </c>
      <c r="AO115" s="43">
        <f t="shared" si="79"/>
        <v>61433.979999999996</v>
      </c>
      <c r="AP115" s="43">
        <f t="shared" si="79"/>
        <v>61433.979999999996</v>
      </c>
      <c r="AQ115" s="698">
        <f t="shared" si="80"/>
        <v>0.37358602320546808</v>
      </c>
      <c r="AR115" s="59">
        <f t="shared" si="81"/>
        <v>0.37358602320546808</v>
      </c>
      <c r="AT115" s="38"/>
      <c r="AU115" s="38"/>
      <c r="AV115" s="38"/>
      <c r="AW115" s="38"/>
      <c r="AY115" s="38"/>
      <c r="AZ115" s="38"/>
      <c r="BA115" s="38"/>
      <c r="BB115" s="38"/>
      <c r="BC115" s="36"/>
      <c r="BD115" s="36"/>
      <c r="BE115" s="36"/>
      <c r="BF115" s="36"/>
    </row>
    <row r="116" spans="1:58" x14ac:dyDescent="0.2">
      <c r="A116" s="45" t="str">
        <f>"502.20.01"</f>
        <v>502.20.01</v>
      </c>
      <c r="B116" s="47" t="s">
        <v>926</v>
      </c>
      <c r="C116" s="46">
        <f>CE_RegimeContributivo!B286</f>
        <v>0</v>
      </c>
      <c r="D116" s="46">
        <f>CE_RegimeContributivo!C286</f>
        <v>0</v>
      </c>
      <c r="E116" s="46">
        <f>CE_RegimeContributivo!E286</f>
        <v>0</v>
      </c>
      <c r="F116" s="46">
        <f>CE_RegimeContributivo!S286</f>
        <v>0</v>
      </c>
      <c r="G116" s="60" t="e">
        <f t="shared" si="62"/>
        <v>#DIV/0!</v>
      </c>
      <c r="H116" s="60" t="e">
        <f t="shared" si="63"/>
        <v>#DIV/0!</v>
      </c>
      <c r="I116" s="46">
        <f>CE_RegimeNaoContributivo!B286</f>
        <v>0</v>
      </c>
      <c r="J116" s="46">
        <f>CE_RegimeNaoContributivo!C286</f>
        <v>0</v>
      </c>
      <c r="K116" s="46">
        <f>CE_RegimeNaoContributivo!E286</f>
        <v>0</v>
      </c>
      <c r="L116" s="46">
        <f>CE_RegimeNaoContributivo!S286</f>
        <v>0</v>
      </c>
      <c r="M116" s="60" t="e">
        <f t="shared" si="65"/>
        <v>#DIV/0!</v>
      </c>
      <c r="N116" s="60" t="e">
        <f t="shared" si="66"/>
        <v>#DIV/0!</v>
      </c>
      <c r="O116" s="46">
        <f>CE_AdministraçãoINSS!B286</f>
        <v>9944</v>
      </c>
      <c r="P116" s="46">
        <f>CE_AdministraçãoINSS!C286</f>
        <v>9944</v>
      </c>
      <c r="Q116" s="46">
        <f>CE_AdministraçãoINSS!E286</f>
        <v>1069</v>
      </c>
      <c r="R116" s="46">
        <f>CE_AdministraçãoINSS!S286</f>
        <v>1069</v>
      </c>
      <c r="S116" s="60">
        <f t="shared" si="68"/>
        <v>0.10750201126307321</v>
      </c>
      <c r="T116" s="60">
        <f t="shared" si="69"/>
        <v>0.10750201126307321</v>
      </c>
      <c r="U116" s="46">
        <f t="shared" si="70"/>
        <v>9944</v>
      </c>
      <c r="V116" s="46">
        <f t="shared" si="70"/>
        <v>9944</v>
      </c>
      <c r="W116" s="46">
        <f t="shared" si="70"/>
        <v>1069</v>
      </c>
      <c r="X116" s="46">
        <f t="shared" si="70"/>
        <v>1069</v>
      </c>
      <c r="Y116" s="60">
        <f t="shared" si="71"/>
        <v>0.10750201126307321</v>
      </c>
      <c r="Z116" s="60">
        <f t="shared" si="72"/>
        <v>0.10750201126307321</v>
      </c>
      <c r="AA116" s="46">
        <f>CE_AdministraçãoFRSS!B286</f>
        <v>0</v>
      </c>
      <c r="AB116" s="46">
        <f>CE_AdministraçãoFRSS!C286</f>
        <v>0</v>
      </c>
      <c r="AC116" s="46">
        <f>CE_AdministraçãoFRSS!E286</f>
        <v>0</v>
      </c>
      <c r="AD116" s="46">
        <f>CE_AdministraçãoFRSS!S286</f>
        <v>0</v>
      </c>
      <c r="AE116" s="60" t="e">
        <f t="shared" si="74"/>
        <v>#DIV/0!</v>
      </c>
      <c r="AF116" s="60" t="e">
        <f t="shared" si="75"/>
        <v>#DIV/0!</v>
      </c>
      <c r="AG116" s="46">
        <f t="shared" si="76"/>
        <v>0</v>
      </c>
      <c r="AH116" s="46">
        <f t="shared" si="76"/>
        <v>0</v>
      </c>
      <c r="AI116" s="46">
        <f t="shared" si="76"/>
        <v>0</v>
      </c>
      <c r="AJ116" s="46">
        <f t="shared" si="76"/>
        <v>0</v>
      </c>
      <c r="AK116" s="60" t="e">
        <f t="shared" si="77"/>
        <v>#DIV/0!</v>
      </c>
      <c r="AL116" s="60" t="e">
        <f t="shared" si="78"/>
        <v>#DIV/0!</v>
      </c>
      <c r="AM116" s="46">
        <f t="shared" si="79"/>
        <v>9944</v>
      </c>
      <c r="AN116" s="46">
        <f t="shared" si="79"/>
        <v>9944</v>
      </c>
      <c r="AO116" s="46">
        <f t="shared" si="79"/>
        <v>1069</v>
      </c>
      <c r="AP116" s="46">
        <f t="shared" si="79"/>
        <v>1069</v>
      </c>
      <c r="AQ116" s="702">
        <f t="shared" si="80"/>
        <v>0.10750201126307321</v>
      </c>
      <c r="AR116" s="60">
        <f t="shared" si="81"/>
        <v>0.10750201126307321</v>
      </c>
      <c r="AT116" s="38"/>
      <c r="AU116" s="38"/>
      <c r="AV116" s="38"/>
      <c r="AW116" s="38"/>
      <c r="AY116" s="38"/>
      <c r="AZ116" s="38"/>
      <c r="BA116" s="38"/>
      <c r="BB116" s="38"/>
    </row>
    <row r="117" spans="1:58" x14ac:dyDescent="0.2">
      <c r="A117" s="45" t="str">
        <f>"502.20.02"</f>
        <v>502.20.02</v>
      </c>
      <c r="B117" s="47" t="s">
        <v>927</v>
      </c>
      <c r="C117" s="46">
        <f>CE_RegimeContributivo!B287</f>
        <v>0</v>
      </c>
      <c r="D117" s="46">
        <f>CE_RegimeContributivo!C287</f>
        <v>0</v>
      </c>
      <c r="E117" s="46">
        <f>CE_RegimeContributivo!E287</f>
        <v>0</v>
      </c>
      <c r="F117" s="46">
        <f>CE_RegimeContributivo!S287</f>
        <v>0</v>
      </c>
      <c r="G117" s="60" t="e">
        <f t="shared" si="62"/>
        <v>#DIV/0!</v>
      </c>
      <c r="H117" s="60" t="e">
        <f t="shared" si="63"/>
        <v>#DIV/0!</v>
      </c>
      <c r="I117" s="46">
        <f>CE_RegimeNaoContributivo!B287</f>
        <v>0</v>
      </c>
      <c r="J117" s="46">
        <f>CE_RegimeNaoContributivo!C287</f>
        <v>0</v>
      </c>
      <c r="K117" s="46">
        <f>CE_RegimeNaoContributivo!E287</f>
        <v>0</v>
      </c>
      <c r="L117" s="46">
        <f>CE_RegimeNaoContributivo!S287</f>
        <v>0</v>
      </c>
      <c r="M117" s="60" t="e">
        <f t="shared" si="65"/>
        <v>#DIV/0!</v>
      </c>
      <c r="N117" s="60" t="e">
        <f t="shared" si="66"/>
        <v>#DIV/0!</v>
      </c>
      <c r="O117" s="46">
        <f>CE_AdministraçãoINSS!B287</f>
        <v>89500</v>
      </c>
      <c r="P117" s="46">
        <f>CE_AdministraçãoINSS!C287</f>
        <v>89500</v>
      </c>
      <c r="Q117" s="46">
        <f>CE_AdministraçãoINSS!E287</f>
        <v>49625</v>
      </c>
      <c r="R117" s="46">
        <f>CE_AdministraçãoINSS!S287</f>
        <v>49625</v>
      </c>
      <c r="S117" s="60">
        <f t="shared" si="68"/>
        <v>0.5544692737430168</v>
      </c>
      <c r="T117" s="60">
        <f t="shared" si="69"/>
        <v>0.5544692737430168</v>
      </c>
      <c r="U117" s="46">
        <f t="shared" si="70"/>
        <v>89500</v>
      </c>
      <c r="V117" s="46">
        <f t="shared" si="70"/>
        <v>89500</v>
      </c>
      <c r="W117" s="46">
        <f t="shared" si="70"/>
        <v>49625</v>
      </c>
      <c r="X117" s="46">
        <f t="shared" si="70"/>
        <v>49625</v>
      </c>
      <c r="Y117" s="60">
        <f t="shared" si="71"/>
        <v>0.5544692737430168</v>
      </c>
      <c r="Z117" s="60">
        <f t="shared" si="72"/>
        <v>0.5544692737430168</v>
      </c>
      <c r="AA117" s="46">
        <f>CE_AdministraçãoFRSS!B287</f>
        <v>65000</v>
      </c>
      <c r="AB117" s="46">
        <f>CE_AdministraçãoFRSS!C287</f>
        <v>65000</v>
      </c>
      <c r="AC117" s="46">
        <f>CE_AdministraçãoFRSS!E287</f>
        <v>10739.98</v>
      </c>
      <c r="AD117" s="46">
        <f>CE_AdministraçãoFRSS!S287</f>
        <v>10739.98</v>
      </c>
      <c r="AE117" s="60">
        <f t="shared" si="74"/>
        <v>0.16523046153846152</v>
      </c>
      <c r="AF117" s="60">
        <f t="shared" si="75"/>
        <v>0.16523046153846152</v>
      </c>
      <c r="AG117" s="46">
        <f t="shared" si="76"/>
        <v>65000</v>
      </c>
      <c r="AH117" s="46">
        <f t="shared" si="76"/>
        <v>65000</v>
      </c>
      <c r="AI117" s="46">
        <f t="shared" si="76"/>
        <v>10739.98</v>
      </c>
      <c r="AJ117" s="46">
        <f t="shared" si="76"/>
        <v>10739.98</v>
      </c>
      <c r="AK117" s="60">
        <f t="shared" si="77"/>
        <v>0.16523046153846152</v>
      </c>
      <c r="AL117" s="60">
        <f t="shared" si="78"/>
        <v>0.16523046153846152</v>
      </c>
      <c r="AM117" s="46">
        <f t="shared" si="79"/>
        <v>154500</v>
      </c>
      <c r="AN117" s="46">
        <f t="shared" si="79"/>
        <v>154500</v>
      </c>
      <c r="AO117" s="46">
        <f t="shared" si="79"/>
        <v>60364.979999999996</v>
      </c>
      <c r="AP117" s="46">
        <f t="shared" si="79"/>
        <v>60364.979999999996</v>
      </c>
      <c r="AQ117" s="702">
        <f t="shared" si="80"/>
        <v>0.39071184466019415</v>
      </c>
      <c r="AR117" s="60">
        <f t="shared" si="81"/>
        <v>0.39071184466019415</v>
      </c>
      <c r="AT117" s="38"/>
      <c r="AU117" s="38"/>
      <c r="AV117" s="38"/>
      <c r="AW117" s="38"/>
      <c r="AY117" s="38"/>
      <c r="AZ117" s="38"/>
      <c r="BA117" s="38"/>
      <c r="BB117" s="38"/>
    </row>
    <row r="118" spans="1:58" s="44" customFormat="1" x14ac:dyDescent="0.2">
      <c r="A118" s="41" t="str">
        <f>"502.21"</f>
        <v>502.21</v>
      </c>
      <c r="B118" s="42" t="s">
        <v>133</v>
      </c>
      <c r="C118" s="43">
        <f>CE_RegimeContributivo!B288</f>
        <v>0</v>
      </c>
      <c r="D118" s="43">
        <f>CE_RegimeContributivo!C288</f>
        <v>0</v>
      </c>
      <c r="E118" s="43">
        <f>CE_RegimeContributivo!E288</f>
        <v>0</v>
      </c>
      <c r="F118" s="43">
        <f>CE_RegimeContributivo!S288</f>
        <v>0</v>
      </c>
      <c r="G118" s="59" t="e">
        <f t="shared" si="62"/>
        <v>#DIV/0!</v>
      </c>
      <c r="H118" s="59" t="e">
        <f t="shared" si="63"/>
        <v>#DIV/0!</v>
      </c>
      <c r="I118" s="43">
        <f>CE_RegimeNaoContributivo!B288</f>
        <v>0</v>
      </c>
      <c r="J118" s="43">
        <f>CE_RegimeNaoContributivo!C288</f>
        <v>0</v>
      </c>
      <c r="K118" s="43">
        <f>CE_RegimeNaoContributivo!E288</f>
        <v>0</v>
      </c>
      <c r="L118" s="43">
        <f>CE_RegimeNaoContributivo!S288</f>
        <v>0</v>
      </c>
      <c r="M118" s="59" t="e">
        <f t="shared" si="65"/>
        <v>#DIV/0!</v>
      </c>
      <c r="N118" s="59" t="e">
        <f t="shared" si="66"/>
        <v>#DIV/0!</v>
      </c>
      <c r="O118" s="43">
        <f>CE_AdministraçãoINSS!B288</f>
        <v>17500</v>
      </c>
      <c r="P118" s="43">
        <f>CE_AdministraçãoINSS!C288</f>
        <v>17500</v>
      </c>
      <c r="Q118" s="43">
        <f>CE_AdministraçãoINSS!E288</f>
        <v>12367.5</v>
      </c>
      <c r="R118" s="43">
        <f>CE_AdministraçãoINSS!S288</f>
        <v>12367.5</v>
      </c>
      <c r="S118" s="59">
        <f t="shared" si="68"/>
        <v>0.70671428571428574</v>
      </c>
      <c r="T118" s="59">
        <f t="shared" si="69"/>
        <v>0.70671428571428574</v>
      </c>
      <c r="U118" s="43">
        <f t="shared" si="70"/>
        <v>17500</v>
      </c>
      <c r="V118" s="43">
        <f t="shared" si="70"/>
        <v>17500</v>
      </c>
      <c r="W118" s="43">
        <f t="shared" si="70"/>
        <v>12367.5</v>
      </c>
      <c r="X118" s="43">
        <f t="shared" si="70"/>
        <v>12367.5</v>
      </c>
      <c r="Y118" s="59">
        <f t="shared" si="71"/>
        <v>0.70671428571428574</v>
      </c>
      <c r="Z118" s="59">
        <f t="shared" si="72"/>
        <v>0.70671428571428574</v>
      </c>
      <c r="AA118" s="43">
        <f>CE_AdministraçãoFRSS!B288</f>
        <v>1380</v>
      </c>
      <c r="AB118" s="43">
        <f>CE_AdministraçãoFRSS!C288</f>
        <v>19890</v>
      </c>
      <c r="AC118" s="43">
        <f>CE_AdministraçãoFRSS!E288</f>
        <v>19890</v>
      </c>
      <c r="AD118" s="43">
        <f>CE_AdministraçãoFRSS!S288</f>
        <v>19390</v>
      </c>
      <c r="AE118" s="59">
        <f t="shared" si="74"/>
        <v>0.9748617395676219</v>
      </c>
      <c r="AF118" s="59">
        <f t="shared" si="75"/>
        <v>1</v>
      </c>
      <c r="AG118" s="43">
        <f t="shared" si="76"/>
        <v>1380</v>
      </c>
      <c r="AH118" s="43">
        <f t="shared" si="76"/>
        <v>19890</v>
      </c>
      <c r="AI118" s="43">
        <f t="shared" si="76"/>
        <v>19890</v>
      </c>
      <c r="AJ118" s="43">
        <f t="shared" si="76"/>
        <v>19390</v>
      </c>
      <c r="AK118" s="59">
        <f t="shared" si="77"/>
        <v>0.9748617395676219</v>
      </c>
      <c r="AL118" s="59">
        <f t="shared" si="78"/>
        <v>1</v>
      </c>
      <c r="AM118" s="43">
        <f t="shared" si="79"/>
        <v>18880</v>
      </c>
      <c r="AN118" s="43">
        <f t="shared" si="79"/>
        <v>37390</v>
      </c>
      <c r="AO118" s="43">
        <f t="shared" si="79"/>
        <v>32257.5</v>
      </c>
      <c r="AP118" s="43">
        <f t="shared" si="79"/>
        <v>31757.5</v>
      </c>
      <c r="AQ118" s="698">
        <f t="shared" si="80"/>
        <v>0.84935811714362131</v>
      </c>
      <c r="AR118" s="59">
        <f t="shared" si="81"/>
        <v>0.86273067665151115</v>
      </c>
      <c r="AT118" s="38"/>
      <c r="AU118" s="38"/>
      <c r="AV118" s="38"/>
      <c r="AW118" s="38"/>
      <c r="AY118" s="38"/>
      <c r="AZ118" s="38"/>
      <c r="BA118" s="38"/>
      <c r="BB118" s="38"/>
      <c r="BC118" s="36"/>
      <c r="BD118" s="36"/>
      <c r="BE118" s="36"/>
      <c r="BF118" s="36"/>
    </row>
    <row r="119" spans="1:58" s="44" customFormat="1" x14ac:dyDescent="0.2">
      <c r="A119" s="41" t="str">
        <f>"502.22"</f>
        <v>502.22</v>
      </c>
      <c r="B119" s="42" t="s">
        <v>134</v>
      </c>
      <c r="C119" s="43">
        <f>C120+C121</f>
        <v>0</v>
      </c>
      <c r="D119" s="43">
        <f>D120+D121</f>
        <v>0</v>
      </c>
      <c r="E119" s="43">
        <f>E120+E121</f>
        <v>0</v>
      </c>
      <c r="F119" s="43">
        <f t="shared" ref="F119" si="98">F120+F121</f>
        <v>0</v>
      </c>
      <c r="G119" s="59" t="e">
        <f t="shared" si="62"/>
        <v>#DIV/0!</v>
      </c>
      <c r="H119" s="59" t="e">
        <f t="shared" si="63"/>
        <v>#DIV/0!</v>
      </c>
      <c r="I119" s="43">
        <f>I120+I121</f>
        <v>0</v>
      </c>
      <c r="J119" s="43">
        <f>J120+J121</f>
        <v>0</v>
      </c>
      <c r="K119" s="43">
        <f t="shared" ref="K119:L119" si="99">K120+K121</f>
        <v>0</v>
      </c>
      <c r="L119" s="43">
        <f t="shared" si="99"/>
        <v>0</v>
      </c>
      <c r="M119" s="59" t="e">
        <f t="shared" si="65"/>
        <v>#DIV/0!</v>
      </c>
      <c r="N119" s="59" t="e">
        <f t="shared" si="66"/>
        <v>#DIV/0!</v>
      </c>
      <c r="O119" s="43">
        <f>O120+O121</f>
        <v>0</v>
      </c>
      <c r="P119" s="43">
        <f>P120+P121</f>
        <v>0</v>
      </c>
      <c r="Q119" s="43">
        <f t="shared" ref="Q119:R119" si="100">Q120+Q121</f>
        <v>0</v>
      </c>
      <c r="R119" s="43">
        <f t="shared" si="100"/>
        <v>0</v>
      </c>
      <c r="S119" s="59" t="e">
        <f t="shared" si="68"/>
        <v>#DIV/0!</v>
      </c>
      <c r="T119" s="59" t="e">
        <f t="shared" si="69"/>
        <v>#DIV/0!</v>
      </c>
      <c r="U119" s="43">
        <f t="shared" si="70"/>
        <v>0</v>
      </c>
      <c r="V119" s="43">
        <f t="shared" si="70"/>
        <v>0</v>
      </c>
      <c r="W119" s="43">
        <f t="shared" si="70"/>
        <v>0</v>
      </c>
      <c r="X119" s="43">
        <f t="shared" si="70"/>
        <v>0</v>
      </c>
      <c r="Y119" s="59" t="e">
        <f t="shared" si="71"/>
        <v>#DIV/0!</v>
      </c>
      <c r="Z119" s="59" t="e">
        <f t="shared" si="72"/>
        <v>#DIV/0!</v>
      </c>
      <c r="AA119" s="43">
        <f>AA120+AA121</f>
        <v>4735</v>
      </c>
      <c r="AB119" s="43">
        <f>AB120+AB121</f>
        <v>3985</v>
      </c>
      <c r="AC119" s="43">
        <f t="shared" ref="AC119:AD119" si="101">AC120+AC121</f>
        <v>660</v>
      </c>
      <c r="AD119" s="43">
        <f t="shared" si="101"/>
        <v>140</v>
      </c>
      <c r="AE119" s="59">
        <f t="shared" si="74"/>
        <v>3.5131744040150563E-2</v>
      </c>
      <c r="AF119" s="59">
        <f t="shared" si="75"/>
        <v>0.16562107904642409</v>
      </c>
      <c r="AG119" s="43">
        <f t="shared" si="76"/>
        <v>4735</v>
      </c>
      <c r="AH119" s="43">
        <f t="shared" si="76"/>
        <v>3985</v>
      </c>
      <c r="AI119" s="43">
        <f t="shared" si="76"/>
        <v>660</v>
      </c>
      <c r="AJ119" s="43">
        <f t="shared" si="76"/>
        <v>140</v>
      </c>
      <c r="AK119" s="59">
        <f t="shared" si="77"/>
        <v>3.5131744040150563E-2</v>
      </c>
      <c r="AL119" s="59">
        <f t="shared" si="78"/>
        <v>0.16562107904642409</v>
      </c>
      <c r="AM119" s="43">
        <f t="shared" si="79"/>
        <v>4735</v>
      </c>
      <c r="AN119" s="43">
        <f t="shared" si="79"/>
        <v>3985</v>
      </c>
      <c r="AO119" s="43">
        <f t="shared" si="79"/>
        <v>660</v>
      </c>
      <c r="AP119" s="43">
        <f t="shared" si="79"/>
        <v>140</v>
      </c>
      <c r="AQ119" s="698">
        <f t="shared" si="80"/>
        <v>3.5131744040150563E-2</v>
      </c>
      <c r="AR119" s="59">
        <f t="shared" si="81"/>
        <v>0.16562107904642409</v>
      </c>
      <c r="AT119" s="38"/>
      <c r="AU119" s="38"/>
      <c r="AV119" s="38"/>
      <c r="AW119" s="38"/>
      <c r="AY119" s="38"/>
      <c r="AZ119" s="38"/>
      <c r="BA119" s="38"/>
      <c r="BB119" s="38"/>
      <c r="BC119" s="36"/>
      <c r="BD119" s="36"/>
      <c r="BE119" s="36"/>
      <c r="BF119" s="36"/>
    </row>
    <row r="120" spans="1:58" x14ac:dyDescent="0.2">
      <c r="A120" s="45" t="str">
        <f>"502.22.01"</f>
        <v>502.22.01</v>
      </c>
      <c r="B120" s="47" t="s">
        <v>928</v>
      </c>
      <c r="C120" s="46">
        <f>CE_RegimeContributivo!B290</f>
        <v>0</v>
      </c>
      <c r="D120" s="46">
        <f>CE_RegimeContributivo!C290</f>
        <v>0</v>
      </c>
      <c r="E120" s="46">
        <f>CE_RegimeContributivo!E290</f>
        <v>0</v>
      </c>
      <c r="F120" s="46">
        <f>CE_RegimeContributivo!S290</f>
        <v>0</v>
      </c>
      <c r="G120" s="60" t="e">
        <f t="shared" si="62"/>
        <v>#DIV/0!</v>
      </c>
      <c r="H120" s="60" t="e">
        <f t="shared" si="63"/>
        <v>#DIV/0!</v>
      </c>
      <c r="I120" s="46">
        <f>CE_RegimeNaoContributivo!B290</f>
        <v>0</v>
      </c>
      <c r="J120" s="46">
        <f>CE_RegimeNaoContributivo!C290</f>
        <v>0</v>
      </c>
      <c r="K120" s="46">
        <f>CE_RegimeNaoContributivo!E290</f>
        <v>0</v>
      </c>
      <c r="L120" s="46">
        <f>CE_RegimeNaoContributivo!S290</f>
        <v>0</v>
      </c>
      <c r="M120" s="60" t="e">
        <f t="shared" si="65"/>
        <v>#DIV/0!</v>
      </c>
      <c r="N120" s="60" t="e">
        <f t="shared" si="66"/>
        <v>#DIV/0!</v>
      </c>
      <c r="O120" s="46">
        <f>CE_AdministraçãoINSS!B290</f>
        <v>0</v>
      </c>
      <c r="P120" s="46">
        <f>CE_AdministraçãoINSS!C290</f>
        <v>0</v>
      </c>
      <c r="Q120" s="46">
        <f>CE_AdministraçãoINSS!E290</f>
        <v>0</v>
      </c>
      <c r="R120" s="46">
        <f>CE_AdministraçãoINSS!S290</f>
        <v>0</v>
      </c>
      <c r="S120" s="60" t="e">
        <f t="shared" si="68"/>
        <v>#DIV/0!</v>
      </c>
      <c r="T120" s="60" t="e">
        <f t="shared" si="69"/>
        <v>#DIV/0!</v>
      </c>
      <c r="U120" s="46">
        <f t="shared" si="70"/>
        <v>0</v>
      </c>
      <c r="V120" s="46">
        <f t="shared" si="70"/>
        <v>0</v>
      </c>
      <c r="W120" s="46">
        <f t="shared" si="70"/>
        <v>0</v>
      </c>
      <c r="X120" s="46">
        <f t="shared" si="70"/>
        <v>0</v>
      </c>
      <c r="Y120" s="60" t="e">
        <f t="shared" si="71"/>
        <v>#DIV/0!</v>
      </c>
      <c r="Z120" s="60" t="e">
        <f t="shared" si="72"/>
        <v>#DIV/0!</v>
      </c>
      <c r="AA120" s="46">
        <f>CE_AdministraçãoFRSS!B290</f>
        <v>0</v>
      </c>
      <c r="AB120" s="46">
        <f>CE_AdministraçãoFRSS!C290</f>
        <v>0</v>
      </c>
      <c r="AC120" s="46">
        <f>CE_AdministraçãoFRSS!E290</f>
        <v>0</v>
      </c>
      <c r="AD120" s="46">
        <f>CE_AdministraçãoFRSS!S290</f>
        <v>0</v>
      </c>
      <c r="AE120" s="60" t="e">
        <f t="shared" si="74"/>
        <v>#DIV/0!</v>
      </c>
      <c r="AF120" s="60" t="e">
        <f t="shared" si="75"/>
        <v>#DIV/0!</v>
      </c>
      <c r="AG120" s="46">
        <f t="shared" si="76"/>
        <v>0</v>
      </c>
      <c r="AH120" s="46">
        <f t="shared" si="76"/>
        <v>0</v>
      </c>
      <c r="AI120" s="46">
        <f t="shared" si="76"/>
        <v>0</v>
      </c>
      <c r="AJ120" s="46">
        <f t="shared" si="76"/>
        <v>0</v>
      </c>
      <c r="AK120" s="60" t="e">
        <f t="shared" si="77"/>
        <v>#DIV/0!</v>
      </c>
      <c r="AL120" s="60" t="e">
        <f t="shared" si="78"/>
        <v>#DIV/0!</v>
      </c>
      <c r="AM120" s="46">
        <f t="shared" si="79"/>
        <v>0</v>
      </c>
      <c r="AN120" s="46">
        <f t="shared" si="79"/>
        <v>0</v>
      </c>
      <c r="AO120" s="46">
        <f t="shared" si="79"/>
        <v>0</v>
      </c>
      <c r="AP120" s="46">
        <f t="shared" si="79"/>
        <v>0</v>
      </c>
      <c r="AQ120" s="702" t="e">
        <f t="shared" si="80"/>
        <v>#DIV/0!</v>
      </c>
      <c r="AR120" s="60" t="e">
        <f t="shared" si="81"/>
        <v>#DIV/0!</v>
      </c>
      <c r="AT120" s="38"/>
      <c r="AU120" s="38"/>
      <c r="AV120" s="38"/>
      <c r="AW120" s="38"/>
      <c r="AY120" s="38"/>
      <c r="AZ120" s="38"/>
      <c r="BA120" s="38"/>
      <c r="BB120" s="38"/>
    </row>
    <row r="121" spans="1:58" x14ac:dyDescent="0.2">
      <c r="A121" s="45" t="str">
        <f>"502.22.02"</f>
        <v>502.22.02</v>
      </c>
      <c r="B121" s="47" t="s">
        <v>929</v>
      </c>
      <c r="C121" s="46">
        <f>CE_RegimeContributivo!B291</f>
        <v>0</v>
      </c>
      <c r="D121" s="46">
        <f>CE_RegimeContributivo!C291</f>
        <v>0</v>
      </c>
      <c r="E121" s="46">
        <f>CE_RegimeContributivo!E291</f>
        <v>0</v>
      </c>
      <c r="F121" s="46">
        <f>CE_RegimeContributivo!S291</f>
        <v>0</v>
      </c>
      <c r="G121" s="60" t="e">
        <f t="shared" si="62"/>
        <v>#DIV/0!</v>
      </c>
      <c r="H121" s="60" t="e">
        <f t="shared" si="63"/>
        <v>#DIV/0!</v>
      </c>
      <c r="I121" s="46">
        <f>CE_RegimeNaoContributivo!B291</f>
        <v>0</v>
      </c>
      <c r="J121" s="46">
        <f>CE_RegimeNaoContributivo!C291</f>
        <v>0</v>
      </c>
      <c r="K121" s="46">
        <f>CE_RegimeNaoContributivo!E291</f>
        <v>0</v>
      </c>
      <c r="L121" s="46">
        <f>CE_RegimeNaoContributivo!S291</f>
        <v>0</v>
      </c>
      <c r="M121" s="60" t="e">
        <f t="shared" si="65"/>
        <v>#DIV/0!</v>
      </c>
      <c r="N121" s="60" t="e">
        <f t="shared" si="66"/>
        <v>#DIV/0!</v>
      </c>
      <c r="O121" s="46">
        <f>CE_AdministraçãoINSS!B291</f>
        <v>0</v>
      </c>
      <c r="P121" s="46">
        <f>CE_AdministraçãoINSS!C291</f>
        <v>0</v>
      </c>
      <c r="Q121" s="46">
        <f>CE_AdministraçãoINSS!E291</f>
        <v>0</v>
      </c>
      <c r="R121" s="46">
        <f>CE_AdministraçãoINSS!S291</f>
        <v>0</v>
      </c>
      <c r="S121" s="60" t="e">
        <f t="shared" si="68"/>
        <v>#DIV/0!</v>
      </c>
      <c r="T121" s="60" t="e">
        <f t="shared" si="69"/>
        <v>#DIV/0!</v>
      </c>
      <c r="U121" s="46">
        <f t="shared" si="70"/>
        <v>0</v>
      </c>
      <c r="V121" s="46">
        <f t="shared" si="70"/>
        <v>0</v>
      </c>
      <c r="W121" s="46">
        <f t="shared" si="70"/>
        <v>0</v>
      </c>
      <c r="X121" s="46">
        <f t="shared" si="70"/>
        <v>0</v>
      </c>
      <c r="Y121" s="60" t="e">
        <f t="shared" si="71"/>
        <v>#DIV/0!</v>
      </c>
      <c r="Z121" s="60" t="e">
        <f t="shared" si="72"/>
        <v>#DIV/0!</v>
      </c>
      <c r="AA121" s="46">
        <f>CE_AdministraçãoFRSS!B291</f>
        <v>4735</v>
      </c>
      <c r="AB121" s="46">
        <f>CE_AdministraçãoFRSS!C291</f>
        <v>3985</v>
      </c>
      <c r="AC121" s="46">
        <f>CE_AdministraçãoFRSS!E291</f>
        <v>660</v>
      </c>
      <c r="AD121" s="46">
        <f>CE_AdministraçãoFRSS!S291</f>
        <v>140</v>
      </c>
      <c r="AE121" s="60">
        <f t="shared" si="74"/>
        <v>3.5131744040150563E-2</v>
      </c>
      <c r="AF121" s="60">
        <f t="shared" si="75"/>
        <v>0.16562107904642409</v>
      </c>
      <c r="AG121" s="46">
        <f t="shared" si="76"/>
        <v>4735</v>
      </c>
      <c r="AH121" s="46">
        <f t="shared" si="76"/>
        <v>3985</v>
      </c>
      <c r="AI121" s="46">
        <f t="shared" si="76"/>
        <v>660</v>
      </c>
      <c r="AJ121" s="46">
        <f t="shared" si="76"/>
        <v>140</v>
      </c>
      <c r="AK121" s="60">
        <f t="shared" si="77"/>
        <v>3.5131744040150563E-2</v>
      </c>
      <c r="AL121" s="60">
        <f t="shared" si="78"/>
        <v>0.16562107904642409</v>
      </c>
      <c r="AM121" s="46">
        <f t="shared" si="79"/>
        <v>4735</v>
      </c>
      <c r="AN121" s="46">
        <f t="shared" si="79"/>
        <v>3985</v>
      </c>
      <c r="AO121" s="46">
        <f t="shared" si="79"/>
        <v>660</v>
      </c>
      <c r="AP121" s="46">
        <f t="shared" si="79"/>
        <v>140</v>
      </c>
      <c r="AQ121" s="702">
        <f t="shared" si="80"/>
        <v>3.5131744040150563E-2</v>
      </c>
      <c r="AR121" s="60">
        <f t="shared" si="81"/>
        <v>0.16562107904642409</v>
      </c>
      <c r="AT121" s="38"/>
      <c r="AU121" s="38"/>
      <c r="AV121" s="38"/>
      <c r="AW121" s="38"/>
      <c r="AY121" s="38"/>
      <c r="AZ121" s="38"/>
      <c r="BA121" s="38"/>
      <c r="BB121" s="38"/>
    </row>
    <row r="122" spans="1:58" s="44" customFormat="1" x14ac:dyDescent="0.2">
      <c r="A122" s="41" t="str">
        <f>"502.23"</f>
        <v>502.23</v>
      </c>
      <c r="B122" s="42" t="s">
        <v>135</v>
      </c>
      <c r="C122" s="43">
        <f>C123+C124</f>
        <v>0</v>
      </c>
      <c r="D122" s="43">
        <f>D123+D124</f>
        <v>0</v>
      </c>
      <c r="E122" s="43">
        <f>E123+E124</f>
        <v>0</v>
      </c>
      <c r="F122" s="43">
        <f t="shared" ref="F122" si="102">F123+F124</f>
        <v>0</v>
      </c>
      <c r="G122" s="59" t="e">
        <f t="shared" si="62"/>
        <v>#DIV/0!</v>
      </c>
      <c r="H122" s="59" t="e">
        <f t="shared" si="63"/>
        <v>#DIV/0!</v>
      </c>
      <c r="I122" s="43">
        <f>I123+I124</f>
        <v>0</v>
      </c>
      <c r="J122" s="43">
        <f>J123+J124</f>
        <v>0</v>
      </c>
      <c r="K122" s="43">
        <f t="shared" ref="K122:L122" si="103">K123+K124</f>
        <v>0</v>
      </c>
      <c r="L122" s="43">
        <f t="shared" si="103"/>
        <v>0</v>
      </c>
      <c r="M122" s="59" t="e">
        <f t="shared" si="65"/>
        <v>#DIV/0!</v>
      </c>
      <c r="N122" s="59" t="e">
        <f t="shared" si="66"/>
        <v>#DIV/0!</v>
      </c>
      <c r="O122" s="43">
        <f>O123+O124</f>
        <v>46267</v>
      </c>
      <c r="P122" s="43">
        <f t="shared" ref="P122:R122" si="104">P123+P124</f>
        <v>46267</v>
      </c>
      <c r="Q122" s="43">
        <f t="shared" si="104"/>
        <v>15803.200000000003</v>
      </c>
      <c r="R122" s="43">
        <f t="shared" si="104"/>
        <v>15803.2</v>
      </c>
      <c r="S122" s="59">
        <f t="shared" si="68"/>
        <v>0.34156526249810881</v>
      </c>
      <c r="T122" s="59">
        <f t="shared" si="69"/>
        <v>0.34156526249810887</v>
      </c>
      <c r="U122" s="43">
        <f t="shared" si="70"/>
        <v>46267</v>
      </c>
      <c r="V122" s="43">
        <f t="shared" si="70"/>
        <v>46267</v>
      </c>
      <c r="W122" s="43">
        <f t="shared" si="70"/>
        <v>15803.200000000003</v>
      </c>
      <c r="X122" s="43">
        <f t="shared" si="70"/>
        <v>15803.2</v>
      </c>
      <c r="Y122" s="59">
        <f t="shared" si="71"/>
        <v>0.34156526249810881</v>
      </c>
      <c r="Z122" s="59">
        <f t="shared" si="72"/>
        <v>0.34156526249810887</v>
      </c>
      <c r="AA122" s="43">
        <f>AA123+AA124</f>
        <v>106630</v>
      </c>
      <c r="AB122" s="43">
        <f>AB123+AB124</f>
        <v>76565</v>
      </c>
      <c r="AC122" s="43">
        <f t="shared" ref="AC122:AD122" si="105">AC123+AC124</f>
        <v>5191.0599999999995</v>
      </c>
      <c r="AD122" s="43">
        <f t="shared" si="105"/>
        <v>5191.0599999999995</v>
      </c>
      <c r="AE122" s="59">
        <f t="shared" si="74"/>
        <v>6.7799386142493298E-2</v>
      </c>
      <c r="AF122" s="59">
        <f t="shared" si="75"/>
        <v>6.7799386142493298E-2</v>
      </c>
      <c r="AG122" s="43">
        <f t="shared" si="76"/>
        <v>106630</v>
      </c>
      <c r="AH122" s="43">
        <f t="shared" si="76"/>
        <v>76565</v>
      </c>
      <c r="AI122" s="43">
        <f t="shared" si="76"/>
        <v>5191.0599999999995</v>
      </c>
      <c r="AJ122" s="43">
        <f t="shared" si="76"/>
        <v>5191.0599999999995</v>
      </c>
      <c r="AK122" s="59">
        <f t="shared" si="77"/>
        <v>6.7799386142493298E-2</v>
      </c>
      <c r="AL122" s="59">
        <f t="shared" si="78"/>
        <v>6.7799386142493298E-2</v>
      </c>
      <c r="AM122" s="43">
        <f t="shared" si="79"/>
        <v>152897</v>
      </c>
      <c r="AN122" s="43">
        <f t="shared" si="79"/>
        <v>122832</v>
      </c>
      <c r="AO122" s="43">
        <f t="shared" si="79"/>
        <v>20994.260000000002</v>
      </c>
      <c r="AP122" s="43">
        <f t="shared" si="79"/>
        <v>20994.260000000002</v>
      </c>
      <c r="AQ122" s="698">
        <f t="shared" si="80"/>
        <v>0.17091849029568842</v>
      </c>
      <c r="AR122" s="59">
        <f t="shared" si="81"/>
        <v>0.17091849029568842</v>
      </c>
      <c r="AT122" s="38"/>
      <c r="AU122" s="38"/>
      <c r="AV122" s="38"/>
      <c r="AW122" s="38"/>
      <c r="AY122" s="38"/>
      <c r="AZ122" s="38"/>
      <c r="BA122" s="38"/>
      <c r="BB122" s="38"/>
      <c r="BC122" s="36"/>
      <c r="BD122" s="36"/>
      <c r="BE122" s="36"/>
      <c r="BF122" s="36"/>
    </row>
    <row r="123" spans="1:58" x14ac:dyDescent="0.2">
      <c r="A123" s="45" t="str">
        <f>"502.23.01"</f>
        <v>502.23.01</v>
      </c>
      <c r="B123" s="47" t="s">
        <v>930</v>
      </c>
      <c r="C123" s="46">
        <f>CE_RegimeContributivo!B293</f>
        <v>0</v>
      </c>
      <c r="D123" s="46">
        <f>CE_RegimeContributivo!C293</f>
        <v>0</v>
      </c>
      <c r="E123" s="46">
        <f>CE_RegimeContributivo!E293</f>
        <v>0</v>
      </c>
      <c r="F123" s="46">
        <f>CE_RegimeContributivo!S293</f>
        <v>0</v>
      </c>
      <c r="G123" s="60" t="e">
        <f t="shared" si="62"/>
        <v>#DIV/0!</v>
      </c>
      <c r="H123" s="60" t="e">
        <f t="shared" si="63"/>
        <v>#DIV/0!</v>
      </c>
      <c r="I123" s="46">
        <f>CE_RegimeNaoContributivo!B293</f>
        <v>0</v>
      </c>
      <c r="J123" s="46">
        <f>CE_RegimeNaoContributivo!C293</f>
        <v>0</v>
      </c>
      <c r="K123" s="46">
        <f>CE_RegimeNaoContributivo!E293</f>
        <v>0</v>
      </c>
      <c r="L123" s="46">
        <f>CE_RegimeNaoContributivo!S293</f>
        <v>0</v>
      </c>
      <c r="M123" s="60" t="e">
        <f t="shared" si="65"/>
        <v>#DIV/0!</v>
      </c>
      <c r="N123" s="60" t="e">
        <f t="shared" si="66"/>
        <v>#DIV/0!</v>
      </c>
      <c r="O123" s="46">
        <f>CE_AdministraçãoINSS!B293</f>
        <v>0</v>
      </c>
      <c r="P123" s="46">
        <f>CE_AdministraçãoINSS!C293</f>
        <v>0</v>
      </c>
      <c r="Q123" s="46">
        <f>CE_AdministraçãoINSS!E293</f>
        <v>0</v>
      </c>
      <c r="R123" s="46">
        <f>CE_AdministraçãoINSS!S293</f>
        <v>0</v>
      </c>
      <c r="S123" s="60" t="e">
        <f t="shared" si="68"/>
        <v>#DIV/0!</v>
      </c>
      <c r="T123" s="60" t="e">
        <f t="shared" si="69"/>
        <v>#DIV/0!</v>
      </c>
      <c r="U123" s="46">
        <f t="shared" si="70"/>
        <v>0</v>
      </c>
      <c r="V123" s="46">
        <f t="shared" si="70"/>
        <v>0</v>
      </c>
      <c r="W123" s="46">
        <f t="shared" si="70"/>
        <v>0</v>
      </c>
      <c r="X123" s="46">
        <f t="shared" si="70"/>
        <v>0</v>
      </c>
      <c r="Y123" s="60" t="e">
        <f t="shared" si="71"/>
        <v>#DIV/0!</v>
      </c>
      <c r="Z123" s="60" t="e">
        <f t="shared" si="72"/>
        <v>#DIV/0!</v>
      </c>
      <c r="AA123" s="46">
        <f>CE_AdministraçãoFRSS!B293</f>
        <v>0</v>
      </c>
      <c r="AB123" s="46">
        <f>CE_AdministraçãoFRSS!C293</f>
        <v>0</v>
      </c>
      <c r="AC123" s="46">
        <f>CE_AdministraçãoFRSS!E293</f>
        <v>0</v>
      </c>
      <c r="AD123" s="46">
        <f>CE_AdministraçãoFRSS!S293</f>
        <v>0</v>
      </c>
      <c r="AE123" s="60" t="e">
        <f t="shared" si="74"/>
        <v>#DIV/0!</v>
      </c>
      <c r="AF123" s="60" t="e">
        <f t="shared" si="75"/>
        <v>#DIV/0!</v>
      </c>
      <c r="AG123" s="46">
        <f t="shared" si="76"/>
        <v>0</v>
      </c>
      <c r="AH123" s="46">
        <f t="shared" si="76"/>
        <v>0</v>
      </c>
      <c r="AI123" s="46">
        <f t="shared" si="76"/>
        <v>0</v>
      </c>
      <c r="AJ123" s="46">
        <f t="shared" si="76"/>
        <v>0</v>
      </c>
      <c r="AK123" s="60" t="e">
        <f t="shared" si="77"/>
        <v>#DIV/0!</v>
      </c>
      <c r="AL123" s="60" t="e">
        <f t="shared" si="78"/>
        <v>#DIV/0!</v>
      </c>
      <c r="AM123" s="46">
        <f t="shared" si="79"/>
        <v>0</v>
      </c>
      <c r="AN123" s="46">
        <f t="shared" si="79"/>
        <v>0</v>
      </c>
      <c r="AO123" s="46">
        <f t="shared" si="79"/>
        <v>0</v>
      </c>
      <c r="AP123" s="46">
        <f t="shared" si="79"/>
        <v>0</v>
      </c>
      <c r="AQ123" s="702" t="e">
        <f t="shared" si="80"/>
        <v>#DIV/0!</v>
      </c>
      <c r="AR123" s="60" t="e">
        <f t="shared" si="81"/>
        <v>#DIV/0!</v>
      </c>
      <c r="AT123" s="38"/>
      <c r="AU123" s="38"/>
      <c r="AV123" s="38"/>
      <c r="AW123" s="38"/>
      <c r="AY123" s="38"/>
      <c r="AZ123" s="38"/>
      <c r="BA123" s="38"/>
      <c r="BB123" s="38"/>
    </row>
    <row r="124" spans="1:58" x14ac:dyDescent="0.2">
      <c r="A124" s="45" t="str">
        <f>"502.23.02"</f>
        <v>502.23.02</v>
      </c>
      <c r="B124" s="47" t="s">
        <v>931</v>
      </c>
      <c r="C124" s="46">
        <f>CE_RegimeContributivo!B294</f>
        <v>0</v>
      </c>
      <c r="D124" s="46">
        <f>CE_RegimeContributivo!C294</f>
        <v>0</v>
      </c>
      <c r="E124" s="46">
        <f>CE_RegimeContributivo!E294</f>
        <v>0</v>
      </c>
      <c r="F124" s="46">
        <f>CE_RegimeContributivo!S294</f>
        <v>0</v>
      </c>
      <c r="G124" s="60" t="e">
        <f t="shared" si="62"/>
        <v>#DIV/0!</v>
      </c>
      <c r="H124" s="60" t="e">
        <f t="shared" si="63"/>
        <v>#DIV/0!</v>
      </c>
      <c r="I124" s="46">
        <f>CE_RegimeNaoContributivo!B294</f>
        <v>0</v>
      </c>
      <c r="J124" s="46">
        <f>CE_RegimeNaoContributivo!C294</f>
        <v>0</v>
      </c>
      <c r="K124" s="46">
        <f>CE_RegimeNaoContributivo!E294</f>
        <v>0</v>
      </c>
      <c r="L124" s="46">
        <f>CE_RegimeNaoContributivo!S294</f>
        <v>0</v>
      </c>
      <c r="M124" s="60" t="e">
        <f t="shared" si="65"/>
        <v>#DIV/0!</v>
      </c>
      <c r="N124" s="60" t="e">
        <f t="shared" si="66"/>
        <v>#DIV/0!</v>
      </c>
      <c r="O124" s="46">
        <f>CE_AdministraçãoINSS!B294</f>
        <v>46267</v>
      </c>
      <c r="P124" s="46">
        <f>CE_AdministraçãoINSS!C294</f>
        <v>46267</v>
      </c>
      <c r="Q124" s="46">
        <f>CE_AdministraçãoINSS!E294</f>
        <v>15803.200000000003</v>
      </c>
      <c r="R124" s="46">
        <f>CE_AdministraçãoINSS!S294</f>
        <v>15803.2</v>
      </c>
      <c r="S124" s="60">
        <f t="shared" si="68"/>
        <v>0.34156526249810881</v>
      </c>
      <c r="T124" s="60">
        <f t="shared" si="69"/>
        <v>0.34156526249810887</v>
      </c>
      <c r="U124" s="46">
        <f t="shared" si="70"/>
        <v>46267</v>
      </c>
      <c r="V124" s="46">
        <f t="shared" si="70"/>
        <v>46267</v>
      </c>
      <c r="W124" s="46">
        <f t="shared" si="70"/>
        <v>15803.200000000003</v>
      </c>
      <c r="X124" s="46">
        <f t="shared" si="70"/>
        <v>15803.2</v>
      </c>
      <c r="Y124" s="60">
        <f t="shared" si="71"/>
        <v>0.34156526249810881</v>
      </c>
      <c r="Z124" s="60">
        <f t="shared" si="72"/>
        <v>0.34156526249810887</v>
      </c>
      <c r="AA124" s="46">
        <f>CE_AdministraçãoFRSS!B294</f>
        <v>106630</v>
      </c>
      <c r="AB124" s="46">
        <f>CE_AdministraçãoFRSS!C294</f>
        <v>76565</v>
      </c>
      <c r="AC124" s="46">
        <f>CE_AdministraçãoFRSS!E294</f>
        <v>5191.0599999999995</v>
      </c>
      <c r="AD124" s="46">
        <f>CE_AdministraçãoFRSS!S294</f>
        <v>5191.0599999999995</v>
      </c>
      <c r="AE124" s="60">
        <f t="shared" si="74"/>
        <v>6.7799386142493298E-2</v>
      </c>
      <c r="AF124" s="60">
        <f t="shared" si="75"/>
        <v>6.7799386142493298E-2</v>
      </c>
      <c r="AG124" s="46">
        <f t="shared" si="76"/>
        <v>106630</v>
      </c>
      <c r="AH124" s="46">
        <f t="shared" si="76"/>
        <v>76565</v>
      </c>
      <c r="AI124" s="46">
        <f t="shared" si="76"/>
        <v>5191.0599999999995</v>
      </c>
      <c r="AJ124" s="46">
        <f t="shared" si="76"/>
        <v>5191.0599999999995</v>
      </c>
      <c r="AK124" s="60">
        <f t="shared" si="77"/>
        <v>6.7799386142493298E-2</v>
      </c>
      <c r="AL124" s="60">
        <f t="shared" si="78"/>
        <v>6.7799386142493298E-2</v>
      </c>
      <c r="AM124" s="46">
        <f t="shared" si="79"/>
        <v>152897</v>
      </c>
      <c r="AN124" s="46">
        <f t="shared" si="79"/>
        <v>122832</v>
      </c>
      <c r="AO124" s="46">
        <f t="shared" si="79"/>
        <v>20994.260000000002</v>
      </c>
      <c r="AP124" s="46">
        <f t="shared" si="79"/>
        <v>20994.260000000002</v>
      </c>
      <c r="AQ124" s="702">
        <f t="shared" si="80"/>
        <v>0.17091849029568842</v>
      </c>
      <c r="AR124" s="60">
        <f t="shared" si="81"/>
        <v>0.17091849029568842</v>
      </c>
      <c r="AT124" s="38"/>
      <c r="AU124" s="38"/>
      <c r="AV124" s="38"/>
      <c r="AW124" s="38"/>
      <c r="AY124" s="38"/>
      <c r="AZ124" s="38"/>
      <c r="BA124" s="38"/>
      <c r="BB124" s="38"/>
    </row>
    <row r="125" spans="1:58" s="44" customFormat="1" x14ac:dyDescent="0.2">
      <c r="A125" s="41" t="str">
        <f>"502.24"</f>
        <v>502.24</v>
      </c>
      <c r="B125" s="42" t="s">
        <v>932</v>
      </c>
      <c r="C125" s="43">
        <f>SUM(C126:C128)</f>
        <v>0</v>
      </c>
      <c r="D125" s="43">
        <f>SUM(D126:D128)</f>
        <v>0</v>
      </c>
      <c r="E125" s="43">
        <f>SUM(E126:E128)</f>
        <v>0</v>
      </c>
      <c r="F125" s="43">
        <f t="shared" ref="F125" si="106">SUM(F126:F128)</f>
        <v>0</v>
      </c>
      <c r="G125" s="59" t="e">
        <f t="shared" si="62"/>
        <v>#DIV/0!</v>
      </c>
      <c r="H125" s="59" t="e">
        <f t="shared" si="63"/>
        <v>#DIV/0!</v>
      </c>
      <c r="I125" s="43">
        <f>SUM(I126:I128)</f>
        <v>0</v>
      </c>
      <c r="J125" s="43">
        <f>SUM(J126:J128)</f>
        <v>0</v>
      </c>
      <c r="K125" s="43">
        <f t="shared" ref="K125:L125" si="107">SUM(K126:K128)</f>
        <v>0</v>
      </c>
      <c r="L125" s="43">
        <f t="shared" si="107"/>
        <v>0</v>
      </c>
      <c r="M125" s="59" t="e">
        <f t="shared" si="65"/>
        <v>#DIV/0!</v>
      </c>
      <c r="N125" s="59" t="e">
        <f t="shared" si="66"/>
        <v>#DIV/0!</v>
      </c>
      <c r="O125" s="43">
        <f>SUM(O126:O128)</f>
        <v>177847</v>
      </c>
      <c r="P125" s="43">
        <f>SUM(P126:P128)</f>
        <v>177847</v>
      </c>
      <c r="Q125" s="43">
        <f t="shared" ref="Q125:R125" si="108">SUM(Q126:Q128)</f>
        <v>119929.79999999999</v>
      </c>
      <c r="R125" s="43">
        <f t="shared" si="108"/>
        <v>119473.79999999999</v>
      </c>
      <c r="S125" s="59">
        <f t="shared" si="68"/>
        <v>0.67177855122661612</v>
      </c>
      <c r="T125" s="59">
        <f t="shared" si="69"/>
        <v>0.67434255286847677</v>
      </c>
      <c r="U125" s="43">
        <f t="shared" si="70"/>
        <v>177847</v>
      </c>
      <c r="V125" s="43">
        <f t="shared" si="70"/>
        <v>177847</v>
      </c>
      <c r="W125" s="43">
        <f t="shared" si="70"/>
        <v>119929.79999999999</v>
      </c>
      <c r="X125" s="43">
        <f t="shared" si="70"/>
        <v>119473.79999999999</v>
      </c>
      <c r="Y125" s="59">
        <f t="shared" si="71"/>
        <v>0.67177855122661612</v>
      </c>
      <c r="Z125" s="59">
        <f t="shared" si="72"/>
        <v>0.67434255286847677</v>
      </c>
      <c r="AA125" s="43">
        <f>SUM(AA126:AA128)</f>
        <v>71087</v>
      </c>
      <c r="AB125" s="43">
        <f>SUM(AB126:AB128)</f>
        <v>58187</v>
      </c>
      <c r="AC125" s="43">
        <f t="shared" ref="AC125:AD125" si="109">SUM(AC126:AC128)</f>
        <v>1403.6</v>
      </c>
      <c r="AD125" s="43">
        <f t="shared" si="109"/>
        <v>1403.6</v>
      </c>
      <c r="AE125" s="59">
        <f t="shared" si="74"/>
        <v>2.4122226614192173E-2</v>
      </c>
      <c r="AF125" s="59">
        <f t="shared" si="75"/>
        <v>2.4122226614192173E-2</v>
      </c>
      <c r="AG125" s="43">
        <f t="shared" si="76"/>
        <v>71087</v>
      </c>
      <c r="AH125" s="43">
        <f t="shared" si="76"/>
        <v>58187</v>
      </c>
      <c r="AI125" s="43">
        <f t="shared" si="76"/>
        <v>1403.6</v>
      </c>
      <c r="AJ125" s="43">
        <f t="shared" si="76"/>
        <v>1403.6</v>
      </c>
      <c r="AK125" s="59">
        <f t="shared" si="77"/>
        <v>2.4122226614192173E-2</v>
      </c>
      <c r="AL125" s="59">
        <f t="shared" si="78"/>
        <v>2.4122226614192173E-2</v>
      </c>
      <c r="AM125" s="43">
        <f t="shared" si="79"/>
        <v>248934</v>
      </c>
      <c r="AN125" s="43">
        <f t="shared" si="79"/>
        <v>236034</v>
      </c>
      <c r="AO125" s="43">
        <f t="shared" si="79"/>
        <v>121333.4</v>
      </c>
      <c r="AP125" s="43">
        <f t="shared" si="79"/>
        <v>120877.4</v>
      </c>
      <c r="AQ125" s="698">
        <f t="shared" si="80"/>
        <v>0.51211859308404717</v>
      </c>
      <c r="AR125" s="59">
        <f t="shared" si="81"/>
        <v>0.5140505181456908</v>
      </c>
      <c r="AT125" s="38"/>
      <c r="AU125" s="38"/>
      <c r="AV125" s="38"/>
      <c r="AW125" s="38"/>
      <c r="AY125" s="38"/>
      <c r="AZ125" s="38"/>
      <c r="BA125" s="38"/>
      <c r="BB125" s="38"/>
      <c r="BC125" s="36"/>
      <c r="BD125" s="36"/>
      <c r="BE125" s="36"/>
      <c r="BF125" s="36"/>
    </row>
    <row r="126" spans="1:58" x14ac:dyDescent="0.2">
      <c r="A126" s="45" t="str">
        <f>"502.24.01"</f>
        <v>502.24.01</v>
      </c>
      <c r="B126" s="45" t="s">
        <v>933</v>
      </c>
      <c r="C126" s="46">
        <f>CE_RegimeContributivo!B296</f>
        <v>0</v>
      </c>
      <c r="D126" s="46">
        <f>CE_RegimeContributivo!C296</f>
        <v>0</v>
      </c>
      <c r="E126" s="46">
        <f>CE_RegimeContributivo!E296</f>
        <v>0</v>
      </c>
      <c r="F126" s="46">
        <f>CE_RegimeContributivo!S296</f>
        <v>0</v>
      </c>
      <c r="G126" s="60" t="e">
        <f t="shared" si="62"/>
        <v>#DIV/0!</v>
      </c>
      <c r="H126" s="60" t="e">
        <f t="shared" si="63"/>
        <v>#DIV/0!</v>
      </c>
      <c r="I126" s="46">
        <f>CE_RegimeNaoContributivo!B296</f>
        <v>0</v>
      </c>
      <c r="J126" s="46">
        <f>CE_RegimeNaoContributivo!C296</f>
        <v>0</v>
      </c>
      <c r="K126" s="46">
        <f>CE_RegimeNaoContributivo!E296</f>
        <v>0</v>
      </c>
      <c r="L126" s="46">
        <f>CE_RegimeNaoContributivo!S296</f>
        <v>0</v>
      </c>
      <c r="M126" s="60" t="e">
        <f t="shared" si="65"/>
        <v>#DIV/0!</v>
      </c>
      <c r="N126" s="60" t="e">
        <f t="shared" si="66"/>
        <v>#DIV/0!</v>
      </c>
      <c r="O126" s="46">
        <f>CE_AdministraçãoINSS!B296</f>
        <v>120000</v>
      </c>
      <c r="P126" s="46">
        <f>CE_AdministraçãoINSS!C296</f>
        <v>120000</v>
      </c>
      <c r="Q126" s="46">
        <f>CE_AdministraçãoINSS!E296</f>
        <v>94792</v>
      </c>
      <c r="R126" s="46">
        <f>CE_AdministraçãoINSS!S296</f>
        <v>94336</v>
      </c>
      <c r="S126" s="60">
        <f t="shared" si="68"/>
        <v>0.78613333333333335</v>
      </c>
      <c r="T126" s="60">
        <f t="shared" si="69"/>
        <v>0.78993333333333338</v>
      </c>
      <c r="U126" s="46">
        <f t="shared" si="70"/>
        <v>120000</v>
      </c>
      <c r="V126" s="46">
        <f t="shared" si="70"/>
        <v>120000</v>
      </c>
      <c r="W126" s="46">
        <f t="shared" si="70"/>
        <v>94792</v>
      </c>
      <c r="X126" s="46">
        <f t="shared" si="70"/>
        <v>94336</v>
      </c>
      <c r="Y126" s="60">
        <f t="shared" si="71"/>
        <v>0.78613333333333335</v>
      </c>
      <c r="Z126" s="60">
        <f t="shared" si="72"/>
        <v>0.78993333333333338</v>
      </c>
      <c r="AA126" s="46">
        <f>CE_AdministraçãoFRSS!B296</f>
        <v>0</v>
      </c>
      <c r="AB126" s="46">
        <f>CE_AdministraçãoFRSS!C296</f>
        <v>0</v>
      </c>
      <c r="AC126" s="46">
        <f>CE_AdministraçãoFRSS!E296</f>
        <v>0</v>
      </c>
      <c r="AD126" s="46">
        <f>CE_AdministraçãoFRSS!S296</f>
        <v>0</v>
      </c>
      <c r="AE126" s="60" t="e">
        <f t="shared" si="74"/>
        <v>#DIV/0!</v>
      </c>
      <c r="AF126" s="60" t="e">
        <f t="shared" si="75"/>
        <v>#DIV/0!</v>
      </c>
      <c r="AG126" s="46">
        <f t="shared" si="76"/>
        <v>0</v>
      </c>
      <c r="AH126" s="46">
        <f t="shared" si="76"/>
        <v>0</v>
      </c>
      <c r="AI126" s="46">
        <f t="shared" si="76"/>
        <v>0</v>
      </c>
      <c r="AJ126" s="46">
        <f t="shared" si="76"/>
        <v>0</v>
      </c>
      <c r="AK126" s="60" t="e">
        <f t="shared" si="77"/>
        <v>#DIV/0!</v>
      </c>
      <c r="AL126" s="60" t="e">
        <f t="shared" si="78"/>
        <v>#DIV/0!</v>
      </c>
      <c r="AM126" s="46">
        <f t="shared" si="79"/>
        <v>120000</v>
      </c>
      <c r="AN126" s="46">
        <f t="shared" si="79"/>
        <v>120000</v>
      </c>
      <c r="AO126" s="46">
        <f t="shared" si="79"/>
        <v>94792</v>
      </c>
      <c r="AP126" s="46">
        <f t="shared" si="79"/>
        <v>94336</v>
      </c>
      <c r="AQ126" s="702">
        <f t="shared" si="80"/>
        <v>0.78613333333333335</v>
      </c>
      <c r="AR126" s="60">
        <f t="shared" si="81"/>
        <v>0.78993333333333338</v>
      </c>
      <c r="AT126" s="38"/>
      <c r="AU126" s="38"/>
      <c r="AV126" s="38"/>
      <c r="AW126" s="38"/>
      <c r="AY126" s="38"/>
      <c r="AZ126" s="38"/>
      <c r="BA126" s="38"/>
      <c r="BB126" s="38"/>
    </row>
    <row r="127" spans="1:58" ht="33.75" customHeight="1" x14ac:dyDescent="0.2">
      <c r="A127" s="45" t="str">
        <f>"502.24.02"</f>
        <v>502.24.02</v>
      </c>
      <c r="B127" s="45" t="s">
        <v>934</v>
      </c>
      <c r="C127" s="46">
        <f>CE_RegimeContributivo!B297</f>
        <v>0</v>
      </c>
      <c r="D127" s="46">
        <f>CE_RegimeContributivo!C297</f>
        <v>0</v>
      </c>
      <c r="E127" s="46">
        <f>CE_RegimeContributivo!E297</f>
        <v>0</v>
      </c>
      <c r="F127" s="46">
        <f>CE_RegimeContributivo!S297</f>
        <v>0</v>
      </c>
      <c r="G127" s="60" t="e">
        <f t="shared" si="62"/>
        <v>#DIV/0!</v>
      </c>
      <c r="H127" s="60" t="e">
        <f t="shared" si="63"/>
        <v>#DIV/0!</v>
      </c>
      <c r="I127" s="46">
        <f>CE_RegimeNaoContributivo!B297</f>
        <v>0</v>
      </c>
      <c r="J127" s="46">
        <f>CE_RegimeNaoContributivo!C297</f>
        <v>0</v>
      </c>
      <c r="K127" s="46">
        <f>CE_RegimeNaoContributivo!E297</f>
        <v>0</v>
      </c>
      <c r="L127" s="46">
        <f>CE_RegimeNaoContributivo!S297</f>
        <v>0</v>
      </c>
      <c r="M127" s="60" t="e">
        <f t="shared" si="65"/>
        <v>#DIV/0!</v>
      </c>
      <c r="N127" s="60" t="e">
        <f t="shared" si="66"/>
        <v>#DIV/0!</v>
      </c>
      <c r="O127" s="46">
        <f>CE_AdministraçãoINSS!B297</f>
        <v>57847</v>
      </c>
      <c r="P127" s="46">
        <f>CE_AdministraçãoINSS!C297</f>
        <v>57847</v>
      </c>
      <c r="Q127" s="46">
        <f>CE_AdministraçãoINSS!E297</f>
        <v>25137.799999999996</v>
      </c>
      <c r="R127" s="46">
        <f>CE_AdministraçãoINSS!S297</f>
        <v>25137.799999999996</v>
      </c>
      <c r="S127" s="60">
        <f t="shared" si="68"/>
        <v>0.43455667536778048</v>
      </c>
      <c r="T127" s="60">
        <f t="shared" si="69"/>
        <v>0.43455667536778048</v>
      </c>
      <c r="U127" s="46">
        <f t="shared" si="70"/>
        <v>57847</v>
      </c>
      <c r="V127" s="46">
        <f t="shared" si="70"/>
        <v>57847</v>
      </c>
      <c r="W127" s="46">
        <f t="shared" si="70"/>
        <v>25137.799999999996</v>
      </c>
      <c r="X127" s="46">
        <f t="shared" si="70"/>
        <v>25137.799999999996</v>
      </c>
      <c r="Y127" s="60">
        <f t="shared" si="71"/>
        <v>0.43455667536778048</v>
      </c>
      <c r="Z127" s="60">
        <f t="shared" si="72"/>
        <v>0.43455667536778048</v>
      </c>
      <c r="AA127" s="46">
        <f>CE_AdministraçãoFRSS!B297</f>
        <v>71087</v>
      </c>
      <c r="AB127" s="46">
        <f>CE_AdministraçãoFRSS!C297</f>
        <v>58187</v>
      </c>
      <c r="AC127" s="46">
        <f>CE_AdministraçãoFRSS!E297</f>
        <v>1403.6</v>
      </c>
      <c r="AD127" s="46">
        <f>CE_AdministraçãoFRSS!S297</f>
        <v>1403.6</v>
      </c>
      <c r="AE127" s="60">
        <f t="shared" si="74"/>
        <v>2.4122226614192173E-2</v>
      </c>
      <c r="AF127" s="60">
        <f t="shared" si="75"/>
        <v>2.4122226614192173E-2</v>
      </c>
      <c r="AG127" s="46">
        <f t="shared" si="76"/>
        <v>71087</v>
      </c>
      <c r="AH127" s="46">
        <f t="shared" si="76"/>
        <v>58187</v>
      </c>
      <c r="AI127" s="46">
        <f t="shared" si="76"/>
        <v>1403.6</v>
      </c>
      <c r="AJ127" s="46">
        <f t="shared" si="76"/>
        <v>1403.6</v>
      </c>
      <c r="AK127" s="60">
        <f t="shared" si="77"/>
        <v>2.4122226614192173E-2</v>
      </c>
      <c r="AL127" s="60">
        <f t="shared" si="78"/>
        <v>2.4122226614192173E-2</v>
      </c>
      <c r="AM127" s="46">
        <f t="shared" si="79"/>
        <v>128934</v>
      </c>
      <c r="AN127" s="46">
        <f t="shared" si="79"/>
        <v>116034</v>
      </c>
      <c r="AO127" s="46">
        <f t="shared" si="79"/>
        <v>26541.399999999994</v>
      </c>
      <c r="AP127" s="46">
        <f t="shared" si="79"/>
        <v>26541.399999999994</v>
      </c>
      <c r="AQ127" s="702">
        <f t="shared" si="80"/>
        <v>0.22873812847958352</v>
      </c>
      <c r="AR127" s="60">
        <f t="shared" si="81"/>
        <v>0.22873812847958352</v>
      </c>
      <c r="AT127" s="38"/>
      <c r="AU127" s="38"/>
      <c r="AV127" s="38"/>
      <c r="AW127" s="38"/>
      <c r="AY127" s="38"/>
      <c r="AZ127" s="38"/>
      <c r="BA127" s="38"/>
      <c r="BB127" s="38"/>
    </row>
    <row r="128" spans="1:58" ht="30" x14ac:dyDescent="0.2">
      <c r="A128" s="45" t="str">
        <f>"502.24.03"</f>
        <v>502.24.03</v>
      </c>
      <c r="B128" s="45" t="s">
        <v>935</v>
      </c>
      <c r="C128" s="46">
        <f>CE_RegimeContributivo!B298</f>
        <v>0</v>
      </c>
      <c r="D128" s="46">
        <f>CE_RegimeContributivo!C298</f>
        <v>0</v>
      </c>
      <c r="E128" s="46">
        <f>CE_RegimeContributivo!E298</f>
        <v>0</v>
      </c>
      <c r="F128" s="46">
        <f>CE_RegimeContributivo!S298</f>
        <v>0</v>
      </c>
      <c r="G128" s="60" t="e">
        <f t="shared" si="62"/>
        <v>#DIV/0!</v>
      </c>
      <c r="H128" s="60" t="e">
        <f t="shared" si="63"/>
        <v>#DIV/0!</v>
      </c>
      <c r="I128" s="46">
        <f>CE_RegimeNaoContributivo!B298</f>
        <v>0</v>
      </c>
      <c r="J128" s="46">
        <f>CE_RegimeNaoContributivo!C298</f>
        <v>0</v>
      </c>
      <c r="K128" s="46">
        <f>CE_RegimeNaoContributivo!E298</f>
        <v>0</v>
      </c>
      <c r="L128" s="46">
        <f>CE_RegimeNaoContributivo!S298</f>
        <v>0</v>
      </c>
      <c r="M128" s="60" t="e">
        <f t="shared" si="65"/>
        <v>#DIV/0!</v>
      </c>
      <c r="N128" s="60" t="e">
        <f t="shared" si="66"/>
        <v>#DIV/0!</v>
      </c>
      <c r="O128" s="46">
        <f>CE_AdministraçãoINSS!B298</f>
        <v>0</v>
      </c>
      <c r="P128" s="46">
        <f>CE_AdministraçãoINSS!C298</f>
        <v>0</v>
      </c>
      <c r="Q128" s="46">
        <f>CE_AdministraçãoINSS!E298</f>
        <v>0</v>
      </c>
      <c r="R128" s="46">
        <f>CE_AdministraçãoINSS!S298</f>
        <v>0</v>
      </c>
      <c r="S128" s="60" t="e">
        <f t="shared" si="68"/>
        <v>#DIV/0!</v>
      </c>
      <c r="T128" s="60" t="e">
        <f t="shared" si="69"/>
        <v>#DIV/0!</v>
      </c>
      <c r="U128" s="46">
        <f t="shared" si="70"/>
        <v>0</v>
      </c>
      <c r="V128" s="46">
        <f t="shared" si="70"/>
        <v>0</v>
      </c>
      <c r="W128" s="46">
        <f t="shared" si="70"/>
        <v>0</v>
      </c>
      <c r="X128" s="46">
        <f t="shared" si="70"/>
        <v>0</v>
      </c>
      <c r="Y128" s="60" t="e">
        <f t="shared" si="71"/>
        <v>#DIV/0!</v>
      </c>
      <c r="Z128" s="60" t="e">
        <f t="shared" si="72"/>
        <v>#DIV/0!</v>
      </c>
      <c r="AA128" s="46">
        <f>CE_AdministraçãoFRSS!B298</f>
        <v>0</v>
      </c>
      <c r="AB128" s="46">
        <f>CE_AdministraçãoFRSS!C298</f>
        <v>0</v>
      </c>
      <c r="AC128" s="46">
        <f>CE_AdministraçãoFRSS!E298</f>
        <v>0</v>
      </c>
      <c r="AD128" s="46">
        <f>CE_AdministraçãoFRSS!S298</f>
        <v>0</v>
      </c>
      <c r="AE128" s="60" t="e">
        <f t="shared" si="74"/>
        <v>#DIV/0!</v>
      </c>
      <c r="AF128" s="60" t="e">
        <f t="shared" si="75"/>
        <v>#DIV/0!</v>
      </c>
      <c r="AG128" s="46">
        <f t="shared" si="76"/>
        <v>0</v>
      </c>
      <c r="AH128" s="46">
        <f t="shared" si="76"/>
        <v>0</v>
      </c>
      <c r="AI128" s="46">
        <f t="shared" si="76"/>
        <v>0</v>
      </c>
      <c r="AJ128" s="46">
        <f t="shared" si="76"/>
        <v>0</v>
      </c>
      <c r="AK128" s="60" t="e">
        <f t="shared" si="77"/>
        <v>#DIV/0!</v>
      </c>
      <c r="AL128" s="60" t="e">
        <f t="shared" si="78"/>
        <v>#DIV/0!</v>
      </c>
      <c r="AM128" s="46">
        <f t="shared" si="79"/>
        <v>0</v>
      </c>
      <c r="AN128" s="46">
        <f t="shared" si="79"/>
        <v>0</v>
      </c>
      <c r="AO128" s="46">
        <f t="shared" si="79"/>
        <v>0</v>
      </c>
      <c r="AP128" s="46">
        <f t="shared" si="79"/>
        <v>0</v>
      </c>
      <c r="AQ128" s="60" t="e">
        <f t="shared" si="80"/>
        <v>#DIV/0!</v>
      </c>
      <c r="AR128" s="60" t="e">
        <f t="shared" si="81"/>
        <v>#DIV/0!</v>
      </c>
      <c r="AT128" s="38"/>
      <c r="AU128" s="38"/>
      <c r="AV128" s="38"/>
      <c r="AW128" s="38"/>
      <c r="AY128" s="38"/>
      <c r="AZ128" s="38"/>
      <c r="BA128" s="38"/>
      <c r="BB128" s="38"/>
    </row>
    <row r="129" spans="1:58" s="44" customFormat="1" x14ac:dyDescent="0.2">
      <c r="A129" s="41" t="str">
        <f>"502.25"</f>
        <v>502.25</v>
      </c>
      <c r="B129" s="42" t="s">
        <v>136</v>
      </c>
      <c r="C129" s="43">
        <f>SUM(C130:C136)</f>
        <v>0</v>
      </c>
      <c r="D129" s="43">
        <f>SUM(D130:D136)</f>
        <v>0</v>
      </c>
      <c r="E129" s="43">
        <f>SUM(E130:E136)</f>
        <v>0</v>
      </c>
      <c r="F129" s="43">
        <f t="shared" ref="F129" si="110">SUM(F130:F136)</f>
        <v>0</v>
      </c>
      <c r="G129" s="59" t="e">
        <f t="shared" si="62"/>
        <v>#DIV/0!</v>
      </c>
      <c r="H129" s="59" t="e">
        <f t="shared" si="63"/>
        <v>#DIV/0!</v>
      </c>
      <c r="I129" s="43">
        <f>SUM(I130:I136)</f>
        <v>0</v>
      </c>
      <c r="J129" s="43">
        <f>SUM(J130:J136)</f>
        <v>0</v>
      </c>
      <c r="K129" s="43">
        <f t="shared" ref="K129:L129" si="111">SUM(K130:K136)</f>
        <v>0</v>
      </c>
      <c r="L129" s="43">
        <f t="shared" si="111"/>
        <v>0</v>
      </c>
      <c r="M129" s="59" t="e">
        <f t="shared" si="65"/>
        <v>#DIV/0!</v>
      </c>
      <c r="N129" s="59" t="e">
        <f t="shared" si="66"/>
        <v>#DIV/0!</v>
      </c>
      <c r="O129" s="43">
        <f>SUM(O130:O136)</f>
        <v>94020</v>
      </c>
      <c r="P129" s="43">
        <f>SUM(P130:P136)</f>
        <v>130273.3</v>
      </c>
      <c r="Q129" s="43">
        <f t="shared" ref="Q129:R129" si="112">SUM(Q130:Q136)</f>
        <v>23824.85</v>
      </c>
      <c r="R129" s="43">
        <f t="shared" si="112"/>
        <v>22154.85</v>
      </c>
      <c r="S129" s="59">
        <f t="shared" si="68"/>
        <v>0.17006439539030638</v>
      </c>
      <c r="T129" s="59">
        <f t="shared" si="69"/>
        <v>0.18288359932541817</v>
      </c>
      <c r="U129" s="43">
        <f t="shared" si="70"/>
        <v>94020</v>
      </c>
      <c r="V129" s="43">
        <f t="shared" si="70"/>
        <v>130273.3</v>
      </c>
      <c r="W129" s="43">
        <f t="shared" si="70"/>
        <v>23824.85</v>
      </c>
      <c r="X129" s="43">
        <f t="shared" si="70"/>
        <v>22154.85</v>
      </c>
      <c r="Y129" s="59">
        <f t="shared" si="71"/>
        <v>0.17006439539030638</v>
      </c>
      <c r="Z129" s="59">
        <f t="shared" si="72"/>
        <v>0.18288359932541817</v>
      </c>
      <c r="AA129" s="43">
        <f>SUM(AA130:AA136)</f>
        <v>6000</v>
      </c>
      <c r="AB129" s="43">
        <f>SUM(AB130:AB136)</f>
        <v>10570</v>
      </c>
      <c r="AC129" s="43">
        <f t="shared" ref="AC129:AD129" si="113">SUM(AC130:AC136)</f>
        <v>3981.35</v>
      </c>
      <c r="AD129" s="43">
        <f t="shared" si="113"/>
        <v>3981.35</v>
      </c>
      <c r="AE129" s="59">
        <f t="shared" si="74"/>
        <v>0.37666508987701042</v>
      </c>
      <c r="AF129" s="59">
        <f t="shared" si="75"/>
        <v>0.37666508987701042</v>
      </c>
      <c r="AG129" s="43">
        <f t="shared" si="76"/>
        <v>6000</v>
      </c>
      <c r="AH129" s="43">
        <f t="shared" si="76"/>
        <v>10570</v>
      </c>
      <c r="AI129" s="43">
        <f t="shared" si="76"/>
        <v>3981.35</v>
      </c>
      <c r="AJ129" s="43">
        <f t="shared" si="76"/>
        <v>3981.35</v>
      </c>
      <c r="AK129" s="59">
        <f t="shared" si="77"/>
        <v>0.37666508987701042</v>
      </c>
      <c r="AL129" s="59">
        <f t="shared" si="78"/>
        <v>0.37666508987701042</v>
      </c>
      <c r="AM129" s="43">
        <f t="shared" si="79"/>
        <v>100020</v>
      </c>
      <c r="AN129" s="43">
        <f t="shared" si="79"/>
        <v>140843.29999999999</v>
      </c>
      <c r="AO129" s="43">
        <f t="shared" si="79"/>
        <v>27806.199999999997</v>
      </c>
      <c r="AP129" s="43">
        <f t="shared" si="79"/>
        <v>26136.199999999997</v>
      </c>
      <c r="AQ129" s="59">
        <f t="shared" si="80"/>
        <v>0.18556935260676227</v>
      </c>
      <c r="AR129" s="59">
        <f t="shared" si="81"/>
        <v>0.19742650165112574</v>
      </c>
      <c r="AT129" s="38"/>
      <c r="AU129" s="38"/>
      <c r="AV129" s="38"/>
      <c r="AW129" s="38"/>
      <c r="AY129" s="38"/>
      <c r="AZ129" s="38"/>
      <c r="BA129" s="38"/>
      <c r="BB129" s="38"/>
      <c r="BC129" s="36"/>
      <c r="BD129" s="36"/>
      <c r="BE129" s="36"/>
      <c r="BF129" s="36"/>
    </row>
    <row r="130" spans="1:58" x14ac:dyDescent="0.2">
      <c r="A130" s="45" t="str">
        <f>"502.25.01"</f>
        <v>502.25.01</v>
      </c>
      <c r="B130" s="47" t="s">
        <v>802</v>
      </c>
      <c r="C130" s="46">
        <f>CE_RegimeContributivo!B300</f>
        <v>0</v>
      </c>
      <c r="D130" s="46">
        <f>CE_RegimeContributivo!C300</f>
        <v>0</v>
      </c>
      <c r="E130" s="46">
        <f>CE_RegimeContributivo!E300</f>
        <v>0</v>
      </c>
      <c r="F130" s="46">
        <f>CE_RegimeContributivo!S300</f>
        <v>0</v>
      </c>
      <c r="G130" s="60" t="e">
        <f t="shared" si="62"/>
        <v>#DIV/0!</v>
      </c>
      <c r="H130" s="60" t="e">
        <f t="shared" si="63"/>
        <v>#DIV/0!</v>
      </c>
      <c r="I130" s="46">
        <f>CE_RegimeNaoContributivo!B300</f>
        <v>0</v>
      </c>
      <c r="J130" s="46">
        <f>CE_RegimeNaoContributivo!C300</f>
        <v>0</v>
      </c>
      <c r="K130" s="46">
        <f>CE_RegimeNaoContributivo!E300</f>
        <v>0</v>
      </c>
      <c r="L130" s="46">
        <f>CE_RegimeNaoContributivo!S300</f>
        <v>0</v>
      </c>
      <c r="M130" s="60" t="e">
        <f t="shared" si="65"/>
        <v>#DIV/0!</v>
      </c>
      <c r="N130" s="60" t="e">
        <f t="shared" si="66"/>
        <v>#DIV/0!</v>
      </c>
      <c r="O130" s="46">
        <f>CE_AdministraçãoINSS!B300</f>
        <v>0</v>
      </c>
      <c r="P130" s="46">
        <f>CE_AdministraçãoINSS!C300</f>
        <v>0</v>
      </c>
      <c r="Q130" s="46">
        <f>CE_AdministraçãoINSS!E300</f>
        <v>0</v>
      </c>
      <c r="R130" s="46">
        <f>CE_AdministraçãoINSS!S300</f>
        <v>0</v>
      </c>
      <c r="S130" s="60" t="e">
        <f t="shared" si="68"/>
        <v>#DIV/0!</v>
      </c>
      <c r="T130" s="60" t="e">
        <f t="shared" si="69"/>
        <v>#DIV/0!</v>
      </c>
      <c r="U130" s="46">
        <f t="shared" si="70"/>
        <v>0</v>
      </c>
      <c r="V130" s="46">
        <f t="shared" si="70"/>
        <v>0</v>
      </c>
      <c r="W130" s="46">
        <f t="shared" si="70"/>
        <v>0</v>
      </c>
      <c r="X130" s="46">
        <f t="shared" si="70"/>
        <v>0</v>
      </c>
      <c r="Y130" s="60" t="e">
        <f t="shared" si="71"/>
        <v>#DIV/0!</v>
      </c>
      <c r="Z130" s="60" t="e">
        <f t="shared" si="72"/>
        <v>#DIV/0!</v>
      </c>
      <c r="AA130" s="46">
        <f>CE_AdministraçãoFRSS!B300</f>
        <v>0</v>
      </c>
      <c r="AB130" s="46">
        <f>CE_AdministraçãoFRSS!C300</f>
        <v>0</v>
      </c>
      <c r="AC130" s="46">
        <f>CE_AdministraçãoFRSS!E300</f>
        <v>0</v>
      </c>
      <c r="AD130" s="46">
        <f>CE_AdministraçãoFRSS!S300</f>
        <v>0</v>
      </c>
      <c r="AE130" s="60" t="e">
        <f t="shared" si="74"/>
        <v>#DIV/0!</v>
      </c>
      <c r="AF130" s="60" t="e">
        <f t="shared" si="75"/>
        <v>#DIV/0!</v>
      </c>
      <c r="AG130" s="46">
        <f t="shared" si="76"/>
        <v>0</v>
      </c>
      <c r="AH130" s="46">
        <f t="shared" si="76"/>
        <v>0</v>
      </c>
      <c r="AI130" s="46">
        <f t="shared" si="76"/>
        <v>0</v>
      </c>
      <c r="AJ130" s="46">
        <f t="shared" si="76"/>
        <v>0</v>
      </c>
      <c r="AK130" s="60" t="e">
        <f t="shared" si="77"/>
        <v>#DIV/0!</v>
      </c>
      <c r="AL130" s="60" t="e">
        <f t="shared" si="78"/>
        <v>#DIV/0!</v>
      </c>
      <c r="AM130" s="46">
        <f t="shared" si="79"/>
        <v>0</v>
      </c>
      <c r="AN130" s="46">
        <f t="shared" si="79"/>
        <v>0</v>
      </c>
      <c r="AO130" s="46">
        <f t="shared" si="79"/>
        <v>0</v>
      </c>
      <c r="AP130" s="46">
        <f t="shared" si="79"/>
        <v>0</v>
      </c>
      <c r="AQ130" s="60" t="e">
        <f t="shared" si="80"/>
        <v>#DIV/0!</v>
      </c>
      <c r="AR130" s="60" t="e">
        <f t="shared" si="81"/>
        <v>#DIV/0!</v>
      </c>
      <c r="AT130" s="38"/>
      <c r="AU130" s="38"/>
      <c r="AV130" s="38"/>
      <c r="AW130" s="38"/>
      <c r="AY130" s="38"/>
      <c r="AZ130" s="38"/>
      <c r="BA130" s="38"/>
      <c r="BB130" s="38"/>
    </row>
    <row r="131" spans="1:58" x14ac:dyDescent="0.2">
      <c r="A131" s="45" t="str">
        <f>"502.25.02"</f>
        <v>502.25.02</v>
      </c>
      <c r="B131" s="47" t="s">
        <v>936</v>
      </c>
      <c r="C131" s="46">
        <f>CE_RegimeContributivo!B301</f>
        <v>0</v>
      </c>
      <c r="D131" s="46">
        <f>CE_RegimeContributivo!C301</f>
        <v>0</v>
      </c>
      <c r="E131" s="46">
        <f>CE_RegimeContributivo!E301</f>
        <v>0</v>
      </c>
      <c r="F131" s="46">
        <f>CE_RegimeContributivo!S301</f>
        <v>0</v>
      </c>
      <c r="G131" s="60" t="e">
        <f t="shared" si="62"/>
        <v>#DIV/0!</v>
      </c>
      <c r="H131" s="60" t="e">
        <f t="shared" si="63"/>
        <v>#DIV/0!</v>
      </c>
      <c r="I131" s="46">
        <f>CE_RegimeNaoContributivo!B301</f>
        <v>0</v>
      </c>
      <c r="J131" s="46">
        <f>CE_RegimeNaoContributivo!C301</f>
        <v>0</v>
      </c>
      <c r="K131" s="46">
        <f>CE_RegimeNaoContributivo!E301</f>
        <v>0</v>
      </c>
      <c r="L131" s="46">
        <f>CE_RegimeNaoContributivo!S301</f>
        <v>0</v>
      </c>
      <c r="M131" s="60" t="e">
        <f t="shared" si="65"/>
        <v>#DIV/0!</v>
      </c>
      <c r="N131" s="60" t="e">
        <f t="shared" si="66"/>
        <v>#DIV/0!</v>
      </c>
      <c r="O131" s="46">
        <f>CE_AdministraçãoINSS!B301</f>
        <v>20000</v>
      </c>
      <c r="P131" s="46">
        <f>CE_AdministraçãoINSS!C301</f>
        <v>20000</v>
      </c>
      <c r="Q131" s="46">
        <f>CE_AdministraçãoINSS!E301</f>
        <v>900</v>
      </c>
      <c r="R131" s="46">
        <f>CE_AdministraçãoINSS!S301</f>
        <v>900</v>
      </c>
      <c r="S131" s="60">
        <f t="shared" si="68"/>
        <v>4.4999999999999998E-2</v>
      </c>
      <c r="T131" s="60">
        <f t="shared" si="69"/>
        <v>4.4999999999999998E-2</v>
      </c>
      <c r="U131" s="46">
        <f t="shared" si="70"/>
        <v>20000</v>
      </c>
      <c r="V131" s="46">
        <f t="shared" si="70"/>
        <v>20000</v>
      </c>
      <c r="W131" s="46">
        <f t="shared" si="70"/>
        <v>900</v>
      </c>
      <c r="X131" s="46">
        <f t="shared" si="70"/>
        <v>900</v>
      </c>
      <c r="Y131" s="60">
        <f t="shared" si="71"/>
        <v>4.4999999999999998E-2</v>
      </c>
      <c r="Z131" s="60">
        <f t="shared" si="72"/>
        <v>4.4999999999999998E-2</v>
      </c>
      <c r="AA131" s="46">
        <f>CE_AdministraçãoFRSS!B301</f>
        <v>6000</v>
      </c>
      <c r="AB131" s="46">
        <f>CE_AdministraçãoFRSS!C301</f>
        <v>6000</v>
      </c>
      <c r="AC131" s="46">
        <f>CE_AdministraçãoFRSS!E301</f>
        <v>0</v>
      </c>
      <c r="AD131" s="46">
        <f>CE_AdministraçãoFRSS!S301</f>
        <v>0</v>
      </c>
      <c r="AE131" s="60">
        <f t="shared" si="74"/>
        <v>0</v>
      </c>
      <c r="AF131" s="60">
        <f t="shared" si="75"/>
        <v>0</v>
      </c>
      <c r="AG131" s="46">
        <f t="shared" si="76"/>
        <v>6000</v>
      </c>
      <c r="AH131" s="46">
        <f t="shared" si="76"/>
        <v>6000</v>
      </c>
      <c r="AI131" s="46">
        <f t="shared" si="76"/>
        <v>0</v>
      </c>
      <c r="AJ131" s="46">
        <f t="shared" si="76"/>
        <v>0</v>
      </c>
      <c r="AK131" s="60">
        <f t="shared" si="77"/>
        <v>0</v>
      </c>
      <c r="AL131" s="60">
        <f t="shared" si="78"/>
        <v>0</v>
      </c>
      <c r="AM131" s="46">
        <f t="shared" si="79"/>
        <v>26000</v>
      </c>
      <c r="AN131" s="46">
        <f t="shared" si="79"/>
        <v>26000</v>
      </c>
      <c r="AO131" s="46">
        <f t="shared" si="79"/>
        <v>900</v>
      </c>
      <c r="AP131" s="46">
        <f t="shared" si="79"/>
        <v>900</v>
      </c>
      <c r="AQ131" s="702">
        <f t="shared" si="80"/>
        <v>3.4615384615384617E-2</v>
      </c>
      <c r="AR131" s="60">
        <f t="shared" si="81"/>
        <v>3.4615384615384617E-2</v>
      </c>
      <c r="AT131" s="38"/>
      <c r="AU131" s="38"/>
      <c r="AV131" s="38"/>
      <c r="AW131" s="38"/>
      <c r="AY131" s="38"/>
      <c r="AZ131" s="38"/>
      <c r="BA131" s="38"/>
      <c r="BB131" s="38"/>
    </row>
    <row r="132" spans="1:58" x14ac:dyDescent="0.2">
      <c r="A132" s="45" t="str">
        <f>"502.25.03"</f>
        <v>502.25.03</v>
      </c>
      <c r="B132" s="47" t="s">
        <v>937</v>
      </c>
      <c r="C132" s="46">
        <f>CE_RegimeContributivo!B302</f>
        <v>0</v>
      </c>
      <c r="D132" s="46">
        <f>CE_RegimeContributivo!C302</f>
        <v>0</v>
      </c>
      <c r="E132" s="46">
        <f>CE_RegimeContributivo!E302</f>
        <v>0</v>
      </c>
      <c r="F132" s="46">
        <f>CE_RegimeContributivo!S302</f>
        <v>0</v>
      </c>
      <c r="G132" s="60" t="e">
        <f t="shared" si="62"/>
        <v>#DIV/0!</v>
      </c>
      <c r="H132" s="60" t="e">
        <f t="shared" si="63"/>
        <v>#DIV/0!</v>
      </c>
      <c r="I132" s="46">
        <f>CE_RegimeNaoContributivo!B302</f>
        <v>0</v>
      </c>
      <c r="J132" s="46">
        <f>CE_RegimeNaoContributivo!C302</f>
        <v>0</v>
      </c>
      <c r="K132" s="46">
        <f>CE_RegimeNaoContributivo!E302</f>
        <v>0</v>
      </c>
      <c r="L132" s="46">
        <f>CE_RegimeNaoContributivo!S302</f>
        <v>0</v>
      </c>
      <c r="M132" s="60" t="e">
        <f t="shared" si="65"/>
        <v>#DIV/0!</v>
      </c>
      <c r="N132" s="60" t="e">
        <f t="shared" si="66"/>
        <v>#DIV/0!</v>
      </c>
      <c r="O132" s="46">
        <f>CE_AdministraçãoINSS!B302</f>
        <v>0</v>
      </c>
      <c r="P132" s="46">
        <f>CE_AdministraçãoINSS!C302</f>
        <v>0</v>
      </c>
      <c r="Q132" s="46">
        <f>CE_AdministraçãoINSS!E302</f>
        <v>0</v>
      </c>
      <c r="R132" s="46">
        <f>CE_AdministraçãoINSS!S302</f>
        <v>0</v>
      </c>
      <c r="S132" s="60" t="e">
        <f t="shared" si="68"/>
        <v>#DIV/0!</v>
      </c>
      <c r="T132" s="60" t="e">
        <f t="shared" si="69"/>
        <v>#DIV/0!</v>
      </c>
      <c r="U132" s="46">
        <f t="shared" si="70"/>
        <v>0</v>
      </c>
      <c r="V132" s="46">
        <f t="shared" si="70"/>
        <v>0</v>
      </c>
      <c r="W132" s="46">
        <f t="shared" si="70"/>
        <v>0</v>
      </c>
      <c r="X132" s="46">
        <f t="shared" si="70"/>
        <v>0</v>
      </c>
      <c r="Y132" s="60" t="e">
        <f t="shared" si="71"/>
        <v>#DIV/0!</v>
      </c>
      <c r="Z132" s="60" t="e">
        <f t="shared" si="72"/>
        <v>#DIV/0!</v>
      </c>
      <c r="AA132" s="46">
        <f>CE_AdministraçãoFRSS!B302</f>
        <v>0</v>
      </c>
      <c r="AB132" s="46">
        <f>CE_AdministraçãoFRSS!C302</f>
        <v>2350</v>
      </c>
      <c r="AC132" s="46">
        <f>CE_AdministraçãoFRSS!E302</f>
        <v>2315</v>
      </c>
      <c r="AD132" s="46">
        <f>CE_AdministraçãoFRSS!S302</f>
        <v>2315</v>
      </c>
      <c r="AE132" s="60">
        <f t="shared" si="74"/>
        <v>0.98510638297872344</v>
      </c>
      <c r="AF132" s="60">
        <f t="shared" si="75"/>
        <v>0.98510638297872344</v>
      </c>
      <c r="AG132" s="46">
        <f t="shared" si="76"/>
        <v>0</v>
      </c>
      <c r="AH132" s="46">
        <f t="shared" si="76"/>
        <v>2350</v>
      </c>
      <c r="AI132" s="46">
        <f t="shared" si="76"/>
        <v>2315</v>
      </c>
      <c r="AJ132" s="46">
        <f t="shared" si="76"/>
        <v>2315</v>
      </c>
      <c r="AK132" s="60">
        <f t="shared" si="77"/>
        <v>0.98510638297872344</v>
      </c>
      <c r="AL132" s="60">
        <f t="shared" si="78"/>
        <v>0.98510638297872344</v>
      </c>
      <c r="AM132" s="46">
        <f t="shared" si="79"/>
        <v>0</v>
      </c>
      <c r="AN132" s="46">
        <f t="shared" si="79"/>
        <v>2350</v>
      </c>
      <c r="AO132" s="46">
        <f t="shared" si="79"/>
        <v>2315</v>
      </c>
      <c r="AP132" s="46">
        <f t="shared" si="79"/>
        <v>2315</v>
      </c>
      <c r="AQ132" s="702">
        <f t="shared" si="80"/>
        <v>0.98510638297872344</v>
      </c>
      <c r="AR132" s="60">
        <f t="shared" si="81"/>
        <v>0.98510638297872344</v>
      </c>
      <c r="AT132" s="38"/>
      <c r="AU132" s="38"/>
      <c r="AV132" s="38"/>
      <c r="AW132" s="38"/>
      <c r="AY132" s="38"/>
      <c r="AZ132" s="38"/>
      <c r="BA132" s="38"/>
      <c r="BB132" s="38"/>
    </row>
    <row r="133" spans="1:58" x14ac:dyDescent="0.2">
      <c r="A133" s="45" t="str">
        <f>"502.25.04"</f>
        <v>502.25.04</v>
      </c>
      <c r="B133" s="47" t="s">
        <v>938</v>
      </c>
      <c r="C133" s="46">
        <f>CE_RegimeContributivo!B303</f>
        <v>0</v>
      </c>
      <c r="D133" s="46">
        <f>CE_RegimeContributivo!C303</f>
        <v>0</v>
      </c>
      <c r="E133" s="46">
        <f>CE_RegimeContributivo!E303</f>
        <v>0</v>
      </c>
      <c r="F133" s="46">
        <f>CE_RegimeContributivo!S303</f>
        <v>0</v>
      </c>
      <c r="G133" s="60" t="e">
        <f t="shared" si="62"/>
        <v>#DIV/0!</v>
      </c>
      <c r="H133" s="60" t="e">
        <f t="shared" si="63"/>
        <v>#DIV/0!</v>
      </c>
      <c r="I133" s="46">
        <f>CE_RegimeNaoContributivo!B303</f>
        <v>0</v>
      </c>
      <c r="J133" s="46">
        <f>CE_RegimeNaoContributivo!C303</f>
        <v>0</v>
      </c>
      <c r="K133" s="46">
        <f>CE_RegimeNaoContributivo!E303</f>
        <v>0</v>
      </c>
      <c r="L133" s="46">
        <f>CE_RegimeNaoContributivo!S303</f>
        <v>0</v>
      </c>
      <c r="M133" s="60" t="e">
        <f t="shared" si="65"/>
        <v>#DIV/0!</v>
      </c>
      <c r="N133" s="60" t="e">
        <f t="shared" si="66"/>
        <v>#DIV/0!</v>
      </c>
      <c r="O133" s="46">
        <f>CE_AdministraçãoINSS!B303</f>
        <v>50000</v>
      </c>
      <c r="P133" s="46">
        <f>CE_AdministraçãoINSS!C303</f>
        <v>50000</v>
      </c>
      <c r="Q133" s="46">
        <f>CE_AdministraçãoINSS!E303</f>
        <v>0</v>
      </c>
      <c r="R133" s="46">
        <f>CE_AdministraçãoINSS!S303</f>
        <v>0</v>
      </c>
      <c r="S133" s="60">
        <f t="shared" si="68"/>
        <v>0</v>
      </c>
      <c r="T133" s="60">
        <f t="shared" si="69"/>
        <v>0</v>
      </c>
      <c r="U133" s="46">
        <f t="shared" si="70"/>
        <v>50000</v>
      </c>
      <c r="V133" s="46">
        <f t="shared" si="70"/>
        <v>50000</v>
      </c>
      <c r="W133" s="46">
        <f t="shared" si="70"/>
        <v>0</v>
      </c>
      <c r="X133" s="46">
        <f t="shared" si="70"/>
        <v>0</v>
      </c>
      <c r="Y133" s="60">
        <f t="shared" si="71"/>
        <v>0</v>
      </c>
      <c r="Z133" s="60">
        <f t="shared" si="72"/>
        <v>0</v>
      </c>
      <c r="AA133" s="46">
        <f>CE_AdministraçãoFRSS!B303</f>
        <v>0</v>
      </c>
      <c r="AB133" s="46">
        <f>CE_AdministraçãoFRSS!C303</f>
        <v>0</v>
      </c>
      <c r="AC133" s="46">
        <f>CE_AdministraçãoFRSS!E303</f>
        <v>0</v>
      </c>
      <c r="AD133" s="46">
        <f>CE_AdministraçãoFRSS!S303</f>
        <v>0</v>
      </c>
      <c r="AE133" s="60" t="e">
        <f t="shared" si="74"/>
        <v>#DIV/0!</v>
      </c>
      <c r="AF133" s="60" t="e">
        <f t="shared" si="75"/>
        <v>#DIV/0!</v>
      </c>
      <c r="AG133" s="46">
        <f t="shared" si="76"/>
        <v>0</v>
      </c>
      <c r="AH133" s="46">
        <f t="shared" si="76"/>
        <v>0</v>
      </c>
      <c r="AI133" s="46">
        <f t="shared" si="76"/>
        <v>0</v>
      </c>
      <c r="AJ133" s="46">
        <f t="shared" si="76"/>
        <v>0</v>
      </c>
      <c r="AK133" s="60" t="e">
        <f t="shared" si="77"/>
        <v>#DIV/0!</v>
      </c>
      <c r="AL133" s="60" t="e">
        <f t="shared" si="78"/>
        <v>#DIV/0!</v>
      </c>
      <c r="AM133" s="46">
        <f t="shared" si="79"/>
        <v>50000</v>
      </c>
      <c r="AN133" s="46">
        <f t="shared" si="79"/>
        <v>50000</v>
      </c>
      <c r="AO133" s="46">
        <f t="shared" si="79"/>
        <v>0</v>
      </c>
      <c r="AP133" s="46">
        <f t="shared" si="79"/>
        <v>0</v>
      </c>
      <c r="AQ133" s="702">
        <f t="shared" si="80"/>
        <v>0</v>
      </c>
      <c r="AR133" s="60">
        <f t="shared" si="81"/>
        <v>0</v>
      </c>
      <c r="AT133" s="38"/>
      <c r="AU133" s="38"/>
      <c r="AV133" s="38"/>
      <c r="AW133" s="38"/>
      <c r="AY133" s="38"/>
      <c r="AZ133" s="38"/>
      <c r="BA133" s="38"/>
      <c r="BB133" s="38"/>
    </row>
    <row r="134" spans="1:58" x14ac:dyDescent="0.2">
      <c r="A134" s="45" t="str">
        <f>"502.25.05"</f>
        <v>502.25.05</v>
      </c>
      <c r="B134" s="47" t="s">
        <v>939</v>
      </c>
      <c r="C134" s="46">
        <f>CE_RegimeContributivo!B304</f>
        <v>0</v>
      </c>
      <c r="D134" s="46">
        <f>CE_RegimeContributivo!C304</f>
        <v>0</v>
      </c>
      <c r="E134" s="46">
        <f>CE_RegimeContributivo!E304</f>
        <v>0</v>
      </c>
      <c r="F134" s="46">
        <f>CE_RegimeContributivo!S304</f>
        <v>0</v>
      </c>
      <c r="G134" s="60" t="e">
        <f t="shared" si="62"/>
        <v>#DIV/0!</v>
      </c>
      <c r="H134" s="60" t="e">
        <f t="shared" si="63"/>
        <v>#DIV/0!</v>
      </c>
      <c r="I134" s="46">
        <f>CE_RegimeNaoContributivo!B304</f>
        <v>0</v>
      </c>
      <c r="J134" s="46">
        <f>CE_RegimeNaoContributivo!C304</f>
        <v>0</v>
      </c>
      <c r="K134" s="46">
        <f>CE_RegimeNaoContributivo!E304</f>
        <v>0</v>
      </c>
      <c r="L134" s="46">
        <f>CE_RegimeNaoContributivo!S304</f>
        <v>0</v>
      </c>
      <c r="M134" s="60" t="e">
        <f t="shared" si="65"/>
        <v>#DIV/0!</v>
      </c>
      <c r="N134" s="60" t="e">
        <f t="shared" si="66"/>
        <v>#DIV/0!</v>
      </c>
      <c r="O134" s="46">
        <f>CE_AdministraçãoINSS!B304</f>
        <v>0</v>
      </c>
      <c r="P134" s="46">
        <f>CE_AdministraçãoINSS!C304</f>
        <v>0</v>
      </c>
      <c r="Q134" s="46">
        <f>CE_AdministraçãoINSS!E304</f>
        <v>0</v>
      </c>
      <c r="R134" s="46">
        <f>CE_AdministraçãoINSS!S304</f>
        <v>0</v>
      </c>
      <c r="S134" s="60" t="e">
        <f t="shared" si="68"/>
        <v>#DIV/0!</v>
      </c>
      <c r="T134" s="60" t="e">
        <f t="shared" si="69"/>
        <v>#DIV/0!</v>
      </c>
      <c r="U134" s="46">
        <f t="shared" si="70"/>
        <v>0</v>
      </c>
      <c r="V134" s="46">
        <f t="shared" si="70"/>
        <v>0</v>
      </c>
      <c r="W134" s="46">
        <f t="shared" si="70"/>
        <v>0</v>
      </c>
      <c r="X134" s="46">
        <f t="shared" si="70"/>
        <v>0</v>
      </c>
      <c r="Y134" s="60" t="e">
        <f t="shared" si="71"/>
        <v>#DIV/0!</v>
      </c>
      <c r="Z134" s="60" t="e">
        <f t="shared" si="72"/>
        <v>#DIV/0!</v>
      </c>
      <c r="AA134" s="46">
        <f>CE_AdministraçãoFRSS!B304</f>
        <v>0</v>
      </c>
      <c r="AB134" s="46">
        <f>CE_AdministraçãoFRSS!C304</f>
        <v>0</v>
      </c>
      <c r="AC134" s="46">
        <f>CE_AdministraçãoFRSS!E304</f>
        <v>0</v>
      </c>
      <c r="AD134" s="46">
        <f>CE_AdministraçãoFRSS!S304</f>
        <v>0</v>
      </c>
      <c r="AE134" s="60" t="e">
        <f t="shared" si="74"/>
        <v>#DIV/0!</v>
      </c>
      <c r="AF134" s="60" t="e">
        <f t="shared" si="75"/>
        <v>#DIV/0!</v>
      </c>
      <c r="AG134" s="46">
        <f t="shared" si="76"/>
        <v>0</v>
      </c>
      <c r="AH134" s="46">
        <f t="shared" si="76"/>
        <v>0</v>
      </c>
      <c r="AI134" s="46">
        <f t="shared" si="76"/>
        <v>0</v>
      </c>
      <c r="AJ134" s="46">
        <f t="shared" si="76"/>
        <v>0</v>
      </c>
      <c r="AK134" s="60" t="e">
        <f t="shared" si="77"/>
        <v>#DIV/0!</v>
      </c>
      <c r="AL134" s="60" t="e">
        <f t="shared" si="78"/>
        <v>#DIV/0!</v>
      </c>
      <c r="AM134" s="46">
        <f t="shared" si="79"/>
        <v>0</v>
      </c>
      <c r="AN134" s="46">
        <f t="shared" si="79"/>
        <v>0</v>
      </c>
      <c r="AO134" s="46">
        <f t="shared" si="79"/>
        <v>0</v>
      </c>
      <c r="AP134" s="46">
        <f t="shared" si="79"/>
        <v>0</v>
      </c>
      <c r="AQ134" s="702" t="e">
        <f t="shared" si="80"/>
        <v>#DIV/0!</v>
      </c>
      <c r="AR134" s="60" t="e">
        <f t="shared" si="81"/>
        <v>#DIV/0!</v>
      </c>
      <c r="AT134" s="38"/>
      <c r="AU134" s="38"/>
      <c r="AV134" s="38"/>
      <c r="AW134" s="38"/>
      <c r="AY134" s="38"/>
      <c r="AZ134" s="38"/>
      <c r="BA134" s="38"/>
      <c r="BB134" s="38"/>
    </row>
    <row r="135" spans="1:58" x14ac:dyDescent="0.2">
      <c r="A135" s="45" t="str">
        <f>"502.25.06"</f>
        <v>502.25.06</v>
      </c>
      <c r="B135" s="47" t="s">
        <v>940</v>
      </c>
      <c r="C135" s="46">
        <f>CE_RegimeContributivo!B305</f>
        <v>0</v>
      </c>
      <c r="D135" s="46">
        <f>CE_RegimeContributivo!C305</f>
        <v>0</v>
      </c>
      <c r="E135" s="46">
        <f>CE_RegimeContributivo!E305</f>
        <v>0</v>
      </c>
      <c r="F135" s="46">
        <f>CE_RegimeContributivo!S305</f>
        <v>0</v>
      </c>
      <c r="G135" s="60" t="e">
        <f t="shared" si="62"/>
        <v>#DIV/0!</v>
      </c>
      <c r="H135" s="60" t="e">
        <f t="shared" si="63"/>
        <v>#DIV/0!</v>
      </c>
      <c r="I135" s="46">
        <f>CE_RegimeNaoContributivo!B305</f>
        <v>0</v>
      </c>
      <c r="J135" s="46">
        <f>CE_RegimeNaoContributivo!C305</f>
        <v>0</v>
      </c>
      <c r="K135" s="46">
        <f>CE_RegimeNaoContributivo!E305</f>
        <v>0</v>
      </c>
      <c r="L135" s="46">
        <f>CE_RegimeNaoContributivo!S305</f>
        <v>0</v>
      </c>
      <c r="M135" s="60" t="e">
        <f t="shared" si="65"/>
        <v>#DIV/0!</v>
      </c>
      <c r="N135" s="60" t="e">
        <f t="shared" si="66"/>
        <v>#DIV/0!</v>
      </c>
      <c r="O135" s="46">
        <f>CE_AdministraçãoINSS!B305</f>
        <v>6820</v>
      </c>
      <c r="P135" s="46">
        <f>CE_AdministraçãoINSS!C305</f>
        <v>6820</v>
      </c>
      <c r="Q135" s="46">
        <f>CE_AdministraçãoINSS!E305</f>
        <v>2520</v>
      </c>
      <c r="R135" s="46">
        <f>CE_AdministraçãoINSS!S305</f>
        <v>850</v>
      </c>
      <c r="S135" s="60">
        <f t="shared" si="68"/>
        <v>0.12463343108504399</v>
      </c>
      <c r="T135" s="60">
        <f t="shared" si="69"/>
        <v>0.36950146627565983</v>
      </c>
      <c r="U135" s="46">
        <f t="shared" si="70"/>
        <v>6820</v>
      </c>
      <c r="V135" s="46">
        <f t="shared" si="70"/>
        <v>6820</v>
      </c>
      <c r="W135" s="46">
        <f t="shared" si="70"/>
        <v>2520</v>
      </c>
      <c r="X135" s="46">
        <f t="shared" si="70"/>
        <v>850</v>
      </c>
      <c r="Y135" s="60">
        <f t="shared" si="71"/>
        <v>0.12463343108504399</v>
      </c>
      <c r="Z135" s="60">
        <f t="shared" si="72"/>
        <v>0.36950146627565983</v>
      </c>
      <c r="AA135" s="46">
        <f>CE_AdministraçãoFRSS!B305</f>
        <v>0</v>
      </c>
      <c r="AB135" s="46">
        <f>CE_AdministraçãoFRSS!C305</f>
        <v>0</v>
      </c>
      <c r="AC135" s="46">
        <f>CE_AdministraçãoFRSS!E305</f>
        <v>0</v>
      </c>
      <c r="AD135" s="46">
        <f>CE_AdministraçãoFRSS!S305</f>
        <v>0</v>
      </c>
      <c r="AE135" s="60" t="e">
        <f t="shared" si="74"/>
        <v>#DIV/0!</v>
      </c>
      <c r="AF135" s="60" t="e">
        <f t="shared" si="75"/>
        <v>#DIV/0!</v>
      </c>
      <c r="AG135" s="46">
        <f t="shared" si="76"/>
        <v>0</v>
      </c>
      <c r="AH135" s="46">
        <f t="shared" si="76"/>
        <v>0</v>
      </c>
      <c r="AI135" s="46">
        <f t="shared" si="76"/>
        <v>0</v>
      </c>
      <c r="AJ135" s="46">
        <f t="shared" si="76"/>
        <v>0</v>
      </c>
      <c r="AK135" s="60" t="e">
        <f t="shared" si="77"/>
        <v>#DIV/0!</v>
      </c>
      <c r="AL135" s="60" t="e">
        <f t="shared" si="78"/>
        <v>#DIV/0!</v>
      </c>
      <c r="AM135" s="46">
        <f t="shared" si="79"/>
        <v>6820</v>
      </c>
      <c r="AN135" s="46">
        <f t="shared" si="79"/>
        <v>6820</v>
      </c>
      <c r="AO135" s="46">
        <f t="shared" si="79"/>
        <v>2520</v>
      </c>
      <c r="AP135" s="46">
        <f t="shared" si="79"/>
        <v>850</v>
      </c>
      <c r="AQ135" s="702">
        <f t="shared" si="80"/>
        <v>0.12463343108504399</v>
      </c>
      <c r="AR135" s="60">
        <f t="shared" si="81"/>
        <v>0.36950146627565983</v>
      </c>
      <c r="AT135" s="38"/>
      <c r="AU135" s="38"/>
      <c r="AV135" s="38"/>
      <c r="AW135" s="38"/>
      <c r="AY135" s="38"/>
      <c r="AZ135" s="38"/>
      <c r="BA135" s="38"/>
      <c r="BB135" s="38"/>
    </row>
    <row r="136" spans="1:58" x14ac:dyDescent="0.2">
      <c r="A136" s="45" t="str">
        <f>"502.25.07"</f>
        <v>502.25.07</v>
      </c>
      <c r="B136" s="47" t="s">
        <v>941</v>
      </c>
      <c r="C136" s="46">
        <f>CE_RegimeContributivo!B306</f>
        <v>0</v>
      </c>
      <c r="D136" s="46">
        <f>CE_RegimeContributivo!C306</f>
        <v>0</v>
      </c>
      <c r="E136" s="46">
        <f>CE_RegimeContributivo!E306</f>
        <v>0</v>
      </c>
      <c r="F136" s="46">
        <f>CE_RegimeContributivo!S306</f>
        <v>0</v>
      </c>
      <c r="G136" s="60" t="e">
        <f t="shared" si="62"/>
        <v>#DIV/0!</v>
      </c>
      <c r="H136" s="60" t="e">
        <f t="shared" si="63"/>
        <v>#DIV/0!</v>
      </c>
      <c r="I136" s="46">
        <f>CE_RegimeNaoContributivo!B306</f>
        <v>0</v>
      </c>
      <c r="J136" s="46">
        <f>CE_RegimeNaoContributivo!C306</f>
        <v>0</v>
      </c>
      <c r="K136" s="46">
        <f>CE_RegimeNaoContributivo!E306</f>
        <v>0</v>
      </c>
      <c r="L136" s="46">
        <f>CE_RegimeNaoContributivo!S306</f>
        <v>0</v>
      </c>
      <c r="M136" s="60" t="e">
        <f t="shared" si="65"/>
        <v>#DIV/0!</v>
      </c>
      <c r="N136" s="60" t="e">
        <f t="shared" si="66"/>
        <v>#DIV/0!</v>
      </c>
      <c r="O136" s="46">
        <f>CE_AdministraçãoINSS!B306</f>
        <v>17200</v>
      </c>
      <c r="P136" s="46">
        <f>CE_AdministraçãoINSS!C306</f>
        <v>53453.3</v>
      </c>
      <c r="Q136" s="46">
        <f>CE_AdministraçãoINSS!E306</f>
        <v>20404.849999999999</v>
      </c>
      <c r="R136" s="46">
        <f>CE_AdministraçãoINSS!S306</f>
        <v>20404.849999999999</v>
      </c>
      <c r="S136" s="60">
        <f t="shared" si="68"/>
        <v>0.38173227845614766</v>
      </c>
      <c r="T136" s="60">
        <f t="shared" si="69"/>
        <v>0.38173227845614766</v>
      </c>
      <c r="U136" s="46">
        <f t="shared" si="70"/>
        <v>17200</v>
      </c>
      <c r="V136" s="46">
        <f t="shared" si="70"/>
        <v>53453.3</v>
      </c>
      <c r="W136" s="46">
        <f t="shared" si="70"/>
        <v>20404.849999999999</v>
      </c>
      <c r="X136" s="46">
        <f t="shared" ref="X136:X199" si="114">F136+L136+R136</f>
        <v>20404.849999999999</v>
      </c>
      <c r="Y136" s="60">
        <f t="shared" si="71"/>
        <v>0.38173227845614766</v>
      </c>
      <c r="Z136" s="60">
        <f t="shared" si="72"/>
        <v>0.38173227845614766</v>
      </c>
      <c r="AA136" s="46">
        <f>CE_AdministraçãoFRSS!B306</f>
        <v>0</v>
      </c>
      <c r="AB136" s="46">
        <f>CE_AdministraçãoFRSS!C306</f>
        <v>2220</v>
      </c>
      <c r="AC136" s="46">
        <f>CE_AdministraçãoFRSS!E306</f>
        <v>1666.35</v>
      </c>
      <c r="AD136" s="46">
        <f>CE_AdministraçãoFRSS!S306</f>
        <v>1666.35</v>
      </c>
      <c r="AE136" s="60">
        <f t="shared" si="74"/>
        <v>0.75060810810810807</v>
      </c>
      <c r="AF136" s="60">
        <f t="shared" si="75"/>
        <v>0.75060810810810807</v>
      </c>
      <c r="AG136" s="46">
        <f t="shared" si="76"/>
        <v>0</v>
      </c>
      <c r="AH136" s="46">
        <f t="shared" si="76"/>
        <v>2220</v>
      </c>
      <c r="AI136" s="46">
        <f t="shared" si="76"/>
        <v>1666.35</v>
      </c>
      <c r="AJ136" s="46">
        <f t="shared" ref="AJ136:AJ199" si="115">AD136</f>
        <v>1666.35</v>
      </c>
      <c r="AK136" s="60">
        <f t="shared" si="77"/>
        <v>0.75060810810810807</v>
      </c>
      <c r="AL136" s="60">
        <f t="shared" si="78"/>
        <v>0.75060810810810807</v>
      </c>
      <c r="AM136" s="46">
        <f t="shared" si="79"/>
        <v>17200</v>
      </c>
      <c r="AN136" s="46">
        <f t="shared" si="79"/>
        <v>55673.3</v>
      </c>
      <c r="AO136" s="46">
        <f t="shared" si="79"/>
        <v>22071.199999999997</v>
      </c>
      <c r="AP136" s="46">
        <f t="shared" ref="AP136:AP199" si="116">X136+AJ136</f>
        <v>22071.199999999997</v>
      </c>
      <c r="AQ136" s="702">
        <f t="shared" si="80"/>
        <v>0.39644138213470365</v>
      </c>
      <c r="AR136" s="60">
        <f t="shared" si="81"/>
        <v>0.39644138213470365</v>
      </c>
      <c r="AT136" s="38"/>
      <c r="AU136" s="38"/>
      <c r="AV136" s="38"/>
      <c r="AW136" s="38"/>
      <c r="AY136" s="38"/>
      <c r="AZ136" s="38"/>
      <c r="BA136" s="38"/>
      <c r="BB136" s="38"/>
    </row>
    <row r="137" spans="1:58" s="44" customFormat="1" x14ac:dyDescent="0.2">
      <c r="A137" s="41" t="str">
        <f>"502.26"</f>
        <v>502.26</v>
      </c>
      <c r="B137" s="42" t="s">
        <v>942</v>
      </c>
      <c r="C137" s="43">
        <f>CE_RegimeContributivo!B307</f>
        <v>0</v>
      </c>
      <c r="D137" s="43">
        <f>CE_RegimeContributivo!C307</f>
        <v>0</v>
      </c>
      <c r="E137" s="43">
        <f>CE_RegimeContributivo!E307</f>
        <v>0</v>
      </c>
      <c r="F137" s="43">
        <f>CE_RegimeContributivo!S307</f>
        <v>0</v>
      </c>
      <c r="G137" s="59" t="e">
        <f t="shared" ref="G137:G202" si="117">F137/D137</f>
        <v>#DIV/0!</v>
      </c>
      <c r="H137" s="59" t="e">
        <f t="shared" ref="H137:H202" si="118">E137/D137</f>
        <v>#DIV/0!</v>
      </c>
      <c r="I137" s="43">
        <f>CE_RegimeNaoContributivo!B307</f>
        <v>0</v>
      </c>
      <c r="J137" s="43">
        <f>CE_RegimeNaoContributivo!C307</f>
        <v>0</v>
      </c>
      <c r="K137" s="43">
        <f>CE_RegimeNaoContributivo!E307</f>
        <v>0</v>
      </c>
      <c r="L137" s="43">
        <f>CE_RegimeNaoContributivo!S307</f>
        <v>0</v>
      </c>
      <c r="M137" s="59" t="e">
        <f t="shared" ref="M137:M202" si="119">L137/J137</f>
        <v>#DIV/0!</v>
      </c>
      <c r="N137" s="59" t="e">
        <f t="shared" ref="N137:N202" si="120">K137/J137</f>
        <v>#DIV/0!</v>
      </c>
      <c r="O137" s="43">
        <f>CE_AdministraçãoINSS!B307</f>
        <v>0</v>
      </c>
      <c r="P137" s="43">
        <f>CE_AdministraçãoINSS!C307</f>
        <v>0</v>
      </c>
      <c r="Q137" s="43">
        <f>CE_AdministraçãoINSS!E307</f>
        <v>0</v>
      </c>
      <c r="R137" s="43">
        <f>CE_AdministraçãoINSS!S307</f>
        <v>0</v>
      </c>
      <c r="S137" s="59" t="e">
        <f t="shared" ref="S137:S202" si="121">R137/P137</f>
        <v>#DIV/0!</v>
      </c>
      <c r="T137" s="59" t="e">
        <f t="shared" ref="T137:T202" si="122">Q137/P137</f>
        <v>#DIV/0!</v>
      </c>
      <c r="U137" s="43">
        <f t="shared" ref="U137:X202" si="123">C137+I137+O137</f>
        <v>0</v>
      </c>
      <c r="V137" s="43">
        <f t="shared" si="123"/>
        <v>0</v>
      </c>
      <c r="W137" s="43">
        <f t="shared" si="123"/>
        <v>0</v>
      </c>
      <c r="X137" s="43">
        <f t="shared" si="114"/>
        <v>0</v>
      </c>
      <c r="Y137" s="59" t="e">
        <f t="shared" ref="Y137:Y202" si="124">X137/V137</f>
        <v>#DIV/0!</v>
      </c>
      <c r="Z137" s="59" t="e">
        <f t="shared" ref="Z137:Z202" si="125">W137/V137</f>
        <v>#DIV/0!</v>
      </c>
      <c r="AA137" s="43">
        <f>CE_AdministraçãoFRSS!B307</f>
        <v>0</v>
      </c>
      <c r="AB137" s="43">
        <f>CE_AdministraçãoFRSS!C307</f>
        <v>0</v>
      </c>
      <c r="AC137" s="43">
        <f>CE_AdministraçãoFRSS!E307</f>
        <v>0</v>
      </c>
      <c r="AD137" s="43">
        <f>CE_AdministraçãoFRSS!S307</f>
        <v>0</v>
      </c>
      <c r="AE137" s="59" t="e">
        <f t="shared" ref="AE137:AE202" si="126">AD137/AB137</f>
        <v>#DIV/0!</v>
      </c>
      <c r="AF137" s="59" t="e">
        <f t="shared" ref="AF137:AF202" si="127">AC137/AB137</f>
        <v>#DIV/0!</v>
      </c>
      <c r="AG137" s="43">
        <f t="shared" ref="AG137:AJ202" si="128">AA137</f>
        <v>0</v>
      </c>
      <c r="AH137" s="43">
        <f t="shared" si="128"/>
        <v>0</v>
      </c>
      <c r="AI137" s="43">
        <f t="shared" si="128"/>
        <v>0</v>
      </c>
      <c r="AJ137" s="43">
        <f t="shared" si="115"/>
        <v>0</v>
      </c>
      <c r="AK137" s="59" t="e">
        <f t="shared" ref="AK137:AK202" si="129">AJ137/AH137</f>
        <v>#DIV/0!</v>
      </c>
      <c r="AL137" s="59" t="e">
        <f t="shared" ref="AL137:AL202" si="130">AI137/AH137</f>
        <v>#DIV/0!</v>
      </c>
      <c r="AM137" s="43">
        <f t="shared" ref="AM137:AP202" si="131">U137+AG137</f>
        <v>0</v>
      </c>
      <c r="AN137" s="43">
        <f t="shared" si="131"/>
        <v>0</v>
      </c>
      <c r="AO137" s="43">
        <f t="shared" si="131"/>
        <v>0</v>
      </c>
      <c r="AP137" s="43">
        <f t="shared" si="116"/>
        <v>0</v>
      </c>
      <c r="AQ137" s="698" t="e">
        <f t="shared" ref="AQ137:AQ202" si="132">AP137/AN137</f>
        <v>#DIV/0!</v>
      </c>
      <c r="AR137" s="59" t="e">
        <f t="shared" ref="AR137:AR202" si="133">AO137/AN137</f>
        <v>#DIV/0!</v>
      </c>
      <c r="AT137" s="38"/>
      <c r="AU137" s="38"/>
      <c r="AV137" s="38"/>
      <c r="AW137" s="38"/>
      <c r="AY137" s="38"/>
      <c r="AZ137" s="38"/>
      <c r="BA137" s="38"/>
      <c r="BB137" s="38"/>
      <c r="BC137" s="36"/>
      <c r="BD137" s="36"/>
      <c r="BE137" s="36"/>
      <c r="BF137" s="36"/>
    </row>
    <row r="138" spans="1:58" s="44" customFormat="1" x14ac:dyDescent="0.2">
      <c r="A138" s="41" t="str">
        <f>"502.27"</f>
        <v>502.27</v>
      </c>
      <c r="B138" s="42" t="s">
        <v>137</v>
      </c>
      <c r="C138" s="43">
        <f>CE_RegimeContributivo!B308</f>
        <v>0</v>
      </c>
      <c r="D138" s="43">
        <f>CE_RegimeContributivo!C308</f>
        <v>0</v>
      </c>
      <c r="E138" s="43">
        <f>CE_RegimeContributivo!E308</f>
        <v>0</v>
      </c>
      <c r="F138" s="43">
        <f>CE_RegimeContributivo!S308</f>
        <v>0</v>
      </c>
      <c r="G138" s="59" t="e">
        <f t="shared" si="117"/>
        <v>#DIV/0!</v>
      </c>
      <c r="H138" s="59" t="e">
        <f t="shared" si="118"/>
        <v>#DIV/0!</v>
      </c>
      <c r="I138" s="43">
        <f>CE_RegimeNaoContributivo!B308</f>
        <v>0</v>
      </c>
      <c r="J138" s="43">
        <f>CE_RegimeNaoContributivo!C308</f>
        <v>0</v>
      </c>
      <c r="K138" s="43">
        <f>CE_RegimeNaoContributivo!E308</f>
        <v>0</v>
      </c>
      <c r="L138" s="43">
        <f>CE_RegimeNaoContributivo!S308</f>
        <v>0</v>
      </c>
      <c r="M138" s="59" t="e">
        <f t="shared" si="119"/>
        <v>#DIV/0!</v>
      </c>
      <c r="N138" s="59" t="e">
        <f t="shared" si="120"/>
        <v>#DIV/0!</v>
      </c>
      <c r="O138" s="43">
        <f>CE_AdministraçãoINSS!B308</f>
        <v>20300</v>
      </c>
      <c r="P138" s="43">
        <f>CE_AdministraçãoINSS!C308</f>
        <v>20300</v>
      </c>
      <c r="Q138" s="43">
        <f>CE_AdministraçãoINSS!E308</f>
        <v>20300</v>
      </c>
      <c r="R138" s="43">
        <f>CE_AdministraçãoINSS!S308</f>
        <v>12247.72</v>
      </c>
      <c r="S138" s="59">
        <f t="shared" si="121"/>
        <v>0.60333596059113292</v>
      </c>
      <c r="T138" s="59">
        <f t="shared" si="122"/>
        <v>1</v>
      </c>
      <c r="U138" s="43">
        <f t="shared" si="123"/>
        <v>20300</v>
      </c>
      <c r="V138" s="43">
        <f t="shared" si="123"/>
        <v>20300</v>
      </c>
      <c r="W138" s="43">
        <f t="shared" si="123"/>
        <v>20300</v>
      </c>
      <c r="X138" s="43">
        <f t="shared" si="114"/>
        <v>12247.72</v>
      </c>
      <c r="Y138" s="59">
        <f t="shared" si="124"/>
        <v>0.60333596059113292</v>
      </c>
      <c r="Z138" s="59">
        <f t="shared" si="125"/>
        <v>1</v>
      </c>
      <c r="AA138" s="43">
        <f>CE_AdministraçãoFRSS!B308</f>
        <v>2585</v>
      </c>
      <c r="AB138" s="43">
        <f>CE_AdministraçãoFRSS!C308</f>
        <v>1085</v>
      </c>
      <c r="AC138" s="43">
        <f>CE_AdministraçãoFRSS!E308</f>
        <v>376.5</v>
      </c>
      <c r="AD138" s="43">
        <f>CE_AdministraçãoFRSS!S308</f>
        <v>376.5</v>
      </c>
      <c r="AE138" s="59">
        <f t="shared" si="126"/>
        <v>0.34700460829493085</v>
      </c>
      <c r="AF138" s="59">
        <f t="shared" si="127"/>
        <v>0.34700460829493085</v>
      </c>
      <c r="AG138" s="43">
        <f t="shared" si="128"/>
        <v>2585</v>
      </c>
      <c r="AH138" s="43">
        <f t="shared" si="128"/>
        <v>1085</v>
      </c>
      <c r="AI138" s="43">
        <f t="shared" si="128"/>
        <v>376.5</v>
      </c>
      <c r="AJ138" s="43">
        <f t="shared" si="115"/>
        <v>376.5</v>
      </c>
      <c r="AK138" s="59">
        <f t="shared" si="129"/>
        <v>0.34700460829493085</v>
      </c>
      <c r="AL138" s="59">
        <f t="shared" si="130"/>
        <v>0.34700460829493085</v>
      </c>
      <c r="AM138" s="43">
        <f t="shared" si="131"/>
        <v>22885</v>
      </c>
      <c r="AN138" s="43">
        <f t="shared" si="131"/>
        <v>21385</v>
      </c>
      <c r="AO138" s="43">
        <f t="shared" si="131"/>
        <v>20676.5</v>
      </c>
      <c r="AP138" s="43">
        <f t="shared" si="116"/>
        <v>12624.22</v>
      </c>
      <c r="AQ138" s="698">
        <f t="shared" si="132"/>
        <v>0.59033060556464811</v>
      </c>
      <c r="AR138" s="59">
        <f t="shared" si="133"/>
        <v>0.96686930091185408</v>
      </c>
      <c r="AT138" s="38"/>
      <c r="AU138" s="38"/>
      <c r="AV138" s="38"/>
      <c r="AW138" s="38"/>
      <c r="AY138" s="38"/>
      <c r="AZ138" s="38"/>
      <c r="BA138" s="38"/>
      <c r="BB138" s="38"/>
      <c r="BC138" s="36"/>
      <c r="BD138" s="36"/>
      <c r="BE138" s="36"/>
      <c r="BF138" s="36"/>
    </row>
    <row r="139" spans="1:58" s="44" customFormat="1" x14ac:dyDescent="0.2">
      <c r="A139" s="41" t="str">
        <f>"502.28"</f>
        <v>502.28</v>
      </c>
      <c r="B139" s="42" t="s">
        <v>138</v>
      </c>
      <c r="C139" s="43">
        <f>SUM(C140:C145)</f>
        <v>0</v>
      </c>
      <c r="D139" s="43">
        <f>SUM(D140:D145)</f>
        <v>0</v>
      </c>
      <c r="E139" s="43">
        <f>SUM(E140:E145)</f>
        <v>0</v>
      </c>
      <c r="F139" s="43">
        <f t="shared" ref="F139" si="134">SUM(F140:F145)</f>
        <v>0</v>
      </c>
      <c r="G139" s="59" t="e">
        <f t="shared" si="117"/>
        <v>#DIV/0!</v>
      </c>
      <c r="H139" s="59" t="e">
        <f t="shared" si="118"/>
        <v>#DIV/0!</v>
      </c>
      <c r="I139" s="43">
        <f>SUM(I140:I145)</f>
        <v>0</v>
      </c>
      <c r="J139" s="43">
        <f>SUM(J140:J145)</f>
        <v>0</v>
      </c>
      <c r="K139" s="43">
        <f t="shared" ref="K139:L139" si="135">SUM(K140:K145)</f>
        <v>0</v>
      </c>
      <c r="L139" s="43">
        <f t="shared" si="135"/>
        <v>0</v>
      </c>
      <c r="M139" s="59" t="e">
        <f t="shared" si="119"/>
        <v>#DIV/0!</v>
      </c>
      <c r="N139" s="59" t="e">
        <f t="shared" si="120"/>
        <v>#DIV/0!</v>
      </c>
      <c r="O139" s="43">
        <f>SUM(O140:O145)</f>
        <v>56000</v>
      </c>
      <c r="P139" s="43">
        <f>SUM(P140:P145)</f>
        <v>55400</v>
      </c>
      <c r="Q139" s="43">
        <f t="shared" ref="Q139:R139" si="136">SUM(Q140:Q145)</f>
        <v>1985.6899999999998</v>
      </c>
      <c r="R139" s="43">
        <f t="shared" si="136"/>
        <v>1985.6899999999998</v>
      </c>
      <c r="S139" s="59">
        <f t="shared" si="121"/>
        <v>3.5842779783393501E-2</v>
      </c>
      <c r="T139" s="59">
        <f t="shared" si="122"/>
        <v>3.5842779783393501E-2</v>
      </c>
      <c r="U139" s="43">
        <f t="shared" si="123"/>
        <v>56000</v>
      </c>
      <c r="V139" s="43">
        <f t="shared" si="123"/>
        <v>55400</v>
      </c>
      <c r="W139" s="43">
        <f t="shared" si="123"/>
        <v>1985.6899999999998</v>
      </c>
      <c r="X139" s="43">
        <f t="shared" si="114"/>
        <v>1985.6899999999998</v>
      </c>
      <c r="Y139" s="59">
        <f t="shared" si="124"/>
        <v>3.5842779783393501E-2</v>
      </c>
      <c r="Z139" s="59">
        <f t="shared" si="125"/>
        <v>3.5842779783393501E-2</v>
      </c>
      <c r="AA139" s="43">
        <f>SUM(AA140:AA145)</f>
        <v>5000</v>
      </c>
      <c r="AB139" s="43">
        <f>SUM(AB140:AB145)</f>
        <v>2000</v>
      </c>
      <c r="AC139" s="43">
        <f t="shared" ref="AC139:AD139" si="137">SUM(AC140:AC145)</f>
        <v>48.45</v>
      </c>
      <c r="AD139" s="43">
        <f t="shared" si="137"/>
        <v>48.45</v>
      </c>
      <c r="AE139" s="59">
        <f t="shared" si="126"/>
        <v>2.4225E-2</v>
      </c>
      <c r="AF139" s="59">
        <f t="shared" si="127"/>
        <v>2.4225E-2</v>
      </c>
      <c r="AG139" s="43">
        <f t="shared" si="128"/>
        <v>5000</v>
      </c>
      <c r="AH139" s="43">
        <f t="shared" si="128"/>
        <v>2000</v>
      </c>
      <c r="AI139" s="43">
        <f t="shared" si="128"/>
        <v>48.45</v>
      </c>
      <c r="AJ139" s="43">
        <f t="shared" si="115"/>
        <v>48.45</v>
      </c>
      <c r="AK139" s="59">
        <f t="shared" si="129"/>
        <v>2.4225E-2</v>
      </c>
      <c r="AL139" s="59">
        <f t="shared" si="130"/>
        <v>2.4225E-2</v>
      </c>
      <c r="AM139" s="43">
        <f t="shared" si="131"/>
        <v>61000</v>
      </c>
      <c r="AN139" s="43">
        <f t="shared" si="131"/>
        <v>57400</v>
      </c>
      <c r="AO139" s="43">
        <f t="shared" si="131"/>
        <v>2034.1399999999999</v>
      </c>
      <c r="AP139" s="43">
        <f t="shared" si="116"/>
        <v>2034.1399999999999</v>
      </c>
      <c r="AQ139" s="698">
        <f t="shared" si="132"/>
        <v>3.5437979094076651E-2</v>
      </c>
      <c r="AR139" s="59">
        <f t="shared" si="133"/>
        <v>3.5437979094076651E-2</v>
      </c>
      <c r="AT139" s="38"/>
      <c r="AU139" s="38"/>
      <c r="AV139" s="38"/>
      <c r="AW139" s="38"/>
      <c r="AY139" s="38"/>
      <c r="AZ139" s="38"/>
      <c r="BA139" s="38"/>
      <c r="BB139" s="38"/>
      <c r="BC139" s="36"/>
      <c r="BD139" s="36"/>
      <c r="BE139" s="36"/>
      <c r="BF139" s="36"/>
    </row>
    <row r="140" spans="1:58" x14ac:dyDescent="0.2">
      <c r="A140" s="45" t="str">
        <f>"502.28.01"</f>
        <v>502.28.01</v>
      </c>
      <c r="B140" s="47" t="s">
        <v>943</v>
      </c>
      <c r="C140" s="46">
        <f>CE_RegimeContributivo!B310</f>
        <v>0</v>
      </c>
      <c r="D140" s="46">
        <f>CE_RegimeContributivo!C310</f>
        <v>0</v>
      </c>
      <c r="E140" s="46">
        <f>CE_RegimeContributivo!E310</f>
        <v>0</v>
      </c>
      <c r="F140" s="46">
        <f>CE_RegimeContributivo!S310</f>
        <v>0</v>
      </c>
      <c r="G140" s="60" t="e">
        <f t="shared" si="117"/>
        <v>#DIV/0!</v>
      </c>
      <c r="H140" s="60" t="e">
        <f t="shared" si="118"/>
        <v>#DIV/0!</v>
      </c>
      <c r="I140" s="46">
        <f>CE_RegimeNaoContributivo!B310</f>
        <v>0</v>
      </c>
      <c r="J140" s="46">
        <f>CE_RegimeNaoContributivo!C310</f>
        <v>0</v>
      </c>
      <c r="K140" s="46">
        <f>CE_RegimeNaoContributivo!E310</f>
        <v>0</v>
      </c>
      <c r="L140" s="46">
        <f>CE_RegimeNaoContributivo!S310</f>
        <v>0</v>
      </c>
      <c r="M140" s="60" t="e">
        <f t="shared" si="119"/>
        <v>#DIV/0!</v>
      </c>
      <c r="N140" s="60" t="e">
        <f t="shared" si="120"/>
        <v>#DIV/0!</v>
      </c>
      <c r="O140" s="46">
        <f>CE_AdministraçãoINSS!B310</f>
        <v>6000</v>
      </c>
      <c r="P140" s="46">
        <f>CE_AdministraçãoINSS!C310</f>
        <v>5400</v>
      </c>
      <c r="Q140" s="46">
        <f>CE_AdministraçãoINSS!E310</f>
        <v>1985.6899999999998</v>
      </c>
      <c r="R140" s="46">
        <f>CE_AdministraçãoINSS!S310</f>
        <v>1985.6899999999998</v>
      </c>
      <c r="S140" s="60">
        <f t="shared" si="121"/>
        <v>0.36772037037037036</v>
      </c>
      <c r="T140" s="60">
        <f t="shared" si="122"/>
        <v>0.36772037037037036</v>
      </c>
      <c r="U140" s="46">
        <f t="shared" si="123"/>
        <v>6000</v>
      </c>
      <c r="V140" s="46">
        <f t="shared" si="123"/>
        <v>5400</v>
      </c>
      <c r="W140" s="46">
        <f t="shared" si="123"/>
        <v>1985.6899999999998</v>
      </c>
      <c r="X140" s="46">
        <f t="shared" si="114"/>
        <v>1985.6899999999998</v>
      </c>
      <c r="Y140" s="60">
        <f t="shared" si="124"/>
        <v>0.36772037037037036</v>
      </c>
      <c r="Z140" s="60">
        <f t="shared" si="125"/>
        <v>0.36772037037037036</v>
      </c>
      <c r="AA140" s="46">
        <f>CE_AdministraçãoFRSS!B310</f>
        <v>5000</v>
      </c>
      <c r="AB140" s="46">
        <f>CE_AdministraçãoFRSS!C310</f>
        <v>2000</v>
      </c>
      <c r="AC140" s="46">
        <f>CE_AdministraçãoFRSS!E310</f>
        <v>48.45</v>
      </c>
      <c r="AD140" s="46">
        <f>CE_AdministraçãoFRSS!S310</f>
        <v>48.45</v>
      </c>
      <c r="AE140" s="60">
        <f t="shared" si="126"/>
        <v>2.4225E-2</v>
      </c>
      <c r="AF140" s="60">
        <f t="shared" si="127"/>
        <v>2.4225E-2</v>
      </c>
      <c r="AG140" s="46">
        <f t="shared" si="128"/>
        <v>5000</v>
      </c>
      <c r="AH140" s="46">
        <f t="shared" si="128"/>
        <v>2000</v>
      </c>
      <c r="AI140" s="46">
        <f t="shared" si="128"/>
        <v>48.45</v>
      </c>
      <c r="AJ140" s="46">
        <f t="shared" si="115"/>
        <v>48.45</v>
      </c>
      <c r="AK140" s="60">
        <f t="shared" si="129"/>
        <v>2.4225E-2</v>
      </c>
      <c r="AL140" s="60">
        <f t="shared" si="130"/>
        <v>2.4225E-2</v>
      </c>
      <c r="AM140" s="46">
        <f t="shared" si="131"/>
        <v>11000</v>
      </c>
      <c r="AN140" s="46">
        <f t="shared" si="131"/>
        <v>7400</v>
      </c>
      <c r="AO140" s="46">
        <f t="shared" si="131"/>
        <v>2034.1399999999999</v>
      </c>
      <c r="AP140" s="46">
        <f t="shared" si="116"/>
        <v>2034.1399999999999</v>
      </c>
      <c r="AQ140" s="702">
        <f t="shared" si="132"/>
        <v>0.27488378378378375</v>
      </c>
      <c r="AR140" s="60">
        <f t="shared" si="133"/>
        <v>0.27488378378378375</v>
      </c>
      <c r="AT140" s="38"/>
      <c r="AU140" s="38"/>
      <c r="AV140" s="38"/>
      <c r="AW140" s="38"/>
      <c r="AY140" s="38"/>
      <c r="AZ140" s="38"/>
      <c r="BA140" s="38"/>
      <c r="BB140" s="38"/>
    </row>
    <row r="141" spans="1:58" x14ac:dyDescent="0.2">
      <c r="A141" s="45" t="str">
        <f>"502.28.02"</f>
        <v>502.28.02</v>
      </c>
      <c r="B141" s="47" t="s">
        <v>944</v>
      </c>
      <c r="C141" s="46">
        <f>CE_RegimeContributivo!B311</f>
        <v>0</v>
      </c>
      <c r="D141" s="46">
        <f>CE_RegimeContributivo!C311</f>
        <v>0</v>
      </c>
      <c r="E141" s="46">
        <f>CE_RegimeContributivo!E311</f>
        <v>0</v>
      </c>
      <c r="F141" s="46">
        <f>CE_RegimeContributivo!S311</f>
        <v>0</v>
      </c>
      <c r="G141" s="60" t="e">
        <f t="shared" si="117"/>
        <v>#DIV/0!</v>
      </c>
      <c r="H141" s="60" t="e">
        <f t="shared" si="118"/>
        <v>#DIV/0!</v>
      </c>
      <c r="I141" s="46">
        <f>CE_RegimeNaoContributivo!B311</f>
        <v>0</v>
      </c>
      <c r="J141" s="46">
        <f>CE_RegimeNaoContributivo!C311</f>
        <v>0</v>
      </c>
      <c r="K141" s="46">
        <f>CE_RegimeNaoContributivo!E311</f>
        <v>0</v>
      </c>
      <c r="L141" s="46">
        <f>CE_RegimeNaoContributivo!S311</f>
        <v>0</v>
      </c>
      <c r="M141" s="60" t="e">
        <f t="shared" si="119"/>
        <v>#DIV/0!</v>
      </c>
      <c r="N141" s="60" t="e">
        <f t="shared" si="120"/>
        <v>#DIV/0!</v>
      </c>
      <c r="O141" s="46">
        <f>CE_AdministraçãoINSS!B311</f>
        <v>0</v>
      </c>
      <c r="P141" s="46">
        <f>CE_AdministraçãoINSS!C311</f>
        <v>0</v>
      </c>
      <c r="Q141" s="46">
        <f>CE_AdministraçãoINSS!E311</f>
        <v>0</v>
      </c>
      <c r="R141" s="46">
        <f>CE_AdministraçãoINSS!S311</f>
        <v>0</v>
      </c>
      <c r="S141" s="60" t="e">
        <f t="shared" si="121"/>
        <v>#DIV/0!</v>
      </c>
      <c r="T141" s="60" t="e">
        <f t="shared" si="122"/>
        <v>#DIV/0!</v>
      </c>
      <c r="U141" s="46">
        <f t="shared" si="123"/>
        <v>0</v>
      </c>
      <c r="V141" s="46">
        <f t="shared" si="123"/>
        <v>0</v>
      </c>
      <c r="W141" s="46">
        <f t="shared" si="123"/>
        <v>0</v>
      </c>
      <c r="X141" s="46">
        <f t="shared" si="114"/>
        <v>0</v>
      </c>
      <c r="Y141" s="60" t="e">
        <f t="shared" si="124"/>
        <v>#DIV/0!</v>
      </c>
      <c r="Z141" s="60" t="e">
        <f t="shared" si="125"/>
        <v>#DIV/0!</v>
      </c>
      <c r="AA141" s="46">
        <f>CE_AdministraçãoFRSS!B311</f>
        <v>0</v>
      </c>
      <c r="AB141" s="46">
        <f>CE_AdministraçãoFRSS!C311</f>
        <v>0</v>
      </c>
      <c r="AC141" s="46">
        <f>CE_AdministraçãoFRSS!E311</f>
        <v>0</v>
      </c>
      <c r="AD141" s="46">
        <f>CE_AdministraçãoFRSS!S311</f>
        <v>0</v>
      </c>
      <c r="AE141" s="60" t="e">
        <f t="shared" si="126"/>
        <v>#DIV/0!</v>
      </c>
      <c r="AF141" s="60" t="e">
        <f t="shared" si="127"/>
        <v>#DIV/0!</v>
      </c>
      <c r="AG141" s="46">
        <f t="shared" si="128"/>
        <v>0</v>
      </c>
      <c r="AH141" s="46">
        <f t="shared" si="128"/>
        <v>0</v>
      </c>
      <c r="AI141" s="46">
        <f t="shared" si="128"/>
        <v>0</v>
      </c>
      <c r="AJ141" s="46">
        <f t="shared" si="115"/>
        <v>0</v>
      </c>
      <c r="AK141" s="60" t="e">
        <f t="shared" si="129"/>
        <v>#DIV/0!</v>
      </c>
      <c r="AL141" s="60" t="e">
        <f t="shared" si="130"/>
        <v>#DIV/0!</v>
      </c>
      <c r="AM141" s="46">
        <f t="shared" si="131"/>
        <v>0</v>
      </c>
      <c r="AN141" s="46">
        <f t="shared" si="131"/>
        <v>0</v>
      </c>
      <c r="AO141" s="46">
        <f t="shared" si="131"/>
        <v>0</v>
      </c>
      <c r="AP141" s="46">
        <f t="shared" si="116"/>
        <v>0</v>
      </c>
      <c r="AQ141" s="60" t="e">
        <f t="shared" si="132"/>
        <v>#DIV/0!</v>
      </c>
      <c r="AR141" s="60" t="e">
        <f t="shared" si="133"/>
        <v>#DIV/0!</v>
      </c>
      <c r="AT141" s="38"/>
      <c r="AU141" s="38"/>
      <c r="AV141" s="38"/>
      <c r="AW141" s="38"/>
      <c r="AY141" s="38"/>
      <c r="AZ141" s="38"/>
      <c r="BA141" s="38"/>
      <c r="BB141" s="38"/>
    </row>
    <row r="142" spans="1:58" x14ac:dyDescent="0.2">
      <c r="A142" s="45" t="str">
        <f>"502.28.03"</f>
        <v>502.28.03</v>
      </c>
      <c r="B142" s="47" t="s">
        <v>945</v>
      </c>
      <c r="C142" s="46">
        <f>CE_RegimeContributivo!B312</f>
        <v>0</v>
      </c>
      <c r="D142" s="46">
        <f>CE_RegimeContributivo!C312</f>
        <v>0</v>
      </c>
      <c r="E142" s="46">
        <f>CE_RegimeContributivo!E312</f>
        <v>0</v>
      </c>
      <c r="F142" s="46">
        <f>CE_RegimeContributivo!S312</f>
        <v>0</v>
      </c>
      <c r="G142" s="60" t="e">
        <f t="shared" si="117"/>
        <v>#DIV/0!</v>
      </c>
      <c r="H142" s="60" t="e">
        <f t="shared" si="118"/>
        <v>#DIV/0!</v>
      </c>
      <c r="I142" s="46">
        <f>CE_RegimeNaoContributivo!B312</f>
        <v>0</v>
      </c>
      <c r="J142" s="46">
        <f>CE_RegimeNaoContributivo!C312</f>
        <v>0</v>
      </c>
      <c r="K142" s="46">
        <f>CE_RegimeNaoContributivo!E312</f>
        <v>0</v>
      </c>
      <c r="L142" s="46">
        <f>CE_RegimeNaoContributivo!S312</f>
        <v>0</v>
      </c>
      <c r="M142" s="60" t="e">
        <f t="shared" si="119"/>
        <v>#DIV/0!</v>
      </c>
      <c r="N142" s="60" t="e">
        <f t="shared" si="120"/>
        <v>#DIV/0!</v>
      </c>
      <c r="O142" s="46">
        <f>CE_AdministraçãoINSS!B312</f>
        <v>0</v>
      </c>
      <c r="P142" s="46">
        <f>CE_AdministraçãoINSS!C312</f>
        <v>0</v>
      </c>
      <c r="Q142" s="46">
        <f>CE_AdministraçãoINSS!E312</f>
        <v>0</v>
      </c>
      <c r="R142" s="46">
        <f>CE_AdministraçãoINSS!S312</f>
        <v>0</v>
      </c>
      <c r="S142" s="60" t="e">
        <f t="shared" si="121"/>
        <v>#DIV/0!</v>
      </c>
      <c r="T142" s="60" t="e">
        <f t="shared" si="122"/>
        <v>#DIV/0!</v>
      </c>
      <c r="U142" s="46">
        <f t="shared" si="123"/>
        <v>0</v>
      </c>
      <c r="V142" s="46">
        <f t="shared" si="123"/>
        <v>0</v>
      </c>
      <c r="W142" s="46">
        <f t="shared" si="123"/>
        <v>0</v>
      </c>
      <c r="X142" s="46">
        <f t="shared" si="114"/>
        <v>0</v>
      </c>
      <c r="Y142" s="60" t="e">
        <f t="shared" si="124"/>
        <v>#DIV/0!</v>
      </c>
      <c r="Z142" s="60" t="e">
        <f t="shared" si="125"/>
        <v>#DIV/0!</v>
      </c>
      <c r="AA142" s="46">
        <f>CE_AdministraçãoFRSS!B312</f>
        <v>0</v>
      </c>
      <c r="AB142" s="46">
        <f>CE_AdministraçãoFRSS!C312</f>
        <v>0</v>
      </c>
      <c r="AC142" s="46">
        <f>CE_AdministraçãoFRSS!E312</f>
        <v>0</v>
      </c>
      <c r="AD142" s="46">
        <f>CE_AdministraçãoFRSS!S312</f>
        <v>0</v>
      </c>
      <c r="AE142" s="60" t="e">
        <f t="shared" si="126"/>
        <v>#DIV/0!</v>
      </c>
      <c r="AF142" s="60" t="e">
        <f t="shared" si="127"/>
        <v>#DIV/0!</v>
      </c>
      <c r="AG142" s="46">
        <f t="shared" si="128"/>
        <v>0</v>
      </c>
      <c r="AH142" s="46">
        <f t="shared" si="128"/>
        <v>0</v>
      </c>
      <c r="AI142" s="46">
        <f t="shared" si="128"/>
        <v>0</v>
      </c>
      <c r="AJ142" s="46">
        <f t="shared" si="115"/>
        <v>0</v>
      </c>
      <c r="AK142" s="60" t="e">
        <f t="shared" si="129"/>
        <v>#DIV/0!</v>
      </c>
      <c r="AL142" s="60" t="e">
        <f t="shared" si="130"/>
        <v>#DIV/0!</v>
      </c>
      <c r="AM142" s="46">
        <f t="shared" si="131"/>
        <v>0</v>
      </c>
      <c r="AN142" s="46">
        <f t="shared" si="131"/>
        <v>0</v>
      </c>
      <c r="AO142" s="46">
        <f t="shared" si="131"/>
        <v>0</v>
      </c>
      <c r="AP142" s="46">
        <f t="shared" si="116"/>
        <v>0</v>
      </c>
      <c r="AQ142" s="60" t="e">
        <f t="shared" si="132"/>
        <v>#DIV/0!</v>
      </c>
      <c r="AR142" s="60" t="e">
        <f t="shared" si="133"/>
        <v>#DIV/0!</v>
      </c>
      <c r="AT142" s="38"/>
      <c r="AU142" s="38"/>
      <c r="AV142" s="38"/>
      <c r="AW142" s="38"/>
      <c r="AY142" s="38"/>
      <c r="AZ142" s="38"/>
      <c r="BA142" s="38"/>
      <c r="BB142" s="38"/>
    </row>
    <row r="143" spans="1:58" x14ac:dyDescent="0.2">
      <c r="A143" s="45" t="str">
        <f>"502.28.04"</f>
        <v>502.28.04</v>
      </c>
      <c r="B143" s="47" t="s">
        <v>946</v>
      </c>
      <c r="C143" s="46">
        <f>CE_RegimeContributivo!B313</f>
        <v>0</v>
      </c>
      <c r="D143" s="46">
        <f>CE_RegimeContributivo!C313</f>
        <v>0</v>
      </c>
      <c r="E143" s="46">
        <f>CE_RegimeContributivo!E313</f>
        <v>0</v>
      </c>
      <c r="F143" s="46">
        <f>CE_RegimeContributivo!S313</f>
        <v>0</v>
      </c>
      <c r="G143" s="60" t="e">
        <f t="shared" si="117"/>
        <v>#DIV/0!</v>
      </c>
      <c r="H143" s="60" t="e">
        <f t="shared" si="118"/>
        <v>#DIV/0!</v>
      </c>
      <c r="I143" s="46">
        <f>CE_RegimeNaoContributivo!B313</f>
        <v>0</v>
      </c>
      <c r="J143" s="46">
        <f>CE_RegimeNaoContributivo!C313</f>
        <v>0</v>
      </c>
      <c r="K143" s="46">
        <f>CE_RegimeNaoContributivo!E313</f>
        <v>0</v>
      </c>
      <c r="L143" s="46">
        <f>CE_RegimeNaoContributivo!S313</f>
        <v>0</v>
      </c>
      <c r="M143" s="60" t="e">
        <f t="shared" si="119"/>
        <v>#DIV/0!</v>
      </c>
      <c r="N143" s="60" t="e">
        <f t="shared" si="120"/>
        <v>#DIV/0!</v>
      </c>
      <c r="O143" s="46">
        <f>CE_AdministraçãoINSS!B313</f>
        <v>0</v>
      </c>
      <c r="P143" s="46">
        <f>CE_AdministraçãoINSS!C313</f>
        <v>0</v>
      </c>
      <c r="Q143" s="46">
        <f>CE_AdministraçãoINSS!E313</f>
        <v>0</v>
      </c>
      <c r="R143" s="46">
        <f>CE_AdministraçãoINSS!S313</f>
        <v>0</v>
      </c>
      <c r="S143" s="60" t="e">
        <f t="shared" si="121"/>
        <v>#DIV/0!</v>
      </c>
      <c r="T143" s="60" t="e">
        <f t="shared" si="122"/>
        <v>#DIV/0!</v>
      </c>
      <c r="U143" s="46">
        <f t="shared" si="123"/>
        <v>0</v>
      </c>
      <c r="V143" s="46">
        <f t="shared" si="123"/>
        <v>0</v>
      </c>
      <c r="W143" s="46">
        <f t="shared" si="123"/>
        <v>0</v>
      </c>
      <c r="X143" s="46">
        <f t="shared" si="114"/>
        <v>0</v>
      </c>
      <c r="Y143" s="60" t="e">
        <f t="shared" si="124"/>
        <v>#DIV/0!</v>
      </c>
      <c r="Z143" s="60" t="e">
        <f t="shared" si="125"/>
        <v>#DIV/0!</v>
      </c>
      <c r="AA143" s="46">
        <f>CE_AdministraçãoFRSS!B313</f>
        <v>0</v>
      </c>
      <c r="AB143" s="46">
        <f>CE_AdministraçãoFRSS!C313</f>
        <v>0</v>
      </c>
      <c r="AC143" s="46">
        <f>CE_AdministraçãoFRSS!E313</f>
        <v>0</v>
      </c>
      <c r="AD143" s="46">
        <f>CE_AdministraçãoFRSS!S313</f>
        <v>0</v>
      </c>
      <c r="AE143" s="60" t="e">
        <f t="shared" si="126"/>
        <v>#DIV/0!</v>
      </c>
      <c r="AF143" s="60" t="e">
        <f t="shared" si="127"/>
        <v>#DIV/0!</v>
      </c>
      <c r="AG143" s="46">
        <f t="shared" si="128"/>
        <v>0</v>
      </c>
      <c r="AH143" s="46">
        <f t="shared" si="128"/>
        <v>0</v>
      </c>
      <c r="AI143" s="46">
        <f t="shared" si="128"/>
        <v>0</v>
      </c>
      <c r="AJ143" s="46">
        <f t="shared" si="115"/>
        <v>0</v>
      </c>
      <c r="AK143" s="60" t="e">
        <f t="shared" si="129"/>
        <v>#DIV/0!</v>
      </c>
      <c r="AL143" s="60" t="e">
        <f t="shared" si="130"/>
        <v>#DIV/0!</v>
      </c>
      <c r="AM143" s="46">
        <f t="shared" si="131"/>
        <v>0</v>
      </c>
      <c r="AN143" s="46">
        <f t="shared" si="131"/>
        <v>0</v>
      </c>
      <c r="AO143" s="46">
        <f t="shared" si="131"/>
        <v>0</v>
      </c>
      <c r="AP143" s="46">
        <f t="shared" si="116"/>
        <v>0</v>
      </c>
      <c r="AQ143" s="60" t="e">
        <f t="shared" si="132"/>
        <v>#DIV/0!</v>
      </c>
      <c r="AR143" s="60" t="e">
        <f t="shared" si="133"/>
        <v>#DIV/0!</v>
      </c>
      <c r="AT143" s="38"/>
      <c r="AU143" s="38"/>
      <c r="AV143" s="38"/>
      <c r="AW143" s="38"/>
      <c r="AY143" s="38"/>
      <c r="AZ143" s="38"/>
      <c r="BA143" s="38"/>
      <c r="BB143" s="38"/>
    </row>
    <row r="144" spans="1:58" x14ac:dyDescent="0.2">
      <c r="A144" s="45" t="str">
        <f>"502.28.05"</f>
        <v>502.28.05</v>
      </c>
      <c r="B144" s="47" t="s">
        <v>947</v>
      </c>
      <c r="C144" s="46">
        <f>CE_RegimeContributivo!B314</f>
        <v>0</v>
      </c>
      <c r="D144" s="46">
        <f>CE_RegimeContributivo!C314</f>
        <v>0</v>
      </c>
      <c r="E144" s="46">
        <f>CE_RegimeContributivo!E314</f>
        <v>0</v>
      </c>
      <c r="F144" s="46">
        <f>CE_RegimeContributivo!S314</f>
        <v>0</v>
      </c>
      <c r="G144" s="60" t="e">
        <f t="shared" si="117"/>
        <v>#DIV/0!</v>
      </c>
      <c r="H144" s="60" t="e">
        <f t="shared" si="118"/>
        <v>#DIV/0!</v>
      </c>
      <c r="I144" s="46">
        <f>CE_RegimeNaoContributivo!B314</f>
        <v>0</v>
      </c>
      <c r="J144" s="46">
        <f>CE_RegimeNaoContributivo!C314</f>
        <v>0</v>
      </c>
      <c r="K144" s="46">
        <f>CE_RegimeNaoContributivo!E314</f>
        <v>0</v>
      </c>
      <c r="L144" s="46">
        <f>CE_RegimeNaoContributivo!S314</f>
        <v>0</v>
      </c>
      <c r="M144" s="60" t="e">
        <f t="shared" si="119"/>
        <v>#DIV/0!</v>
      </c>
      <c r="N144" s="60" t="e">
        <f t="shared" si="120"/>
        <v>#DIV/0!</v>
      </c>
      <c r="O144" s="46">
        <f>CE_AdministraçãoINSS!B314</f>
        <v>0</v>
      </c>
      <c r="P144" s="46">
        <f>CE_AdministraçãoINSS!C314</f>
        <v>0</v>
      </c>
      <c r="Q144" s="46">
        <f>CE_AdministraçãoINSS!E314</f>
        <v>0</v>
      </c>
      <c r="R144" s="46">
        <f>CE_AdministraçãoINSS!S314</f>
        <v>0</v>
      </c>
      <c r="S144" s="60" t="e">
        <f t="shared" si="121"/>
        <v>#DIV/0!</v>
      </c>
      <c r="T144" s="60" t="e">
        <f t="shared" si="122"/>
        <v>#DIV/0!</v>
      </c>
      <c r="U144" s="46">
        <f t="shared" si="123"/>
        <v>0</v>
      </c>
      <c r="V144" s="46">
        <f t="shared" si="123"/>
        <v>0</v>
      </c>
      <c r="W144" s="46">
        <f t="shared" si="123"/>
        <v>0</v>
      </c>
      <c r="X144" s="46">
        <f t="shared" si="114"/>
        <v>0</v>
      </c>
      <c r="Y144" s="60" t="e">
        <f t="shared" si="124"/>
        <v>#DIV/0!</v>
      </c>
      <c r="Z144" s="60" t="e">
        <f t="shared" si="125"/>
        <v>#DIV/0!</v>
      </c>
      <c r="AA144" s="46">
        <f>CE_AdministraçãoFRSS!B314</f>
        <v>0</v>
      </c>
      <c r="AB144" s="46">
        <f>CE_AdministraçãoFRSS!C314</f>
        <v>0</v>
      </c>
      <c r="AC144" s="46">
        <f>CE_AdministraçãoFRSS!E314</f>
        <v>0</v>
      </c>
      <c r="AD144" s="46">
        <f>CE_AdministraçãoFRSS!S314</f>
        <v>0</v>
      </c>
      <c r="AE144" s="60" t="e">
        <f t="shared" si="126"/>
        <v>#DIV/0!</v>
      </c>
      <c r="AF144" s="60" t="e">
        <f t="shared" si="127"/>
        <v>#DIV/0!</v>
      </c>
      <c r="AG144" s="46">
        <f t="shared" si="128"/>
        <v>0</v>
      </c>
      <c r="AH144" s="46">
        <f t="shared" si="128"/>
        <v>0</v>
      </c>
      <c r="AI144" s="46">
        <f t="shared" si="128"/>
        <v>0</v>
      </c>
      <c r="AJ144" s="46">
        <f t="shared" si="115"/>
        <v>0</v>
      </c>
      <c r="AK144" s="60" t="e">
        <f t="shared" si="129"/>
        <v>#DIV/0!</v>
      </c>
      <c r="AL144" s="60" t="e">
        <f t="shared" si="130"/>
        <v>#DIV/0!</v>
      </c>
      <c r="AM144" s="46">
        <f t="shared" si="131"/>
        <v>0</v>
      </c>
      <c r="AN144" s="46">
        <f t="shared" si="131"/>
        <v>0</v>
      </c>
      <c r="AO144" s="46">
        <f t="shared" si="131"/>
        <v>0</v>
      </c>
      <c r="AP144" s="46">
        <f t="shared" si="116"/>
        <v>0</v>
      </c>
      <c r="AQ144" s="60" t="e">
        <f t="shared" si="132"/>
        <v>#DIV/0!</v>
      </c>
      <c r="AR144" s="60" t="e">
        <f t="shared" si="133"/>
        <v>#DIV/0!</v>
      </c>
      <c r="AT144" s="38"/>
      <c r="AU144" s="38"/>
      <c r="AV144" s="38"/>
      <c r="AW144" s="38"/>
      <c r="AY144" s="38"/>
      <c r="AZ144" s="38"/>
      <c r="BA144" s="38"/>
      <c r="BB144" s="38"/>
    </row>
    <row r="145" spans="1:58" x14ac:dyDescent="0.2">
      <c r="A145" s="45" t="str">
        <f>"502.28.06"</f>
        <v>502.28.06</v>
      </c>
      <c r="B145" s="47" t="s">
        <v>948</v>
      </c>
      <c r="C145" s="46">
        <f>CE_RegimeContributivo!B315</f>
        <v>0</v>
      </c>
      <c r="D145" s="46">
        <f>CE_RegimeContributivo!C315</f>
        <v>0</v>
      </c>
      <c r="E145" s="46">
        <f>CE_RegimeContributivo!E315</f>
        <v>0</v>
      </c>
      <c r="F145" s="46">
        <f>CE_RegimeContributivo!S315</f>
        <v>0</v>
      </c>
      <c r="G145" s="60" t="e">
        <f t="shared" si="117"/>
        <v>#DIV/0!</v>
      </c>
      <c r="H145" s="60" t="e">
        <f t="shared" si="118"/>
        <v>#DIV/0!</v>
      </c>
      <c r="I145" s="46">
        <f>CE_RegimeNaoContributivo!B315</f>
        <v>0</v>
      </c>
      <c r="J145" s="46">
        <f>CE_RegimeNaoContributivo!C315</f>
        <v>0</v>
      </c>
      <c r="K145" s="46">
        <f>CE_RegimeNaoContributivo!E315</f>
        <v>0</v>
      </c>
      <c r="L145" s="46">
        <f>CE_RegimeNaoContributivo!S315</f>
        <v>0</v>
      </c>
      <c r="M145" s="60" t="e">
        <f t="shared" si="119"/>
        <v>#DIV/0!</v>
      </c>
      <c r="N145" s="60" t="e">
        <f t="shared" si="120"/>
        <v>#DIV/0!</v>
      </c>
      <c r="O145" s="46">
        <f>CE_AdministraçãoINSS!B315</f>
        <v>50000</v>
      </c>
      <c r="P145" s="46">
        <f>CE_AdministraçãoINSS!C315</f>
        <v>50000</v>
      </c>
      <c r="Q145" s="46">
        <f>CE_AdministraçãoINSS!E315</f>
        <v>0</v>
      </c>
      <c r="R145" s="46">
        <f>CE_AdministraçãoINSS!S315</f>
        <v>0</v>
      </c>
      <c r="S145" s="60">
        <f t="shared" si="121"/>
        <v>0</v>
      </c>
      <c r="T145" s="60">
        <f t="shared" si="122"/>
        <v>0</v>
      </c>
      <c r="U145" s="46">
        <f t="shared" si="123"/>
        <v>50000</v>
      </c>
      <c r="V145" s="46">
        <f t="shared" si="123"/>
        <v>50000</v>
      </c>
      <c r="W145" s="46">
        <f t="shared" si="123"/>
        <v>0</v>
      </c>
      <c r="X145" s="46">
        <f t="shared" si="114"/>
        <v>0</v>
      </c>
      <c r="Y145" s="60">
        <f t="shared" si="124"/>
        <v>0</v>
      </c>
      <c r="Z145" s="60">
        <f t="shared" si="125"/>
        <v>0</v>
      </c>
      <c r="AA145" s="46">
        <f>CE_AdministraçãoFRSS!B315</f>
        <v>0</v>
      </c>
      <c r="AB145" s="46">
        <f>CE_AdministraçãoFRSS!C315</f>
        <v>0</v>
      </c>
      <c r="AC145" s="46">
        <f>CE_AdministraçãoFRSS!E315</f>
        <v>0</v>
      </c>
      <c r="AD145" s="46">
        <f>CE_AdministraçãoFRSS!S315</f>
        <v>0</v>
      </c>
      <c r="AE145" s="60" t="e">
        <f t="shared" si="126"/>
        <v>#DIV/0!</v>
      </c>
      <c r="AF145" s="60" t="e">
        <f t="shared" si="127"/>
        <v>#DIV/0!</v>
      </c>
      <c r="AG145" s="46">
        <f t="shared" si="128"/>
        <v>0</v>
      </c>
      <c r="AH145" s="46">
        <f t="shared" si="128"/>
        <v>0</v>
      </c>
      <c r="AI145" s="46">
        <f t="shared" si="128"/>
        <v>0</v>
      </c>
      <c r="AJ145" s="46">
        <f t="shared" si="115"/>
        <v>0</v>
      </c>
      <c r="AK145" s="60" t="e">
        <f t="shared" si="129"/>
        <v>#DIV/0!</v>
      </c>
      <c r="AL145" s="60" t="e">
        <f t="shared" si="130"/>
        <v>#DIV/0!</v>
      </c>
      <c r="AM145" s="46">
        <f t="shared" si="131"/>
        <v>50000</v>
      </c>
      <c r="AN145" s="46">
        <f t="shared" si="131"/>
        <v>50000</v>
      </c>
      <c r="AO145" s="46">
        <f t="shared" si="131"/>
        <v>0</v>
      </c>
      <c r="AP145" s="46">
        <f t="shared" si="116"/>
        <v>0</v>
      </c>
      <c r="AQ145" s="60">
        <f t="shared" si="132"/>
        <v>0</v>
      </c>
      <c r="AR145" s="60">
        <f t="shared" si="133"/>
        <v>0</v>
      </c>
      <c r="AT145" s="38"/>
      <c r="AU145" s="38"/>
      <c r="AV145" s="38"/>
      <c r="AW145" s="38"/>
      <c r="AY145" s="38"/>
      <c r="AZ145" s="38"/>
      <c r="BA145" s="38"/>
      <c r="BB145" s="38"/>
    </row>
    <row r="146" spans="1:58" s="44" customFormat="1" x14ac:dyDescent="0.2">
      <c r="A146" s="41" t="str">
        <f>"502.29"</f>
        <v>502.29</v>
      </c>
      <c r="B146" s="42" t="s">
        <v>949</v>
      </c>
      <c r="C146" s="43">
        <f>CE_RegimeContributivo!B316</f>
        <v>0</v>
      </c>
      <c r="D146" s="43">
        <f>CE_RegimeContributivo!C316</f>
        <v>0</v>
      </c>
      <c r="E146" s="43">
        <f>CE_RegimeContributivo!E316</f>
        <v>0</v>
      </c>
      <c r="F146" s="43">
        <f>CE_RegimeContributivo!S316</f>
        <v>0</v>
      </c>
      <c r="G146" s="59" t="e">
        <f t="shared" si="117"/>
        <v>#DIV/0!</v>
      </c>
      <c r="H146" s="59" t="e">
        <f t="shared" si="118"/>
        <v>#DIV/0!</v>
      </c>
      <c r="I146" s="43">
        <f>CE_RegimeNaoContributivo!B316</f>
        <v>0</v>
      </c>
      <c r="J146" s="43">
        <f>CE_RegimeNaoContributivo!C316</f>
        <v>0</v>
      </c>
      <c r="K146" s="43">
        <f>CE_RegimeNaoContributivo!E316</f>
        <v>0</v>
      </c>
      <c r="L146" s="43">
        <f>CE_RegimeNaoContributivo!S316</f>
        <v>0</v>
      </c>
      <c r="M146" s="59" t="e">
        <f t="shared" si="119"/>
        <v>#DIV/0!</v>
      </c>
      <c r="N146" s="59" t="e">
        <f t="shared" si="120"/>
        <v>#DIV/0!</v>
      </c>
      <c r="O146" s="43">
        <f>CE_AdministraçãoINSS!B316</f>
        <v>0</v>
      </c>
      <c r="P146" s="43">
        <f>CE_AdministraçãoINSS!C316</f>
        <v>0</v>
      </c>
      <c r="Q146" s="43">
        <f>CE_AdministraçãoINSS!E316</f>
        <v>0</v>
      </c>
      <c r="R146" s="43">
        <f>CE_AdministraçãoINSS!S316</f>
        <v>0</v>
      </c>
      <c r="S146" s="59" t="e">
        <f t="shared" si="121"/>
        <v>#DIV/0!</v>
      </c>
      <c r="T146" s="59" t="e">
        <f t="shared" si="122"/>
        <v>#DIV/0!</v>
      </c>
      <c r="U146" s="43">
        <f t="shared" si="123"/>
        <v>0</v>
      </c>
      <c r="V146" s="43">
        <f t="shared" si="123"/>
        <v>0</v>
      </c>
      <c r="W146" s="43">
        <f t="shared" si="123"/>
        <v>0</v>
      </c>
      <c r="X146" s="43">
        <f t="shared" si="114"/>
        <v>0</v>
      </c>
      <c r="Y146" s="59" t="e">
        <f t="shared" si="124"/>
        <v>#DIV/0!</v>
      </c>
      <c r="Z146" s="59" t="e">
        <f t="shared" si="125"/>
        <v>#DIV/0!</v>
      </c>
      <c r="AA146" s="43">
        <f>CE_AdministraçãoFRSS!B316</f>
        <v>0</v>
      </c>
      <c r="AB146" s="43">
        <f>CE_AdministraçãoFRSS!C316</f>
        <v>0</v>
      </c>
      <c r="AC146" s="43">
        <f>CE_AdministraçãoFRSS!E316</f>
        <v>0</v>
      </c>
      <c r="AD146" s="43">
        <f>CE_AdministraçãoFRSS!S316</f>
        <v>0</v>
      </c>
      <c r="AE146" s="59" t="e">
        <f t="shared" si="126"/>
        <v>#DIV/0!</v>
      </c>
      <c r="AF146" s="59" t="e">
        <f t="shared" si="127"/>
        <v>#DIV/0!</v>
      </c>
      <c r="AG146" s="43">
        <f t="shared" si="128"/>
        <v>0</v>
      </c>
      <c r="AH146" s="43">
        <f t="shared" si="128"/>
        <v>0</v>
      </c>
      <c r="AI146" s="43">
        <f t="shared" si="128"/>
        <v>0</v>
      </c>
      <c r="AJ146" s="43">
        <f t="shared" si="115"/>
        <v>0</v>
      </c>
      <c r="AK146" s="59" t="e">
        <f t="shared" si="129"/>
        <v>#DIV/0!</v>
      </c>
      <c r="AL146" s="59" t="e">
        <f t="shared" si="130"/>
        <v>#DIV/0!</v>
      </c>
      <c r="AM146" s="43">
        <f t="shared" si="131"/>
        <v>0</v>
      </c>
      <c r="AN146" s="43">
        <f t="shared" si="131"/>
        <v>0</v>
      </c>
      <c r="AO146" s="43">
        <f t="shared" si="131"/>
        <v>0</v>
      </c>
      <c r="AP146" s="43">
        <f t="shared" si="116"/>
        <v>0</v>
      </c>
      <c r="AQ146" s="59" t="e">
        <f t="shared" si="132"/>
        <v>#DIV/0!</v>
      </c>
      <c r="AR146" s="59" t="e">
        <f t="shared" si="133"/>
        <v>#DIV/0!</v>
      </c>
      <c r="AT146" s="38"/>
      <c r="AU146" s="38"/>
      <c r="AV146" s="38"/>
      <c r="AW146" s="38"/>
      <c r="AY146" s="38"/>
      <c r="AZ146" s="38"/>
      <c r="BA146" s="38"/>
      <c r="BB146" s="38"/>
      <c r="BC146" s="36"/>
      <c r="BD146" s="36"/>
      <c r="BE146" s="36"/>
      <c r="BF146" s="36"/>
    </row>
    <row r="147" spans="1:58" s="699" customFormat="1" x14ac:dyDescent="0.2">
      <c r="A147" s="695" t="str">
        <f>"502.30"</f>
        <v>502.30</v>
      </c>
      <c r="B147" s="696" t="s">
        <v>811</v>
      </c>
      <c r="C147" s="697">
        <f>CE_RegimeContributivo!B317</f>
        <v>0</v>
      </c>
      <c r="D147" s="697">
        <f>CE_RegimeContributivo!C317</f>
        <v>0</v>
      </c>
      <c r="E147" s="697">
        <f>CE_RegimeContributivo!E317</f>
        <v>0</v>
      </c>
      <c r="F147" s="697">
        <f>CE_RegimeContributivo!S317</f>
        <v>0</v>
      </c>
      <c r="G147" s="698" t="e">
        <f t="shared" si="117"/>
        <v>#DIV/0!</v>
      </c>
      <c r="H147" s="698" t="e">
        <f t="shared" si="118"/>
        <v>#DIV/0!</v>
      </c>
      <c r="I147" s="697">
        <f>CE_RegimeNaoContributivo!B317</f>
        <v>0</v>
      </c>
      <c r="J147" s="697">
        <f>CE_RegimeNaoContributivo!C317</f>
        <v>0</v>
      </c>
      <c r="K147" s="697">
        <f>CE_RegimeNaoContributivo!E317</f>
        <v>0</v>
      </c>
      <c r="L147" s="697">
        <f>CE_RegimeNaoContributivo!S317</f>
        <v>0</v>
      </c>
      <c r="M147" s="698" t="e">
        <f t="shared" si="119"/>
        <v>#DIV/0!</v>
      </c>
      <c r="N147" s="698" t="e">
        <f t="shared" si="120"/>
        <v>#DIV/0!</v>
      </c>
      <c r="O147" s="697">
        <f>CE_AdministraçãoINSS!B317</f>
        <v>0</v>
      </c>
      <c r="P147" s="697">
        <f>CE_AdministraçãoINSS!C317</f>
        <v>0</v>
      </c>
      <c r="Q147" s="697">
        <f>CE_AdministraçãoINSS!E317</f>
        <v>0</v>
      </c>
      <c r="R147" s="697">
        <f>CE_AdministraçãoINSS!S317</f>
        <v>0</v>
      </c>
      <c r="S147" s="698" t="e">
        <f t="shared" si="121"/>
        <v>#DIV/0!</v>
      </c>
      <c r="T147" s="698" t="e">
        <f t="shared" si="122"/>
        <v>#DIV/0!</v>
      </c>
      <c r="U147" s="697">
        <f t="shared" si="123"/>
        <v>0</v>
      </c>
      <c r="V147" s="697">
        <f t="shared" si="123"/>
        <v>0</v>
      </c>
      <c r="W147" s="697">
        <f t="shared" si="123"/>
        <v>0</v>
      </c>
      <c r="X147" s="697">
        <f t="shared" si="114"/>
        <v>0</v>
      </c>
      <c r="Y147" s="698" t="e">
        <f t="shared" si="124"/>
        <v>#DIV/0!</v>
      </c>
      <c r="Z147" s="698" t="e">
        <f t="shared" si="125"/>
        <v>#DIV/0!</v>
      </c>
      <c r="AA147" s="697">
        <f>CE_AdministraçãoFRSS!B317</f>
        <v>0</v>
      </c>
      <c r="AB147" s="697">
        <f>CE_AdministraçãoFRSS!C317</f>
        <v>4400</v>
      </c>
      <c r="AC147" s="697">
        <f>CE_AdministraçãoFRSS!E317</f>
        <v>4390.79</v>
      </c>
      <c r="AD147" s="697">
        <f>CE_AdministraçãoFRSS!S317</f>
        <v>4390.79</v>
      </c>
      <c r="AE147" s="698">
        <f t="shared" si="126"/>
        <v>0.99790681818181814</v>
      </c>
      <c r="AF147" s="698">
        <f t="shared" si="127"/>
        <v>0.99790681818181814</v>
      </c>
      <c r="AG147" s="697">
        <f t="shared" si="128"/>
        <v>0</v>
      </c>
      <c r="AH147" s="697">
        <f t="shared" si="128"/>
        <v>4400</v>
      </c>
      <c r="AI147" s="697">
        <f t="shared" si="128"/>
        <v>4390.79</v>
      </c>
      <c r="AJ147" s="697">
        <f t="shared" si="115"/>
        <v>4390.79</v>
      </c>
      <c r="AK147" s="698">
        <f t="shared" si="129"/>
        <v>0.99790681818181814</v>
      </c>
      <c r="AL147" s="698">
        <f t="shared" si="130"/>
        <v>0.99790681818181814</v>
      </c>
      <c r="AM147" s="697">
        <f t="shared" si="131"/>
        <v>0</v>
      </c>
      <c r="AN147" s="697">
        <f t="shared" si="131"/>
        <v>4400</v>
      </c>
      <c r="AO147" s="697">
        <f t="shared" si="131"/>
        <v>4390.79</v>
      </c>
      <c r="AP147" s="697">
        <f t="shared" si="116"/>
        <v>4390.79</v>
      </c>
      <c r="AQ147" s="698">
        <f t="shared" si="132"/>
        <v>0.99790681818181814</v>
      </c>
      <c r="AR147" s="698">
        <f t="shared" si="133"/>
        <v>0.99790681818181814</v>
      </c>
      <c r="AT147" s="700"/>
      <c r="AU147" s="700"/>
      <c r="AV147" s="700"/>
      <c r="AW147" s="700"/>
      <c r="AY147" s="700"/>
      <c r="AZ147" s="700"/>
      <c r="BA147" s="700"/>
      <c r="BB147" s="700"/>
      <c r="BC147" s="701"/>
      <c r="BD147" s="701"/>
      <c r="BE147" s="701"/>
      <c r="BF147" s="701"/>
    </row>
    <row r="148" spans="1:58" x14ac:dyDescent="0.2">
      <c r="A148" s="41" t="str">
        <f>"502.31"</f>
        <v>502.31</v>
      </c>
      <c r="B148" s="42" t="s">
        <v>114</v>
      </c>
      <c r="C148" s="43">
        <f>SUM(C149:C160)</f>
        <v>0</v>
      </c>
      <c r="D148" s="43">
        <f>SUM(D149:D160)</f>
        <v>0</v>
      </c>
      <c r="E148" s="43">
        <f>SUM(E149:E160)</f>
        <v>0</v>
      </c>
      <c r="F148" s="43">
        <f t="shared" ref="F148" si="138">SUM(F149:F160)</f>
        <v>0</v>
      </c>
      <c r="G148" s="59" t="e">
        <f t="shared" si="117"/>
        <v>#DIV/0!</v>
      </c>
      <c r="H148" s="59" t="e">
        <f t="shared" si="118"/>
        <v>#DIV/0!</v>
      </c>
      <c r="I148" s="43">
        <f>SUM(I149:I160)</f>
        <v>0</v>
      </c>
      <c r="J148" s="43">
        <f>SUM(J149:J160)</f>
        <v>0</v>
      </c>
      <c r="K148" s="43">
        <f t="shared" ref="K148:L148" si="139">SUM(K149:K160)</f>
        <v>0</v>
      </c>
      <c r="L148" s="43">
        <f t="shared" si="139"/>
        <v>0</v>
      </c>
      <c r="M148" s="59" t="e">
        <f t="shared" si="119"/>
        <v>#DIV/0!</v>
      </c>
      <c r="N148" s="59" t="e">
        <f t="shared" si="120"/>
        <v>#DIV/0!</v>
      </c>
      <c r="O148" s="43">
        <f>SUM(O149:O160)</f>
        <v>224377</v>
      </c>
      <c r="P148" s="43">
        <f>SUM(P149:P160)</f>
        <v>188549.7</v>
      </c>
      <c r="Q148" s="43">
        <f t="shared" ref="Q148:R148" si="140">SUM(Q149:Q160)</f>
        <v>53537</v>
      </c>
      <c r="R148" s="43">
        <f t="shared" si="140"/>
        <v>40560</v>
      </c>
      <c r="S148" s="59">
        <f t="shared" si="121"/>
        <v>0.21511569628591293</v>
      </c>
      <c r="T148" s="59">
        <f t="shared" si="122"/>
        <v>0.28394105108626533</v>
      </c>
      <c r="U148" s="43">
        <f t="shared" si="123"/>
        <v>224377</v>
      </c>
      <c r="V148" s="43">
        <f t="shared" si="123"/>
        <v>188549.7</v>
      </c>
      <c r="W148" s="43">
        <f t="shared" si="123"/>
        <v>53537</v>
      </c>
      <c r="X148" s="43">
        <f t="shared" si="114"/>
        <v>40560</v>
      </c>
      <c r="Y148" s="59">
        <f t="shared" si="124"/>
        <v>0.21511569628591293</v>
      </c>
      <c r="Z148" s="59">
        <f t="shared" si="125"/>
        <v>0.28394105108626533</v>
      </c>
      <c r="AA148" s="43">
        <f>SUM(AA149:AA160)</f>
        <v>42000</v>
      </c>
      <c r="AB148" s="43">
        <f>SUM(AB149:AB160)</f>
        <v>51515</v>
      </c>
      <c r="AC148" s="43">
        <f t="shared" ref="AC148:AD148" si="141">SUM(AC149:AC160)</f>
        <v>50648.3</v>
      </c>
      <c r="AD148" s="43">
        <f t="shared" si="141"/>
        <v>39648.320000000007</v>
      </c>
      <c r="AE148" s="59">
        <f t="shared" si="126"/>
        <v>0.76964612248859565</v>
      </c>
      <c r="AF148" s="59">
        <f t="shared" si="127"/>
        <v>0.98317577404639434</v>
      </c>
      <c r="AG148" s="43">
        <f t="shared" si="128"/>
        <v>42000</v>
      </c>
      <c r="AH148" s="43">
        <f t="shared" si="128"/>
        <v>51515</v>
      </c>
      <c r="AI148" s="43">
        <f t="shared" si="128"/>
        <v>50648.3</v>
      </c>
      <c r="AJ148" s="43">
        <f t="shared" si="115"/>
        <v>39648.320000000007</v>
      </c>
      <c r="AK148" s="59">
        <f t="shared" si="129"/>
        <v>0.76964612248859565</v>
      </c>
      <c r="AL148" s="59">
        <f t="shared" si="130"/>
        <v>0.98317577404639434</v>
      </c>
      <c r="AM148" s="43">
        <f t="shared" si="131"/>
        <v>266377</v>
      </c>
      <c r="AN148" s="43">
        <f t="shared" si="131"/>
        <v>240064.7</v>
      </c>
      <c r="AO148" s="43">
        <f t="shared" si="131"/>
        <v>104185.3</v>
      </c>
      <c r="AP148" s="43">
        <f t="shared" si="116"/>
        <v>80208.320000000007</v>
      </c>
      <c r="AQ148" s="59">
        <f t="shared" si="132"/>
        <v>0.3341112625054829</v>
      </c>
      <c r="AR148" s="59">
        <f t="shared" si="133"/>
        <v>0.43398842062160742</v>
      </c>
      <c r="AT148" s="38"/>
      <c r="AU148" s="38"/>
      <c r="AV148" s="38"/>
      <c r="AW148" s="38"/>
      <c r="AY148" s="38"/>
      <c r="AZ148" s="38"/>
      <c r="BA148" s="38"/>
      <c r="BB148" s="38"/>
    </row>
    <row r="149" spans="1:58" x14ac:dyDescent="0.2">
      <c r="A149" s="45" t="str">
        <f>"502.31.01"</f>
        <v>502.31.01</v>
      </c>
      <c r="B149" s="47" t="s">
        <v>735</v>
      </c>
      <c r="C149" s="46">
        <f>CE_RegimeContributivo!B319</f>
        <v>0</v>
      </c>
      <c r="D149" s="46">
        <f>CE_RegimeContributivo!C319</f>
        <v>0</v>
      </c>
      <c r="E149" s="46">
        <f>CE_RegimeContributivo!E319</f>
        <v>0</v>
      </c>
      <c r="F149" s="46">
        <f>CE_RegimeContributivo!S319</f>
        <v>0</v>
      </c>
      <c r="G149" s="60" t="e">
        <f t="shared" si="117"/>
        <v>#DIV/0!</v>
      </c>
      <c r="H149" s="60" t="e">
        <f t="shared" si="118"/>
        <v>#DIV/0!</v>
      </c>
      <c r="I149" s="46">
        <f>CE_RegimeNaoContributivo!B319</f>
        <v>0</v>
      </c>
      <c r="J149" s="46">
        <f>CE_RegimeNaoContributivo!C319</f>
        <v>0</v>
      </c>
      <c r="K149" s="46">
        <f>CE_RegimeNaoContributivo!E319</f>
        <v>0</v>
      </c>
      <c r="L149" s="46">
        <f>CE_RegimeNaoContributivo!S319</f>
        <v>0</v>
      </c>
      <c r="M149" s="60" t="e">
        <f t="shared" si="119"/>
        <v>#DIV/0!</v>
      </c>
      <c r="N149" s="60" t="e">
        <f t="shared" si="120"/>
        <v>#DIV/0!</v>
      </c>
      <c r="O149" s="46">
        <f>CE_AdministraçãoINSS!B319</f>
        <v>188000</v>
      </c>
      <c r="P149" s="46">
        <f>CE_AdministraçãoINSS!C319</f>
        <v>152172.70000000001</v>
      </c>
      <c r="Q149" s="46">
        <f>CE_AdministraçãoINSS!E319</f>
        <v>26400</v>
      </c>
      <c r="R149" s="46">
        <f>CE_AdministraçãoINSS!S319</f>
        <v>18100</v>
      </c>
      <c r="S149" s="60">
        <f t="shared" si="121"/>
        <v>0.11894380529490506</v>
      </c>
      <c r="T149" s="60">
        <f t="shared" si="122"/>
        <v>0.17348709722571787</v>
      </c>
      <c r="U149" s="46">
        <f t="shared" si="123"/>
        <v>188000</v>
      </c>
      <c r="V149" s="46">
        <f t="shared" si="123"/>
        <v>152172.70000000001</v>
      </c>
      <c r="W149" s="46">
        <f t="shared" si="123"/>
        <v>26400</v>
      </c>
      <c r="X149" s="46">
        <f t="shared" si="114"/>
        <v>18100</v>
      </c>
      <c r="Y149" s="60">
        <f t="shared" si="124"/>
        <v>0.11894380529490506</v>
      </c>
      <c r="Z149" s="60">
        <f t="shared" si="125"/>
        <v>0.17348709722571787</v>
      </c>
      <c r="AA149" s="46">
        <f>CE_AdministraçãoFRSS!B319</f>
        <v>42000</v>
      </c>
      <c r="AB149" s="46">
        <f>CE_AdministraçãoFRSS!C319</f>
        <v>42000</v>
      </c>
      <c r="AC149" s="46">
        <f>CE_AdministraçãoFRSS!E319</f>
        <v>41133.300000000003</v>
      </c>
      <c r="AD149" s="46">
        <f>CE_AdministraçãoFRSS!S319</f>
        <v>30133.320000000007</v>
      </c>
      <c r="AE149" s="60">
        <f t="shared" si="126"/>
        <v>0.71746000000000021</v>
      </c>
      <c r="AF149" s="60">
        <f t="shared" si="127"/>
        <v>0.9793642857142858</v>
      </c>
      <c r="AG149" s="46">
        <f t="shared" si="128"/>
        <v>42000</v>
      </c>
      <c r="AH149" s="46">
        <f t="shared" si="128"/>
        <v>42000</v>
      </c>
      <c r="AI149" s="46">
        <f t="shared" si="128"/>
        <v>41133.300000000003</v>
      </c>
      <c r="AJ149" s="46">
        <f t="shared" si="115"/>
        <v>30133.320000000007</v>
      </c>
      <c r="AK149" s="60">
        <f t="shared" si="129"/>
        <v>0.71746000000000021</v>
      </c>
      <c r="AL149" s="60">
        <f t="shared" si="130"/>
        <v>0.9793642857142858</v>
      </c>
      <c r="AM149" s="46">
        <f t="shared" si="131"/>
        <v>230000</v>
      </c>
      <c r="AN149" s="46">
        <f t="shared" si="131"/>
        <v>194172.7</v>
      </c>
      <c r="AO149" s="46">
        <f t="shared" si="131"/>
        <v>67533.3</v>
      </c>
      <c r="AP149" s="46">
        <f t="shared" si="116"/>
        <v>48233.320000000007</v>
      </c>
      <c r="AQ149" s="702">
        <f t="shared" si="132"/>
        <v>0.24840422984281521</v>
      </c>
      <c r="AR149" s="60">
        <f t="shared" si="133"/>
        <v>0.34780017994290646</v>
      </c>
      <c r="AT149" s="38"/>
      <c r="AU149" s="38"/>
      <c r="AV149" s="38"/>
      <c r="AW149" s="38"/>
      <c r="AY149" s="38"/>
      <c r="AZ149" s="38"/>
      <c r="BA149" s="38"/>
      <c r="BB149" s="38"/>
    </row>
    <row r="150" spans="1:58" x14ac:dyDescent="0.2">
      <c r="A150" s="45" t="str">
        <f>"502.31.02"</f>
        <v>502.31.02</v>
      </c>
      <c r="B150" s="47" t="s">
        <v>736</v>
      </c>
      <c r="C150" s="46">
        <f>CE_RegimeContributivo!B320</f>
        <v>0</v>
      </c>
      <c r="D150" s="46">
        <f>CE_RegimeContributivo!C320</f>
        <v>0</v>
      </c>
      <c r="E150" s="46">
        <f>CE_RegimeContributivo!E320</f>
        <v>0</v>
      </c>
      <c r="F150" s="46">
        <f>CE_RegimeContributivo!S320</f>
        <v>0</v>
      </c>
      <c r="G150" s="60" t="e">
        <f t="shared" si="117"/>
        <v>#DIV/0!</v>
      </c>
      <c r="H150" s="60" t="e">
        <f t="shared" si="118"/>
        <v>#DIV/0!</v>
      </c>
      <c r="I150" s="46">
        <f>CE_RegimeNaoContributivo!B320</f>
        <v>0</v>
      </c>
      <c r="J150" s="46">
        <f>CE_RegimeNaoContributivo!C320</f>
        <v>0</v>
      </c>
      <c r="K150" s="46">
        <f>CE_RegimeNaoContributivo!E320</f>
        <v>0</v>
      </c>
      <c r="L150" s="46">
        <f>CE_RegimeNaoContributivo!S320</f>
        <v>0</v>
      </c>
      <c r="M150" s="60" t="e">
        <f t="shared" si="119"/>
        <v>#DIV/0!</v>
      </c>
      <c r="N150" s="60" t="e">
        <f t="shared" si="120"/>
        <v>#DIV/0!</v>
      </c>
      <c r="O150" s="46">
        <f>CE_AdministraçãoINSS!B320</f>
        <v>0</v>
      </c>
      <c r="P150" s="46">
        <f>CE_AdministraçãoINSS!C320</f>
        <v>0</v>
      </c>
      <c r="Q150" s="46">
        <f>CE_AdministraçãoINSS!E320</f>
        <v>0</v>
      </c>
      <c r="R150" s="46">
        <f>CE_AdministraçãoINSS!S320</f>
        <v>0</v>
      </c>
      <c r="S150" s="60" t="e">
        <f t="shared" si="121"/>
        <v>#DIV/0!</v>
      </c>
      <c r="T150" s="60" t="e">
        <f t="shared" si="122"/>
        <v>#DIV/0!</v>
      </c>
      <c r="U150" s="46">
        <f t="shared" si="123"/>
        <v>0</v>
      </c>
      <c r="V150" s="46">
        <f t="shared" si="123"/>
        <v>0</v>
      </c>
      <c r="W150" s="46">
        <f t="shared" si="123"/>
        <v>0</v>
      </c>
      <c r="X150" s="46">
        <f t="shared" si="114"/>
        <v>0</v>
      </c>
      <c r="Y150" s="60" t="e">
        <f t="shared" si="124"/>
        <v>#DIV/0!</v>
      </c>
      <c r="Z150" s="60" t="e">
        <f t="shared" si="125"/>
        <v>#DIV/0!</v>
      </c>
      <c r="AA150" s="46">
        <f>CE_AdministraçãoFRSS!B320</f>
        <v>0</v>
      </c>
      <c r="AB150" s="46">
        <f>CE_AdministraçãoFRSS!C320</f>
        <v>7000</v>
      </c>
      <c r="AC150" s="46">
        <f>CE_AdministraçãoFRSS!E320</f>
        <v>7000</v>
      </c>
      <c r="AD150" s="46">
        <f>CE_AdministraçãoFRSS!S320</f>
        <v>7000</v>
      </c>
      <c r="AE150" s="60">
        <f t="shared" si="126"/>
        <v>1</v>
      </c>
      <c r="AF150" s="60">
        <f t="shared" si="127"/>
        <v>1</v>
      </c>
      <c r="AG150" s="46">
        <f t="shared" si="128"/>
        <v>0</v>
      </c>
      <c r="AH150" s="46">
        <f t="shared" si="128"/>
        <v>7000</v>
      </c>
      <c r="AI150" s="46">
        <f t="shared" si="128"/>
        <v>7000</v>
      </c>
      <c r="AJ150" s="46">
        <f t="shared" si="115"/>
        <v>7000</v>
      </c>
      <c r="AK150" s="60">
        <f t="shared" si="129"/>
        <v>1</v>
      </c>
      <c r="AL150" s="60">
        <f t="shared" si="130"/>
        <v>1</v>
      </c>
      <c r="AM150" s="46">
        <f t="shared" si="131"/>
        <v>0</v>
      </c>
      <c r="AN150" s="46">
        <f t="shared" si="131"/>
        <v>7000</v>
      </c>
      <c r="AO150" s="46">
        <f t="shared" si="131"/>
        <v>7000</v>
      </c>
      <c r="AP150" s="46">
        <f t="shared" si="116"/>
        <v>7000</v>
      </c>
      <c r="AQ150" s="702">
        <f t="shared" si="132"/>
        <v>1</v>
      </c>
      <c r="AR150" s="60">
        <f t="shared" si="133"/>
        <v>1</v>
      </c>
      <c r="AT150" s="38"/>
      <c r="AU150" s="38"/>
      <c r="AV150" s="38"/>
      <c r="AW150" s="38"/>
      <c r="AY150" s="38"/>
      <c r="AZ150" s="38"/>
      <c r="BA150" s="38"/>
      <c r="BB150" s="38"/>
    </row>
    <row r="151" spans="1:58" x14ac:dyDescent="0.2">
      <c r="A151" s="45" t="str">
        <f>"502.31.03"</f>
        <v>502.31.03</v>
      </c>
      <c r="B151" s="47" t="s">
        <v>950</v>
      </c>
      <c r="C151" s="46">
        <f>CE_RegimeContributivo!B321</f>
        <v>0</v>
      </c>
      <c r="D151" s="46">
        <f>CE_RegimeContributivo!C321</f>
        <v>0</v>
      </c>
      <c r="E151" s="46">
        <f>CE_RegimeContributivo!E321</f>
        <v>0</v>
      </c>
      <c r="F151" s="46">
        <f>CE_RegimeContributivo!S321</f>
        <v>0</v>
      </c>
      <c r="G151" s="60" t="e">
        <f t="shared" si="117"/>
        <v>#DIV/0!</v>
      </c>
      <c r="H151" s="60" t="e">
        <f t="shared" si="118"/>
        <v>#DIV/0!</v>
      </c>
      <c r="I151" s="46">
        <f>CE_RegimeNaoContributivo!B321</f>
        <v>0</v>
      </c>
      <c r="J151" s="46">
        <f>CE_RegimeNaoContributivo!C321</f>
        <v>0</v>
      </c>
      <c r="K151" s="46">
        <f>CE_RegimeNaoContributivo!E321</f>
        <v>0</v>
      </c>
      <c r="L151" s="46">
        <f>CE_RegimeNaoContributivo!S321</f>
        <v>0</v>
      </c>
      <c r="M151" s="60" t="e">
        <f t="shared" si="119"/>
        <v>#DIV/0!</v>
      </c>
      <c r="N151" s="60" t="e">
        <f t="shared" si="120"/>
        <v>#DIV/0!</v>
      </c>
      <c r="O151" s="46">
        <f>CE_AdministraçãoINSS!B321</f>
        <v>24377</v>
      </c>
      <c r="P151" s="46">
        <f>CE_AdministraçãoINSS!C321</f>
        <v>24377</v>
      </c>
      <c r="Q151" s="46">
        <f>CE_AdministraçãoINSS!E321</f>
        <v>24377</v>
      </c>
      <c r="R151" s="46">
        <f>CE_AdministraçãoINSS!S321</f>
        <v>19700</v>
      </c>
      <c r="S151" s="60">
        <f t="shared" si="121"/>
        <v>0.80813881937892273</v>
      </c>
      <c r="T151" s="60">
        <f t="shared" si="122"/>
        <v>1</v>
      </c>
      <c r="U151" s="46">
        <f t="shared" si="123"/>
        <v>24377</v>
      </c>
      <c r="V151" s="46">
        <f t="shared" si="123"/>
        <v>24377</v>
      </c>
      <c r="W151" s="46">
        <f t="shared" si="123"/>
        <v>24377</v>
      </c>
      <c r="X151" s="46">
        <f t="shared" si="114"/>
        <v>19700</v>
      </c>
      <c r="Y151" s="60">
        <f t="shared" si="124"/>
        <v>0.80813881937892273</v>
      </c>
      <c r="Z151" s="60">
        <f t="shared" si="125"/>
        <v>1</v>
      </c>
      <c r="AA151" s="46">
        <f>CE_AdministraçãoFRSS!B321</f>
        <v>0</v>
      </c>
      <c r="AB151" s="46">
        <f>CE_AdministraçãoFRSS!C321</f>
        <v>1115</v>
      </c>
      <c r="AC151" s="46">
        <f>CE_AdministraçãoFRSS!E321</f>
        <v>1115</v>
      </c>
      <c r="AD151" s="46">
        <f>CE_AdministraçãoFRSS!S321</f>
        <v>1115</v>
      </c>
      <c r="AE151" s="60">
        <f t="shared" si="126"/>
        <v>1</v>
      </c>
      <c r="AF151" s="60">
        <f t="shared" si="127"/>
        <v>1</v>
      </c>
      <c r="AG151" s="46">
        <f t="shared" si="128"/>
        <v>0</v>
      </c>
      <c r="AH151" s="46">
        <f t="shared" si="128"/>
        <v>1115</v>
      </c>
      <c r="AI151" s="46">
        <f t="shared" si="128"/>
        <v>1115</v>
      </c>
      <c r="AJ151" s="46">
        <f t="shared" si="115"/>
        <v>1115</v>
      </c>
      <c r="AK151" s="60">
        <f t="shared" si="129"/>
        <v>1</v>
      </c>
      <c r="AL151" s="60">
        <f t="shared" si="130"/>
        <v>1</v>
      </c>
      <c r="AM151" s="46">
        <f t="shared" si="131"/>
        <v>24377</v>
      </c>
      <c r="AN151" s="46">
        <f t="shared" si="131"/>
        <v>25492</v>
      </c>
      <c r="AO151" s="46">
        <f t="shared" si="131"/>
        <v>25492</v>
      </c>
      <c r="AP151" s="46">
        <f t="shared" si="116"/>
        <v>20815</v>
      </c>
      <c r="AQ151" s="702">
        <f t="shared" si="132"/>
        <v>0.81653067629060094</v>
      </c>
      <c r="AR151" s="60">
        <f t="shared" si="133"/>
        <v>1</v>
      </c>
      <c r="AT151" s="38"/>
      <c r="AU151" s="38"/>
      <c r="AV151" s="38"/>
      <c r="AW151" s="38"/>
      <c r="AY151" s="38"/>
      <c r="AZ151" s="38"/>
      <c r="BA151" s="38"/>
      <c r="BB151" s="38"/>
    </row>
    <row r="152" spans="1:58" x14ac:dyDescent="0.2">
      <c r="A152" s="45" t="str">
        <f>"502.31.04"</f>
        <v>502.31.04</v>
      </c>
      <c r="B152" s="47" t="s">
        <v>951</v>
      </c>
      <c r="C152" s="46">
        <f>CE_RegimeContributivo!B322</f>
        <v>0</v>
      </c>
      <c r="D152" s="46">
        <f>CE_RegimeContributivo!C322</f>
        <v>0</v>
      </c>
      <c r="E152" s="46">
        <f>CE_RegimeContributivo!E322</f>
        <v>0</v>
      </c>
      <c r="F152" s="46">
        <f>CE_RegimeContributivo!S322</f>
        <v>0</v>
      </c>
      <c r="G152" s="60" t="e">
        <f t="shared" si="117"/>
        <v>#DIV/0!</v>
      </c>
      <c r="H152" s="60" t="e">
        <f t="shared" si="118"/>
        <v>#DIV/0!</v>
      </c>
      <c r="I152" s="46">
        <f>CE_RegimeNaoContributivo!B322</f>
        <v>0</v>
      </c>
      <c r="J152" s="46">
        <f>CE_RegimeNaoContributivo!C322</f>
        <v>0</v>
      </c>
      <c r="K152" s="46">
        <f>CE_RegimeNaoContributivo!E322</f>
        <v>0</v>
      </c>
      <c r="L152" s="46">
        <f>CE_RegimeNaoContributivo!S322</f>
        <v>0</v>
      </c>
      <c r="M152" s="60" t="e">
        <f t="shared" si="119"/>
        <v>#DIV/0!</v>
      </c>
      <c r="N152" s="60" t="e">
        <f t="shared" si="120"/>
        <v>#DIV/0!</v>
      </c>
      <c r="O152" s="46">
        <f>CE_AdministraçãoINSS!B322</f>
        <v>0</v>
      </c>
      <c r="P152" s="46">
        <f>CE_AdministraçãoINSS!C322</f>
        <v>0</v>
      </c>
      <c r="Q152" s="46">
        <f>CE_AdministraçãoINSS!E322</f>
        <v>0</v>
      </c>
      <c r="R152" s="46">
        <f>CE_AdministraçãoINSS!S322</f>
        <v>0</v>
      </c>
      <c r="S152" s="60" t="e">
        <f t="shared" si="121"/>
        <v>#DIV/0!</v>
      </c>
      <c r="T152" s="60" t="e">
        <f t="shared" si="122"/>
        <v>#DIV/0!</v>
      </c>
      <c r="U152" s="46">
        <f t="shared" si="123"/>
        <v>0</v>
      </c>
      <c r="V152" s="46">
        <f t="shared" si="123"/>
        <v>0</v>
      </c>
      <c r="W152" s="46">
        <f t="shared" si="123"/>
        <v>0</v>
      </c>
      <c r="X152" s="46">
        <f t="shared" si="114"/>
        <v>0</v>
      </c>
      <c r="Y152" s="60" t="e">
        <f t="shared" si="124"/>
        <v>#DIV/0!</v>
      </c>
      <c r="Z152" s="60" t="e">
        <f t="shared" si="125"/>
        <v>#DIV/0!</v>
      </c>
      <c r="AA152" s="46">
        <f>CE_AdministraçãoFRSS!B322</f>
        <v>0</v>
      </c>
      <c r="AB152" s="46">
        <f>CE_AdministraçãoFRSS!C322</f>
        <v>0</v>
      </c>
      <c r="AC152" s="46">
        <f>CE_AdministraçãoFRSS!E322</f>
        <v>0</v>
      </c>
      <c r="AD152" s="46">
        <f>CE_AdministraçãoFRSS!S322</f>
        <v>0</v>
      </c>
      <c r="AE152" s="60" t="e">
        <f t="shared" si="126"/>
        <v>#DIV/0!</v>
      </c>
      <c r="AF152" s="60" t="e">
        <f t="shared" si="127"/>
        <v>#DIV/0!</v>
      </c>
      <c r="AG152" s="46">
        <f t="shared" si="128"/>
        <v>0</v>
      </c>
      <c r="AH152" s="46">
        <f t="shared" si="128"/>
        <v>0</v>
      </c>
      <c r="AI152" s="46">
        <f t="shared" si="128"/>
        <v>0</v>
      </c>
      <c r="AJ152" s="46">
        <f t="shared" si="115"/>
        <v>0</v>
      </c>
      <c r="AK152" s="60" t="e">
        <f t="shared" si="129"/>
        <v>#DIV/0!</v>
      </c>
      <c r="AL152" s="60" t="e">
        <f t="shared" si="130"/>
        <v>#DIV/0!</v>
      </c>
      <c r="AM152" s="46">
        <f t="shared" si="131"/>
        <v>0</v>
      </c>
      <c r="AN152" s="46">
        <f t="shared" si="131"/>
        <v>0</v>
      </c>
      <c r="AO152" s="46">
        <f t="shared" si="131"/>
        <v>0</v>
      </c>
      <c r="AP152" s="46">
        <f t="shared" si="116"/>
        <v>0</v>
      </c>
      <c r="AQ152" s="702" t="e">
        <f t="shared" si="132"/>
        <v>#DIV/0!</v>
      </c>
      <c r="AR152" s="60" t="e">
        <f t="shared" si="133"/>
        <v>#DIV/0!</v>
      </c>
      <c r="AT152" s="38"/>
      <c r="AU152" s="38"/>
      <c r="AV152" s="38"/>
      <c r="AW152" s="38"/>
      <c r="AY152" s="38"/>
      <c r="AZ152" s="38"/>
      <c r="BA152" s="38"/>
      <c r="BB152" s="38"/>
    </row>
    <row r="153" spans="1:58" x14ac:dyDescent="0.2">
      <c r="A153" s="45" t="str">
        <f>"502.31.05"</f>
        <v>502.31.05</v>
      </c>
      <c r="B153" s="47" t="s">
        <v>952</v>
      </c>
      <c r="C153" s="46">
        <f>CE_RegimeContributivo!B323</f>
        <v>0</v>
      </c>
      <c r="D153" s="46">
        <f>CE_RegimeContributivo!C323</f>
        <v>0</v>
      </c>
      <c r="E153" s="46">
        <f>CE_RegimeContributivo!E323</f>
        <v>0</v>
      </c>
      <c r="F153" s="46">
        <f>CE_RegimeContributivo!S323</f>
        <v>0</v>
      </c>
      <c r="G153" s="60" t="e">
        <f t="shared" si="117"/>
        <v>#DIV/0!</v>
      </c>
      <c r="H153" s="60" t="e">
        <f t="shared" si="118"/>
        <v>#DIV/0!</v>
      </c>
      <c r="I153" s="46">
        <f>CE_RegimeNaoContributivo!B323</f>
        <v>0</v>
      </c>
      <c r="J153" s="46">
        <f>CE_RegimeNaoContributivo!C323</f>
        <v>0</v>
      </c>
      <c r="K153" s="46">
        <f>CE_RegimeNaoContributivo!E323</f>
        <v>0</v>
      </c>
      <c r="L153" s="46">
        <f>CE_RegimeNaoContributivo!S323</f>
        <v>0</v>
      </c>
      <c r="M153" s="60" t="e">
        <f t="shared" si="119"/>
        <v>#DIV/0!</v>
      </c>
      <c r="N153" s="60" t="e">
        <f t="shared" si="120"/>
        <v>#DIV/0!</v>
      </c>
      <c r="O153" s="46">
        <f>CE_AdministraçãoINSS!B323</f>
        <v>0</v>
      </c>
      <c r="P153" s="46">
        <f>CE_AdministraçãoINSS!C323</f>
        <v>0</v>
      </c>
      <c r="Q153" s="46">
        <f>CE_AdministraçãoINSS!E323</f>
        <v>0</v>
      </c>
      <c r="R153" s="46">
        <f>CE_AdministraçãoINSS!S323</f>
        <v>0</v>
      </c>
      <c r="S153" s="60" t="e">
        <f t="shared" si="121"/>
        <v>#DIV/0!</v>
      </c>
      <c r="T153" s="60" t="e">
        <f t="shared" si="122"/>
        <v>#DIV/0!</v>
      </c>
      <c r="U153" s="46">
        <f t="shared" si="123"/>
        <v>0</v>
      </c>
      <c r="V153" s="46">
        <f t="shared" si="123"/>
        <v>0</v>
      </c>
      <c r="W153" s="46">
        <f t="shared" si="123"/>
        <v>0</v>
      </c>
      <c r="X153" s="46">
        <f t="shared" si="114"/>
        <v>0</v>
      </c>
      <c r="Y153" s="60" t="e">
        <f t="shared" si="124"/>
        <v>#DIV/0!</v>
      </c>
      <c r="Z153" s="60" t="e">
        <f t="shared" si="125"/>
        <v>#DIV/0!</v>
      </c>
      <c r="AA153" s="46">
        <f>CE_AdministraçãoFRSS!B323</f>
        <v>0</v>
      </c>
      <c r="AB153" s="46">
        <f>CE_AdministraçãoFRSS!C323</f>
        <v>0</v>
      </c>
      <c r="AC153" s="46">
        <f>CE_AdministraçãoFRSS!E323</f>
        <v>0</v>
      </c>
      <c r="AD153" s="46">
        <f>CE_AdministraçãoFRSS!S323</f>
        <v>0</v>
      </c>
      <c r="AE153" s="60" t="e">
        <f t="shared" si="126"/>
        <v>#DIV/0!</v>
      </c>
      <c r="AF153" s="60" t="e">
        <f t="shared" si="127"/>
        <v>#DIV/0!</v>
      </c>
      <c r="AG153" s="46">
        <f t="shared" si="128"/>
        <v>0</v>
      </c>
      <c r="AH153" s="46">
        <f t="shared" si="128"/>
        <v>0</v>
      </c>
      <c r="AI153" s="46">
        <f t="shared" si="128"/>
        <v>0</v>
      </c>
      <c r="AJ153" s="46">
        <f t="shared" si="115"/>
        <v>0</v>
      </c>
      <c r="AK153" s="60" t="e">
        <f t="shared" si="129"/>
        <v>#DIV/0!</v>
      </c>
      <c r="AL153" s="60" t="e">
        <f t="shared" si="130"/>
        <v>#DIV/0!</v>
      </c>
      <c r="AM153" s="46">
        <f t="shared" si="131"/>
        <v>0</v>
      </c>
      <c r="AN153" s="46">
        <f t="shared" si="131"/>
        <v>0</v>
      </c>
      <c r="AO153" s="46">
        <f t="shared" si="131"/>
        <v>0</v>
      </c>
      <c r="AP153" s="46">
        <f t="shared" si="116"/>
        <v>0</v>
      </c>
      <c r="AQ153" s="702" t="e">
        <f t="shared" si="132"/>
        <v>#DIV/0!</v>
      </c>
      <c r="AR153" s="60" t="e">
        <f t="shared" si="133"/>
        <v>#DIV/0!</v>
      </c>
      <c r="AT153" s="38"/>
      <c r="AU153" s="38"/>
      <c r="AV153" s="38"/>
      <c r="AW153" s="38"/>
      <c r="AY153" s="38"/>
      <c r="AZ153" s="38"/>
      <c r="BA153" s="38"/>
      <c r="BB153" s="38"/>
    </row>
    <row r="154" spans="1:58" x14ac:dyDescent="0.2">
      <c r="A154" s="45" t="str">
        <f>"502.31.06"</f>
        <v>502.31.06</v>
      </c>
      <c r="B154" s="47" t="s">
        <v>953</v>
      </c>
      <c r="C154" s="46">
        <f>CE_RegimeContributivo!B324</f>
        <v>0</v>
      </c>
      <c r="D154" s="46">
        <f>CE_RegimeContributivo!C324</f>
        <v>0</v>
      </c>
      <c r="E154" s="46">
        <f>CE_RegimeContributivo!E324</f>
        <v>0</v>
      </c>
      <c r="F154" s="46">
        <f>CE_RegimeContributivo!S324</f>
        <v>0</v>
      </c>
      <c r="G154" s="60" t="e">
        <f t="shared" si="117"/>
        <v>#DIV/0!</v>
      </c>
      <c r="H154" s="60" t="e">
        <f t="shared" si="118"/>
        <v>#DIV/0!</v>
      </c>
      <c r="I154" s="46">
        <f>CE_RegimeNaoContributivo!B324</f>
        <v>0</v>
      </c>
      <c r="J154" s="46">
        <f>CE_RegimeNaoContributivo!C324</f>
        <v>0</v>
      </c>
      <c r="K154" s="46">
        <f>CE_RegimeNaoContributivo!E324</f>
        <v>0</v>
      </c>
      <c r="L154" s="46">
        <f>CE_RegimeNaoContributivo!S324</f>
        <v>0</v>
      </c>
      <c r="M154" s="60" t="e">
        <f t="shared" si="119"/>
        <v>#DIV/0!</v>
      </c>
      <c r="N154" s="60" t="e">
        <f t="shared" si="120"/>
        <v>#DIV/0!</v>
      </c>
      <c r="O154" s="46">
        <f>CE_AdministraçãoINSS!B324</f>
        <v>0</v>
      </c>
      <c r="P154" s="46">
        <f>CE_AdministraçãoINSS!C324</f>
        <v>0</v>
      </c>
      <c r="Q154" s="46">
        <f>CE_AdministraçãoINSS!E324</f>
        <v>0</v>
      </c>
      <c r="R154" s="46">
        <f>CE_AdministraçãoINSS!S324</f>
        <v>0</v>
      </c>
      <c r="S154" s="60" t="e">
        <f t="shared" si="121"/>
        <v>#DIV/0!</v>
      </c>
      <c r="T154" s="60" t="e">
        <f t="shared" si="122"/>
        <v>#DIV/0!</v>
      </c>
      <c r="U154" s="46">
        <f t="shared" si="123"/>
        <v>0</v>
      </c>
      <c r="V154" s="46">
        <f t="shared" si="123"/>
        <v>0</v>
      </c>
      <c r="W154" s="46">
        <f t="shared" si="123"/>
        <v>0</v>
      </c>
      <c r="X154" s="46">
        <f t="shared" si="114"/>
        <v>0</v>
      </c>
      <c r="Y154" s="60" t="e">
        <f t="shared" si="124"/>
        <v>#DIV/0!</v>
      </c>
      <c r="Z154" s="60" t="e">
        <f t="shared" si="125"/>
        <v>#DIV/0!</v>
      </c>
      <c r="AA154" s="46">
        <f>CE_AdministraçãoFRSS!B324</f>
        <v>0</v>
      </c>
      <c r="AB154" s="46">
        <f>CE_AdministraçãoFRSS!C324</f>
        <v>0</v>
      </c>
      <c r="AC154" s="46">
        <f>CE_AdministraçãoFRSS!E324</f>
        <v>0</v>
      </c>
      <c r="AD154" s="46">
        <f>CE_AdministraçãoFRSS!S324</f>
        <v>0</v>
      </c>
      <c r="AE154" s="60" t="e">
        <f t="shared" si="126"/>
        <v>#DIV/0!</v>
      </c>
      <c r="AF154" s="60" t="e">
        <f t="shared" si="127"/>
        <v>#DIV/0!</v>
      </c>
      <c r="AG154" s="46">
        <f t="shared" si="128"/>
        <v>0</v>
      </c>
      <c r="AH154" s="46">
        <f t="shared" si="128"/>
        <v>0</v>
      </c>
      <c r="AI154" s="46">
        <f t="shared" si="128"/>
        <v>0</v>
      </c>
      <c r="AJ154" s="46">
        <f t="shared" si="115"/>
        <v>0</v>
      </c>
      <c r="AK154" s="60" t="e">
        <f t="shared" si="129"/>
        <v>#DIV/0!</v>
      </c>
      <c r="AL154" s="60" t="e">
        <f t="shared" si="130"/>
        <v>#DIV/0!</v>
      </c>
      <c r="AM154" s="46">
        <f t="shared" si="131"/>
        <v>0</v>
      </c>
      <c r="AN154" s="46">
        <f t="shared" si="131"/>
        <v>0</v>
      </c>
      <c r="AO154" s="46">
        <f t="shared" si="131"/>
        <v>0</v>
      </c>
      <c r="AP154" s="46">
        <f t="shared" si="116"/>
        <v>0</v>
      </c>
      <c r="AQ154" s="702" t="e">
        <f t="shared" si="132"/>
        <v>#DIV/0!</v>
      </c>
      <c r="AR154" s="60" t="e">
        <f t="shared" si="133"/>
        <v>#DIV/0!</v>
      </c>
      <c r="AT154" s="38"/>
      <c r="AU154" s="38"/>
      <c r="AV154" s="38"/>
      <c r="AW154" s="38"/>
      <c r="AY154" s="38"/>
      <c r="AZ154" s="38"/>
      <c r="BA154" s="38"/>
      <c r="BB154" s="38"/>
    </row>
    <row r="155" spans="1:58" x14ac:dyDescent="0.2">
      <c r="A155" s="45" t="str">
        <f>"502.31.07"</f>
        <v>502.31.07</v>
      </c>
      <c r="B155" s="47" t="s">
        <v>954</v>
      </c>
      <c r="C155" s="46">
        <f>CE_RegimeContributivo!B325</f>
        <v>0</v>
      </c>
      <c r="D155" s="46">
        <f>CE_RegimeContributivo!C325</f>
        <v>0</v>
      </c>
      <c r="E155" s="46">
        <f>CE_RegimeContributivo!E325</f>
        <v>0</v>
      </c>
      <c r="F155" s="46">
        <f>CE_RegimeContributivo!S325</f>
        <v>0</v>
      </c>
      <c r="G155" s="60" t="e">
        <f t="shared" si="117"/>
        <v>#DIV/0!</v>
      </c>
      <c r="H155" s="60" t="e">
        <f t="shared" si="118"/>
        <v>#DIV/0!</v>
      </c>
      <c r="I155" s="46">
        <f>CE_RegimeNaoContributivo!B325</f>
        <v>0</v>
      </c>
      <c r="J155" s="46">
        <f>CE_RegimeNaoContributivo!C325</f>
        <v>0</v>
      </c>
      <c r="K155" s="46">
        <f>CE_RegimeNaoContributivo!E325</f>
        <v>0</v>
      </c>
      <c r="L155" s="46">
        <f>CE_RegimeNaoContributivo!S325</f>
        <v>0</v>
      </c>
      <c r="M155" s="60" t="e">
        <f t="shared" si="119"/>
        <v>#DIV/0!</v>
      </c>
      <c r="N155" s="60" t="e">
        <f t="shared" si="120"/>
        <v>#DIV/0!</v>
      </c>
      <c r="O155" s="46">
        <f>CE_AdministraçãoINSS!B325</f>
        <v>0</v>
      </c>
      <c r="P155" s="46">
        <f>CE_AdministraçãoINSS!C325</f>
        <v>0</v>
      </c>
      <c r="Q155" s="46">
        <f>CE_AdministraçãoINSS!E325</f>
        <v>0</v>
      </c>
      <c r="R155" s="46">
        <f>CE_AdministraçãoINSS!S325</f>
        <v>0</v>
      </c>
      <c r="S155" s="60" t="e">
        <f t="shared" si="121"/>
        <v>#DIV/0!</v>
      </c>
      <c r="T155" s="60" t="e">
        <f t="shared" si="122"/>
        <v>#DIV/0!</v>
      </c>
      <c r="U155" s="46">
        <f t="shared" si="123"/>
        <v>0</v>
      </c>
      <c r="V155" s="46">
        <f t="shared" si="123"/>
        <v>0</v>
      </c>
      <c r="W155" s="46">
        <f t="shared" si="123"/>
        <v>0</v>
      </c>
      <c r="X155" s="46">
        <f t="shared" si="114"/>
        <v>0</v>
      </c>
      <c r="Y155" s="60" t="e">
        <f t="shared" si="124"/>
        <v>#DIV/0!</v>
      </c>
      <c r="Z155" s="60" t="e">
        <f t="shared" si="125"/>
        <v>#DIV/0!</v>
      </c>
      <c r="AA155" s="46">
        <f>CE_AdministraçãoFRSS!B325</f>
        <v>0</v>
      </c>
      <c r="AB155" s="46">
        <f>CE_AdministraçãoFRSS!C325</f>
        <v>0</v>
      </c>
      <c r="AC155" s="46">
        <f>CE_AdministraçãoFRSS!E325</f>
        <v>0</v>
      </c>
      <c r="AD155" s="46">
        <f>CE_AdministraçãoFRSS!S325</f>
        <v>0</v>
      </c>
      <c r="AE155" s="60" t="e">
        <f t="shared" si="126"/>
        <v>#DIV/0!</v>
      </c>
      <c r="AF155" s="60" t="e">
        <f t="shared" si="127"/>
        <v>#DIV/0!</v>
      </c>
      <c r="AG155" s="46">
        <f t="shared" si="128"/>
        <v>0</v>
      </c>
      <c r="AH155" s="46">
        <f t="shared" si="128"/>
        <v>0</v>
      </c>
      <c r="AI155" s="46">
        <f t="shared" si="128"/>
        <v>0</v>
      </c>
      <c r="AJ155" s="46">
        <f t="shared" si="115"/>
        <v>0</v>
      </c>
      <c r="AK155" s="60" t="e">
        <f t="shared" si="129"/>
        <v>#DIV/0!</v>
      </c>
      <c r="AL155" s="60" t="e">
        <f t="shared" si="130"/>
        <v>#DIV/0!</v>
      </c>
      <c r="AM155" s="46">
        <f t="shared" si="131"/>
        <v>0</v>
      </c>
      <c r="AN155" s="46">
        <f t="shared" si="131"/>
        <v>0</v>
      </c>
      <c r="AO155" s="46">
        <f t="shared" si="131"/>
        <v>0</v>
      </c>
      <c r="AP155" s="46">
        <f t="shared" si="116"/>
        <v>0</v>
      </c>
      <c r="AQ155" s="702" t="e">
        <f t="shared" si="132"/>
        <v>#DIV/0!</v>
      </c>
      <c r="AR155" s="60" t="e">
        <f t="shared" si="133"/>
        <v>#DIV/0!</v>
      </c>
      <c r="AT155" s="38"/>
      <c r="AU155" s="38"/>
      <c r="AV155" s="38"/>
      <c r="AW155" s="38"/>
      <c r="AY155" s="38"/>
      <c r="AZ155" s="38"/>
      <c r="BA155" s="38"/>
      <c r="BB155" s="38"/>
    </row>
    <row r="156" spans="1:58" x14ac:dyDescent="0.2">
      <c r="A156" s="45" t="str">
        <f>"502.31.08"</f>
        <v>502.31.08</v>
      </c>
      <c r="B156" s="47" t="s">
        <v>955</v>
      </c>
      <c r="C156" s="46">
        <f>CE_RegimeContributivo!B326</f>
        <v>0</v>
      </c>
      <c r="D156" s="46">
        <f>CE_RegimeContributivo!C326</f>
        <v>0</v>
      </c>
      <c r="E156" s="46">
        <f>CE_RegimeContributivo!E326</f>
        <v>0</v>
      </c>
      <c r="F156" s="46">
        <f>CE_RegimeContributivo!S326</f>
        <v>0</v>
      </c>
      <c r="G156" s="60" t="e">
        <f t="shared" si="117"/>
        <v>#DIV/0!</v>
      </c>
      <c r="H156" s="60" t="e">
        <f t="shared" si="118"/>
        <v>#DIV/0!</v>
      </c>
      <c r="I156" s="46">
        <f>CE_RegimeNaoContributivo!B326</f>
        <v>0</v>
      </c>
      <c r="J156" s="46">
        <f>CE_RegimeNaoContributivo!C326</f>
        <v>0</v>
      </c>
      <c r="K156" s="46">
        <f>CE_RegimeNaoContributivo!E326</f>
        <v>0</v>
      </c>
      <c r="L156" s="46">
        <f>CE_RegimeNaoContributivo!S326</f>
        <v>0</v>
      </c>
      <c r="M156" s="60" t="e">
        <f t="shared" si="119"/>
        <v>#DIV/0!</v>
      </c>
      <c r="N156" s="60" t="e">
        <f t="shared" si="120"/>
        <v>#DIV/0!</v>
      </c>
      <c r="O156" s="46">
        <f>CE_AdministraçãoINSS!B326</f>
        <v>0</v>
      </c>
      <c r="P156" s="46">
        <f>CE_AdministraçãoINSS!C326</f>
        <v>0</v>
      </c>
      <c r="Q156" s="46">
        <f>CE_AdministraçãoINSS!E326</f>
        <v>0</v>
      </c>
      <c r="R156" s="46">
        <f>CE_AdministraçãoINSS!S326</f>
        <v>0</v>
      </c>
      <c r="S156" s="60" t="e">
        <f t="shared" si="121"/>
        <v>#DIV/0!</v>
      </c>
      <c r="T156" s="60" t="e">
        <f t="shared" si="122"/>
        <v>#DIV/0!</v>
      </c>
      <c r="U156" s="46">
        <f t="shared" si="123"/>
        <v>0</v>
      </c>
      <c r="V156" s="46">
        <f t="shared" si="123"/>
        <v>0</v>
      </c>
      <c r="W156" s="46">
        <f t="shared" si="123"/>
        <v>0</v>
      </c>
      <c r="X156" s="46">
        <f t="shared" si="114"/>
        <v>0</v>
      </c>
      <c r="Y156" s="60" t="e">
        <f t="shared" si="124"/>
        <v>#DIV/0!</v>
      </c>
      <c r="Z156" s="60" t="e">
        <f t="shared" si="125"/>
        <v>#DIV/0!</v>
      </c>
      <c r="AA156" s="46">
        <f>CE_AdministraçãoFRSS!B326</f>
        <v>0</v>
      </c>
      <c r="AB156" s="46">
        <f>CE_AdministraçãoFRSS!C326</f>
        <v>0</v>
      </c>
      <c r="AC156" s="46">
        <f>CE_AdministraçãoFRSS!E326</f>
        <v>0</v>
      </c>
      <c r="AD156" s="46">
        <f>CE_AdministraçãoFRSS!S326</f>
        <v>0</v>
      </c>
      <c r="AE156" s="60" t="e">
        <f t="shared" si="126"/>
        <v>#DIV/0!</v>
      </c>
      <c r="AF156" s="60" t="e">
        <f t="shared" si="127"/>
        <v>#DIV/0!</v>
      </c>
      <c r="AG156" s="46">
        <f t="shared" si="128"/>
        <v>0</v>
      </c>
      <c r="AH156" s="46">
        <f t="shared" si="128"/>
        <v>0</v>
      </c>
      <c r="AI156" s="46">
        <f t="shared" si="128"/>
        <v>0</v>
      </c>
      <c r="AJ156" s="46">
        <f t="shared" si="115"/>
        <v>0</v>
      </c>
      <c r="AK156" s="60" t="e">
        <f t="shared" si="129"/>
        <v>#DIV/0!</v>
      </c>
      <c r="AL156" s="60" t="e">
        <f t="shared" si="130"/>
        <v>#DIV/0!</v>
      </c>
      <c r="AM156" s="46">
        <f t="shared" si="131"/>
        <v>0</v>
      </c>
      <c r="AN156" s="46">
        <f t="shared" si="131"/>
        <v>0</v>
      </c>
      <c r="AO156" s="46">
        <f t="shared" si="131"/>
        <v>0</v>
      </c>
      <c r="AP156" s="46">
        <f t="shared" si="116"/>
        <v>0</v>
      </c>
      <c r="AQ156" s="702" t="e">
        <f t="shared" si="132"/>
        <v>#DIV/0!</v>
      </c>
      <c r="AR156" s="60" t="e">
        <f t="shared" si="133"/>
        <v>#DIV/0!</v>
      </c>
      <c r="AT156" s="38"/>
      <c r="AU156" s="38"/>
      <c r="AV156" s="38"/>
      <c r="AW156" s="38"/>
      <c r="AY156" s="38"/>
      <c r="AZ156" s="38"/>
      <c r="BA156" s="38"/>
      <c r="BB156" s="38"/>
    </row>
    <row r="157" spans="1:58" x14ac:dyDescent="0.2">
      <c r="A157" s="45" t="str">
        <f>"502.31.09"</f>
        <v>502.31.09</v>
      </c>
      <c r="B157" s="47" t="s">
        <v>956</v>
      </c>
      <c r="C157" s="46">
        <f>CE_RegimeContributivo!B327</f>
        <v>0</v>
      </c>
      <c r="D157" s="46">
        <f>CE_RegimeContributivo!C327</f>
        <v>0</v>
      </c>
      <c r="E157" s="46">
        <f>CE_RegimeContributivo!E327</f>
        <v>0</v>
      </c>
      <c r="F157" s="46">
        <f>CE_RegimeContributivo!S327</f>
        <v>0</v>
      </c>
      <c r="G157" s="60" t="e">
        <f t="shared" si="117"/>
        <v>#DIV/0!</v>
      </c>
      <c r="H157" s="60" t="e">
        <f t="shared" si="118"/>
        <v>#DIV/0!</v>
      </c>
      <c r="I157" s="46">
        <f>CE_RegimeNaoContributivo!B327</f>
        <v>0</v>
      </c>
      <c r="J157" s="46">
        <f>CE_RegimeNaoContributivo!C327</f>
        <v>0</v>
      </c>
      <c r="K157" s="46">
        <f>CE_RegimeNaoContributivo!E327</f>
        <v>0</v>
      </c>
      <c r="L157" s="46">
        <f>CE_RegimeNaoContributivo!S327</f>
        <v>0</v>
      </c>
      <c r="M157" s="60" t="e">
        <f t="shared" si="119"/>
        <v>#DIV/0!</v>
      </c>
      <c r="N157" s="60" t="e">
        <f t="shared" si="120"/>
        <v>#DIV/0!</v>
      </c>
      <c r="O157" s="46">
        <f>CE_AdministraçãoINSS!B327</f>
        <v>0</v>
      </c>
      <c r="P157" s="46">
        <f>CE_AdministraçãoINSS!C327</f>
        <v>0</v>
      </c>
      <c r="Q157" s="46">
        <f>CE_AdministraçãoINSS!E327</f>
        <v>0</v>
      </c>
      <c r="R157" s="46">
        <f>CE_AdministraçãoINSS!S327</f>
        <v>0</v>
      </c>
      <c r="S157" s="60" t="e">
        <f t="shared" si="121"/>
        <v>#DIV/0!</v>
      </c>
      <c r="T157" s="60" t="e">
        <f t="shared" si="122"/>
        <v>#DIV/0!</v>
      </c>
      <c r="U157" s="46">
        <f t="shared" si="123"/>
        <v>0</v>
      </c>
      <c r="V157" s="46">
        <f t="shared" si="123"/>
        <v>0</v>
      </c>
      <c r="W157" s="46">
        <f t="shared" si="123"/>
        <v>0</v>
      </c>
      <c r="X157" s="46">
        <f t="shared" si="114"/>
        <v>0</v>
      </c>
      <c r="Y157" s="60" t="e">
        <f t="shared" si="124"/>
        <v>#DIV/0!</v>
      </c>
      <c r="Z157" s="60" t="e">
        <f t="shared" si="125"/>
        <v>#DIV/0!</v>
      </c>
      <c r="AA157" s="46">
        <f>CE_AdministraçãoFRSS!B327</f>
        <v>0</v>
      </c>
      <c r="AB157" s="46">
        <f>CE_AdministraçãoFRSS!C327</f>
        <v>0</v>
      </c>
      <c r="AC157" s="46">
        <f>CE_AdministraçãoFRSS!E327</f>
        <v>0</v>
      </c>
      <c r="AD157" s="46">
        <f>CE_AdministraçãoFRSS!S327</f>
        <v>0</v>
      </c>
      <c r="AE157" s="60" t="e">
        <f t="shared" si="126"/>
        <v>#DIV/0!</v>
      </c>
      <c r="AF157" s="60" t="e">
        <f t="shared" si="127"/>
        <v>#DIV/0!</v>
      </c>
      <c r="AG157" s="46">
        <f t="shared" si="128"/>
        <v>0</v>
      </c>
      <c r="AH157" s="46">
        <f t="shared" si="128"/>
        <v>0</v>
      </c>
      <c r="AI157" s="46">
        <f t="shared" si="128"/>
        <v>0</v>
      </c>
      <c r="AJ157" s="46">
        <f t="shared" si="115"/>
        <v>0</v>
      </c>
      <c r="AK157" s="60" t="e">
        <f t="shared" si="129"/>
        <v>#DIV/0!</v>
      </c>
      <c r="AL157" s="60" t="e">
        <f t="shared" si="130"/>
        <v>#DIV/0!</v>
      </c>
      <c r="AM157" s="46">
        <f t="shared" si="131"/>
        <v>0</v>
      </c>
      <c r="AN157" s="46">
        <f t="shared" si="131"/>
        <v>0</v>
      </c>
      <c r="AO157" s="46">
        <f t="shared" si="131"/>
        <v>0</v>
      </c>
      <c r="AP157" s="46">
        <f t="shared" si="116"/>
        <v>0</v>
      </c>
      <c r="AQ157" s="702" t="e">
        <f t="shared" si="132"/>
        <v>#DIV/0!</v>
      </c>
      <c r="AR157" s="60" t="e">
        <f t="shared" si="133"/>
        <v>#DIV/0!</v>
      </c>
      <c r="AT157" s="38"/>
      <c r="AU157" s="38"/>
      <c r="AV157" s="38"/>
      <c r="AW157" s="38"/>
      <c r="AY157" s="38"/>
      <c r="AZ157" s="38"/>
      <c r="BA157" s="38"/>
      <c r="BB157" s="38"/>
    </row>
    <row r="158" spans="1:58" x14ac:dyDescent="0.2">
      <c r="A158" s="45" t="str">
        <f>"502.31.10"</f>
        <v>502.31.10</v>
      </c>
      <c r="B158" s="47" t="s">
        <v>957</v>
      </c>
      <c r="C158" s="46">
        <f>CE_RegimeContributivo!B328</f>
        <v>0</v>
      </c>
      <c r="D158" s="46">
        <f>CE_RegimeContributivo!C328</f>
        <v>0</v>
      </c>
      <c r="E158" s="46">
        <f>CE_RegimeContributivo!E328</f>
        <v>0</v>
      </c>
      <c r="F158" s="46">
        <f>CE_RegimeContributivo!S328</f>
        <v>0</v>
      </c>
      <c r="G158" s="60" t="e">
        <f t="shared" si="117"/>
        <v>#DIV/0!</v>
      </c>
      <c r="H158" s="60" t="e">
        <f t="shared" si="118"/>
        <v>#DIV/0!</v>
      </c>
      <c r="I158" s="46">
        <f>CE_RegimeNaoContributivo!B328</f>
        <v>0</v>
      </c>
      <c r="J158" s="46">
        <f>CE_RegimeNaoContributivo!C328</f>
        <v>0</v>
      </c>
      <c r="K158" s="46">
        <f>CE_RegimeNaoContributivo!E328</f>
        <v>0</v>
      </c>
      <c r="L158" s="46">
        <f>CE_RegimeNaoContributivo!S328</f>
        <v>0</v>
      </c>
      <c r="M158" s="60" t="e">
        <f t="shared" si="119"/>
        <v>#DIV/0!</v>
      </c>
      <c r="N158" s="60" t="e">
        <f t="shared" si="120"/>
        <v>#DIV/0!</v>
      </c>
      <c r="O158" s="46">
        <f>CE_AdministraçãoINSS!B328</f>
        <v>0</v>
      </c>
      <c r="P158" s="46">
        <f>CE_AdministraçãoINSS!C328</f>
        <v>0</v>
      </c>
      <c r="Q158" s="46">
        <f>CE_AdministraçãoINSS!E328</f>
        <v>0</v>
      </c>
      <c r="R158" s="46">
        <f>CE_AdministraçãoINSS!S328</f>
        <v>0</v>
      </c>
      <c r="S158" s="60" t="e">
        <f t="shared" si="121"/>
        <v>#DIV/0!</v>
      </c>
      <c r="T158" s="60" t="e">
        <f t="shared" si="122"/>
        <v>#DIV/0!</v>
      </c>
      <c r="U158" s="46">
        <f t="shared" si="123"/>
        <v>0</v>
      </c>
      <c r="V158" s="46">
        <f t="shared" si="123"/>
        <v>0</v>
      </c>
      <c r="W158" s="46">
        <f t="shared" si="123"/>
        <v>0</v>
      </c>
      <c r="X158" s="46">
        <f t="shared" si="114"/>
        <v>0</v>
      </c>
      <c r="Y158" s="60" t="e">
        <f t="shared" si="124"/>
        <v>#DIV/0!</v>
      </c>
      <c r="Z158" s="60" t="e">
        <f t="shared" si="125"/>
        <v>#DIV/0!</v>
      </c>
      <c r="AA158" s="46">
        <f>CE_AdministraçãoFRSS!B328</f>
        <v>0</v>
      </c>
      <c r="AB158" s="46">
        <f>CE_AdministraçãoFRSS!C328</f>
        <v>1400</v>
      </c>
      <c r="AC158" s="46">
        <f>CE_AdministraçãoFRSS!E328</f>
        <v>1400</v>
      </c>
      <c r="AD158" s="46">
        <f>CE_AdministraçãoFRSS!S328</f>
        <v>1400</v>
      </c>
      <c r="AE158" s="60">
        <f t="shared" si="126"/>
        <v>1</v>
      </c>
      <c r="AF158" s="60">
        <f t="shared" si="127"/>
        <v>1</v>
      </c>
      <c r="AG158" s="46">
        <f t="shared" si="128"/>
        <v>0</v>
      </c>
      <c r="AH158" s="46">
        <f t="shared" si="128"/>
        <v>1400</v>
      </c>
      <c r="AI158" s="46">
        <f t="shared" si="128"/>
        <v>1400</v>
      </c>
      <c r="AJ158" s="46">
        <f t="shared" si="115"/>
        <v>1400</v>
      </c>
      <c r="AK158" s="60">
        <f t="shared" si="129"/>
        <v>1</v>
      </c>
      <c r="AL158" s="60">
        <f t="shared" si="130"/>
        <v>1</v>
      </c>
      <c r="AM158" s="46">
        <f t="shared" si="131"/>
        <v>0</v>
      </c>
      <c r="AN158" s="46">
        <f t="shared" si="131"/>
        <v>1400</v>
      </c>
      <c r="AO158" s="46">
        <f t="shared" si="131"/>
        <v>1400</v>
      </c>
      <c r="AP158" s="46">
        <f t="shared" si="116"/>
        <v>1400</v>
      </c>
      <c r="AQ158" s="702">
        <f t="shared" si="132"/>
        <v>1</v>
      </c>
      <c r="AR158" s="60">
        <f t="shared" si="133"/>
        <v>1</v>
      </c>
      <c r="AT158" s="38"/>
      <c r="AU158" s="38"/>
      <c r="AV158" s="38"/>
      <c r="AW158" s="38"/>
      <c r="AY158" s="38"/>
      <c r="AZ158" s="38"/>
      <c r="BA158" s="38"/>
      <c r="BB158" s="38"/>
    </row>
    <row r="159" spans="1:58" x14ac:dyDescent="0.2">
      <c r="A159" s="45" t="str">
        <f>"502.31.11"</f>
        <v>502.31.11</v>
      </c>
      <c r="B159" s="47" t="s">
        <v>958</v>
      </c>
      <c r="C159" s="46">
        <f>CE_RegimeContributivo!B329</f>
        <v>0</v>
      </c>
      <c r="D159" s="46">
        <f>CE_RegimeContributivo!C329</f>
        <v>0</v>
      </c>
      <c r="E159" s="46">
        <f>CE_RegimeContributivo!E329</f>
        <v>0</v>
      </c>
      <c r="F159" s="46">
        <f>CE_RegimeContributivo!S329</f>
        <v>0</v>
      </c>
      <c r="G159" s="60" t="e">
        <f t="shared" si="117"/>
        <v>#DIV/0!</v>
      </c>
      <c r="H159" s="60" t="e">
        <f t="shared" si="118"/>
        <v>#DIV/0!</v>
      </c>
      <c r="I159" s="46">
        <f>CE_RegimeNaoContributivo!B329</f>
        <v>0</v>
      </c>
      <c r="J159" s="46">
        <f>CE_RegimeNaoContributivo!C329</f>
        <v>0</v>
      </c>
      <c r="K159" s="46">
        <f>CE_RegimeNaoContributivo!E329</f>
        <v>0</v>
      </c>
      <c r="L159" s="46">
        <f>CE_RegimeNaoContributivo!S329</f>
        <v>0</v>
      </c>
      <c r="M159" s="60" t="e">
        <f t="shared" si="119"/>
        <v>#DIV/0!</v>
      </c>
      <c r="N159" s="60" t="e">
        <f t="shared" si="120"/>
        <v>#DIV/0!</v>
      </c>
      <c r="O159" s="46">
        <f>CE_AdministraçãoINSS!B329</f>
        <v>0</v>
      </c>
      <c r="P159" s="46">
        <f>CE_AdministraçãoINSS!C329</f>
        <v>0</v>
      </c>
      <c r="Q159" s="46">
        <f>CE_AdministraçãoINSS!E329</f>
        <v>0</v>
      </c>
      <c r="R159" s="46">
        <f>CE_AdministraçãoINSS!S329</f>
        <v>0</v>
      </c>
      <c r="S159" s="60" t="e">
        <f t="shared" si="121"/>
        <v>#DIV/0!</v>
      </c>
      <c r="T159" s="60" t="e">
        <f t="shared" si="122"/>
        <v>#DIV/0!</v>
      </c>
      <c r="U159" s="46">
        <f t="shared" si="123"/>
        <v>0</v>
      </c>
      <c r="V159" s="46">
        <f t="shared" si="123"/>
        <v>0</v>
      </c>
      <c r="W159" s="46">
        <f t="shared" si="123"/>
        <v>0</v>
      </c>
      <c r="X159" s="46">
        <f t="shared" si="114"/>
        <v>0</v>
      </c>
      <c r="Y159" s="60" t="e">
        <f t="shared" si="124"/>
        <v>#DIV/0!</v>
      </c>
      <c r="Z159" s="60" t="e">
        <f t="shared" si="125"/>
        <v>#DIV/0!</v>
      </c>
      <c r="AA159" s="46">
        <f>CE_AdministraçãoFRSS!B329</f>
        <v>0</v>
      </c>
      <c r="AB159" s="46">
        <f>CE_AdministraçãoFRSS!C329</f>
        <v>0</v>
      </c>
      <c r="AC159" s="46">
        <f>CE_AdministraçãoFRSS!E329</f>
        <v>0</v>
      </c>
      <c r="AD159" s="46">
        <f>CE_AdministraçãoFRSS!S329</f>
        <v>0</v>
      </c>
      <c r="AE159" s="60" t="e">
        <f t="shared" si="126"/>
        <v>#DIV/0!</v>
      </c>
      <c r="AF159" s="60" t="e">
        <f t="shared" si="127"/>
        <v>#DIV/0!</v>
      </c>
      <c r="AG159" s="46">
        <f t="shared" si="128"/>
        <v>0</v>
      </c>
      <c r="AH159" s="46">
        <f t="shared" si="128"/>
        <v>0</v>
      </c>
      <c r="AI159" s="46">
        <f t="shared" si="128"/>
        <v>0</v>
      </c>
      <c r="AJ159" s="46">
        <f t="shared" si="115"/>
        <v>0</v>
      </c>
      <c r="AK159" s="60" t="e">
        <f t="shared" si="129"/>
        <v>#DIV/0!</v>
      </c>
      <c r="AL159" s="60" t="e">
        <f t="shared" si="130"/>
        <v>#DIV/0!</v>
      </c>
      <c r="AM159" s="46">
        <f t="shared" si="131"/>
        <v>0</v>
      </c>
      <c r="AN159" s="46">
        <f t="shared" si="131"/>
        <v>0</v>
      </c>
      <c r="AO159" s="46">
        <f t="shared" si="131"/>
        <v>0</v>
      </c>
      <c r="AP159" s="46">
        <f t="shared" si="116"/>
        <v>0</v>
      </c>
      <c r="AQ159" s="702" t="e">
        <f t="shared" si="132"/>
        <v>#DIV/0!</v>
      </c>
      <c r="AR159" s="60" t="e">
        <f t="shared" si="133"/>
        <v>#DIV/0!</v>
      </c>
      <c r="AT159" s="38"/>
      <c r="AU159" s="38"/>
      <c r="AV159" s="38"/>
      <c r="AW159" s="38"/>
      <c r="AY159" s="38"/>
      <c r="AZ159" s="38"/>
      <c r="BA159" s="38"/>
      <c r="BB159" s="38"/>
    </row>
    <row r="160" spans="1:58" x14ac:dyDescent="0.2">
      <c r="A160" s="45" t="str">
        <f>"502.31.12"</f>
        <v>502.31.12</v>
      </c>
      <c r="B160" s="47" t="s">
        <v>739</v>
      </c>
      <c r="C160" s="46">
        <f>CE_RegimeContributivo!B330</f>
        <v>0</v>
      </c>
      <c r="D160" s="46">
        <f>CE_RegimeContributivo!C330</f>
        <v>0</v>
      </c>
      <c r="E160" s="46">
        <f>CE_RegimeContributivo!E330</f>
        <v>0</v>
      </c>
      <c r="F160" s="46">
        <f>CE_RegimeContributivo!S330</f>
        <v>0</v>
      </c>
      <c r="G160" s="60" t="e">
        <f t="shared" si="117"/>
        <v>#DIV/0!</v>
      </c>
      <c r="H160" s="60" t="e">
        <f t="shared" si="118"/>
        <v>#DIV/0!</v>
      </c>
      <c r="I160" s="46">
        <f>CE_RegimeNaoContributivo!B330</f>
        <v>0</v>
      </c>
      <c r="J160" s="46">
        <f>CE_RegimeNaoContributivo!C330</f>
        <v>0</v>
      </c>
      <c r="K160" s="46">
        <f>CE_RegimeNaoContributivo!E330</f>
        <v>0</v>
      </c>
      <c r="L160" s="46">
        <f>CE_RegimeNaoContributivo!S330</f>
        <v>0</v>
      </c>
      <c r="M160" s="60" t="e">
        <f t="shared" si="119"/>
        <v>#DIV/0!</v>
      </c>
      <c r="N160" s="60" t="e">
        <f t="shared" si="120"/>
        <v>#DIV/0!</v>
      </c>
      <c r="O160" s="46">
        <f>CE_AdministraçãoINSS!B330</f>
        <v>12000</v>
      </c>
      <c r="P160" s="46">
        <f>CE_AdministraçãoINSS!C330</f>
        <v>12000</v>
      </c>
      <c r="Q160" s="46">
        <f>CE_AdministraçãoINSS!E330</f>
        <v>2760</v>
      </c>
      <c r="R160" s="46">
        <f>CE_AdministraçãoINSS!S330</f>
        <v>2760</v>
      </c>
      <c r="S160" s="60">
        <f t="shared" si="121"/>
        <v>0.23</v>
      </c>
      <c r="T160" s="60">
        <f t="shared" si="122"/>
        <v>0.23</v>
      </c>
      <c r="U160" s="46">
        <f t="shared" si="123"/>
        <v>12000</v>
      </c>
      <c r="V160" s="46">
        <f t="shared" si="123"/>
        <v>12000</v>
      </c>
      <c r="W160" s="46">
        <f t="shared" si="123"/>
        <v>2760</v>
      </c>
      <c r="X160" s="46">
        <f t="shared" si="114"/>
        <v>2760</v>
      </c>
      <c r="Y160" s="60">
        <f t="shared" si="124"/>
        <v>0.23</v>
      </c>
      <c r="Z160" s="60">
        <f t="shared" si="125"/>
        <v>0.23</v>
      </c>
      <c r="AA160" s="46">
        <f>CE_AdministraçãoFRSS!B330</f>
        <v>0</v>
      </c>
      <c r="AB160" s="46">
        <f>CE_AdministraçãoFRSS!C330</f>
        <v>0</v>
      </c>
      <c r="AC160" s="46">
        <f>CE_AdministraçãoFRSS!E330</f>
        <v>0</v>
      </c>
      <c r="AD160" s="46">
        <f>CE_AdministraçãoFRSS!S330</f>
        <v>0</v>
      </c>
      <c r="AE160" s="60" t="e">
        <f t="shared" si="126"/>
        <v>#DIV/0!</v>
      </c>
      <c r="AF160" s="60" t="e">
        <f t="shared" si="127"/>
        <v>#DIV/0!</v>
      </c>
      <c r="AG160" s="46">
        <f t="shared" si="128"/>
        <v>0</v>
      </c>
      <c r="AH160" s="46">
        <f t="shared" si="128"/>
        <v>0</v>
      </c>
      <c r="AI160" s="46">
        <f t="shared" si="128"/>
        <v>0</v>
      </c>
      <c r="AJ160" s="46">
        <f t="shared" si="115"/>
        <v>0</v>
      </c>
      <c r="AK160" s="60" t="e">
        <f t="shared" si="129"/>
        <v>#DIV/0!</v>
      </c>
      <c r="AL160" s="60" t="e">
        <f t="shared" si="130"/>
        <v>#DIV/0!</v>
      </c>
      <c r="AM160" s="46">
        <f t="shared" si="131"/>
        <v>12000</v>
      </c>
      <c r="AN160" s="46">
        <f t="shared" si="131"/>
        <v>12000</v>
      </c>
      <c r="AO160" s="46">
        <f t="shared" si="131"/>
        <v>2760</v>
      </c>
      <c r="AP160" s="46">
        <f t="shared" si="116"/>
        <v>2760</v>
      </c>
      <c r="AQ160" s="702">
        <f t="shared" si="132"/>
        <v>0.23</v>
      </c>
      <c r="AR160" s="60">
        <f t="shared" si="133"/>
        <v>0.23</v>
      </c>
      <c r="AT160" s="38"/>
      <c r="AU160" s="38"/>
      <c r="AV160" s="38"/>
      <c r="AW160" s="38"/>
      <c r="AY160" s="38"/>
      <c r="AZ160" s="38"/>
      <c r="BA160" s="38"/>
      <c r="BB160" s="38"/>
    </row>
    <row r="161" spans="1:58" x14ac:dyDescent="0.2">
      <c r="A161" s="41" t="str">
        <f>"502.32"</f>
        <v>502.32</v>
      </c>
      <c r="B161" s="42" t="s">
        <v>115</v>
      </c>
      <c r="C161" s="43">
        <f>SUM(C162:C164)</f>
        <v>0</v>
      </c>
      <c r="D161" s="43">
        <f>SUM(D162:D164)</f>
        <v>0</v>
      </c>
      <c r="E161" s="43">
        <f>SUM(E162:E164)</f>
        <v>0</v>
      </c>
      <c r="F161" s="43">
        <f t="shared" ref="F161" si="142">SUM(F162:F164)</f>
        <v>0</v>
      </c>
      <c r="G161" s="59" t="e">
        <f t="shared" si="117"/>
        <v>#DIV/0!</v>
      </c>
      <c r="H161" s="59" t="e">
        <f t="shared" si="118"/>
        <v>#DIV/0!</v>
      </c>
      <c r="I161" s="43">
        <f>SUM(I162:I164)</f>
        <v>0</v>
      </c>
      <c r="J161" s="43">
        <f>SUM(J162:J164)</f>
        <v>0</v>
      </c>
      <c r="K161" s="43">
        <f t="shared" ref="K161:L161" si="143">SUM(K162:K164)</f>
        <v>0</v>
      </c>
      <c r="L161" s="43">
        <f t="shared" si="143"/>
        <v>0</v>
      </c>
      <c r="M161" s="59" t="e">
        <f t="shared" si="119"/>
        <v>#DIV/0!</v>
      </c>
      <c r="N161" s="59" t="e">
        <f t="shared" si="120"/>
        <v>#DIV/0!</v>
      </c>
      <c r="O161" s="43">
        <f>SUM(O162:O164)</f>
        <v>0</v>
      </c>
      <c r="P161" s="43">
        <f>SUM(P162:P164)</f>
        <v>0</v>
      </c>
      <c r="Q161" s="43">
        <f t="shared" ref="Q161:R161" si="144">SUM(Q162:Q164)</f>
        <v>0</v>
      </c>
      <c r="R161" s="43">
        <f t="shared" si="144"/>
        <v>0</v>
      </c>
      <c r="S161" s="59" t="e">
        <f t="shared" si="121"/>
        <v>#DIV/0!</v>
      </c>
      <c r="T161" s="59" t="e">
        <f t="shared" si="122"/>
        <v>#DIV/0!</v>
      </c>
      <c r="U161" s="43">
        <f t="shared" si="123"/>
        <v>0</v>
      </c>
      <c r="V161" s="43">
        <f t="shared" si="123"/>
        <v>0</v>
      </c>
      <c r="W161" s="43">
        <f t="shared" si="123"/>
        <v>0</v>
      </c>
      <c r="X161" s="43">
        <f t="shared" si="114"/>
        <v>0</v>
      </c>
      <c r="Y161" s="59" t="e">
        <f t="shared" si="124"/>
        <v>#DIV/0!</v>
      </c>
      <c r="Z161" s="59" t="e">
        <f t="shared" si="125"/>
        <v>#DIV/0!</v>
      </c>
      <c r="AA161" s="43">
        <f>SUM(AA162:AA164)</f>
        <v>0</v>
      </c>
      <c r="AB161" s="43">
        <f>SUM(AB162:AB164)</f>
        <v>0</v>
      </c>
      <c r="AC161" s="43">
        <f t="shared" ref="AC161:AD161" si="145">SUM(AC162:AC164)</f>
        <v>0</v>
      </c>
      <c r="AD161" s="43">
        <f t="shared" si="145"/>
        <v>0</v>
      </c>
      <c r="AE161" s="59" t="e">
        <f t="shared" si="126"/>
        <v>#DIV/0!</v>
      </c>
      <c r="AF161" s="59" t="e">
        <f t="shared" si="127"/>
        <v>#DIV/0!</v>
      </c>
      <c r="AG161" s="43">
        <f t="shared" si="128"/>
        <v>0</v>
      </c>
      <c r="AH161" s="43">
        <f t="shared" si="128"/>
        <v>0</v>
      </c>
      <c r="AI161" s="43">
        <f t="shared" si="128"/>
        <v>0</v>
      </c>
      <c r="AJ161" s="43">
        <f t="shared" si="115"/>
        <v>0</v>
      </c>
      <c r="AK161" s="59" t="e">
        <f t="shared" si="129"/>
        <v>#DIV/0!</v>
      </c>
      <c r="AL161" s="59" t="e">
        <f t="shared" si="130"/>
        <v>#DIV/0!</v>
      </c>
      <c r="AM161" s="43">
        <f t="shared" si="131"/>
        <v>0</v>
      </c>
      <c r="AN161" s="43">
        <f t="shared" si="131"/>
        <v>0</v>
      </c>
      <c r="AO161" s="43">
        <f t="shared" si="131"/>
        <v>0</v>
      </c>
      <c r="AP161" s="43">
        <f t="shared" si="116"/>
        <v>0</v>
      </c>
      <c r="AQ161" s="59" t="e">
        <f t="shared" si="132"/>
        <v>#DIV/0!</v>
      </c>
      <c r="AR161" s="59" t="e">
        <f t="shared" si="133"/>
        <v>#DIV/0!</v>
      </c>
      <c r="AT161" s="38"/>
      <c r="AU161" s="38"/>
      <c r="AV161" s="38"/>
      <c r="AW161" s="38"/>
      <c r="AY161" s="38"/>
      <c r="AZ161" s="38"/>
      <c r="BA161" s="38"/>
      <c r="BB161" s="38"/>
    </row>
    <row r="162" spans="1:58" x14ac:dyDescent="0.2">
      <c r="A162" s="45" t="str">
        <f>"502.32.01"</f>
        <v>502.32.01</v>
      </c>
      <c r="B162" s="47" t="s">
        <v>959</v>
      </c>
      <c r="C162" s="46">
        <f>CE_RegimeContributivo!B332</f>
        <v>0</v>
      </c>
      <c r="D162" s="46">
        <f>CE_RegimeContributivo!C332</f>
        <v>0</v>
      </c>
      <c r="E162" s="46">
        <f>CE_RegimeContributivo!E332</f>
        <v>0</v>
      </c>
      <c r="F162" s="46">
        <f>CE_RegimeContributivo!S332</f>
        <v>0</v>
      </c>
      <c r="G162" s="60" t="e">
        <f t="shared" si="117"/>
        <v>#DIV/0!</v>
      </c>
      <c r="H162" s="60" t="e">
        <f t="shared" si="118"/>
        <v>#DIV/0!</v>
      </c>
      <c r="I162" s="46">
        <f>CE_RegimeNaoContributivo!B332</f>
        <v>0</v>
      </c>
      <c r="J162" s="46">
        <f>CE_RegimeNaoContributivo!C332</f>
        <v>0</v>
      </c>
      <c r="K162" s="46">
        <f>CE_RegimeNaoContributivo!E332</f>
        <v>0</v>
      </c>
      <c r="L162" s="46">
        <f>CE_RegimeNaoContributivo!S332</f>
        <v>0</v>
      </c>
      <c r="M162" s="60" t="e">
        <f t="shared" si="119"/>
        <v>#DIV/0!</v>
      </c>
      <c r="N162" s="60" t="e">
        <f t="shared" si="120"/>
        <v>#DIV/0!</v>
      </c>
      <c r="O162" s="46">
        <f>CE_AdministraçãoINSS!B332</f>
        <v>0</v>
      </c>
      <c r="P162" s="46">
        <f>CE_AdministraçãoINSS!C332</f>
        <v>0</v>
      </c>
      <c r="Q162" s="46">
        <f>CE_AdministraçãoINSS!E332</f>
        <v>0</v>
      </c>
      <c r="R162" s="46">
        <f>CE_AdministraçãoINSS!S332</f>
        <v>0</v>
      </c>
      <c r="S162" s="60" t="e">
        <f t="shared" si="121"/>
        <v>#DIV/0!</v>
      </c>
      <c r="T162" s="60" t="e">
        <f t="shared" si="122"/>
        <v>#DIV/0!</v>
      </c>
      <c r="U162" s="46">
        <f t="shared" si="123"/>
        <v>0</v>
      </c>
      <c r="V162" s="46">
        <f t="shared" si="123"/>
        <v>0</v>
      </c>
      <c r="W162" s="46">
        <f t="shared" si="123"/>
        <v>0</v>
      </c>
      <c r="X162" s="46">
        <f t="shared" si="114"/>
        <v>0</v>
      </c>
      <c r="Y162" s="60" t="e">
        <f t="shared" si="124"/>
        <v>#DIV/0!</v>
      </c>
      <c r="Z162" s="60" t="e">
        <f t="shared" si="125"/>
        <v>#DIV/0!</v>
      </c>
      <c r="AA162" s="46">
        <f>CE_AdministraçãoFRSS!B332</f>
        <v>0</v>
      </c>
      <c r="AB162" s="46">
        <f>CE_AdministraçãoFRSS!C332</f>
        <v>0</v>
      </c>
      <c r="AC162" s="46">
        <f>CE_AdministraçãoFRSS!E332</f>
        <v>0</v>
      </c>
      <c r="AD162" s="46">
        <f>CE_AdministraçãoFRSS!S332</f>
        <v>0</v>
      </c>
      <c r="AE162" s="60" t="e">
        <f t="shared" si="126"/>
        <v>#DIV/0!</v>
      </c>
      <c r="AF162" s="60" t="e">
        <f t="shared" si="127"/>
        <v>#DIV/0!</v>
      </c>
      <c r="AG162" s="46">
        <f t="shared" si="128"/>
        <v>0</v>
      </c>
      <c r="AH162" s="46">
        <f t="shared" si="128"/>
        <v>0</v>
      </c>
      <c r="AI162" s="46">
        <f t="shared" si="128"/>
        <v>0</v>
      </c>
      <c r="AJ162" s="46">
        <f t="shared" si="115"/>
        <v>0</v>
      </c>
      <c r="AK162" s="60" t="e">
        <f t="shared" si="129"/>
        <v>#DIV/0!</v>
      </c>
      <c r="AL162" s="60" t="e">
        <f t="shared" si="130"/>
        <v>#DIV/0!</v>
      </c>
      <c r="AM162" s="46">
        <f t="shared" si="131"/>
        <v>0</v>
      </c>
      <c r="AN162" s="46">
        <f t="shared" si="131"/>
        <v>0</v>
      </c>
      <c r="AO162" s="46">
        <f t="shared" si="131"/>
        <v>0</v>
      </c>
      <c r="AP162" s="46">
        <f t="shared" si="116"/>
        <v>0</v>
      </c>
      <c r="AQ162" s="60" t="e">
        <f t="shared" si="132"/>
        <v>#DIV/0!</v>
      </c>
      <c r="AR162" s="60" t="e">
        <f t="shared" si="133"/>
        <v>#DIV/0!</v>
      </c>
      <c r="AT162" s="38"/>
      <c r="AU162" s="38"/>
      <c r="AV162" s="38"/>
      <c r="AW162" s="38"/>
      <c r="AY162" s="38"/>
      <c r="AZ162" s="38"/>
      <c r="BA162" s="38"/>
      <c r="BB162" s="38"/>
    </row>
    <row r="163" spans="1:58" x14ac:dyDescent="0.2">
      <c r="A163" s="45" t="str">
        <f>"502.32.02"</f>
        <v>502.32.02</v>
      </c>
      <c r="B163" s="47" t="s">
        <v>960</v>
      </c>
      <c r="C163" s="46">
        <f>CE_RegimeContributivo!B333</f>
        <v>0</v>
      </c>
      <c r="D163" s="46">
        <f>CE_RegimeContributivo!C333</f>
        <v>0</v>
      </c>
      <c r="E163" s="46">
        <f>CE_RegimeContributivo!E333</f>
        <v>0</v>
      </c>
      <c r="F163" s="46">
        <f>CE_RegimeContributivo!S333</f>
        <v>0</v>
      </c>
      <c r="G163" s="60" t="e">
        <f t="shared" si="117"/>
        <v>#DIV/0!</v>
      </c>
      <c r="H163" s="60" t="e">
        <f t="shared" si="118"/>
        <v>#DIV/0!</v>
      </c>
      <c r="I163" s="46">
        <f>CE_RegimeNaoContributivo!B333</f>
        <v>0</v>
      </c>
      <c r="J163" s="46">
        <f>CE_RegimeNaoContributivo!C333</f>
        <v>0</v>
      </c>
      <c r="K163" s="46">
        <f>CE_RegimeNaoContributivo!E333</f>
        <v>0</v>
      </c>
      <c r="L163" s="46">
        <f>CE_RegimeNaoContributivo!S333</f>
        <v>0</v>
      </c>
      <c r="M163" s="60" t="e">
        <f t="shared" si="119"/>
        <v>#DIV/0!</v>
      </c>
      <c r="N163" s="60" t="e">
        <f t="shared" si="120"/>
        <v>#DIV/0!</v>
      </c>
      <c r="O163" s="46">
        <f>CE_AdministraçãoINSS!B333</f>
        <v>0</v>
      </c>
      <c r="P163" s="46">
        <f>CE_AdministraçãoINSS!C333</f>
        <v>0</v>
      </c>
      <c r="Q163" s="46">
        <f>CE_AdministraçãoINSS!E333</f>
        <v>0</v>
      </c>
      <c r="R163" s="46">
        <f>CE_AdministraçãoINSS!S333</f>
        <v>0</v>
      </c>
      <c r="S163" s="60" t="e">
        <f t="shared" si="121"/>
        <v>#DIV/0!</v>
      </c>
      <c r="T163" s="60" t="e">
        <f t="shared" si="122"/>
        <v>#DIV/0!</v>
      </c>
      <c r="U163" s="46">
        <f t="shared" si="123"/>
        <v>0</v>
      </c>
      <c r="V163" s="46">
        <f t="shared" si="123"/>
        <v>0</v>
      </c>
      <c r="W163" s="46">
        <f t="shared" si="123"/>
        <v>0</v>
      </c>
      <c r="X163" s="46">
        <f t="shared" si="114"/>
        <v>0</v>
      </c>
      <c r="Y163" s="60" t="e">
        <f t="shared" si="124"/>
        <v>#DIV/0!</v>
      </c>
      <c r="Z163" s="60" t="e">
        <f t="shared" si="125"/>
        <v>#DIV/0!</v>
      </c>
      <c r="AA163" s="46">
        <f>CE_AdministraçãoFRSS!B333</f>
        <v>0</v>
      </c>
      <c r="AB163" s="46">
        <f>CE_AdministraçãoFRSS!C333</f>
        <v>0</v>
      </c>
      <c r="AC163" s="46">
        <f>CE_AdministraçãoFRSS!E333</f>
        <v>0</v>
      </c>
      <c r="AD163" s="46">
        <f>CE_AdministraçãoFRSS!S333</f>
        <v>0</v>
      </c>
      <c r="AE163" s="60" t="e">
        <f t="shared" si="126"/>
        <v>#DIV/0!</v>
      </c>
      <c r="AF163" s="60" t="e">
        <f t="shared" si="127"/>
        <v>#DIV/0!</v>
      </c>
      <c r="AG163" s="46">
        <f t="shared" si="128"/>
        <v>0</v>
      </c>
      <c r="AH163" s="46">
        <f t="shared" si="128"/>
        <v>0</v>
      </c>
      <c r="AI163" s="46">
        <f t="shared" si="128"/>
        <v>0</v>
      </c>
      <c r="AJ163" s="46">
        <f t="shared" si="115"/>
        <v>0</v>
      </c>
      <c r="AK163" s="60" t="e">
        <f t="shared" si="129"/>
        <v>#DIV/0!</v>
      </c>
      <c r="AL163" s="60" t="e">
        <f t="shared" si="130"/>
        <v>#DIV/0!</v>
      </c>
      <c r="AM163" s="46">
        <f t="shared" si="131"/>
        <v>0</v>
      </c>
      <c r="AN163" s="46">
        <f t="shared" si="131"/>
        <v>0</v>
      </c>
      <c r="AO163" s="46">
        <f t="shared" si="131"/>
        <v>0</v>
      </c>
      <c r="AP163" s="46">
        <f t="shared" si="116"/>
        <v>0</v>
      </c>
      <c r="AQ163" s="60" t="e">
        <f t="shared" si="132"/>
        <v>#DIV/0!</v>
      </c>
      <c r="AR163" s="60" t="e">
        <f t="shared" si="133"/>
        <v>#DIV/0!</v>
      </c>
      <c r="AT163" s="38"/>
      <c r="AU163" s="38"/>
      <c r="AV163" s="38"/>
      <c r="AW163" s="38"/>
      <c r="AY163" s="38"/>
      <c r="AZ163" s="38"/>
      <c r="BA163" s="38"/>
      <c r="BB163" s="38"/>
    </row>
    <row r="164" spans="1:58" x14ac:dyDescent="0.2">
      <c r="A164" s="45" t="str">
        <f>"502.32.03"</f>
        <v>502.32.03</v>
      </c>
      <c r="B164" s="47" t="s">
        <v>961</v>
      </c>
      <c r="C164" s="46">
        <f>CE_RegimeContributivo!B334</f>
        <v>0</v>
      </c>
      <c r="D164" s="46">
        <f>CE_RegimeContributivo!C334</f>
        <v>0</v>
      </c>
      <c r="E164" s="46">
        <f>CE_RegimeContributivo!E334</f>
        <v>0</v>
      </c>
      <c r="F164" s="46">
        <f>CE_RegimeContributivo!S334</f>
        <v>0</v>
      </c>
      <c r="G164" s="60" t="e">
        <f t="shared" si="117"/>
        <v>#DIV/0!</v>
      </c>
      <c r="H164" s="60" t="e">
        <f t="shared" si="118"/>
        <v>#DIV/0!</v>
      </c>
      <c r="I164" s="46">
        <f>CE_RegimeNaoContributivo!B334</f>
        <v>0</v>
      </c>
      <c r="J164" s="46">
        <f>CE_RegimeNaoContributivo!C334</f>
        <v>0</v>
      </c>
      <c r="K164" s="46">
        <f>CE_RegimeNaoContributivo!E334</f>
        <v>0</v>
      </c>
      <c r="L164" s="46">
        <f>CE_RegimeNaoContributivo!S334</f>
        <v>0</v>
      </c>
      <c r="M164" s="60" t="e">
        <f t="shared" si="119"/>
        <v>#DIV/0!</v>
      </c>
      <c r="N164" s="60" t="e">
        <f t="shared" si="120"/>
        <v>#DIV/0!</v>
      </c>
      <c r="O164" s="46">
        <f>CE_AdministraçãoINSS!B334</f>
        <v>0</v>
      </c>
      <c r="P164" s="46">
        <f>CE_AdministraçãoINSS!C334</f>
        <v>0</v>
      </c>
      <c r="Q164" s="46">
        <f>CE_AdministraçãoINSS!E334</f>
        <v>0</v>
      </c>
      <c r="R164" s="46">
        <f>CE_AdministraçãoINSS!S334</f>
        <v>0</v>
      </c>
      <c r="S164" s="60" t="e">
        <f t="shared" si="121"/>
        <v>#DIV/0!</v>
      </c>
      <c r="T164" s="60" t="e">
        <f t="shared" si="122"/>
        <v>#DIV/0!</v>
      </c>
      <c r="U164" s="46">
        <f t="shared" si="123"/>
        <v>0</v>
      </c>
      <c r="V164" s="46">
        <f t="shared" si="123"/>
        <v>0</v>
      </c>
      <c r="W164" s="46">
        <f t="shared" si="123"/>
        <v>0</v>
      </c>
      <c r="X164" s="46">
        <f t="shared" si="114"/>
        <v>0</v>
      </c>
      <c r="Y164" s="60" t="e">
        <f t="shared" si="124"/>
        <v>#DIV/0!</v>
      </c>
      <c r="Z164" s="60" t="e">
        <f t="shared" si="125"/>
        <v>#DIV/0!</v>
      </c>
      <c r="AA164" s="46">
        <f>CE_AdministraçãoFRSS!B334</f>
        <v>0</v>
      </c>
      <c r="AB164" s="46">
        <f>CE_AdministraçãoFRSS!C334</f>
        <v>0</v>
      </c>
      <c r="AC164" s="46">
        <f>CE_AdministraçãoFRSS!E334</f>
        <v>0</v>
      </c>
      <c r="AD164" s="46">
        <f>CE_AdministraçãoFRSS!S334</f>
        <v>0</v>
      </c>
      <c r="AE164" s="60" t="e">
        <f t="shared" si="126"/>
        <v>#DIV/0!</v>
      </c>
      <c r="AF164" s="60" t="e">
        <f t="shared" si="127"/>
        <v>#DIV/0!</v>
      </c>
      <c r="AG164" s="46">
        <f t="shared" si="128"/>
        <v>0</v>
      </c>
      <c r="AH164" s="46">
        <f t="shared" si="128"/>
        <v>0</v>
      </c>
      <c r="AI164" s="46">
        <f t="shared" si="128"/>
        <v>0</v>
      </c>
      <c r="AJ164" s="46">
        <f t="shared" si="115"/>
        <v>0</v>
      </c>
      <c r="AK164" s="60" t="e">
        <f t="shared" si="129"/>
        <v>#DIV/0!</v>
      </c>
      <c r="AL164" s="60" t="e">
        <f t="shared" si="130"/>
        <v>#DIV/0!</v>
      </c>
      <c r="AM164" s="46">
        <f t="shared" si="131"/>
        <v>0</v>
      </c>
      <c r="AN164" s="46">
        <f t="shared" si="131"/>
        <v>0</v>
      </c>
      <c r="AO164" s="46">
        <f t="shared" si="131"/>
        <v>0</v>
      </c>
      <c r="AP164" s="46">
        <f t="shared" si="116"/>
        <v>0</v>
      </c>
      <c r="AQ164" s="60" t="e">
        <f t="shared" si="132"/>
        <v>#DIV/0!</v>
      </c>
      <c r="AR164" s="60" t="e">
        <f t="shared" si="133"/>
        <v>#DIV/0!</v>
      </c>
      <c r="AT164" s="38"/>
      <c r="AU164" s="38"/>
      <c r="AV164" s="38"/>
      <c r="AW164" s="38"/>
      <c r="AY164" s="38"/>
      <c r="AZ164" s="38"/>
      <c r="BA164" s="38"/>
      <c r="BB164" s="38"/>
    </row>
    <row r="165" spans="1:58" x14ac:dyDescent="0.2">
      <c r="A165" s="39">
        <v>503</v>
      </c>
      <c r="B165" s="39" t="s">
        <v>239</v>
      </c>
      <c r="C165" s="48">
        <f>C166+C173+C177+C209+C213+C217+C225+C226+C227+C228+C229+C242+C246</f>
        <v>62649205</v>
      </c>
      <c r="D165" s="48">
        <f>D166+D173+D177+D209+D213+D217+D225+D226+D227+D228+D229+D242+D246</f>
        <v>90155769.439999998</v>
      </c>
      <c r="E165" s="48">
        <f>E166+E173+E177+E209+E213+E217+E225+E226+E227+E228+E229+E242+E246</f>
        <v>65045717.575099051</v>
      </c>
      <c r="F165" s="48">
        <f t="shared" ref="F165" si="146">F166+F173+F177+F209+F213+F217+F225+F226+F227+F228+F229+F242+F246</f>
        <v>64968690.94198744</v>
      </c>
      <c r="G165" s="58">
        <f t="shared" si="117"/>
        <v>0.72062710290798493</v>
      </c>
      <c r="H165" s="58">
        <f t="shared" si="118"/>
        <v>0.72148147566294074</v>
      </c>
      <c r="I165" s="48">
        <f>I166+I173+I177+I209+I213+I217+I225+I226+I227+I228+I229+I242+I246</f>
        <v>104250000</v>
      </c>
      <c r="J165" s="48">
        <f>J166+J173+J177+J209+J213+J217+J225+J226+J227+J228+J229+J242+J246</f>
        <v>104250000</v>
      </c>
      <c r="K165" s="48">
        <f t="shared" ref="K165:L165" si="147">K166+K173+K177+K209+K213+K217+K225+K226+K227+K228+K229+K242+K246</f>
        <v>70606713.258999988</v>
      </c>
      <c r="L165" s="48">
        <f t="shared" si="147"/>
        <v>70263770.858999997</v>
      </c>
      <c r="M165" s="58">
        <f t="shared" si="119"/>
        <v>0.67399300584172661</v>
      </c>
      <c r="N165" s="58">
        <f t="shared" si="120"/>
        <v>0.67728262118944837</v>
      </c>
      <c r="O165" s="48">
        <f>O166+O173+O177+O209+O213+O217+O225+O226+O227+O228+O229+O242+O246</f>
        <v>333807</v>
      </c>
      <c r="P165" s="48">
        <f>P166+P173+P177+P209+P213+P217+P225+P226+P227+P228+P229+P242+P246</f>
        <v>198454.21</v>
      </c>
      <c r="Q165" s="48">
        <f t="shared" ref="Q165:R165" si="148">Q166+Q173+Q177+Q209+Q213+Q217+Q225+Q226+Q227+Q228+Q229+Q242+Q246</f>
        <v>112094.09</v>
      </c>
      <c r="R165" s="48">
        <f t="shared" si="148"/>
        <v>112094.09</v>
      </c>
      <c r="S165" s="58">
        <f t="shared" si="121"/>
        <v>0.5648360395075519</v>
      </c>
      <c r="T165" s="58">
        <f t="shared" si="122"/>
        <v>0.5648360395075519</v>
      </c>
      <c r="U165" s="48">
        <f t="shared" si="123"/>
        <v>167233012</v>
      </c>
      <c r="V165" s="48">
        <f t="shared" si="123"/>
        <v>194604223.65000001</v>
      </c>
      <c r="W165" s="48">
        <f t="shared" si="123"/>
        <v>135764524.92409906</v>
      </c>
      <c r="X165" s="48">
        <f t="shared" si="114"/>
        <v>135344555.89098743</v>
      </c>
      <c r="Y165" s="58">
        <f t="shared" si="124"/>
        <v>0.69548621994149318</v>
      </c>
      <c r="Z165" s="58">
        <f t="shared" si="125"/>
        <v>0.69764428735254258</v>
      </c>
      <c r="AA165" s="48">
        <f>AA166+AA173+AA177+AA209+AA213+AA217+AA225+AA226+AA227+AA228+AA229+AA242+AA246</f>
        <v>0</v>
      </c>
      <c r="AB165" s="48">
        <f>AB166+AB173+AB177+AB209+AB213+AB217+AB225+AB226+AB227+AB228+AB229+AB242+AB246</f>
        <v>0</v>
      </c>
      <c r="AC165" s="48">
        <f t="shared" ref="AC165:AD165" si="149">AC166+AC173+AC177+AC209+AC213+AC217+AC225+AC226+AC227+AC228+AC229+AC242+AC246</f>
        <v>0</v>
      </c>
      <c r="AD165" s="48">
        <f t="shared" si="149"/>
        <v>0</v>
      </c>
      <c r="AE165" s="58" t="e">
        <f t="shared" si="126"/>
        <v>#DIV/0!</v>
      </c>
      <c r="AF165" s="58" t="e">
        <f t="shared" si="127"/>
        <v>#DIV/0!</v>
      </c>
      <c r="AG165" s="48">
        <f t="shared" si="128"/>
        <v>0</v>
      </c>
      <c r="AH165" s="48">
        <f t="shared" si="128"/>
        <v>0</v>
      </c>
      <c r="AI165" s="48">
        <f t="shared" si="128"/>
        <v>0</v>
      </c>
      <c r="AJ165" s="48">
        <f t="shared" si="115"/>
        <v>0</v>
      </c>
      <c r="AK165" s="58" t="e">
        <f t="shared" si="129"/>
        <v>#DIV/0!</v>
      </c>
      <c r="AL165" s="58" t="e">
        <f t="shared" si="130"/>
        <v>#DIV/0!</v>
      </c>
      <c r="AM165" s="48">
        <f t="shared" si="131"/>
        <v>167233012</v>
      </c>
      <c r="AN165" s="48">
        <f t="shared" si="131"/>
        <v>194604223.65000001</v>
      </c>
      <c r="AO165" s="48">
        <f t="shared" si="131"/>
        <v>135764524.92409906</v>
      </c>
      <c r="AP165" s="48">
        <f t="shared" si="116"/>
        <v>135344555.89098743</v>
      </c>
      <c r="AQ165" s="58">
        <f t="shared" si="132"/>
        <v>0.69548621994149318</v>
      </c>
      <c r="AR165" s="58">
        <f t="shared" si="133"/>
        <v>0.69764428735254258</v>
      </c>
      <c r="AT165" s="38"/>
      <c r="AU165" s="38"/>
      <c r="AV165" s="38"/>
      <c r="AW165" s="38"/>
      <c r="AY165" s="38"/>
      <c r="AZ165" s="38"/>
      <c r="BA165" s="38"/>
      <c r="BB165" s="38"/>
    </row>
    <row r="166" spans="1:58" s="44" customFormat="1" x14ac:dyDescent="0.2">
      <c r="A166" s="41" t="str">
        <f>"503.01"</f>
        <v>503.01</v>
      </c>
      <c r="B166" s="42" t="s">
        <v>962</v>
      </c>
      <c r="C166" s="43">
        <f>C167+C168+C171+C172</f>
        <v>2000000</v>
      </c>
      <c r="D166" s="43">
        <f t="shared" ref="D166:F166" si="150">D167+D168+D171+D172</f>
        <v>2000000</v>
      </c>
      <c r="E166" s="43">
        <f t="shared" si="150"/>
        <v>0</v>
      </c>
      <c r="F166" s="43">
        <f t="shared" si="150"/>
        <v>0</v>
      </c>
      <c r="G166" s="59">
        <f t="shared" si="117"/>
        <v>0</v>
      </c>
      <c r="H166" s="59">
        <f t="shared" si="118"/>
        <v>0</v>
      </c>
      <c r="I166" s="43">
        <f>I167+I168+I171+I172</f>
        <v>0</v>
      </c>
      <c r="J166" s="43">
        <f t="shared" ref="J166:L166" si="151">J167+J168+J171+J172</f>
        <v>0</v>
      </c>
      <c r="K166" s="43">
        <f t="shared" si="151"/>
        <v>0</v>
      </c>
      <c r="L166" s="43">
        <f t="shared" si="151"/>
        <v>0</v>
      </c>
      <c r="M166" s="59" t="e">
        <f t="shared" si="119"/>
        <v>#DIV/0!</v>
      </c>
      <c r="N166" s="59" t="e">
        <f t="shared" si="120"/>
        <v>#DIV/0!</v>
      </c>
      <c r="O166" s="43">
        <f>O167+O168+O171+O172</f>
        <v>333807</v>
      </c>
      <c r="P166" s="43">
        <f t="shared" ref="P166:R166" si="152">P167+P168+P171+P172</f>
        <v>198454.21</v>
      </c>
      <c r="Q166" s="43">
        <f t="shared" si="152"/>
        <v>112094.09</v>
      </c>
      <c r="R166" s="43">
        <f t="shared" si="152"/>
        <v>112094.09</v>
      </c>
      <c r="S166" s="59">
        <f t="shared" si="121"/>
        <v>0.5648360395075519</v>
      </c>
      <c r="T166" s="59">
        <f t="shared" si="122"/>
        <v>0.5648360395075519</v>
      </c>
      <c r="U166" s="43">
        <f t="shared" si="123"/>
        <v>2333807</v>
      </c>
      <c r="V166" s="43">
        <f t="shared" si="123"/>
        <v>2198454.21</v>
      </c>
      <c r="W166" s="43">
        <f t="shared" si="123"/>
        <v>112094.09</v>
      </c>
      <c r="X166" s="43">
        <f t="shared" si="114"/>
        <v>112094.09</v>
      </c>
      <c r="Y166" s="59">
        <f t="shared" si="124"/>
        <v>5.0987684660486969E-2</v>
      </c>
      <c r="Z166" s="59">
        <f t="shared" si="125"/>
        <v>5.0987684660486969E-2</v>
      </c>
      <c r="AA166" s="43">
        <f>SUM(AA167:AA172)</f>
        <v>0</v>
      </c>
      <c r="AB166" s="43">
        <f>SUM(AB167:AB172)</f>
        <v>0</v>
      </c>
      <c r="AC166" s="43">
        <f t="shared" ref="AC166:AD166" si="153">SUM(AC167:AC172)</f>
        <v>0</v>
      </c>
      <c r="AD166" s="43">
        <f t="shared" si="153"/>
        <v>0</v>
      </c>
      <c r="AE166" s="59" t="e">
        <f t="shared" si="126"/>
        <v>#DIV/0!</v>
      </c>
      <c r="AF166" s="59" t="e">
        <f t="shared" si="127"/>
        <v>#DIV/0!</v>
      </c>
      <c r="AG166" s="43">
        <f t="shared" si="128"/>
        <v>0</v>
      </c>
      <c r="AH166" s="43">
        <f t="shared" si="128"/>
        <v>0</v>
      </c>
      <c r="AI166" s="43">
        <f t="shared" si="128"/>
        <v>0</v>
      </c>
      <c r="AJ166" s="43">
        <f t="shared" si="115"/>
        <v>0</v>
      </c>
      <c r="AK166" s="59" t="e">
        <f t="shared" si="129"/>
        <v>#DIV/0!</v>
      </c>
      <c r="AL166" s="59" t="e">
        <f t="shared" si="130"/>
        <v>#DIV/0!</v>
      </c>
      <c r="AM166" s="43">
        <f t="shared" si="131"/>
        <v>2333807</v>
      </c>
      <c r="AN166" s="43">
        <f t="shared" si="131"/>
        <v>2198454.21</v>
      </c>
      <c r="AO166" s="43">
        <f t="shared" si="131"/>
        <v>112094.09</v>
      </c>
      <c r="AP166" s="43">
        <f t="shared" si="116"/>
        <v>112094.09</v>
      </c>
      <c r="AQ166" s="59">
        <f t="shared" si="132"/>
        <v>5.0987684660486969E-2</v>
      </c>
      <c r="AR166" s="59">
        <f t="shared" si="133"/>
        <v>5.0987684660486969E-2</v>
      </c>
      <c r="AT166" s="38"/>
      <c r="AU166" s="38"/>
      <c r="AV166" s="38"/>
      <c r="AW166" s="38"/>
      <c r="AY166" s="38"/>
      <c r="AZ166" s="38"/>
      <c r="BA166" s="38"/>
      <c r="BB166" s="38"/>
      <c r="BC166" s="36"/>
      <c r="BD166" s="36"/>
      <c r="BE166" s="36"/>
      <c r="BF166" s="36"/>
    </row>
    <row r="167" spans="1:58" x14ac:dyDescent="0.2">
      <c r="A167" s="45" t="str">
        <f>"503.01.01"</f>
        <v>503.01.01</v>
      </c>
      <c r="B167" s="47" t="s">
        <v>963</v>
      </c>
      <c r="C167" s="46">
        <f>CE_RegimeContributivo!B337</f>
        <v>0</v>
      </c>
      <c r="D167" s="46">
        <f>CE_RegimeContributivo!C337</f>
        <v>0</v>
      </c>
      <c r="E167" s="46">
        <f>CE_RegimeContributivo!E337</f>
        <v>0</v>
      </c>
      <c r="F167" s="46">
        <f>CE_RegimeContributivo!S337</f>
        <v>0</v>
      </c>
      <c r="G167" s="60" t="e">
        <f t="shared" si="117"/>
        <v>#DIV/0!</v>
      </c>
      <c r="H167" s="60" t="e">
        <f t="shared" si="118"/>
        <v>#DIV/0!</v>
      </c>
      <c r="I167" s="46">
        <f>CE_RegimeNaoContributivo!B337</f>
        <v>0</v>
      </c>
      <c r="J167" s="46">
        <f>CE_RegimeNaoContributivo!C337</f>
        <v>0</v>
      </c>
      <c r="K167" s="46">
        <f>CE_RegimeNaoContributivo!E337</f>
        <v>0</v>
      </c>
      <c r="L167" s="46">
        <f>CE_RegimeNaoContributivo!S337</f>
        <v>0</v>
      </c>
      <c r="M167" s="60" t="e">
        <f t="shared" si="119"/>
        <v>#DIV/0!</v>
      </c>
      <c r="N167" s="60" t="e">
        <f t="shared" si="120"/>
        <v>#DIV/0!</v>
      </c>
      <c r="O167" s="46">
        <f>CE_AdministraçãoINSS!B337</f>
        <v>0</v>
      </c>
      <c r="P167" s="46">
        <f>CE_AdministraçãoINSS!C337</f>
        <v>0</v>
      </c>
      <c r="Q167" s="46">
        <f>CE_AdministraçãoINSS!E337</f>
        <v>0</v>
      </c>
      <c r="R167" s="46">
        <f>CE_AdministraçãoINSS!S337</f>
        <v>0</v>
      </c>
      <c r="S167" s="60" t="e">
        <f t="shared" si="121"/>
        <v>#DIV/0!</v>
      </c>
      <c r="T167" s="60" t="e">
        <f t="shared" si="122"/>
        <v>#DIV/0!</v>
      </c>
      <c r="U167" s="46">
        <f t="shared" si="123"/>
        <v>0</v>
      </c>
      <c r="V167" s="46">
        <f t="shared" si="123"/>
        <v>0</v>
      </c>
      <c r="W167" s="46">
        <f t="shared" si="123"/>
        <v>0</v>
      </c>
      <c r="X167" s="46">
        <f t="shared" si="114"/>
        <v>0</v>
      </c>
      <c r="Y167" s="60" t="e">
        <f t="shared" si="124"/>
        <v>#DIV/0!</v>
      </c>
      <c r="Z167" s="60" t="e">
        <f t="shared" si="125"/>
        <v>#DIV/0!</v>
      </c>
      <c r="AA167" s="46">
        <f>CE_AdministraçãoFRSS!B337</f>
        <v>0</v>
      </c>
      <c r="AB167" s="46">
        <f>CE_AdministraçãoFRSS!C337</f>
        <v>0</v>
      </c>
      <c r="AC167" s="46">
        <f>CE_AdministraçãoFRSS!E337</f>
        <v>0</v>
      </c>
      <c r="AD167" s="46">
        <f>CE_AdministraçãoFRSS!S337</f>
        <v>0</v>
      </c>
      <c r="AE167" s="60" t="e">
        <f t="shared" si="126"/>
        <v>#DIV/0!</v>
      </c>
      <c r="AF167" s="60" t="e">
        <f t="shared" si="127"/>
        <v>#DIV/0!</v>
      </c>
      <c r="AG167" s="46">
        <f t="shared" si="128"/>
        <v>0</v>
      </c>
      <c r="AH167" s="46">
        <f t="shared" si="128"/>
        <v>0</v>
      </c>
      <c r="AI167" s="46">
        <f t="shared" si="128"/>
        <v>0</v>
      </c>
      <c r="AJ167" s="46">
        <f t="shared" si="115"/>
        <v>0</v>
      </c>
      <c r="AK167" s="60" t="e">
        <f t="shared" si="129"/>
        <v>#DIV/0!</v>
      </c>
      <c r="AL167" s="60" t="e">
        <f t="shared" si="130"/>
        <v>#DIV/0!</v>
      </c>
      <c r="AM167" s="46">
        <f t="shared" si="131"/>
        <v>0</v>
      </c>
      <c r="AN167" s="46">
        <f t="shared" si="131"/>
        <v>0</v>
      </c>
      <c r="AO167" s="46">
        <f t="shared" si="131"/>
        <v>0</v>
      </c>
      <c r="AP167" s="46">
        <f t="shared" si="116"/>
        <v>0</v>
      </c>
      <c r="AQ167" s="60" t="e">
        <f t="shared" si="132"/>
        <v>#DIV/0!</v>
      </c>
      <c r="AR167" s="60" t="e">
        <f t="shared" si="133"/>
        <v>#DIV/0!</v>
      </c>
      <c r="AT167" s="38"/>
      <c r="AU167" s="38"/>
      <c r="AV167" s="38"/>
      <c r="AW167" s="38"/>
      <c r="AY167" s="38"/>
      <c r="AZ167" s="38"/>
      <c r="BA167" s="38"/>
      <c r="BB167" s="38"/>
    </row>
    <row r="168" spans="1:58" x14ac:dyDescent="0.2">
      <c r="A168" s="100" t="str">
        <f>"503.01.02"</f>
        <v>503.01.02</v>
      </c>
      <c r="B168" s="101" t="s">
        <v>964</v>
      </c>
      <c r="C168" s="102">
        <f>C169+C170</f>
        <v>2000000</v>
      </c>
      <c r="D168" s="102">
        <f t="shared" ref="D168:F168" si="154">D169+D170</f>
        <v>2000000</v>
      </c>
      <c r="E168" s="102">
        <f t="shared" si="154"/>
        <v>0</v>
      </c>
      <c r="F168" s="102">
        <f t="shared" si="154"/>
        <v>0</v>
      </c>
      <c r="G168" s="103">
        <f t="shared" si="117"/>
        <v>0</v>
      </c>
      <c r="H168" s="103">
        <f t="shared" si="118"/>
        <v>0</v>
      </c>
      <c r="I168" s="102">
        <f>I169+I170</f>
        <v>0</v>
      </c>
      <c r="J168" s="102">
        <f t="shared" ref="J168:L168" si="155">J169+J170</f>
        <v>0</v>
      </c>
      <c r="K168" s="102">
        <f t="shared" si="155"/>
        <v>0</v>
      </c>
      <c r="L168" s="102">
        <f t="shared" si="155"/>
        <v>0</v>
      </c>
      <c r="M168" s="103" t="e">
        <f t="shared" si="119"/>
        <v>#DIV/0!</v>
      </c>
      <c r="N168" s="103" t="e">
        <f t="shared" si="120"/>
        <v>#DIV/0!</v>
      </c>
      <c r="O168" s="102">
        <f t="shared" ref="O168:R168" si="156">O169+O170</f>
        <v>333807</v>
      </c>
      <c r="P168" s="102">
        <f t="shared" si="156"/>
        <v>198454.21</v>
      </c>
      <c r="Q168" s="102">
        <f t="shared" si="156"/>
        <v>112094.09</v>
      </c>
      <c r="R168" s="102">
        <f t="shared" si="156"/>
        <v>112094.09</v>
      </c>
      <c r="S168" s="103">
        <f t="shared" si="121"/>
        <v>0.5648360395075519</v>
      </c>
      <c r="T168" s="103">
        <f t="shared" si="122"/>
        <v>0.5648360395075519</v>
      </c>
      <c r="U168" s="102">
        <f t="shared" si="123"/>
        <v>2333807</v>
      </c>
      <c r="V168" s="102">
        <f t="shared" si="123"/>
        <v>2198454.21</v>
      </c>
      <c r="W168" s="102">
        <f t="shared" si="123"/>
        <v>112094.09</v>
      </c>
      <c r="X168" s="102">
        <f t="shared" si="114"/>
        <v>112094.09</v>
      </c>
      <c r="Y168" s="103">
        <f t="shared" si="124"/>
        <v>5.0987684660486969E-2</v>
      </c>
      <c r="Z168" s="103">
        <f t="shared" si="125"/>
        <v>5.0987684660486969E-2</v>
      </c>
      <c r="AA168" s="102">
        <f t="shared" ref="AA168:AD168" si="157">AA169+AA170</f>
        <v>0</v>
      </c>
      <c r="AB168" s="102">
        <f t="shared" si="157"/>
        <v>0</v>
      </c>
      <c r="AC168" s="102">
        <f t="shared" si="157"/>
        <v>0</v>
      </c>
      <c r="AD168" s="102">
        <f t="shared" si="157"/>
        <v>0</v>
      </c>
      <c r="AE168" s="103" t="e">
        <f t="shared" si="126"/>
        <v>#DIV/0!</v>
      </c>
      <c r="AF168" s="103" t="e">
        <f t="shared" si="127"/>
        <v>#DIV/0!</v>
      </c>
      <c r="AG168" s="102">
        <f t="shared" si="128"/>
        <v>0</v>
      </c>
      <c r="AH168" s="102">
        <f t="shared" si="128"/>
        <v>0</v>
      </c>
      <c r="AI168" s="102">
        <f t="shared" si="128"/>
        <v>0</v>
      </c>
      <c r="AJ168" s="102">
        <f t="shared" si="115"/>
        <v>0</v>
      </c>
      <c r="AK168" s="103" t="e">
        <f t="shared" si="129"/>
        <v>#DIV/0!</v>
      </c>
      <c r="AL168" s="103" t="e">
        <f t="shared" si="130"/>
        <v>#DIV/0!</v>
      </c>
      <c r="AM168" s="102">
        <f t="shared" si="131"/>
        <v>2333807</v>
      </c>
      <c r="AN168" s="102">
        <f t="shared" si="131"/>
        <v>2198454.21</v>
      </c>
      <c r="AO168" s="102">
        <f t="shared" si="131"/>
        <v>112094.09</v>
      </c>
      <c r="AP168" s="102">
        <f t="shared" si="116"/>
        <v>112094.09</v>
      </c>
      <c r="AQ168" s="103">
        <f t="shared" si="132"/>
        <v>5.0987684660486969E-2</v>
      </c>
      <c r="AR168" s="103">
        <f t="shared" si="133"/>
        <v>5.0987684660486969E-2</v>
      </c>
      <c r="AT168" s="38"/>
      <c r="AU168" s="38"/>
      <c r="AV168" s="38"/>
      <c r="AW168" s="38"/>
      <c r="AY168" s="38"/>
      <c r="AZ168" s="38"/>
      <c r="BA168" s="38"/>
      <c r="BB168" s="38"/>
    </row>
    <row r="169" spans="1:58" x14ac:dyDescent="0.2">
      <c r="A169" s="45" t="str">
        <f>"503.01.02.01"</f>
        <v>503.01.02.01</v>
      </c>
      <c r="B169" s="47" t="s">
        <v>1405</v>
      </c>
      <c r="C169" s="46">
        <f>CE_RegimeContributivo!B341</f>
        <v>0</v>
      </c>
      <c r="D169" s="46">
        <f>CE_RegimeContributivo!C341</f>
        <v>0</v>
      </c>
      <c r="E169" s="46">
        <f>CE_RegimeContributivo!E341</f>
        <v>0</v>
      </c>
      <c r="F169" s="46">
        <f>CE_RegimeContributivo!S341</f>
        <v>0</v>
      </c>
      <c r="G169" s="60" t="e">
        <f t="shared" si="117"/>
        <v>#DIV/0!</v>
      </c>
      <c r="H169" s="60" t="e">
        <f t="shared" si="118"/>
        <v>#DIV/0!</v>
      </c>
      <c r="I169" s="46">
        <f>CE_RegimeNaoContributivo!B341</f>
        <v>0</v>
      </c>
      <c r="J169" s="46">
        <f>CE_RegimeNaoContributivo!C341</f>
        <v>0</v>
      </c>
      <c r="K169" s="46">
        <f>CE_RegimeNaoContributivo!E341</f>
        <v>0</v>
      </c>
      <c r="L169" s="46">
        <f>CE_RegimeNaoContributivo!S341</f>
        <v>0</v>
      </c>
      <c r="M169" s="60" t="e">
        <f t="shared" si="119"/>
        <v>#DIV/0!</v>
      </c>
      <c r="N169" s="60" t="e">
        <f t="shared" si="120"/>
        <v>#DIV/0!</v>
      </c>
      <c r="O169" s="46">
        <f>CE_AdministraçãoINSS!B341</f>
        <v>333807</v>
      </c>
      <c r="P169" s="46">
        <f>CE_AdministraçãoINSS!C341</f>
        <v>198454.21</v>
      </c>
      <c r="Q169" s="46">
        <f>CE_AdministraçãoINSS!E341</f>
        <v>112094.09</v>
      </c>
      <c r="R169" s="46">
        <f>CE_AdministraçãoINSS!S341</f>
        <v>112094.09</v>
      </c>
      <c r="S169" s="60">
        <f t="shared" si="121"/>
        <v>0.5648360395075519</v>
      </c>
      <c r="T169" s="60">
        <f t="shared" si="122"/>
        <v>0.5648360395075519</v>
      </c>
      <c r="U169" s="46">
        <f t="shared" si="123"/>
        <v>333807</v>
      </c>
      <c r="V169" s="46">
        <f t="shared" si="123"/>
        <v>198454.21</v>
      </c>
      <c r="W169" s="46">
        <f t="shared" si="123"/>
        <v>112094.09</v>
      </c>
      <c r="X169" s="46">
        <f t="shared" si="114"/>
        <v>112094.09</v>
      </c>
      <c r="Y169" s="60">
        <f t="shared" si="124"/>
        <v>0.5648360395075519</v>
      </c>
      <c r="Z169" s="60">
        <f t="shared" si="125"/>
        <v>0.5648360395075519</v>
      </c>
      <c r="AA169" s="46">
        <f>CE_AdministraçãoFRSS!B341</f>
        <v>0</v>
      </c>
      <c r="AB169" s="46">
        <f>CE_AdministraçãoFRSS!C341</f>
        <v>0</v>
      </c>
      <c r="AC169" s="46">
        <f>CE_AdministraçãoFRSS!E341</f>
        <v>0</v>
      </c>
      <c r="AD169" s="46">
        <f>CE_AdministraçãoFRSS!S341</f>
        <v>0</v>
      </c>
      <c r="AE169" s="60" t="e">
        <f t="shared" si="126"/>
        <v>#DIV/0!</v>
      </c>
      <c r="AF169" s="60" t="e">
        <f t="shared" si="127"/>
        <v>#DIV/0!</v>
      </c>
      <c r="AG169" s="46">
        <f t="shared" si="128"/>
        <v>0</v>
      </c>
      <c r="AH169" s="46">
        <f t="shared" si="128"/>
        <v>0</v>
      </c>
      <c r="AI169" s="46">
        <f t="shared" si="128"/>
        <v>0</v>
      </c>
      <c r="AJ169" s="46">
        <f t="shared" si="115"/>
        <v>0</v>
      </c>
      <c r="AK169" s="60" t="e">
        <f t="shared" si="129"/>
        <v>#DIV/0!</v>
      </c>
      <c r="AL169" s="60" t="e">
        <f t="shared" si="130"/>
        <v>#DIV/0!</v>
      </c>
      <c r="AM169" s="46">
        <f t="shared" si="131"/>
        <v>333807</v>
      </c>
      <c r="AN169" s="46">
        <f t="shared" si="131"/>
        <v>198454.21</v>
      </c>
      <c r="AO169" s="46">
        <f t="shared" si="131"/>
        <v>112094.09</v>
      </c>
      <c r="AP169" s="46">
        <f t="shared" si="116"/>
        <v>112094.09</v>
      </c>
      <c r="AQ169" s="60">
        <f t="shared" si="132"/>
        <v>0.5648360395075519</v>
      </c>
      <c r="AR169" s="60">
        <f t="shared" si="133"/>
        <v>0.5648360395075519</v>
      </c>
      <c r="AT169" s="38"/>
      <c r="AU169" s="38"/>
      <c r="AV169" s="38"/>
      <c r="AW169" s="38"/>
      <c r="AY169" s="38"/>
      <c r="AZ169" s="38"/>
      <c r="BA169" s="38"/>
      <c r="BB169" s="38"/>
    </row>
    <row r="170" spans="1:58" x14ac:dyDescent="0.2">
      <c r="A170" s="45" t="str">
        <f>"503.01.02.02"</f>
        <v>503.01.02.02</v>
      </c>
      <c r="B170" s="47" t="s">
        <v>1406</v>
      </c>
      <c r="C170" s="46">
        <f>CE_RegimeContributivo!B342</f>
        <v>2000000</v>
      </c>
      <c r="D170" s="46">
        <f>CE_RegimeContributivo!C342</f>
        <v>2000000</v>
      </c>
      <c r="E170" s="46">
        <f>CE_RegimeContributivo!E342</f>
        <v>0</v>
      </c>
      <c r="F170" s="46">
        <f>CE_RegimeContributivo!S342</f>
        <v>0</v>
      </c>
      <c r="G170" s="60">
        <f t="shared" si="117"/>
        <v>0</v>
      </c>
      <c r="H170" s="60">
        <f t="shared" si="118"/>
        <v>0</v>
      </c>
      <c r="I170" s="46">
        <f>CE_RegimeNaoContributivo!B342</f>
        <v>0</v>
      </c>
      <c r="J170" s="46">
        <f>CE_RegimeNaoContributivo!C342</f>
        <v>0</v>
      </c>
      <c r="K170" s="46">
        <f>CE_RegimeNaoContributivo!E342</f>
        <v>0</v>
      </c>
      <c r="L170" s="46">
        <f>CE_RegimeNaoContributivo!S342</f>
        <v>0</v>
      </c>
      <c r="M170" s="60" t="e">
        <f t="shared" si="119"/>
        <v>#DIV/0!</v>
      </c>
      <c r="N170" s="60" t="e">
        <f t="shared" si="120"/>
        <v>#DIV/0!</v>
      </c>
      <c r="O170" s="46">
        <f>CE_AdministraçãoINSS!B342</f>
        <v>0</v>
      </c>
      <c r="P170" s="46">
        <f>CE_AdministraçãoINSS!C342</f>
        <v>0</v>
      </c>
      <c r="Q170" s="46">
        <f>CE_AdministraçãoINSS!E342</f>
        <v>0</v>
      </c>
      <c r="R170" s="46">
        <f>CE_AdministraçãoINSS!S342</f>
        <v>0</v>
      </c>
      <c r="S170" s="60" t="e">
        <f t="shared" si="121"/>
        <v>#DIV/0!</v>
      </c>
      <c r="T170" s="60" t="e">
        <f t="shared" si="122"/>
        <v>#DIV/0!</v>
      </c>
      <c r="U170" s="46">
        <f t="shared" si="123"/>
        <v>2000000</v>
      </c>
      <c r="V170" s="46">
        <f t="shared" si="123"/>
        <v>2000000</v>
      </c>
      <c r="W170" s="46">
        <f t="shared" si="123"/>
        <v>0</v>
      </c>
      <c r="X170" s="46">
        <f t="shared" si="114"/>
        <v>0</v>
      </c>
      <c r="Y170" s="60">
        <f t="shared" si="124"/>
        <v>0</v>
      </c>
      <c r="Z170" s="60">
        <f t="shared" si="125"/>
        <v>0</v>
      </c>
      <c r="AA170" s="46">
        <f>CE_AdministraçãoFRSS!B342</f>
        <v>0</v>
      </c>
      <c r="AB170" s="46">
        <f>CE_AdministraçãoFRSS!C342</f>
        <v>0</v>
      </c>
      <c r="AC170" s="46">
        <f>CE_AdministraçãoFRSS!E342</f>
        <v>0</v>
      </c>
      <c r="AD170" s="46">
        <f>CE_AdministraçãoFRSS!S342</f>
        <v>0</v>
      </c>
      <c r="AE170" s="60" t="e">
        <f t="shared" si="126"/>
        <v>#DIV/0!</v>
      </c>
      <c r="AF170" s="60" t="e">
        <f t="shared" si="127"/>
        <v>#DIV/0!</v>
      </c>
      <c r="AG170" s="46">
        <f t="shared" si="128"/>
        <v>0</v>
      </c>
      <c r="AH170" s="46">
        <f t="shared" si="128"/>
        <v>0</v>
      </c>
      <c r="AI170" s="46">
        <f t="shared" si="128"/>
        <v>0</v>
      </c>
      <c r="AJ170" s="46">
        <f t="shared" si="115"/>
        <v>0</v>
      </c>
      <c r="AK170" s="60" t="e">
        <f t="shared" si="129"/>
        <v>#DIV/0!</v>
      </c>
      <c r="AL170" s="60" t="e">
        <f t="shared" si="130"/>
        <v>#DIV/0!</v>
      </c>
      <c r="AM170" s="46">
        <f t="shared" si="131"/>
        <v>2000000</v>
      </c>
      <c r="AN170" s="46">
        <f t="shared" si="131"/>
        <v>2000000</v>
      </c>
      <c r="AO170" s="46">
        <f t="shared" si="131"/>
        <v>0</v>
      </c>
      <c r="AP170" s="46">
        <f t="shared" si="116"/>
        <v>0</v>
      </c>
      <c r="AQ170" s="60">
        <f t="shared" si="132"/>
        <v>0</v>
      </c>
      <c r="AR170" s="60">
        <f t="shared" si="133"/>
        <v>0</v>
      </c>
      <c r="AT170" s="38"/>
      <c r="AU170" s="38"/>
      <c r="AV170" s="38"/>
      <c r="AW170" s="38"/>
      <c r="AY170" s="38"/>
      <c r="AZ170" s="38"/>
      <c r="BA170" s="38"/>
      <c r="BB170" s="38"/>
    </row>
    <row r="171" spans="1:58" x14ac:dyDescent="0.2">
      <c r="A171" s="45" t="str">
        <f>"503.01.03"</f>
        <v>503.01.03</v>
      </c>
      <c r="B171" s="47" t="s">
        <v>965</v>
      </c>
      <c r="C171" s="46">
        <f>CE_RegimeContributivo!B343</f>
        <v>0</v>
      </c>
      <c r="D171" s="46">
        <f>CE_RegimeContributivo!C343</f>
        <v>0</v>
      </c>
      <c r="E171" s="46">
        <f>CE_RegimeContributivo!E343</f>
        <v>0</v>
      </c>
      <c r="F171" s="46">
        <f>CE_RegimeContributivo!S343</f>
        <v>0</v>
      </c>
      <c r="G171" s="60" t="e">
        <f t="shared" si="117"/>
        <v>#DIV/0!</v>
      </c>
      <c r="H171" s="60" t="e">
        <f t="shared" si="118"/>
        <v>#DIV/0!</v>
      </c>
      <c r="I171" s="46">
        <f>CE_RegimeNaoContributivo!B343</f>
        <v>0</v>
      </c>
      <c r="J171" s="46">
        <f>CE_RegimeNaoContributivo!C343</f>
        <v>0</v>
      </c>
      <c r="K171" s="46">
        <f>CE_RegimeNaoContributivo!E343</f>
        <v>0</v>
      </c>
      <c r="L171" s="46">
        <f>CE_RegimeNaoContributivo!S343</f>
        <v>0</v>
      </c>
      <c r="M171" s="60" t="e">
        <f t="shared" si="119"/>
        <v>#DIV/0!</v>
      </c>
      <c r="N171" s="60" t="e">
        <f t="shared" si="120"/>
        <v>#DIV/0!</v>
      </c>
      <c r="O171" s="46">
        <f>CE_AdministraçãoINSS!B343</f>
        <v>0</v>
      </c>
      <c r="P171" s="46">
        <f>CE_AdministraçãoINSS!C343</f>
        <v>0</v>
      </c>
      <c r="Q171" s="46">
        <f>CE_AdministraçãoINSS!E343</f>
        <v>0</v>
      </c>
      <c r="R171" s="46">
        <f>CE_AdministraçãoINSS!S343</f>
        <v>0</v>
      </c>
      <c r="S171" s="60" t="e">
        <f t="shared" si="121"/>
        <v>#DIV/0!</v>
      </c>
      <c r="T171" s="60" t="e">
        <f t="shared" si="122"/>
        <v>#DIV/0!</v>
      </c>
      <c r="U171" s="46">
        <f t="shared" si="123"/>
        <v>0</v>
      </c>
      <c r="V171" s="46">
        <f t="shared" si="123"/>
        <v>0</v>
      </c>
      <c r="W171" s="46">
        <f t="shared" si="123"/>
        <v>0</v>
      </c>
      <c r="X171" s="46">
        <f t="shared" si="114"/>
        <v>0</v>
      </c>
      <c r="Y171" s="60" t="e">
        <f t="shared" si="124"/>
        <v>#DIV/0!</v>
      </c>
      <c r="Z171" s="60" t="e">
        <f t="shared" si="125"/>
        <v>#DIV/0!</v>
      </c>
      <c r="AA171" s="46">
        <f>CE_AdministraçãoFRSS!B343</f>
        <v>0</v>
      </c>
      <c r="AB171" s="46">
        <f>CE_AdministraçãoFRSS!C343</f>
        <v>0</v>
      </c>
      <c r="AC171" s="46">
        <f>CE_AdministraçãoFRSS!E343</f>
        <v>0</v>
      </c>
      <c r="AD171" s="46">
        <f>CE_AdministraçãoFRSS!S343</f>
        <v>0</v>
      </c>
      <c r="AE171" s="60" t="e">
        <f t="shared" si="126"/>
        <v>#DIV/0!</v>
      </c>
      <c r="AF171" s="60" t="e">
        <f t="shared" si="127"/>
        <v>#DIV/0!</v>
      </c>
      <c r="AG171" s="46">
        <f t="shared" si="128"/>
        <v>0</v>
      </c>
      <c r="AH171" s="46">
        <f t="shared" si="128"/>
        <v>0</v>
      </c>
      <c r="AI171" s="46">
        <f t="shared" si="128"/>
        <v>0</v>
      </c>
      <c r="AJ171" s="46">
        <f t="shared" si="115"/>
        <v>0</v>
      </c>
      <c r="AK171" s="60" t="e">
        <f t="shared" si="129"/>
        <v>#DIV/0!</v>
      </c>
      <c r="AL171" s="60" t="e">
        <f t="shared" si="130"/>
        <v>#DIV/0!</v>
      </c>
      <c r="AM171" s="46">
        <f t="shared" si="131"/>
        <v>0</v>
      </c>
      <c r="AN171" s="46">
        <f t="shared" si="131"/>
        <v>0</v>
      </c>
      <c r="AO171" s="46">
        <f t="shared" si="131"/>
        <v>0</v>
      </c>
      <c r="AP171" s="46">
        <f t="shared" si="116"/>
        <v>0</v>
      </c>
      <c r="AQ171" s="60" t="e">
        <f t="shared" si="132"/>
        <v>#DIV/0!</v>
      </c>
      <c r="AR171" s="60" t="e">
        <f t="shared" si="133"/>
        <v>#DIV/0!</v>
      </c>
      <c r="AT171" s="38"/>
      <c r="AU171" s="38"/>
      <c r="AV171" s="38"/>
      <c r="AW171" s="38"/>
      <c r="AY171" s="38"/>
      <c r="AZ171" s="38"/>
      <c r="BA171" s="38"/>
      <c r="BB171" s="38"/>
    </row>
    <row r="172" spans="1:58" x14ac:dyDescent="0.2">
      <c r="A172" s="45" t="str">
        <f>"503.01.04"</f>
        <v>503.01.04</v>
      </c>
      <c r="B172" s="47" t="s">
        <v>966</v>
      </c>
      <c r="C172" s="46">
        <f>CE_RegimeContributivo!B344</f>
        <v>0</v>
      </c>
      <c r="D172" s="46">
        <f>CE_RegimeContributivo!C344</f>
        <v>0</v>
      </c>
      <c r="E172" s="46">
        <f>CE_RegimeContributivo!E344</f>
        <v>0</v>
      </c>
      <c r="F172" s="46">
        <f>CE_RegimeContributivo!S344</f>
        <v>0</v>
      </c>
      <c r="G172" s="60" t="e">
        <f t="shared" si="117"/>
        <v>#DIV/0!</v>
      </c>
      <c r="H172" s="60" t="e">
        <f t="shared" si="118"/>
        <v>#DIV/0!</v>
      </c>
      <c r="I172" s="46">
        <f>CE_RegimeNaoContributivo!B344</f>
        <v>0</v>
      </c>
      <c r="J172" s="46">
        <f>CE_RegimeNaoContributivo!C344</f>
        <v>0</v>
      </c>
      <c r="K172" s="46">
        <f>CE_RegimeNaoContributivo!E344</f>
        <v>0</v>
      </c>
      <c r="L172" s="46">
        <f>CE_RegimeNaoContributivo!S344</f>
        <v>0</v>
      </c>
      <c r="M172" s="60" t="e">
        <f t="shared" si="119"/>
        <v>#DIV/0!</v>
      </c>
      <c r="N172" s="60" t="e">
        <f t="shared" si="120"/>
        <v>#DIV/0!</v>
      </c>
      <c r="O172" s="46">
        <f>CE_AdministraçãoINSS!B344</f>
        <v>0</v>
      </c>
      <c r="P172" s="46">
        <f>CE_AdministraçãoINSS!C344</f>
        <v>0</v>
      </c>
      <c r="Q172" s="46">
        <f>CE_AdministraçãoINSS!E344</f>
        <v>0</v>
      </c>
      <c r="R172" s="46">
        <f>CE_AdministraçãoINSS!S344</f>
        <v>0</v>
      </c>
      <c r="S172" s="60" t="e">
        <f t="shared" si="121"/>
        <v>#DIV/0!</v>
      </c>
      <c r="T172" s="60" t="e">
        <f t="shared" si="122"/>
        <v>#DIV/0!</v>
      </c>
      <c r="U172" s="46">
        <f t="shared" si="123"/>
        <v>0</v>
      </c>
      <c r="V172" s="46">
        <f t="shared" si="123"/>
        <v>0</v>
      </c>
      <c r="W172" s="46">
        <f t="shared" si="123"/>
        <v>0</v>
      </c>
      <c r="X172" s="46">
        <f t="shared" si="114"/>
        <v>0</v>
      </c>
      <c r="Y172" s="60" t="e">
        <f t="shared" si="124"/>
        <v>#DIV/0!</v>
      </c>
      <c r="Z172" s="60" t="e">
        <f t="shared" si="125"/>
        <v>#DIV/0!</v>
      </c>
      <c r="AA172" s="46">
        <f>CE_AdministraçãoFRSS!B344</f>
        <v>0</v>
      </c>
      <c r="AB172" s="46">
        <f>CE_AdministraçãoFRSS!C344</f>
        <v>0</v>
      </c>
      <c r="AC172" s="46">
        <f>CE_AdministraçãoFRSS!E344</f>
        <v>0</v>
      </c>
      <c r="AD172" s="46">
        <f>CE_AdministraçãoFRSS!S344</f>
        <v>0</v>
      </c>
      <c r="AE172" s="60" t="e">
        <f t="shared" si="126"/>
        <v>#DIV/0!</v>
      </c>
      <c r="AF172" s="60" t="e">
        <f t="shared" si="127"/>
        <v>#DIV/0!</v>
      </c>
      <c r="AG172" s="46">
        <f t="shared" si="128"/>
        <v>0</v>
      </c>
      <c r="AH172" s="46">
        <f t="shared" si="128"/>
        <v>0</v>
      </c>
      <c r="AI172" s="46">
        <f t="shared" si="128"/>
        <v>0</v>
      </c>
      <c r="AJ172" s="46">
        <f t="shared" si="115"/>
        <v>0</v>
      </c>
      <c r="AK172" s="60" t="e">
        <f t="shared" si="129"/>
        <v>#DIV/0!</v>
      </c>
      <c r="AL172" s="60" t="e">
        <f t="shared" si="130"/>
        <v>#DIV/0!</v>
      </c>
      <c r="AM172" s="46">
        <f t="shared" si="131"/>
        <v>0</v>
      </c>
      <c r="AN172" s="46">
        <f t="shared" si="131"/>
        <v>0</v>
      </c>
      <c r="AO172" s="46">
        <f t="shared" si="131"/>
        <v>0</v>
      </c>
      <c r="AP172" s="46">
        <f t="shared" si="116"/>
        <v>0</v>
      </c>
      <c r="AQ172" s="60" t="e">
        <f t="shared" si="132"/>
        <v>#DIV/0!</v>
      </c>
      <c r="AR172" s="60" t="e">
        <f t="shared" si="133"/>
        <v>#DIV/0!</v>
      </c>
      <c r="AT172" s="38"/>
      <c r="AU172" s="38"/>
      <c r="AV172" s="38"/>
      <c r="AW172" s="38"/>
      <c r="AY172" s="38"/>
      <c r="AZ172" s="38"/>
      <c r="BA172" s="38"/>
      <c r="BB172" s="38"/>
    </row>
    <row r="173" spans="1:58" s="44" customFormat="1" x14ac:dyDescent="0.2">
      <c r="A173" s="41" t="str">
        <f>"503.02"</f>
        <v>503.02</v>
      </c>
      <c r="B173" s="42" t="s">
        <v>967</v>
      </c>
      <c r="C173" s="43">
        <f>SUM(C174:C176)</f>
        <v>0</v>
      </c>
      <c r="D173" s="43">
        <f>SUM(D174:D176)</f>
        <v>0</v>
      </c>
      <c r="E173" s="43">
        <f>SUM(E174:E176)</f>
        <v>0</v>
      </c>
      <c r="F173" s="43">
        <f t="shared" ref="F173" si="158">SUM(F174:F176)</f>
        <v>0</v>
      </c>
      <c r="G173" s="59" t="e">
        <f t="shared" si="117"/>
        <v>#DIV/0!</v>
      </c>
      <c r="H173" s="59" t="e">
        <f t="shared" si="118"/>
        <v>#DIV/0!</v>
      </c>
      <c r="I173" s="43">
        <f>SUM(I174:I176)</f>
        <v>0</v>
      </c>
      <c r="J173" s="43">
        <f>SUM(J174:J176)</f>
        <v>0</v>
      </c>
      <c r="K173" s="43">
        <f t="shared" ref="K173:L173" si="159">SUM(K174:K176)</f>
        <v>0</v>
      </c>
      <c r="L173" s="43">
        <f t="shared" si="159"/>
        <v>0</v>
      </c>
      <c r="M173" s="59" t="e">
        <f t="shared" si="119"/>
        <v>#DIV/0!</v>
      </c>
      <c r="N173" s="59" t="e">
        <f t="shared" si="120"/>
        <v>#DIV/0!</v>
      </c>
      <c r="O173" s="43">
        <f>SUM(O174:O176)</f>
        <v>0</v>
      </c>
      <c r="P173" s="43">
        <f>SUM(P174:P176)</f>
        <v>0</v>
      </c>
      <c r="Q173" s="43">
        <f t="shared" ref="Q173:R173" si="160">SUM(Q174:Q176)</f>
        <v>0</v>
      </c>
      <c r="R173" s="43">
        <f t="shared" si="160"/>
        <v>0</v>
      </c>
      <c r="S173" s="59" t="e">
        <f t="shared" si="121"/>
        <v>#DIV/0!</v>
      </c>
      <c r="T173" s="59" t="e">
        <f t="shared" si="122"/>
        <v>#DIV/0!</v>
      </c>
      <c r="U173" s="43">
        <f t="shared" si="123"/>
        <v>0</v>
      </c>
      <c r="V173" s="43">
        <f t="shared" si="123"/>
        <v>0</v>
      </c>
      <c r="W173" s="43">
        <f t="shared" si="123"/>
        <v>0</v>
      </c>
      <c r="X173" s="43">
        <f t="shared" si="114"/>
        <v>0</v>
      </c>
      <c r="Y173" s="59" t="e">
        <f t="shared" si="124"/>
        <v>#DIV/0!</v>
      </c>
      <c r="Z173" s="59" t="e">
        <f t="shared" si="125"/>
        <v>#DIV/0!</v>
      </c>
      <c r="AA173" s="43">
        <f>SUM(AA174:AA176)</f>
        <v>0</v>
      </c>
      <c r="AB173" s="43">
        <f>SUM(AB174:AB176)</f>
        <v>0</v>
      </c>
      <c r="AC173" s="43">
        <f t="shared" ref="AC173:AD173" si="161">SUM(AC174:AC176)</f>
        <v>0</v>
      </c>
      <c r="AD173" s="43">
        <f t="shared" si="161"/>
        <v>0</v>
      </c>
      <c r="AE173" s="59" t="e">
        <f t="shared" si="126"/>
        <v>#DIV/0!</v>
      </c>
      <c r="AF173" s="59" t="e">
        <f t="shared" si="127"/>
        <v>#DIV/0!</v>
      </c>
      <c r="AG173" s="43">
        <f t="shared" si="128"/>
        <v>0</v>
      </c>
      <c r="AH173" s="43">
        <f t="shared" si="128"/>
        <v>0</v>
      </c>
      <c r="AI173" s="43">
        <f t="shared" si="128"/>
        <v>0</v>
      </c>
      <c r="AJ173" s="43">
        <f t="shared" si="115"/>
        <v>0</v>
      </c>
      <c r="AK173" s="59" t="e">
        <f t="shared" si="129"/>
        <v>#DIV/0!</v>
      </c>
      <c r="AL173" s="59" t="e">
        <f t="shared" si="130"/>
        <v>#DIV/0!</v>
      </c>
      <c r="AM173" s="43">
        <f t="shared" si="131"/>
        <v>0</v>
      </c>
      <c r="AN173" s="43">
        <f t="shared" si="131"/>
        <v>0</v>
      </c>
      <c r="AO173" s="43">
        <f t="shared" si="131"/>
        <v>0</v>
      </c>
      <c r="AP173" s="43">
        <f t="shared" si="116"/>
        <v>0</v>
      </c>
      <c r="AQ173" s="59" t="e">
        <f t="shared" si="132"/>
        <v>#DIV/0!</v>
      </c>
      <c r="AR173" s="59" t="e">
        <f t="shared" si="133"/>
        <v>#DIV/0!</v>
      </c>
      <c r="AT173" s="38"/>
      <c r="AU173" s="38"/>
      <c r="AV173" s="38"/>
      <c r="AW173" s="38"/>
      <c r="AY173" s="38"/>
      <c r="AZ173" s="38"/>
      <c r="BA173" s="38"/>
      <c r="BB173" s="38"/>
      <c r="BC173" s="36"/>
      <c r="BD173" s="36"/>
      <c r="BE173" s="36"/>
      <c r="BF173" s="36"/>
    </row>
    <row r="174" spans="1:58" x14ac:dyDescent="0.2">
      <c r="A174" s="45" t="str">
        <f>"503.02.01"</f>
        <v>503.02.01</v>
      </c>
      <c r="B174" s="47" t="s">
        <v>968</v>
      </c>
      <c r="C174" s="46">
        <f>CE_RegimeContributivo!B346</f>
        <v>0</v>
      </c>
      <c r="D174" s="46">
        <f>CE_RegimeContributivo!C346</f>
        <v>0</v>
      </c>
      <c r="E174" s="46">
        <f>CE_RegimeContributivo!E346</f>
        <v>0</v>
      </c>
      <c r="F174" s="46">
        <f>CE_RegimeContributivo!S346</f>
        <v>0</v>
      </c>
      <c r="G174" s="60" t="e">
        <f t="shared" si="117"/>
        <v>#DIV/0!</v>
      </c>
      <c r="H174" s="60" t="e">
        <f t="shared" si="118"/>
        <v>#DIV/0!</v>
      </c>
      <c r="I174" s="46">
        <f>CE_RegimeNaoContributivo!B346</f>
        <v>0</v>
      </c>
      <c r="J174" s="46">
        <f>CE_RegimeNaoContributivo!C346</f>
        <v>0</v>
      </c>
      <c r="K174" s="46">
        <f>CE_RegimeNaoContributivo!E346</f>
        <v>0</v>
      </c>
      <c r="L174" s="46">
        <f>CE_RegimeNaoContributivo!S346</f>
        <v>0</v>
      </c>
      <c r="M174" s="60" t="e">
        <f t="shared" si="119"/>
        <v>#DIV/0!</v>
      </c>
      <c r="N174" s="60" t="e">
        <f t="shared" si="120"/>
        <v>#DIV/0!</v>
      </c>
      <c r="O174" s="46">
        <f>CE_AdministraçãoINSS!B346</f>
        <v>0</v>
      </c>
      <c r="P174" s="46">
        <f>CE_AdministraçãoINSS!C346</f>
        <v>0</v>
      </c>
      <c r="Q174" s="46">
        <f>CE_AdministraçãoINSS!E346</f>
        <v>0</v>
      </c>
      <c r="R174" s="46">
        <f>CE_AdministraçãoINSS!S346</f>
        <v>0</v>
      </c>
      <c r="S174" s="60" t="e">
        <f t="shared" si="121"/>
        <v>#DIV/0!</v>
      </c>
      <c r="T174" s="60" t="e">
        <f t="shared" si="122"/>
        <v>#DIV/0!</v>
      </c>
      <c r="U174" s="46">
        <f t="shared" si="123"/>
        <v>0</v>
      </c>
      <c r="V174" s="46">
        <f t="shared" si="123"/>
        <v>0</v>
      </c>
      <c r="W174" s="46">
        <f t="shared" si="123"/>
        <v>0</v>
      </c>
      <c r="X174" s="46">
        <f t="shared" si="114"/>
        <v>0</v>
      </c>
      <c r="Y174" s="60" t="e">
        <f t="shared" si="124"/>
        <v>#DIV/0!</v>
      </c>
      <c r="Z174" s="60" t="e">
        <f t="shared" si="125"/>
        <v>#DIV/0!</v>
      </c>
      <c r="AA174" s="46">
        <f>CE_AdministraçãoFRSS!B346</f>
        <v>0</v>
      </c>
      <c r="AB174" s="46">
        <f>CE_AdministraçãoFRSS!C346</f>
        <v>0</v>
      </c>
      <c r="AC174" s="46">
        <f>CE_AdministraçãoFRSS!E346</f>
        <v>0</v>
      </c>
      <c r="AD174" s="46">
        <f>CE_AdministraçãoFRSS!S346</f>
        <v>0</v>
      </c>
      <c r="AE174" s="60" t="e">
        <f t="shared" si="126"/>
        <v>#DIV/0!</v>
      </c>
      <c r="AF174" s="60" t="e">
        <f t="shared" si="127"/>
        <v>#DIV/0!</v>
      </c>
      <c r="AG174" s="46">
        <f t="shared" si="128"/>
        <v>0</v>
      </c>
      <c r="AH174" s="46">
        <f t="shared" si="128"/>
        <v>0</v>
      </c>
      <c r="AI174" s="46">
        <f t="shared" si="128"/>
        <v>0</v>
      </c>
      <c r="AJ174" s="46">
        <f t="shared" si="115"/>
        <v>0</v>
      </c>
      <c r="AK174" s="60" t="e">
        <f t="shared" si="129"/>
        <v>#DIV/0!</v>
      </c>
      <c r="AL174" s="60" t="e">
        <f t="shared" si="130"/>
        <v>#DIV/0!</v>
      </c>
      <c r="AM174" s="46">
        <f t="shared" si="131"/>
        <v>0</v>
      </c>
      <c r="AN174" s="46">
        <f t="shared" si="131"/>
        <v>0</v>
      </c>
      <c r="AO174" s="46">
        <f t="shared" si="131"/>
        <v>0</v>
      </c>
      <c r="AP174" s="46">
        <f t="shared" si="116"/>
        <v>0</v>
      </c>
      <c r="AQ174" s="60" t="e">
        <f t="shared" si="132"/>
        <v>#DIV/0!</v>
      </c>
      <c r="AR174" s="60" t="e">
        <f t="shared" si="133"/>
        <v>#DIV/0!</v>
      </c>
      <c r="AT174" s="38"/>
      <c r="AU174" s="38"/>
      <c r="AV174" s="38"/>
      <c r="AW174" s="38"/>
      <c r="AY174" s="38"/>
      <c r="AZ174" s="38"/>
      <c r="BA174" s="38"/>
      <c r="BB174" s="38"/>
    </row>
    <row r="175" spans="1:58" x14ac:dyDescent="0.2">
      <c r="A175" s="45" t="str">
        <f>"503.02.02"</f>
        <v>503.02.02</v>
      </c>
      <c r="B175" s="47" t="s">
        <v>969</v>
      </c>
      <c r="C175" s="46">
        <f>CE_RegimeContributivo!B347</f>
        <v>0</v>
      </c>
      <c r="D175" s="46">
        <f>CE_RegimeContributivo!C347</f>
        <v>0</v>
      </c>
      <c r="E175" s="46">
        <f>CE_RegimeContributivo!E347</f>
        <v>0</v>
      </c>
      <c r="F175" s="46">
        <f>CE_RegimeContributivo!S347</f>
        <v>0</v>
      </c>
      <c r="G175" s="60" t="e">
        <f t="shared" si="117"/>
        <v>#DIV/0!</v>
      </c>
      <c r="H175" s="60" t="e">
        <f t="shared" si="118"/>
        <v>#DIV/0!</v>
      </c>
      <c r="I175" s="46">
        <f>CE_RegimeNaoContributivo!B347</f>
        <v>0</v>
      </c>
      <c r="J175" s="46">
        <f>CE_RegimeNaoContributivo!C347</f>
        <v>0</v>
      </c>
      <c r="K175" s="46">
        <f>CE_RegimeNaoContributivo!E347</f>
        <v>0</v>
      </c>
      <c r="L175" s="46">
        <f>CE_RegimeNaoContributivo!S347</f>
        <v>0</v>
      </c>
      <c r="M175" s="60" t="e">
        <f t="shared" si="119"/>
        <v>#DIV/0!</v>
      </c>
      <c r="N175" s="60" t="e">
        <f t="shared" si="120"/>
        <v>#DIV/0!</v>
      </c>
      <c r="O175" s="46">
        <f>CE_AdministraçãoINSS!B347</f>
        <v>0</v>
      </c>
      <c r="P175" s="46">
        <f>CE_AdministraçãoINSS!C347</f>
        <v>0</v>
      </c>
      <c r="Q175" s="46">
        <f>CE_AdministraçãoINSS!E347</f>
        <v>0</v>
      </c>
      <c r="R175" s="46">
        <f>CE_AdministraçãoINSS!S347</f>
        <v>0</v>
      </c>
      <c r="S175" s="60" t="e">
        <f t="shared" si="121"/>
        <v>#DIV/0!</v>
      </c>
      <c r="T175" s="60" t="e">
        <f t="shared" si="122"/>
        <v>#DIV/0!</v>
      </c>
      <c r="U175" s="46">
        <f t="shared" si="123"/>
        <v>0</v>
      </c>
      <c r="V175" s="46">
        <f t="shared" si="123"/>
        <v>0</v>
      </c>
      <c r="W175" s="46">
        <f t="shared" si="123"/>
        <v>0</v>
      </c>
      <c r="X175" s="46">
        <f t="shared" si="114"/>
        <v>0</v>
      </c>
      <c r="Y175" s="60" t="e">
        <f t="shared" si="124"/>
        <v>#DIV/0!</v>
      </c>
      <c r="Z175" s="60" t="e">
        <f t="shared" si="125"/>
        <v>#DIV/0!</v>
      </c>
      <c r="AA175" s="46">
        <f>CE_AdministraçãoFRSS!B347</f>
        <v>0</v>
      </c>
      <c r="AB175" s="46">
        <f>CE_AdministraçãoFRSS!C347</f>
        <v>0</v>
      </c>
      <c r="AC175" s="46">
        <f>CE_AdministraçãoFRSS!E347</f>
        <v>0</v>
      </c>
      <c r="AD175" s="46">
        <f>CE_AdministraçãoFRSS!S347</f>
        <v>0</v>
      </c>
      <c r="AE175" s="60" t="e">
        <f t="shared" si="126"/>
        <v>#DIV/0!</v>
      </c>
      <c r="AF175" s="60" t="e">
        <f t="shared" si="127"/>
        <v>#DIV/0!</v>
      </c>
      <c r="AG175" s="46">
        <f t="shared" si="128"/>
        <v>0</v>
      </c>
      <c r="AH175" s="46">
        <f t="shared" si="128"/>
        <v>0</v>
      </c>
      <c r="AI175" s="46">
        <f t="shared" si="128"/>
        <v>0</v>
      </c>
      <c r="AJ175" s="46">
        <f t="shared" si="115"/>
        <v>0</v>
      </c>
      <c r="AK175" s="60" t="e">
        <f t="shared" si="129"/>
        <v>#DIV/0!</v>
      </c>
      <c r="AL175" s="60" t="e">
        <f t="shared" si="130"/>
        <v>#DIV/0!</v>
      </c>
      <c r="AM175" s="46">
        <f t="shared" si="131"/>
        <v>0</v>
      </c>
      <c r="AN175" s="46">
        <f t="shared" si="131"/>
        <v>0</v>
      </c>
      <c r="AO175" s="46">
        <f t="shared" si="131"/>
        <v>0</v>
      </c>
      <c r="AP175" s="46">
        <f t="shared" si="116"/>
        <v>0</v>
      </c>
      <c r="AQ175" s="60" t="e">
        <f t="shared" si="132"/>
        <v>#DIV/0!</v>
      </c>
      <c r="AR175" s="60" t="e">
        <f t="shared" si="133"/>
        <v>#DIV/0!</v>
      </c>
      <c r="AT175" s="38"/>
      <c r="AU175" s="38"/>
      <c r="AV175" s="38"/>
      <c r="AW175" s="38"/>
      <c r="AY175" s="38"/>
      <c r="AZ175" s="38"/>
      <c r="BA175" s="38"/>
      <c r="BB175" s="38"/>
    </row>
    <row r="176" spans="1:58" x14ac:dyDescent="0.2">
      <c r="A176" s="45" t="str">
        <f>"503.02.03"</f>
        <v>503.02.03</v>
      </c>
      <c r="B176" s="47" t="s">
        <v>970</v>
      </c>
      <c r="C176" s="46">
        <f>CE_RegimeContributivo!B348</f>
        <v>0</v>
      </c>
      <c r="D176" s="46">
        <f>CE_RegimeContributivo!C348</f>
        <v>0</v>
      </c>
      <c r="E176" s="46">
        <f>CE_RegimeContributivo!E348</f>
        <v>0</v>
      </c>
      <c r="F176" s="46">
        <f>CE_RegimeContributivo!S348</f>
        <v>0</v>
      </c>
      <c r="G176" s="60" t="e">
        <f t="shared" si="117"/>
        <v>#DIV/0!</v>
      </c>
      <c r="H176" s="60" t="e">
        <f t="shared" si="118"/>
        <v>#DIV/0!</v>
      </c>
      <c r="I176" s="46">
        <f>CE_RegimeNaoContributivo!B348</f>
        <v>0</v>
      </c>
      <c r="J176" s="46">
        <f>CE_RegimeNaoContributivo!C348</f>
        <v>0</v>
      </c>
      <c r="K176" s="46">
        <f>CE_RegimeNaoContributivo!E348</f>
        <v>0</v>
      </c>
      <c r="L176" s="46">
        <f>CE_RegimeNaoContributivo!S348</f>
        <v>0</v>
      </c>
      <c r="M176" s="60" t="e">
        <f t="shared" si="119"/>
        <v>#DIV/0!</v>
      </c>
      <c r="N176" s="60" t="e">
        <f t="shared" si="120"/>
        <v>#DIV/0!</v>
      </c>
      <c r="O176" s="46">
        <f>CE_AdministraçãoINSS!B348</f>
        <v>0</v>
      </c>
      <c r="P176" s="46">
        <f>CE_AdministraçãoINSS!C348</f>
        <v>0</v>
      </c>
      <c r="Q176" s="46">
        <f>CE_AdministraçãoINSS!E348</f>
        <v>0</v>
      </c>
      <c r="R176" s="46">
        <f>CE_AdministraçãoINSS!S348</f>
        <v>0</v>
      </c>
      <c r="S176" s="60" t="e">
        <f t="shared" si="121"/>
        <v>#DIV/0!</v>
      </c>
      <c r="T176" s="60" t="e">
        <f t="shared" si="122"/>
        <v>#DIV/0!</v>
      </c>
      <c r="U176" s="46">
        <f t="shared" si="123"/>
        <v>0</v>
      </c>
      <c r="V176" s="46">
        <f t="shared" si="123"/>
        <v>0</v>
      </c>
      <c r="W176" s="46">
        <f t="shared" si="123"/>
        <v>0</v>
      </c>
      <c r="X176" s="46">
        <f t="shared" si="114"/>
        <v>0</v>
      </c>
      <c r="Y176" s="60" t="e">
        <f t="shared" si="124"/>
        <v>#DIV/0!</v>
      </c>
      <c r="Z176" s="60" t="e">
        <f t="shared" si="125"/>
        <v>#DIV/0!</v>
      </c>
      <c r="AA176" s="46">
        <f>CE_AdministraçãoFRSS!B348</f>
        <v>0</v>
      </c>
      <c r="AB176" s="46">
        <f>CE_AdministraçãoFRSS!C348</f>
        <v>0</v>
      </c>
      <c r="AC176" s="46">
        <f>CE_AdministraçãoFRSS!E348</f>
        <v>0</v>
      </c>
      <c r="AD176" s="46">
        <f>CE_AdministraçãoFRSS!S348</f>
        <v>0</v>
      </c>
      <c r="AE176" s="60" t="e">
        <f t="shared" si="126"/>
        <v>#DIV/0!</v>
      </c>
      <c r="AF176" s="60" t="e">
        <f t="shared" si="127"/>
        <v>#DIV/0!</v>
      </c>
      <c r="AG176" s="46">
        <f t="shared" si="128"/>
        <v>0</v>
      </c>
      <c r="AH176" s="46">
        <f t="shared" si="128"/>
        <v>0</v>
      </c>
      <c r="AI176" s="46">
        <f t="shared" si="128"/>
        <v>0</v>
      </c>
      <c r="AJ176" s="46">
        <f t="shared" si="115"/>
        <v>0</v>
      </c>
      <c r="AK176" s="60" t="e">
        <f t="shared" si="129"/>
        <v>#DIV/0!</v>
      </c>
      <c r="AL176" s="60" t="e">
        <f t="shared" si="130"/>
        <v>#DIV/0!</v>
      </c>
      <c r="AM176" s="46">
        <f t="shared" si="131"/>
        <v>0</v>
      </c>
      <c r="AN176" s="46">
        <f t="shared" si="131"/>
        <v>0</v>
      </c>
      <c r="AO176" s="46">
        <f t="shared" si="131"/>
        <v>0</v>
      </c>
      <c r="AP176" s="46">
        <f t="shared" si="116"/>
        <v>0</v>
      </c>
      <c r="AQ176" s="60" t="e">
        <f t="shared" si="132"/>
        <v>#DIV/0!</v>
      </c>
      <c r="AR176" s="60" t="e">
        <f t="shared" si="133"/>
        <v>#DIV/0!</v>
      </c>
      <c r="AT176" s="38"/>
      <c r="AU176" s="38"/>
      <c r="AV176" s="38"/>
      <c r="AW176" s="38"/>
      <c r="AY176" s="38"/>
      <c r="AZ176" s="38"/>
      <c r="BA176" s="38"/>
      <c r="BB176" s="38"/>
    </row>
    <row r="177" spans="1:58" s="44" customFormat="1" x14ac:dyDescent="0.2">
      <c r="A177" s="41" t="str">
        <f>"503.03"</f>
        <v>503.03</v>
      </c>
      <c r="B177" s="42" t="s">
        <v>971</v>
      </c>
      <c r="C177" s="43">
        <f>SUM(C178:C208)</f>
        <v>21122902</v>
      </c>
      <c r="D177" s="43">
        <f>SUM(D178:D208)</f>
        <v>23877902</v>
      </c>
      <c r="E177" s="43">
        <f>SUM(E178:E208)</f>
        <v>12539153.135099055</v>
      </c>
      <c r="F177" s="43">
        <f t="shared" ref="F177" si="162">SUM(F178:F208)</f>
        <v>12462126.501987441</v>
      </c>
      <c r="G177" s="59">
        <f t="shared" si="117"/>
        <v>0.52191044682181209</v>
      </c>
      <c r="H177" s="59">
        <f t="shared" si="118"/>
        <v>0.52513630113311693</v>
      </c>
      <c r="I177" s="43">
        <f>SUM(I178:I208)</f>
        <v>104250000</v>
      </c>
      <c r="J177" s="43">
        <f>SUM(J178:J208)</f>
        <v>104250000</v>
      </c>
      <c r="K177" s="43">
        <f t="shared" ref="K177:L177" si="163">SUM(K178:K208)</f>
        <v>70606713.258999988</v>
      </c>
      <c r="L177" s="43">
        <f t="shared" si="163"/>
        <v>70263770.858999997</v>
      </c>
      <c r="M177" s="59">
        <f t="shared" si="119"/>
        <v>0.67399300584172661</v>
      </c>
      <c r="N177" s="59">
        <f t="shared" si="120"/>
        <v>0.67728262118944837</v>
      </c>
      <c r="O177" s="43">
        <f>SUM(O178:O208)</f>
        <v>0</v>
      </c>
      <c r="P177" s="43">
        <f>SUM(P178:P208)</f>
        <v>0</v>
      </c>
      <c r="Q177" s="43">
        <f t="shared" ref="Q177:R177" si="164">SUM(Q178:Q208)</f>
        <v>0</v>
      </c>
      <c r="R177" s="43">
        <f t="shared" si="164"/>
        <v>0</v>
      </c>
      <c r="S177" s="59" t="e">
        <f t="shared" si="121"/>
        <v>#DIV/0!</v>
      </c>
      <c r="T177" s="59" t="e">
        <f t="shared" si="122"/>
        <v>#DIV/0!</v>
      </c>
      <c r="U177" s="43">
        <f t="shared" si="123"/>
        <v>125372902</v>
      </c>
      <c r="V177" s="43">
        <f t="shared" si="123"/>
        <v>128127902</v>
      </c>
      <c r="W177" s="43">
        <f t="shared" si="123"/>
        <v>83145866.394099042</v>
      </c>
      <c r="X177" s="43">
        <f t="shared" si="114"/>
        <v>82725897.36098744</v>
      </c>
      <c r="Y177" s="59">
        <f t="shared" si="124"/>
        <v>0.64565091654265472</v>
      </c>
      <c r="Z177" s="59">
        <f t="shared" si="125"/>
        <v>0.64892864939050543</v>
      </c>
      <c r="AA177" s="43">
        <f>SUM(AA178:AA208)</f>
        <v>0</v>
      </c>
      <c r="AB177" s="43">
        <f>SUM(AB178:AB208)</f>
        <v>0</v>
      </c>
      <c r="AC177" s="43">
        <f t="shared" ref="AC177:AD177" si="165">SUM(AC178:AC208)</f>
        <v>0</v>
      </c>
      <c r="AD177" s="43">
        <f t="shared" si="165"/>
        <v>0</v>
      </c>
      <c r="AE177" s="59" t="e">
        <f t="shared" si="126"/>
        <v>#DIV/0!</v>
      </c>
      <c r="AF177" s="59" t="e">
        <f t="shared" si="127"/>
        <v>#DIV/0!</v>
      </c>
      <c r="AG177" s="43">
        <f t="shared" si="128"/>
        <v>0</v>
      </c>
      <c r="AH177" s="43">
        <f t="shared" si="128"/>
        <v>0</v>
      </c>
      <c r="AI177" s="43">
        <f t="shared" si="128"/>
        <v>0</v>
      </c>
      <c r="AJ177" s="43">
        <f t="shared" si="115"/>
        <v>0</v>
      </c>
      <c r="AK177" s="59" t="e">
        <f t="shared" si="129"/>
        <v>#DIV/0!</v>
      </c>
      <c r="AL177" s="59" t="e">
        <f t="shared" si="130"/>
        <v>#DIV/0!</v>
      </c>
      <c r="AM177" s="43">
        <f t="shared" si="131"/>
        <v>125372902</v>
      </c>
      <c r="AN177" s="43">
        <f t="shared" si="131"/>
        <v>128127902</v>
      </c>
      <c r="AO177" s="43">
        <f t="shared" si="131"/>
        <v>83145866.394099042</v>
      </c>
      <c r="AP177" s="43">
        <f t="shared" si="116"/>
        <v>82725897.36098744</v>
      </c>
      <c r="AQ177" s="698">
        <f t="shared" si="132"/>
        <v>0.64565091654265472</v>
      </c>
      <c r="AR177" s="59">
        <f t="shared" si="133"/>
        <v>0.64892864939050543</v>
      </c>
      <c r="AT177" s="38"/>
      <c r="AU177" s="38"/>
      <c r="AV177" s="38"/>
      <c r="AW177" s="38"/>
      <c r="AY177" s="38"/>
      <c r="AZ177" s="38"/>
      <c r="BA177" s="38"/>
      <c r="BB177" s="38"/>
      <c r="BC177" s="36"/>
      <c r="BD177" s="36"/>
      <c r="BE177" s="36"/>
      <c r="BF177" s="36"/>
    </row>
    <row r="178" spans="1:58" x14ac:dyDescent="0.2">
      <c r="A178" s="45" t="str">
        <f>"503.03.01"</f>
        <v>503.03.01</v>
      </c>
      <c r="B178" s="47" t="s">
        <v>972</v>
      </c>
      <c r="C178" s="46">
        <f>CE_RegimeContributivo!B350</f>
        <v>0</v>
      </c>
      <c r="D178" s="46">
        <f>CE_RegimeContributivo!C350</f>
        <v>0</v>
      </c>
      <c r="E178" s="46">
        <f>CE_RegimeContributivo!E350</f>
        <v>0</v>
      </c>
      <c r="F178" s="46">
        <f>CE_RegimeContributivo!S350</f>
        <v>0</v>
      </c>
      <c r="G178" s="60" t="e">
        <f t="shared" si="117"/>
        <v>#DIV/0!</v>
      </c>
      <c r="H178" s="60" t="e">
        <f t="shared" si="118"/>
        <v>#DIV/0!</v>
      </c>
      <c r="I178" s="46">
        <f>CE_RegimeNaoContributivo!B350</f>
        <v>8083440</v>
      </c>
      <c r="J178" s="46">
        <f>CE_RegimeNaoContributivo!C350</f>
        <v>8903440</v>
      </c>
      <c r="K178" s="46">
        <f>CE_RegimeNaoContributivo!E350</f>
        <v>7097978.7999999998</v>
      </c>
      <c r="L178" s="46">
        <f>CE_RegimeNaoContributivo!S350</f>
        <v>7004199.8499999996</v>
      </c>
      <c r="M178" s="60">
        <f t="shared" si="119"/>
        <v>0.78668468030334338</v>
      </c>
      <c r="N178" s="60">
        <f t="shared" si="120"/>
        <v>0.79721756983817493</v>
      </c>
      <c r="O178" s="46">
        <f>CE_AdministraçãoINSS!B350</f>
        <v>0</v>
      </c>
      <c r="P178" s="46">
        <f>CE_AdministraçãoINSS!C350</f>
        <v>0</v>
      </c>
      <c r="Q178" s="46">
        <f>CE_AdministraçãoINSS!E350</f>
        <v>0</v>
      </c>
      <c r="R178" s="46">
        <f>CE_AdministraçãoINSS!S350</f>
        <v>0</v>
      </c>
      <c r="S178" s="60" t="e">
        <f t="shared" si="121"/>
        <v>#DIV/0!</v>
      </c>
      <c r="T178" s="60" t="e">
        <f t="shared" si="122"/>
        <v>#DIV/0!</v>
      </c>
      <c r="U178" s="46">
        <f t="shared" si="123"/>
        <v>8083440</v>
      </c>
      <c r="V178" s="46">
        <f t="shared" si="123"/>
        <v>8903440</v>
      </c>
      <c r="W178" s="46">
        <f t="shared" si="123"/>
        <v>7097978.7999999998</v>
      </c>
      <c r="X178" s="46">
        <f t="shared" si="114"/>
        <v>7004199.8499999996</v>
      </c>
      <c r="Y178" s="60">
        <f t="shared" si="124"/>
        <v>0.78668468030334338</v>
      </c>
      <c r="Z178" s="60">
        <f t="shared" si="125"/>
        <v>0.79721756983817493</v>
      </c>
      <c r="AA178" s="46">
        <f>CE_AdministraçãoFRSS!B350</f>
        <v>0</v>
      </c>
      <c r="AB178" s="46">
        <f>CE_AdministraçãoFRSS!C350</f>
        <v>0</v>
      </c>
      <c r="AC178" s="46">
        <f>CE_AdministraçãoFRSS!E350</f>
        <v>0</v>
      </c>
      <c r="AD178" s="46">
        <f>CE_AdministraçãoFRSS!S350</f>
        <v>0</v>
      </c>
      <c r="AE178" s="60" t="e">
        <f t="shared" si="126"/>
        <v>#DIV/0!</v>
      </c>
      <c r="AF178" s="60" t="e">
        <f t="shared" si="127"/>
        <v>#DIV/0!</v>
      </c>
      <c r="AG178" s="46">
        <f t="shared" si="128"/>
        <v>0</v>
      </c>
      <c r="AH178" s="46">
        <f t="shared" si="128"/>
        <v>0</v>
      </c>
      <c r="AI178" s="46">
        <f t="shared" si="128"/>
        <v>0</v>
      </c>
      <c r="AJ178" s="46">
        <f t="shared" si="115"/>
        <v>0</v>
      </c>
      <c r="AK178" s="60" t="e">
        <f t="shared" si="129"/>
        <v>#DIV/0!</v>
      </c>
      <c r="AL178" s="60" t="e">
        <f t="shared" si="130"/>
        <v>#DIV/0!</v>
      </c>
      <c r="AM178" s="46">
        <f t="shared" si="131"/>
        <v>8083440</v>
      </c>
      <c r="AN178" s="46">
        <f t="shared" si="131"/>
        <v>8903440</v>
      </c>
      <c r="AO178" s="46">
        <f t="shared" si="131"/>
        <v>7097978.7999999998</v>
      </c>
      <c r="AP178" s="46">
        <f t="shared" si="116"/>
        <v>7004199.8499999996</v>
      </c>
      <c r="AQ178" s="60">
        <f t="shared" si="132"/>
        <v>0.78668468030334338</v>
      </c>
      <c r="AR178" s="60">
        <f t="shared" si="133"/>
        <v>0.79721756983817493</v>
      </c>
      <c r="AT178" s="38"/>
      <c r="AU178" s="38"/>
      <c r="AV178" s="38"/>
      <c r="AW178" s="38"/>
      <c r="AY178" s="38"/>
      <c r="AZ178" s="38"/>
      <c r="BA178" s="38"/>
      <c r="BB178" s="38"/>
    </row>
    <row r="179" spans="1:58" x14ac:dyDescent="0.2">
      <c r="A179" s="45" t="str">
        <f>"503.03.02"</f>
        <v>503.03.02</v>
      </c>
      <c r="B179" s="47" t="s">
        <v>973</v>
      </c>
      <c r="C179" s="46">
        <f>CE_RegimeContributivo!B351</f>
        <v>0</v>
      </c>
      <c r="D179" s="46">
        <f>CE_RegimeContributivo!C351</f>
        <v>0</v>
      </c>
      <c r="E179" s="46">
        <f>CE_RegimeContributivo!E351</f>
        <v>0</v>
      </c>
      <c r="F179" s="46">
        <f>CE_RegimeContributivo!S351</f>
        <v>0</v>
      </c>
      <c r="G179" s="60" t="e">
        <f t="shared" si="117"/>
        <v>#DIV/0!</v>
      </c>
      <c r="H179" s="60" t="e">
        <f t="shared" si="118"/>
        <v>#DIV/0!</v>
      </c>
      <c r="I179" s="46">
        <f>CE_RegimeNaoContributivo!B351</f>
        <v>95646560</v>
      </c>
      <c r="J179" s="46">
        <f>CE_RegimeNaoContributivo!C351</f>
        <v>94626560</v>
      </c>
      <c r="K179" s="46">
        <f>CE_RegimeNaoContributivo!E351</f>
        <v>63104338.700000003</v>
      </c>
      <c r="L179" s="46">
        <f>CE_RegimeNaoContributivo!S351</f>
        <v>62855933.560000002</v>
      </c>
      <c r="M179" s="60">
        <f t="shared" si="119"/>
        <v>0.6642525476990816</v>
      </c>
      <c r="N179" s="60">
        <f t="shared" si="120"/>
        <v>0.66687765781615649</v>
      </c>
      <c r="O179" s="46">
        <f>CE_AdministraçãoINSS!B351</f>
        <v>0</v>
      </c>
      <c r="P179" s="46">
        <f>CE_AdministraçãoINSS!C351</f>
        <v>0</v>
      </c>
      <c r="Q179" s="46">
        <f>CE_AdministraçãoINSS!E351</f>
        <v>0</v>
      </c>
      <c r="R179" s="46">
        <f>CE_AdministraçãoINSS!S351</f>
        <v>0</v>
      </c>
      <c r="S179" s="60" t="e">
        <f t="shared" si="121"/>
        <v>#DIV/0!</v>
      </c>
      <c r="T179" s="60" t="e">
        <f t="shared" si="122"/>
        <v>#DIV/0!</v>
      </c>
      <c r="U179" s="46">
        <f t="shared" si="123"/>
        <v>95646560</v>
      </c>
      <c r="V179" s="46">
        <f t="shared" si="123"/>
        <v>94626560</v>
      </c>
      <c r="W179" s="46">
        <f t="shared" si="123"/>
        <v>63104338.700000003</v>
      </c>
      <c r="X179" s="46">
        <f t="shared" si="114"/>
        <v>62855933.560000002</v>
      </c>
      <c r="Y179" s="60">
        <f t="shared" si="124"/>
        <v>0.6642525476990816</v>
      </c>
      <c r="Z179" s="60">
        <f t="shared" si="125"/>
        <v>0.66687765781615649</v>
      </c>
      <c r="AA179" s="46">
        <f>CE_AdministraçãoFRSS!B351</f>
        <v>0</v>
      </c>
      <c r="AB179" s="46">
        <f>CE_AdministraçãoFRSS!C351</f>
        <v>0</v>
      </c>
      <c r="AC179" s="46">
        <f>CE_AdministraçãoFRSS!E351</f>
        <v>0</v>
      </c>
      <c r="AD179" s="46">
        <f>CE_AdministraçãoFRSS!S351</f>
        <v>0</v>
      </c>
      <c r="AE179" s="60" t="e">
        <f t="shared" si="126"/>
        <v>#DIV/0!</v>
      </c>
      <c r="AF179" s="60" t="e">
        <f t="shared" si="127"/>
        <v>#DIV/0!</v>
      </c>
      <c r="AG179" s="46">
        <f t="shared" si="128"/>
        <v>0</v>
      </c>
      <c r="AH179" s="46">
        <f t="shared" si="128"/>
        <v>0</v>
      </c>
      <c r="AI179" s="46">
        <f t="shared" si="128"/>
        <v>0</v>
      </c>
      <c r="AJ179" s="46">
        <f t="shared" si="115"/>
        <v>0</v>
      </c>
      <c r="AK179" s="60" t="e">
        <f t="shared" si="129"/>
        <v>#DIV/0!</v>
      </c>
      <c r="AL179" s="60" t="e">
        <f t="shared" si="130"/>
        <v>#DIV/0!</v>
      </c>
      <c r="AM179" s="46">
        <f t="shared" si="131"/>
        <v>95646560</v>
      </c>
      <c r="AN179" s="46">
        <f t="shared" si="131"/>
        <v>94626560</v>
      </c>
      <c r="AO179" s="46">
        <f t="shared" si="131"/>
        <v>63104338.700000003</v>
      </c>
      <c r="AP179" s="46">
        <f t="shared" si="116"/>
        <v>62855933.560000002</v>
      </c>
      <c r="AQ179" s="60">
        <f t="shared" si="132"/>
        <v>0.6642525476990816</v>
      </c>
      <c r="AR179" s="60">
        <f t="shared" si="133"/>
        <v>0.66687765781615649</v>
      </c>
      <c r="AT179" s="38"/>
      <c r="AU179" s="38"/>
      <c r="AV179" s="38"/>
      <c r="AW179" s="38"/>
      <c r="AY179" s="38"/>
      <c r="AZ179" s="38"/>
      <c r="BA179" s="38"/>
      <c r="BB179" s="38"/>
    </row>
    <row r="180" spans="1:58" x14ac:dyDescent="0.2">
      <c r="A180" s="45" t="str">
        <f>"503.03.03"</f>
        <v>503.03.03</v>
      </c>
      <c r="B180" s="47" t="s">
        <v>974</v>
      </c>
      <c r="C180" s="46">
        <f>CE_RegimeContributivo!B352</f>
        <v>0</v>
      </c>
      <c r="D180" s="46">
        <f>CE_RegimeContributivo!C352</f>
        <v>0</v>
      </c>
      <c r="E180" s="46">
        <f>CE_RegimeContributivo!E352</f>
        <v>0</v>
      </c>
      <c r="F180" s="46">
        <f>CE_RegimeContributivo!S352</f>
        <v>0</v>
      </c>
      <c r="G180" s="60" t="e">
        <f t="shared" si="117"/>
        <v>#DIV/0!</v>
      </c>
      <c r="H180" s="60" t="e">
        <f t="shared" si="118"/>
        <v>#DIV/0!</v>
      </c>
      <c r="I180" s="46">
        <f>CE_RegimeNaoContributivo!B352</f>
        <v>156000</v>
      </c>
      <c r="J180" s="46">
        <f>CE_RegimeNaoContributivo!C352</f>
        <v>18000</v>
      </c>
      <c r="K180" s="46">
        <f>CE_RegimeNaoContributivo!E352</f>
        <v>9147.6149999999998</v>
      </c>
      <c r="L180" s="46">
        <f>CE_RegimeNaoContributivo!S352</f>
        <v>9147.6149999999998</v>
      </c>
      <c r="M180" s="60">
        <f t="shared" si="119"/>
        <v>0.50820083333333332</v>
      </c>
      <c r="N180" s="60">
        <f t="shared" si="120"/>
        <v>0.50820083333333332</v>
      </c>
      <c r="O180" s="46">
        <f>CE_AdministraçãoINSS!B352</f>
        <v>0</v>
      </c>
      <c r="P180" s="46">
        <f>CE_AdministraçãoINSS!C352</f>
        <v>0</v>
      </c>
      <c r="Q180" s="46">
        <f>CE_AdministraçãoINSS!E352</f>
        <v>0</v>
      </c>
      <c r="R180" s="46">
        <f>CE_AdministraçãoINSS!S352</f>
        <v>0</v>
      </c>
      <c r="S180" s="60" t="e">
        <f t="shared" si="121"/>
        <v>#DIV/0!</v>
      </c>
      <c r="T180" s="60" t="e">
        <f t="shared" si="122"/>
        <v>#DIV/0!</v>
      </c>
      <c r="U180" s="46">
        <f t="shared" si="123"/>
        <v>156000</v>
      </c>
      <c r="V180" s="46">
        <f t="shared" si="123"/>
        <v>18000</v>
      </c>
      <c r="W180" s="46">
        <f t="shared" si="123"/>
        <v>9147.6149999999998</v>
      </c>
      <c r="X180" s="46">
        <f t="shared" si="114"/>
        <v>9147.6149999999998</v>
      </c>
      <c r="Y180" s="60">
        <f t="shared" si="124"/>
        <v>0.50820083333333332</v>
      </c>
      <c r="Z180" s="60">
        <f t="shared" si="125"/>
        <v>0.50820083333333332</v>
      </c>
      <c r="AA180" s="46">
        <f>CE_AdministraçãoFRSS!B352</f>
        <v>0</v>
      </c>
      <c r="AB180" s="46">
        <f>CE_AdministraçãoFRSS!C352</f>
        <v>0</v>
      </c>
      <c r="AC180" s="46">
        <f>CE_AdministraçãoFRSS!E352</f>
        <v>0</v>
      </c>
      <c r="AD180" s="46">
        <f>CE_AdministraçãoFRSS!S352</f>
        <v>0</v>
      </c>
      <c r="AE180" s="60" t="e">
        <f t="shared" si="126"/>
        <v>#DIV/0!</v>
      </c>
      <c r="AF180" s="60" t="e">
        <f t="shared" si="127"/>
        <v>#DIV/0!</v>
      </c>
      <c r="AG180" s="46">
        <f t="shared" si="128"/>
        <v>0</v>
      </c>
      <c r="AH180" s="46">
        <f t="shared" si="128"/>
        <v>0</v>
      </c>
      <c r="AI180" s="46">
        <f t="shared" si="128"/>
        <v>0</v>
      </c>
      <c r="AJ180" s="46">
        <f t="shared" si="115"/>
        <v>0</v>
      </c>
      <c r="AK180" s="60" t="e">
        <f t="shared" si="129"/>
        <v>#DIV/0!</v>
      </c>
      <c r="AL180" s="60" t="e">
        <f t="shared" si="130"/>
        <v>#DIV/0!</v>
      </c>
      <c r="AM180" s="46">
        <f t="shared" si="131"/>
        <v>156000</v>
      </c>
      <c r="AN180" s="46">
        <f t="shared" si="131"/>
        <v>18000</v>
      </c>
      <c r="AO180" s="46">
        <f t="shared" si="131"/>
        <v>9147.6149999999998</v>
      </c>
      <c r="AP180" s="46">
        <f t="shared" si="116"/>
        <v>9147.6149999999998</v>
      </c>
      <c r="AQ180" s="60">
        <f t="shared" si="132"/>
        <v>0.50820083333333332</v>
      </c>
      <c r="AR180" s="60">
        <f t="shared" si="133"/>
        <v>0.50820083333333332</v>
      </c>
      <c r="AT180" s="38"/>
      <c r="AU180" s="38"/>
      <c r="AV180" s="38"/>
      <c r="AW180" s="38"/>
      <c r="AY180" s="38"/>
      <c r="AZ180" s="38"/>
      <c r="BA180" s="38"/>
      <c r="BB180" s="38"/>
    </row>
    <row r="181" spans="1:58" x14ac:dyDescent="0.2">
      <c r="A181" s="45" t="str">
        <f>"503.03.04"</f>
        <v>503.03.04</v>
      </c>
      <c r="B181" s="47" t="s">
        <v>975</v>
      </c>
      <c r="C181" s="46">
        <f>CE_RegimeContributivo!B353</f>
        <v>0</v>
      </c>
      <c r="D181" s="46">
        <f>CE_RegimeContributivo!C353</f>
        <v>0</v>
      </c>
      <c r="E181" s="46">
        <f>CE_RegimeContributivo!E353</f>
        <v>0</v>
      </c>
      <c r="F181" s="46">
        <f>CE_RegimeContributivo!S353</f>
        <v>0</v>
      </c>
      <c r="G181" s="60" t="e">
        <f t="shared" si="117"/>
        <v>#DIV/0!</v>
      </c>
      <c r="H181" s="60" t="e">
        <f t="shared" si="118"/>
        <v>#DIV/0!</v>
      </c>
      <c r="I181" s="46">
        <f>CE_RegimeNaoContributivo!B353</f>
        <v>364000</v>
      </c>
      <c r="J181" s="46">
        <f>CE_RegimeNaoContributivo!C353</f>
        <v>702000</v>
      </c>
      <c r="K181" s="46">
        <f>CE_RegimeNaoContributivo!E353</f>
        <v>395248.14400000003</v>
      </c>
      <c r="L181" s="46">
        <f>CE_RegimeNaoContributivo!S353</f>
        <v>394489.83400000003</v>
      </c>
      <c r="M181" s="60">
        <f t="shared" si="119"/>
        <v>0.56195133048433055</v>
      </c>
      <c r="N181" s="60">
        <f t="shared" si="120"/>
        <v>0.56303154415954415</v>
      </c>
      <c r="O181" s="46">
        <f>CE_AdministraçãoINSS!B353</f>
        <v>0</v>
      </c>
      <c r="P181" s="46">
        <f>CE_AdministraçãoINSS!C353</f>
        <v>0</v>
      </c>
      <c r="Q181" s="46">
        <f>CE_AdministraçãoINSS!E353</f>
        <v>0</v>
      </c>
      <c r="R181" s="46">
        <f>CE_AdministraçãoINSS!S353</f>
        <v>0</v>
      </c>
      <c r="S181" s="60" t="e">
        <f t="shared" si="121"/>
        <v>#DIV/0!</v>
      </c>
      <c r="T181" s="60" t="e">
        <f t="shared" si="122"/>
        <v>#DIV/0!</v>
      </c>
      <c r="U181" s="46">
        <f t="shared" si="123"/>
        <v>364000</v>
      </c>
      <c r="V181" s="46">
        <f t="shared" si="123"/>
        <v>702000</v>
      </c>
      <c r="W181" s="46">
        <f t="shared" si="123"/>
        <v>395248.14400000003</v>
      </c>
      <c r="X181" s="46">
        <f t="shared" si="114"/>
        <v>394489.83400000003</v>
      </c>
      <c r="Y181" s="60">
        <f t="shared" si="124"/>
        <v>0.56195133048433055</v>
      </c>
      <c r="Z181" s="60">
        <f t="shared" si="125"/>
        <v>0.56303154415954415</v>
      </c>
      <c r="AA181" s="46">
        <f>CE_AdministraçãoFRSS!B353</f>
        <v>0</v>
      </c>
      <c r="AB181" s="46">
        <f>CE_AdministraçãoFRSS!C353</f>
        <v>0</v>
      </c>
      <c r="AC181" s="46">
        <f>CE_AdministraçãoFRSS!E353</f>
        <v>0</v>
      </c>
      <c r="AD181" s="46">
        <f>CE_AdministraçãoFRSS!S353</f>
        <v>0</v>
      </c>
      <c r="AE181" s="60" t="e">
        <f t="shared" si="126"/>
        <v>#DIV/0!</v>
      </c>
      <c r="AF181" s="60" t="e">
        <f t="shared" si="127"/>
        <v>#DIV/0!</v>
      </c>
      <c r="AG181" s="46">
        <f t="shared" si="128"/>
        <v>0</v>
      </c>
      <c r="AH181" s="46">
        <f t="shared" si="128"/>
        <v>0</v>
      </c>
      <c r="AI181" s="46">
        <f t="shared" si="128"/>
        <v>0</v>
      </c>
      <c r="AJ181" s="46">
        <f t="shared" si="115"/>
        <v>0</v>
      </c>
      <c r="AK181" s="60" t="e">
        <f t="shared" si="129"/>
        <v>#DIV/0!</v>
      </c>
      <c r="AL181" s="60" t="e">
        <f t="shared" si="130"/>
        <v>#DIV/0!</v>
      </c>
      <c r="AM181" s="46">
        <f t="shared" si="131"/>
        <v>364000</v>
      </c>
      <c r="AN181" s="46">
        <f t="shared" si="131"/>
        <v>702000</v>
      </c>
      <c r="AO181" s="46">
        <f t="shared" si="131"/>
        <v>395248.14400000003</v>
      </c>
      <c r="AP181" s="46">
        <f t="shared" si="116"/>
        <v>394489.83400000003</v>
      </c>
      <c r="AQ181" s="60">
        <f t="shared" si="132"/>
        <v>0.56195133048433055</v>
      </c>
      <c r="AR181" s="60">
        <f t="shared" si="133"/>
        <v>0.56303154415954415</v>
      </c>
      <c r="AT181" s="38"/>
      <c r="AU181" s="38"/>
      <c r="AV181" s="38"/>
      <c r="AW181" s="38"/>
      <c r="AY181" s="38"/>
      <c r="AZ181" s="38"/>
      <c r="BA181" s="38"/>
      <c r="BB181" s="38"/>
    </row>
    <row r="182" spans="1:58" x14ac:dyDescent="0.2">
      <c r="A182" s="45" t="str">
        <f>"503.03.05"</f>
        <v>503.03.05</v>
      </c>
      <c r="B182" s="47" t="s">
        <v>976</v>
      </c>
      <c r="C182" s="46">
        <f>CE_RegimeContributivo!B354</f>
        <v>0</v>
      </c>
      <c r="D182" s="46">
        <f>CE_RegimeContributivo!C354</f>
        <v>0</v>
      </c>
      <c r="E182" s="46">
        <f>CE_RegimeContributivo!E354</f>
        <v>0</v>
      </c>
      <c r="F182" s="46">
        <f>CE_RegimeContributivo!S354</f>
        <v>0</v>
      </c>
      <c r="G182" s="60" t="e">
        <f t="shared" si="117"/>
        <v>#DIV/0!</v>
      </c>
      <c r="H182" s="60" t="e">
        <f t="shared" si="118"/>
        <v>#DIV/0!</v>
      </c>
      <c r="I182" s="46">
        <f>CE_RegimeNaoContributivo!B354</f>
        <v>0</v>
      </c>
      <c r="J182" s="46">
        <f>CE_RegimeNaoContributivo!C354</f>
        <v>0</v>
      </c>
      <c r="K182" s="46">
        <f>CE_RegimeNaoContributivo!E354</f>
        <v>0</v>
      </c>
      <c r="L182" s="46">
        <f>CE_RegimeNaoContributivo!S354</f>
        <v>0</v>
      </c>
      <c r="M182" s="60" t="e">
        <f t="shared" si="119"/>
        <v>#DIV/0!</v>
      </c>
      <c r="N182" s="60" t="e">
        <f t="shared" si="120"/>
        <v>#DIV/0!</v>
      </c>
      <c r="O182" s="46">
        <f>CE_AdministraçãoINSS!B354</f>
        <v>0</v>
      </c>
      <c r="P182" s="46">
        <f>CE_AdministraçãoINSS!C354</f>
        <v>0</v>
      </c>
      <c r="Q182" s="46">
        <f>CE_AdministraçãoINSS!E354</f>
        <v>0</v>
      </c>
      <c r="R182" s="46">
        <f>CE_AdministraçãoINSS!S354</f>
        <v>0</v>
      </c>
      <c r="S182" s="60" t="e">
        <f t="shared" si="121"/>
        <v>#DIV/0!</v>
      </c>
      <c r="T182" s="60" t="e">
        <f t="shared" si="122"/>
        <v>#DIV/0!</v>
      </c>
      <c r="U182" s="46">
        <f t="shared" si="123"/>
        <v>0</v>
      </c>
      <c r="V182" s="46">
        <f t="shared" si="123"/>
        <v>0</v>
      </c>
      <c r="W182" s="46">
        <f t="shared" si="123"/>
        <v>0</v>
      </c>
      <c r="X182" s="46">
        <f t="shared" si="114"/>
        <v>0</v>
      </c>
      <c r="Y182" s="60" t="e">
        <f t="shared" si="124"/>
        <v>#DIV/0!</v>
      </c>
      <c r="Z182" s="60" t="e">
        <f t="shared" si="125"/>
        <v>#DIV/0!</v>
      </c>
      <c r="AA182" s="46">
        <f>CE_AdministraçãoFRSS!B354</f>
        <v>0</v>
      </c>
      <c r="AB182" s="46">
        <f>CE_AdministraçãoFRSS!C354</f>
        <v>0</v>
      </c>
      <c r="AC182" s="46">
        <f>CE_AdministraçãoFRSS!E354</f>
        <v>0</v>
      </c>
      <c r="AD182" s="46">
        <f>CE_AdministraçãoFRSS!S354</f>
        <v>0</v>
      </c>
      <c r="AE182" s="60" t="e">
        <f t="shared" si="126"/>
        <v>#DIV/0!</v>
      </c>
      <c r="AF182" s="60" t="e">
        <f t="shared" si="127"/>
        <v>#DIV/0!</v>
      </c>
      <c r="AG182" s="46">
        <f t="shared" si="128"/>
        <v>0</v>
      </c>
      <c r="AH182" s="46">
        <f t="shared" si="128"/>
        <v>0</v>
      </c>
      <c r="AI182" s="46">
        <f t="shared" si="128"/>
        <v>0</v>
      </c>
      <c r="AJ182" s="46">
        <f t="shared" si="115"/>
        <v>0</v>
      </c>
      <c r="AK182" s="60" t="e">
        <f t="shared" si="129"/>
        <v>#DIV/0!</v>
      </c>
      <c r="AL182" s="60" t="e">
        <f t="shared" si="130"/>
        <v>#DIV/0!</v>
      </c>
      <c r="AM182" s="46">
        <f t="shared" si="131"/>
        <v>0</v>
      </c>
      <c r="AN182" s="46">
        <f t="shared" si="131"/>
        <v>0</v>
      </c>
      <c r="AO182" s="46">
        <f t="shared" si="131"/>
        <v>0</v>
      </c>
      <c r="AP182" s="46">
        <f t="shared" si="116"/>
        <v>0</v>
      </c>
      <c r="AQ182" s="60" t="e">
        <f t="shared" si="132"/>
        <v>#DIV/0!</v>
      </c>
      <c r="AR182" s="60" t="e">
        <f t="shared" si="133"/>
        <v>#DIV/0!</v>
      </c>
      <c r="AT182" s="38"/>
      <c r="AU182" s="38"/>
      <c r="AV182" s="38"/>
      <c r="AW182" s="38"/>
      <c r="AY182" s="38"/>
      <c r="AZ182" s="38"/>
      <c r="BA182" s="38"/>
      <c r="BB182" s="38"/>
    </row>
    <row r="183" spans="1:58" ht="30" x14ac:dyDescent="0.2">
      <c r="A183" s="45" t="str">
        <f>"503.03.06"</f>
        <v>503.03.06</v>
      </c>
      <c r="B183" s="47" t="s">
        <v>977</v>
      </c>
      <c r="C183" s="46">
        <f>CE_RegimeContributivo!B355</f>
        <v>0</v>
      </c>
      <c r="D183" s="46">
        <f>CE_RegimeContributivo!C355</f>
        <v>0</v>
      </c>
      <c r="E183" s="46">
        <f>CE_RegimeContributivo!E355</f>
        <v>0</v>
      </c>
      <c r="F183" s="46">
        <f>CE_RegimeContributivo!S355</f>
        <v>0</v>
      </c>
      <c r="G183" s="60" t="e">
        <f t="shared" si="117"/>
        <v>#DIV/0!</v>
      </c>
      <c r="H183" s="60" t="e">
        <f t="shared" si="118"/>
        <v>#DIV/0!</v>
      </c>
      <c r="I183" s="46">
        <f>CE_RegimeNaoContributivo!B355</f>
        <v>0</v>
      </c>
      <c r="J183" s="46">
        <f>CE_RegimeNaoContributivo!C355</f>
        <v>0</v>
      </c>
      <c r="K183" s="46">
        <f>CE_RegimeNaoContributivo!E355</f>
        <v>0</v>
      </c>
      <c r="L183" s="46">
        <f>CE_RegimeNaoContributivo!S355</f>
        <v>0</v>
      </c>
      <c r="M183" s="60" t="e">
        <f t="shared" si="119"/>
        <v>#DIV/0!</v>
      </c>
      <c r="N183" s="60" t="e">
        <f t="shared" si="120"/>
        <v>#DIV/0!</v>
      </c>
      <c r="O183" s="46">
        <f>CE_AdministraçãoINSS!B355</f>
        <v>0</v>
      </c>
      <c r="P183" s="46">
        <f>CE_AdministraçãoINSS!C355</f>
        <v>0</v>
      </c>
      <c r="Q183" s="46">
        <f>CE_AdministraçãoINSS!E355</f>
        <v>0</v>
      </c>
      <c r="R183" s="46">
        <f>CE_AdministraçãoINSS!S355</f>
        <v>0</v>
      </c>
      <c r="S183" s="60" t="e">
        <f t="shared" si="121"/>
        <v>#DIV/0!</v>
      </c>
      <c r="T183" s="60" t="e">
        <f t="shared" si="122"/>
        <v>#DIV/0!</v>
      </c>
      <c r="U183" s="46">
        <f t="shared" si="123"/>
        <v>0</v>
      </c>
      <c r="V183" s="46">
        <f t="shared" si="123"/>
        <v>0</v>
      </c>
      <c r="W183" s="46">
        <f t="shared" si="123"/>
        <v>0</v>
      </c>
      <c r="X183" s="46">
        <f t="shared" si="114"/>
        <v>0</v>
      </c>
      <c r="Y183" s="60" t="e">
        <f t="shared" si="124"/>
        <v>#DIV/0!</v>
      </c>
      <c r="Z183" s="60" t="e">
        <f t="shared" si="125"/>
        <v>#DIV/0!</v>
      </c>
      <c r="AA183" s="46">
        <f>CE_AdministraçãoFRSS!B355</f>
        <v>0</v>
      </c>
      <c r="AB183" s="46">
        <f>CE_AdministraçãoFRSS!C355</f>
        <v>0</v>
      </c>
      <c r="AC183" s="46">
        <f>CE_AdministraçãoFRSS!E355</f>
        <v>0</v>
      </c>
      <c r="AD183" s="46">
        <f>CE_AdministraçãoFRSS!S355</f>
        <v>0</v>
      </c>
      <c r="AE183" s="60" t="e">
        <f t="shared" si="126"/>
        <v>#DIV/0!</v>
      </c>
      <c r="AF183" s="60" t="e">
        <f t="shared" si="127"/>
        <v>#DIV/0!</v>
      </c>
      <c r="AG183" s="46">
        <f t="shared" si="128"/>
        <v>0</v>
      </c>
      <c r="AH183" s="46">
        <f t="shared" si="128"/>
        <v>0</v>
      </c>
      <c r="AI183" s="46">
        <f t="shared" si="128"/>
        <v>0</v>
      </c>
      <c r="AJ183" s="46">
        <f t="shared" si="115"/>
        <v>0</v>
      </c>
      <c r="AK183" s="60" t="e">
        <f t="shared" si="129"/>
        <v>#DIV/0!</v>
      </c>
      <c r="AL183" s="60" t="e">
        <f t="shared" si="130"/>
        <v>#DIV/0!</v>
      </c>
      <c r="AM183" s="46">
        <f t="shared" si="131"/>
        <v>0</v>
      </c>
      <c r="AN183" s="46">
        <f t="shared" si="131"/>
        <v>0</v>
      </c>
      <c r="AO183" s="46">
        <f t="shared" si="131"/>
        <v>0</v>
      </c>
      <c r="AP183" s="46">
        <f t="shared" si="116"/>
        <v>0</v>
      </c>
      <c r="AQ183" s="60" t="e">
        <f t="shared" si="132"/>
        <v>#DIV/0!</v>
      </c>
      <c r="AR183" s="60" t="e">
        <f t="shared" si="133"/>
        <v>#DIV/0!</v>
      </c>
      <c r="AT183" s="38"/>
      <c r="AU183" s="38"/>
      <c r="AV183" s="38"/>
      <c r="AW183" s="38"/>
      <c r="AY183" s="38"/>
      <c r="AZ183" s="38"/>
      <c r="BA183" s="38"/>
      <c r="BB183" s="38"/>
    </row>
    <row r="184" spans="1:58" x14ac:dyDescent="0.2">
      <c r="A184" s="45" t="str">
        <f>"503.03.07"</f>
        <v>503.03.07</v>
      </c>
      <c r="B184" s="47" t="s">
        <v>978</v>
      </c>
      <c r="C184" s="46">
        <f>CE_RegimeContributivo!B356</f>
        <v>188400</v>
      </c>
      <c r="D184" s="46">
        <f>CE_RegimeContributivo!C356</f>
        <v>188400</v>
      </c>
      <c r="E184" s="46">
        <f>CE_RegimeContributivo!E356</f>
        <v>64833.939999999995</v>
      </c>
      <c r="F184" s="46">
        <f>CE_RegimeContributivo!S356</f>
        <v>64833.94</v>
      </c>
      <c r="G184" s="60">
        <f t="shared" si="117"/>
        <v>0.34412919320594482</v>
      </c>
      <c r="H184" s="60">
        <f t="shared" si="118"/>
        <v>0.34412919320594476</v>
      </c>
      <c r="I184" s="46">
        <f>CE_RegimeNaoContributivo!B356</f>
        <v>0</v>
      </c>
      <c r="J184" s="46">
        <f>CE_RegimeNaoContributivo!C356</f>
        <v>0</v>
      </c>
      <c r="K184" s="46">
        <f>CE_RegimeNaoContributivo!E356</f>
        <v>0</v>
      </c>
      <c r="L184" s="46">
        <f>CE_RegimeNaoContributivo!S356</f>
        <v>0</v>
      </c>
      <c r="M184" s="60" t="e">
        <f t="shared" si="119"/>
        <v>#DIV/0!</v>
      </c>
      <c r="N184" s="60" t="e">
        <f t="shared" si="120"/>
        <v>#DIV/0!</v>
      </c>
      <c r="O184" s="46">
        <f>CE_AdministraçãoINSS!B356</f>
        <v>0</v>
      </c>
      <c r="P184" s="46">
        <f>CE_AdministraçãoINSS!C356</f>
        <v>0</v>
      </c>
      <c r="Q184" s="46">
        <f>CE_AdministraçãoINSS!E356</f>
        <v>0</v>
      </c>
      <c r="R184" s="46">
        <f>CE_AdministraçãoINSS!S356</f>
        <v>0</v>
      </c>
      <c r="S184" s="60" t="e">
        <f t="shared" si="121"/>
        <v>#DIV/0!</v>
      </c>
      <c r="T184" s="60" t="e">
        <f t="shared" si="122"/>
        <v>#DIV/0!</v>
      </c>
      <c r="U184" s="46">
        <f t="shared" si="123"/>
        <v>188400</v>
      </c>
      <c r="V184" s="46">
        <f t="shared" si="123"/>
        <v>188400</v>
      </c>
      <c r="W184" s="46">
        <f t="shared" si="123"/>
        <v>64833.939999999995</v>
      </c>
      <c r="X184" s="46">
        <f t="shared" si="114"/>
        <v>64833.94</v>
      </c>
      <c r="Y184" s="60">
        <f t="shared" si="124"/>
        <v>0.34412919320594482</v>
      </c>
      <c r="Z184" s="60">
        <f t="shared" si="125"/>
        <v>0.34412919320594476</v>
      </c>
      <c r="AA184" s="46">
        <f>CE_AdministraçãoFRSS!B356</f>
        <v>0</v>
      </c>
      <c r="AB184" s="46">
        <f>CE_AdministraçãoFRSS!C356</f>
        <v>0</v>
      </c>
      <c r="AC184" s="46">
        <f>CE_AdministraçãoFRSS!E356</f>
        <v>0</v>
      </c>
      <c r="AD184" s="46">
        <f>CE_AdministraçãoFRSS!S356</f>
        <v>0</v>
      </c>
      <c r="AE184" s="60" t="e">
        <f t="shared" si="126"/>
        <v>#DIV/0!</v>
      </c>
      <c r="AF184" s="60" t="e">
        <f t="shared" si="127"/>
        <v>#DIV/0!</v>
      </c>
      <c r="AG184" s="46">
        <f t="shared" si="128"/>
        <v>0</v>
      </c>
      <c r="AH184" s="46">
        <f t="shared" si="128"/>
        <v>0</v>
      </c>
      <c r="AI184" s="46">
        <f t="shared" si="128"/>
        <v>0</v>
      </c>
      <c r="AJ184" s="46">
        <f t="shared" si="115"/>
        <v>0</v>
      </c>
      <c r="AK184" s="60" t="e">
        <f t="shared" si="129"/>
        <v>#DIV/0!</v>
      </c>
      <c r="AL184" s="60" t="e">
        <f t="shared" si="130"/>
        <v>#DIV/0!</v>
      </c>
      <c r="AM184" s="46">
        <f t="shared" si="131"/>
        <v>188400</v>
      </c>
      <c r="AN184" s="46">
        <f t="shared" si="131"/>
        <v>188400</v>
      </c>
      <c r="AO184" s="46">
        <f t="shared" si="131"/>
        <v>64833.939999999995</v>
      </c>
      <c r="AP184" s="46">
        <f t="shared" si="116"/>
        <v>64833.94</v>
      </c>
      <c r="AQ184" s="60">
        <f t="shared" si="132"/>
        <v>0.34412919320594482</v>
      </c>
      <c r="AR184" s="60">
        <f t="shared" si="133"/>
        <v>0.34412919320594476</v>
      </c>
      <c r="AT184" s="38"/>
      <c r="AU184" s="38"/>
      <c r="AV184" s="38"/>
      <c r="AW184" s="38"/>
      <c r="AY184" s="38"/>
      <c r="AZ184" s="38"/>
      <c r="BA184" s="38"/>
      <c r="BB184" s="38"/>
    </row>
    <row r="185" spans="1:58" x14ac:dyDescent="0.2">
      <c r="A185" s="45" t="str">
        <f>"503.03.08"</f>
        <v>503.03.08</v>
      </c>
      <c r="B185" s="47" t="s">
        <v>979</v>
      </c>
      <c r="C185" s="46">
        <f>CE_RegimeContributivo!B357</f>
        <v>11400000</v>
      </c>
      <c r="D185" s="46">
        <f>CE_RegimeContributivo!C357</f>
        <v>11400000</v>
      </c>
      <c r="E185" s="46">
        <f>CE_RegimeContributivo!E357</f>
        <v>5333345.2990000006</v>
      </c>
      <c r="F185" s="46">
        <f>CE_RegimeContributivo!S357</f>
        <v>5321898.9290000005</v>
      </c>
      <c r="G185" s="60">
        <f t="shared" si="117"/>
        <v>0.46683323938596494</v>
      </c>
      <c r="H185" s="60">
        <f t="shared" si="118"/>
        <v>0.46783730692982461</v>
      </c>
      <c r="I185" s="46">
        <f>CE_RegimeNaoContributivo!B357</f>
        <v>0</v>
      </c>
      <c r="J185" s="46">
        <f>CE_RegimeNaoContributivo!C357</f>
        <v>0</v>
      </c>
      <c r="K185" s="46">
        <f>CE_RegimeNaoContributivo!E357</f>
        <v>0</v>
      </c>
      <c r="L185" s="46">
        <f>CE_RegimeNaoContributivo!S357</f>
        <v>0</v>
      </c>
      <c r="M185" s="60" t="e">
        <f t="shared" si="119"/>
        <v>#DIV/0!</v>
      </c>
      <c r="N185" s="60" t="e">
        <f t="shared" si="120"/>
        <v>#DIV/0!</v>
      </c>
      <c r="O185" s="46">
        <f>CE_AdministraçãoINSS!B357</f>
        <v>0</v>
      </c>
      <c r="P185" s="46">
        <f>CE_AdministraçãoINSS!C357</f>
        <v>0</v>
      </c>
      <c r="Q185" s="46">
        <f>CE_AdministraçãoINSS!E357</f>
        <v>0</v>
      </c>
      <c r="R185" s="46">
        <f>CE_AdministraçãoINSS!S357</f>
        <v>0</v>
      </c>
      <c r="S185" s="60" t="e">
        <f t="shared" si="121"/>
        <v>#DIV/0!</v>
      </c>
      <c r="T185" s="60" t="e">
        <f t="shared" si="122"/>
        <v>#DIV/0!</v>
      </c>
      <c r="U185" s="46">
        <f t="shared" si="123"/>
        <v>11400000</v>
      </c>
      <c r="V185" s="46">
        <f t="shared" si="123"/>
        <v>11400000</v>
      </c>
      <c r="W185" s="46">
        <f t="shared" si="123"/>
        <v>5333345.2990000006</v>
      </c>
      <c r="X185" s="46">
        <f t="shared" si="114"/>
        <v>5321898.9290000005</v>
      </c>
      <c r="Y185" s="60">
        <f t="shared" si="124"/>
        <v>0.46683323938596494</v>
      </c>
      <c r="Z185" s="60">
        <f t="shared" si="125"/>
        <v>0.46783730692982461</v>
      </c>
      <c r="AA185" s="46">
        <f>CE_AdministraçãoFRSS!B357</f>
        <v>0</v>
      </c>
      <c r="AB185" s="46">
        <f>CE_AdministraçãoFRSS!C357</f>
        <v>0</v>
      </c>
      <c r="AC185" s="46">
        <f>CE_AdministraçãoFRSS!E357</f>
        <v>0</v>
      </c>
      <c r="AD185" s="46">
        <f>CE_AdministraçãoFRSS!S357</f>
        <v>0</v>
      </c>
      <c r="AE185" s="60" t="e">
        <f t="shared" si="126"/>
        <v>#DIV/0!</v>
      </c>
      <c r="AF185" s="60" t="e">
        <f t="shared" si="127"/>
        <v>#DIV/0!</v>
      </c>
      <c r="AG185" s="46">
        <f t="shared" si="128"/>
        <v>0</v>
      </c>
      <c r="AH185" s="46">
        <f t="shared" si="128"/>
        <v>0</v>
      </c>
      <c r="AI185" s="46">
        <f t="shared" si="128"/>
        <v>0</v>
      </c>
      <c r="AJ185" s="46">
        <f t="shared" si="115"/>
        <v>0</v>
      </c>
      <c r="AK185" s="60" t="e">
        <f t="shared" si="129"/>
        <v>#DIV/0!</v>
      </c>
      <c r="AL185" s="60" t="e">
        <f t="shared" si="130"/>
        <v>#DIV/0!</v>
      </c>
      <c r="AM185" s="46">
        <f t="shared" si="131"/>
        <v>11400000</v>
      </c>
      <c r="AN185" s="46">
        <f t="shared" si="131"/>
        <v>11400000</v>
      </c>
      <c r="AO185" s="46">
        <f t="shared" si="131"/>
        <v>5333345.2990000006</v>
      </c>
      <c r="AP185" s="46">
        <f t="shared" si="116"/>
        <v>5321898.9290000005</v>
      </c>
      <c r="AQ185" s="60">
        <f t="shared" si="132"/>
        <v>0.46683323938596494</v>
      </c>
      <c r="AR185" s="60">
        <f t="shared" si="133"/>
        <v>0.46783730692982461</v>
      </c>
      <c r="AT185" s="38"/>
      <c r="AU185" s="38"/>
      <c r="AV185" s="38"/>
      <c r="AW185" s="38"/>
      <c r="AY185" s="38"/>
      <c r="AZ185" s="38"/>
      <c r="BA185" s="38"/>
      <c r="BB185" s="38"/>
    </row>
    <row r="186" spans="1:58" x14ac:dyDescent="0.2">
      <c r="A186" s="45" t="str">
        <f>"503.03.09"</f>
        <v>503.03.09</v>
      </c>
      <c r="B186" s="47" t="s">
        <v>980</v>
      </c>
      <c r="C186" s="46">
        <f>CE_RegimeContributivo!B358</f>
        <v>4800000</v>
      </c>
      <c r="D186" s="46">
        <f>CE_RegimeContributivo!C358</f>
        <v>4800000</v>
      </c>
      <c r="E186" s="46">
        <f>CE_RegimeContributivo!E358</f>
        <v>2738534.085</v>
      </c>
      <c r="F186" s="46">
        <f>CE_RegimeContributivo!S358</f>
        <v>2737395.8299999996</v>
      </c>
      <c r="G186" s="60">
        <f t="shared" si="117"/>
        <v>0.57029079791666659</v>
      </c>
      <c r="H186" s="60">
        <f t="shared" si="118"/>
        <v>0.57052793437500005</v>
      </c>
      <c r="I186" s="46">
        <f>CE_RegimeNaoContributivo!B358</f>
        <v>0</v>
      </c>
      <c r="J186" s="46">
        <f>CE_RegimeNaoContributivo!C358</f>
        <v>0</v>
      </c>
      <c r="K186" s="46">
        <f>CE_RegimeNaoContributivo!E358</f>
        <v>0</v>
      </c>
      <c r="L186" s="46">
        <f>CE_RegimeNaoContributivo!S358</f>
        <v>0</v>
      </c>
      <c r="M186" s="60" t="e">
        <f t="shared" si="119"/>
        <v>#DIV/0!</v>
      </c>
      <c r="N186" s="60" t="e">
        <f t="shared" si="120"/>
        <v>#DIV/0!</v>
      </c>
      <c r="O186" s="46">
        <f>CE_AdministraçãoINSS!B358</f>
        <v>0</v>
      </c>
      <c r="P186" s="46">
        <f>CE_AdministraçãoINSS!C358</f>
        <v>0</v>
      </c>
      <c r="Q186" s="46">
        <f>CE_AdministraçãoINSS!E358</f>
        <v>0</v>
      </c>
      <c r="R186" s="46">
        <f>CE_AdministraçãoINSS!S358</f>
        <v>0</v>
      </c>
      <c r="S186" s="60" t="e">
        <f t="shared" si="121"/>
        <v>#DIV/0!</v>
      </c>
      <c r="T186" s="60" t="e">
        <f t="shared" si="122"/>
        <v>#DIV/0!</v>
      </c>
      <c r="U186" s="46">
        <f t="shared" si="123"/>
        <v>4800000</v>
      </c>
      <c r="V186" s="46">
        <f t="shared" si="123"/>
        <v>4800000</v>
      </c>
      <c r="W186" s="46">
        <f t="shared" si="123"/>
        <v>2738534.085</v>
      </c>
      <c r="X186" s="46">
        <f t="shared" si="114"/>
        <v>2737395.8299999996</v>
      </c>
      <c r="Y186" s="60">
        <f t="shared" si="124"/>
        <v>0.57029079791666659</v>
      </c>
      <c r="Z186" s="60">
        <f t="shared" si="125"/>
        <v>0.57052793437500005</v>
      </c>
      <c r="AA186" s="46">
        <f>CE_AdministraçãoFRSS!B358</f>
        <v>0</v>
      </c>
      <c r="AB186" s="46">
        <f>CE_AdministraçãoFRSS!C358</f>
        <v>0</v>
      </c>
      <c r="AC186" s="46">
        <f>CE_AdministraçãoFRSS!E358</f>
        <v>0</v>
      </c>
      <c r="AD186" s="46">
        <f>CE_AdministraçãoFRSS!S358</f>
        <v>0</v>
      </c>
      <c r="AE186" s="60" t="e">
        <f t="shared" si="126"/>
        <v>#DIV/0!</v>
      </c>
      <c r="AF186" s="60" t="e">
        <f t="shared" si="127"/>
        <v>#DIV/0!</v>
      </c>
      <c r="AG186" s="46">
        <f t="shared" si="128"/>
        <v>0</v>
      </c>
      <c r="AH186" s="46">
        <f t="shared" si="128"/>
        <v>0</v>
      </c>
      <c r="AI186" s="46">
        <f t="shared" si="128"/>
        <v>0</v>
      </c>
      <c r="AJ186" s="46">
        <f t="shared" si="115"/>
        <v>0</v>
      </c>
      <c r="AK186" s="60" t="e">
        <f t="shared" si="129"/>
        <v>#DIV/0!</v>
      </c>
      <c r="AL186" s="60" t="e">
        <f t="shared" si="130"/>
        <v>#DIV/0!</v>
      </c>
      <c r="AM186" s="46">
        <f t="shared" si="131"/>
        <v>4800000</v>
      </c>
      <c r="AN186" s="46">
        <f t="shared" si="131"/>
        <v>4800000</v>
      </c>
      <c r="AO186" s="46">
        <f t="shared" si="131"/>
        <v>2738534.085</v>
      </c>
      <c r="AP186" s="46">
        <f t="shared" si="116"/>
        <v>2737395.8299999996</v>
      </c>
      <c r="AQ186" s="60">
        <f t="shared" si="132"/>
        <v>0.57029079791666659</v>
      </c>
      <c r="AR186" s="60">
        <f t="shared" si="133"/>
        <v>0.57052793437500005</v>
      </c>
      <c r="AT186" s="38"/>
      <c r="AU186" s="38"/>
      <c r="AV186" s="38"/>
      <c r="AW186" s="38"/>
      <c r="AY186" s="38"/>
      <c r="AZ186" s="38"/>
      <c r="BA186" s="38"/>
      <c r="BB186" s="38"/>
    </row>
    <row r="187" spans="1:58" x14ac:dyDescent="0.2">
      <c r="A187" s="45" t="str">
        <f>"503.03.10"</f>
        <v>503.03.10</v>
      </c>
      <c r="B187" s="47" t="s">
        <v>981</v>
      </c>
      <c r="C187" s="46">
        <f>CE_RegimeContributivo!B359</f>
        <v>68100</v>
      </c>
      <c r="D187" s="46">
        <f>CE_RegimeContributivo!C359</f>
        <v>73100</v>
      </c>
      <c r="E187" s="46">
        <f>CE_RegimeContributivo!E359</f>
        <v>61424.374999999978</v>
      </c>
      <c r="F187" s="46">
        <f>CE_RegimeContributivo!S359</f>
        <v>59950.739000000001</v>
      </c>
      <c r="G187" s="60">
        <f t="shared" si="117"/>
        <v>0.82011954856361147</v>
      </c>
      <c r="H187" s="60">
        <f t="shared" si="118"/>
        <v>0.84027872777017754</v>
      </c>
      <c r="I187" s="46">
        <f>CE_RegimeNaoContributivo!B359</f>
        <v>0</v>
      </c>
      <c r="J187" s="46">
        <f>CE_RegimeNaoContributivo!C359</f>
        <v>0</v>
      </c>
      <c r="K187" s="46">
        <f>CE_RegimeNaoContributivo!E359</f>
        <v>0</v>
      </c>
      <c r="L187" s="46">
        <f>CE_RegimeNaoContributivo!S359</f>
        <v>0</v>
      </c>
      <c r="M187" s="60" t="e">
        <f t="shared" si="119"/>
        <v>#DIV/0!</v>
      </c>
      <c r="N187" s="60" t="e">
        <f t="shared" si="120"/>
        <v>#DIV/0!</v>
      </c>
      <c r="O187" s="46">
        <f>CE_AdministraçãoINSS!B359</f>
        <v>0</v>
      </c>
      <c r="P187" s="46">
        <f>CE_AdministraçãoINSS!C359</f>
        <v>0</v>
      </c>
      <c r="Q187" s="46">
        <f>CE_AdministraçãoINSS!E359</f>
        <v>0</v>
      </c>
      <c r="R187" s="46">
        <f>CE_AdministraçãoINSS!S359</f>
        <v>0</v>
      </c>
      <c r="S187" s="60" t="e">
        <f t="shared" si="121"/>
        <v>#DIV/0!</v>
      </c>
      <c r="T187" s="60" t="e">
        <f t="shared" si="122"/>
        <v>#DIV/0!</v>
      </c>
      <c r="U187" s="46">
        <f t="shared" si="123"/>
        <v>68100</v>
      </c>
      <c r="V187" s="46">
        <f t="shared" si="123"/>
        <v>73100</v>
      </c>
      <c r="W187" s="46">
        <f t="shared" si="123"/>
        <v>61424.374999999978</v>
      </c>
      <c r="X187" s="46">
        <f t="shared" si="114"/>
        <v>59950.739000000001</v>
      </c>
      <c r="Y187" s="60">
        <f t="shared" si="124"/>
        <v>0.82011954856361147</v>
      </c>
      <c r="Z187" s="60">
        <f t="shared" si="125"/>
        <v>0.84027872777017754</v>
      </c>
      <c r="AA187" s="46">
        <f>CE_AdministraçãoFRSS!B359</f>
        <v>0</v>
      </c>
      <c r="AB187" s="46">
        <f>CE_AdministraçãoFRSS!C359</f>
        <v>0</v>
      </c>
      <c r="AC187" s="46">
        <f>CE_AdministraçãoFRSS!E359</f>
        <v>0</v>
      </c>
      <c r="AD187" s="46">
        <f>CE_AdministraçãoFRSS!S359</f>
        <v>0</v>
      </c>
      <c r="AE187" s="60" t="e">
        <f t="shared" si="126"/>
        <v>#DIV/0!</v>
      </c>
      <c r="AF187" s="60" t="e">
        <f t="shared" si="127"/>
        <v>#DIV/0!</v>
      </c>
      <c r="AG187" s="46">
        <f t="shared" si="128"/>
        <v>0</v>
      </c>
      <c r="AH187" s="46">
        <f t="shared" si="128"/>
        <v>0</v>
      </c>
      <c r="AI187" s="46">
        <f t="shared" si="128"/>
        <v>0</v>
      </c>
      <c r="AJ187" s="46">
        <f t="shared" si="115"/>
        <v>0</v>
      </c>
      <c r="AK187" s="60" t="e">
        <f t="shared" si="129"/>
        <v>#DIV/0!</v>
      </c>
      <c r="AL187" s="60" t="e">
        <f t="shared" si="130"/>
        <v>#DIV/0!</v>
      </c>
      <c r="AM187" s="46">
        <f t="shared" si="131"/>
        <v>68100</v>
      </c>
      <c r="AN187" s="46">
        <f t="shared" si="131"/>
        <v>73100</v>
      </c>
      <c r="AO187" s="46">
        <f t="shared" si="131"/>
        <v>61424.374999999978</v>
      </c>
      <c r="AP187" s="46">
        <f t="shared" si="116"/>
        <v>59950.739000000001</v>
      </c>
      <c r="AQ187" s="60">
        <f t="shared" si="132"/>
        <v>0.82011954856361147</v>
      </c>
      <c r="AR187" s="60">
        <f t="shared" si="133"/>
        <v>0.84027872777017754</v>
      </c>
      <c r="AT187" s="38"/>
      <c r="AU187" s="38"/>
      <c r="AV187" s="38"/>
      <c r="AW187" s="38"/>
      <c r="AY187" s="38"/>
      <c r="AZ187" s="38"/>
      <c r="BA187" s="38"/>
      <c r="BB187" s="38"/>
    </row>
    <row r="188" spans="1:58" x14ac:dyDescent="0.2">
      <c r="A188" s="45" t="str">
        <f>"503.03.11"</f>
        <v>503.03.11</v>
      </c>
      <c r="B188" s="47" t="s">
        <v>982</v>
      </c>
      <c r="C188" s="46">
        <f>CE_RegimeContributivo!B360</f>
        <v>788402</v>
      </c>
      <c r="D188" s="46">
        <f>CE_RegimeContributivo!C360</f>
        <v>4288402</v>
      </c>
      <c r="E188" s="46">
        <f>CE_RegimeContributivo!E360</f>
        <v>2513829.6409999998</v>
      </c>
      <c r="F188" s="46">
        <f>CE_RegimeContributivo!S360</f>
        <v>2508420.0909999995</v>
      </c>
      <c r="G188" s="60">
        <f t="shared" si="117"/>
        <v>0.58493119138550898</v>
      </c>
      <c r="H188" s="60">
        <f t="shared" si="118"/>
        <v>0.58619262862949884</v>
      </c>
      <c r="I188" s="46">
        <f>CE_RegimeNaoContributivo!B360</f>
        <v>0</v>
      </c>
      <c r="J188" s="46">
        <f>CE_RegimeNaoContributivo!C360</f>
        <v>0</v>
      </c>
      <c r="K188" s="46">
        <f>CE_RegimeNaoContributivo!E360</f>
        <v>0</v>
      </c>
      <c r="L188" s="46">
        <f>CE_RegimeNaoContributivo!S360</f>
        <v>0</v>
      </c>
      <c r="M188" s="60" t="e">
        <f t="shared" si="119"/>
        <v>#DIV/0!</v>
      </c>
      <c r="N188" s="60" t="e">
        <f t="shared" si="120"/>
        <v>#DIV/0!</v>
      </c>
      <c r="O188" s="46">
        <f>CE_AdministraçãoINSS!B360</f>
        <v>0</v>
      </c>
      <c r="P188" s="46">
        <f>CE_AdministraçãoINSS!C360</f>
        <v>0</v>
      </c>
      <c r="Q188" s="46">
        <f>CE_AdministraçãoINSS!E360</f>
        <v>0</v>
      </c>
      <c r="R188" s="46">
        <f>CE_AdministraçãoINSS!S360</f>
        <v>0</v>
      </c>
      <c r="S188" s="60" t="e">
        <f t="shared" si="121"/>
        <v>#DIV/0!</v>
      </c>
      <c r="T188" s="60" t="e">
        <f t="shared" si="122"/>
        <v>#DIV/0!</v>
      </c>
      <c r="U188" s="46">
        <f t="shared" si="123"/>
        <v>788402</v>
      </c>
      <c r="V188" s="46">
        <f t="shared" si="123"/>
        <v>4288402</v>
      </c>
      <c r="W188" s="46">
        <f t="shared" si="123"/>
        <v>2513829.6409999998</v>
      </c>
      <c r="X188" s="46">
        <f t="shared" si="114"/>
        <v>2508420.0909999995</v>
      </c>
      <c r="Y188" s="60">
        <f t="shared" si="124"/>
        <v>0.58493119138550898</v>
      </c>
      <c r="Z188" s="60">
        <f t="shared" si="125"/>
        <v>0.58619262862949884</v>
      </c>
      <c r="AA188" s="46">
        <f>CE_AdministraçãoFRSS!B360</f>
        <v>0</v>
      </c>
      <c r="AB188" s="46">
        <f>CE_AdministraçãoFRSS!C360</f>
        <v>0</v>
      </c>
      <c r="AC188" s="46">
        <f>CE_AdministraçãoFRSS!E360</f>
        <v>0</v>
      </c>
      <c r="AD188" s="46">
        <f>CE_AdministraçãoFRSS!S360</f>
        <v>0</v>
      </c>
      <c r="AE188" s="60" t="e">
        <f t="shared" si="126"/>
        <v>#DIV/0!</v>
      </c>
      <c r="AF188" s="60" t="e">
        <f t="shared" si="127"/>
        <v>#DIV/0!</v>
      </c>
      <c r="AG188" s="46">
        <f t="shared" si="128"/>
        <v>0</v>
      </c>
      <c r="AH188" s="46">
        <f t="shared" si="128"/>
        <v>0</v>
      </c>
      <c r="AI188" s="46">
        <f t="shared" si="128"/>
        <v>0</v>
      </c>
      <c r="AJ188" s="46">
        <f t="shared" si="115"/>
        <v>0</v>
      </c>
      <c r="AK188" s="60" t="e">
        <f t="shared" si="129"/>
        <v>#DIV/0!</v>
      </c>
      <c r="AL188" s="60" t="e">
        <f t="shared" si="130"/>
        <v>#DIV/0!</v>
      </c>
      <c r="AM188" s="46">
        <f t="shared" si="131"/>
        <v>788402</v>
      </c>
      <c r="AN188" s="46">
        <f t="shared" si="131"/>
        <v>4288402</v>
      </c>
      <c r="AO188" s="46">
        <f t="shared" si="131"/>
        <v>2513829.6409999998</v>
      </c>
      <c r="AP188" s="46">
        <f t="shared" si="116"/>
        <v>2508420.0909999995</v>
      </c>
      <c r="AQ188" s="60">
        <f t="shared" si="132"/>
        <v>0.58493119138550898</v>
      </c>
      <c r="AR188" s="60">
        <f t="shared" si="133"/>
        <v>0.58619262862949884</v>
      </c>
      <c r="AT188" s="38"/>
      <c r="AU188" s="38"/>
      <c r="AV188" s="38"/>
      <c r="AW188" s="38"/>
      <c r="AY188" s="38"/>
      <c r="AZ188" s="38"/>
      <c r="BA188" s="38"/>
      <c r="BB188" s="38"/>
    </row>
    <row r="189" spans="1:58" x14ac:dyDescent="0.2">
      <c r="A189" s="45" t="str">
        <f>"503.03.12"</f>
        <v>503.03.12</v>
      </c>
      <c r="B189" s="47" t="s">
        <v>983</v>
      </c>
      <c r="C189" s="46">
        <f>CE_RegimeContributivo!B361</f>
        <v>977000</v>
      </c>
      <c r="D189" s="46">
        <f>CE_RegimeContributivo!C361</f>
        <v>1227000</v>
      </c>
      <c r="E189" s="46">
        <f>CE_RegimeContributivo!E361</f>
        <v>887683.51300000004</v>
      </c>
      <c r="F189" s="46">
        <f>CE_RegimeContributivo!S361</f>
        <v>885615.87699999998</v>
      </c>
      <c r="G189" s="60">
        <f t="shared" si="117"/>
        <v>0.7217733308883455</v>
      </c>
      <c r="H189" s="60">
        <f t="shared" si="118"/>
        <v>0.72345844580277097</v>
      </c>
      <c r="I189" s="46">
        <f>CE_RegimeNaoContributivo!B361</f>
        <v>0</v>
      </c>
      <c r="J189" s="46">
        <f>CE_RegimeNaoContributivo!C361</f>
        <v>0</v>
      </c>
      <c r="K189" s="46">
        <f>CE_RegimeNaoContributivo!E361</f>
        <v>0</v>
      </c>
      <c r="L189" s="46">
        <f>CE_RegimeNaoContributivo!S361</f>
        <v>0</v>
      </c>
      <c r="M189" s="60" t="e">
        <f t="shared" si="119"/>
        <v>#DIV/0!</v>
      </c>
      <c r="N189" s="60" t="e">
        <f t="shared" si="120"/>
        <v>#DIV/0!</v>
      </c>
      <c r="O189" s="46">
        <f>CE_AdministraçãoINSS!B361</f>
        <v>0</v>
      </c>
      <c r="P189" s="46">
        <f>CE_AdministraçãoINSS!C361</f>
        <v>0</v>
      </c>
      <c r="Q189" s="46">
        <f>CE_AdministraçãoINSS!E361</f>
        <v>0</v>
      </c>
      <c r="R189" s="46">
        <f>CE_AdministraçãoINSS!S361</f>
        <v>0</v>
      </c>
      <c r="S189" s="60" t="e">
        <f t="shared" si="121"/>
        <v>#DIV/0!</v>
      </c>
      <c r="T189" s="60" t="e">
        <f t="shared" si="122"/>
        <v>#DIV/0!</v>
      </c>
      <c r="U189" s="46">
        <f t="shared" si="123"/>
        <v>977000</v>
      </c>
      <c r="V189" s="46">
        <f t="shared" si="123"/>
        <v>1227000</v>
      </c>
      <c r="W189" s="46">
        <f t="shared" si="123"/>
        <v>887683.51300000004</v>
      </c>
      <c r="X189" s="46">
        <f t="shared" si="114"/>
        <v>885615.87699999998</v>
      </c>
      <c r="Y189" s="60">
        <f t="shared" si="124"/>
        <v>0.7217733308883455</v>
      </c>
      <c r="Z189" s="60">
        <f t="shared" si="125"/>
        <v>0.72345844580277097</v>
      </c>
      <c r="AA189" s="46">
        <f>CE_AdministraçãoFRSS!B361</f>
        <v>0</v>
      </c>
      <c r="AB189" s="46">
        <f>CE_AdministraçãoFRSS!C361</f>
        <v>0</v>
      </c>
      <c r="AC189" s="46">
        <f>CE_AdministraçãoFRSS!E361</f>
        <v>0</v>
      </c>
      <c r="AD189" s="46">
        <f>CE_AdministraçãoFRSS!S361</f>
        <v>0</v>
      </c>
      <c r="AE189" s="60" t="e">
        <f t="shared" si="126"/>
        <v>#DIV/0!</v>
      </c>
      <c r="AF189" s="60" t="e">
        <f t="shared" si="127"/>
        <v>#DIV/0!</v>
      </c>
      <c r="AG189" s="46">
        <f t="shared" si="128"/>
        <v>0</v>
      </c>
      <c r="AH189" s="46">
        <f t="shared" si="128"/>
        <v>0</v>
      </c>
      <c r="AI189" s="46">
        <f t="shared" si="128"/>
        <v>0</v>
      </c>
      <c r="AJ189" s="46">
        <f t="shared" si="115"/>
        <v>0</v>
      </c>
      <c r="AK189" s="60" t="e">
        <f t="shared" si="129"/>
        <v>#DIV/0!</v>
      </c>
      <c r="AL189" s="60" t="e">
        <f t="shared" si="130"/>
        <v>#DIV/0!</v>
      </c>
      <c r="AM189" s="46">
        <f t="shared" si="131"/>
        <v>977000</v>
      </c>
      <c r="AN189" s="46">
        <f t="shared" si="131"/>
        <v>1227000</v>
      </c>
      <c r="AO189" s="46">
        <f t="shared" si="131"/>
        <v>887683.51300000004</v>
      </c>
      <c r="AP189" s="46">
        <f t="shared" si="116"/>
        <v>885615.87699999998</v>
      </c>
      <c r="AQ189" s="60">
        <f t="shared" si="132"/>
        <v>0.7217733308883455</v>
      </c>
      <c r="AR189" s="60">
        <f t="shared" si="133"/>
        <v>0.72345844580277097</v>
      </c>
      <c r="AT189" s="38"/>
      <c r="AU189" s="38"/>
      <c r="AV189" s="38"/>
      <c r="AW189" s="38"/>
      <c r="AY189" s="38"/>
      <c r="AZ189" s="38"/>
      <c r="BA189" s="38"/>
      <c r="BB189" s="38"/>
    </row>
    <row r="190" spans="1:58" x14ac:dyDescent="0.2">
      <c r="A190" s="45" t="str">
        <f>"503.03.13"</f>
        <v>503.03.13</v>
      </c>
      <c r="B190" s="47" t="s">
        <v>984</v>
      </c>
      <c r="C190" s="46">
        <f>CE_RegimeContributivo!B362</f>
        <v>0</v>
      </c>
      <c r="D190" s="46">
        <f>CE_RegimeContributivo!C362</f>
        <v>0</v>
      </c>
      <c r="E190" s="46">
        <f>CE_RegimeContributivo!E362</f>
        <v>0</v>
      </c>
      <c r="F190" s="46">
        <f>CE_RegimeContributivo!S362</f>
        <v>0</v>
      </c>
      <c r="G190" s="60" t="e">
        <f t="shared" si="117"/>
        <v>#DIV/0!</v>
      </c>
      <c r="H190" s="60" t="e">
        <f t="shared" si="118"/>
        <v>#DIV/0!</v>
      </c>
      <c r="I190" s="46">
        <f>CE_RegimeNaoContributivo!B362</f>
        <v>0</v>
      </c>
      <c r="J190" s="46">
        <f>CE_RegimeNaoContributivo!C362</f>
        <v>0</v>
      </c>
      <c r="K190" s="46">
        <f>CE_RegimeNaoContributivo!E362</f>
        <v>0</v>
      </c>
      <c r="L190" s="46">
        <f>CE_RegimeNaoContributivo!S362</f>
        <v>0</v>
      </c>
      <c r="M190" s="60" t="e">
        <f t="shared" si="119"/>
        <v>#DIV/0!</v>
      </c>
      <c r="N190" s="60" t="e">
        <f t="shared" si="120"/>
        <v>#DIV/0!</v>
      </c>
      <c r="O190" s="46">
        <f>CE_AdministraçãoINSS!B362</f>
        <v>0</v>
      </c>
      <c r="P190" s="46">
        <f>CE_AdministraçãoINSS!C362</f>
        <v>0</v>
      </c>
      <c r="Q190" s="46">
        <f>CE_AdministraçãoINSS!E362</f>
        <v>0</v>
      </c>
      <c r="R190" s="46">
        <f>CE_AdministraçãoINSS!S362</f>
        <v>0</v>
      </c>
      <c r="S190" s="60" t="e">
        <f t="shared" si="121"/>
        <v>#DIV/0!</v>
      </c>
      <c r="T190" s="60" t="e">
        <f t="shared" si="122"/>
        <v>#DIV/0!</v>
      </c>
      <c r="U190" s="46">
        <f t="shared" si="123"/>
        <v>0</v>
      </c>
      <c r="V190" s="46">
        <f t="shared" si="123"/>
        <v>0</v>
      </c>
      <c r="W190" s="46">
        <f t="shared" si="123"/>
        <v>0</v>
      </c>
      <c r="X190" s="46">
        <f t="shared" si="114"/>
        <v>0</v>
      </c>
      <c r="Y190" s="60" t="e">
        <f t="shared" si="124"/>
        <v>#DIV/0!</v>
      </c>
      <c r="Z190" s="60" t="e">
        <f t="shared" si="125"/>
        <v>#DIV/0!</v>
      </c>
      <c r="AA190" s="46">
        <f>CE_AdministraçãoFRSS!B362</f>
        <v>0</v>
      </c>
      <c r="AB190" s="46">
        <f>CE_AdministraçãoFRSS!C362</f>
        <v>0</v>
      </c>
      <c r="AC190" s="46">
        <f>CE_AdministraçãoFRSS!E362</f>
        <v>0</v>
      </c>
      <c r="AD190" s="46">
        <f>CE_AdministraçãoFRSS!S362</f>
        <v>0</v>
      </c>
      <c r="AE190" s="60" t="e">
        <f t="shared" si="126"/>
        <v>#DIV/0!</v>
      </c>
      <c r="AF190" s="60" t="e">
        <f t="shared" si="127"/>
        <v>#DIV/0!</v>
      </c>
      <c r="AG190" s="46">
        <f t="shared" si="128"/>
        <v>0</v>
      </c>
      <c r="AH190" s="46">
        <f t="shared" si="128"/>
        <v>0</v>
      </c>
      <c r="AI190" s="46">
        <f t="shared" si="128"/>
        <v>0</v>
      </c>
      <c r="AJ190" s="46">
        <f t="shared" si="115"/>
        <v>0</v>
      </c>
      <c r="AK190" s="60" t="e">
        <f t="shared" si="129"/>
        <v>#DIV/0!</v>
      </c>
      <c r="AL190" s="60" t="e">
        <f t="shared" si="130"/>
        <v>#DIV/0!</v>
      </c>
      <c r="AM190" s="46">
        <f t="shared" si="131"/>
        <v>0</v>
      </c>
      <c r="AN190" s="46">
        <f t="shared" si="131"/>
        <v>0</v>
      </c>
      <c r="AO190" s="46">
        <f t="shared" si="131"/>
        <v>0</v>
      </c>
      <c r="AP190" s="46">
        <f t="shared" si="116"/>
        <v>0</v>
      </c>
      <c r="AQ190" s="60" t="e">
        <f t="shared" si="132"/>
        <v>#DIV/0!</v>
      </c>
      <c r="AR190" s="60" t="e">
        <f t="shared" si="133"/>
        <v>#DIV/0!</v>
      </c>
      <c r="AT190" s="38"/>
      <c r="AU190" s="38"/>
      <c r="AV190" s="38"/>
      <c r="AW190" s="38"/>
      <c r="AY190" s="38"/>
      <c r="AZ190" s="38"/>
      <c r="BA190" s="38"/>
      <c r="BB190" s="38"/>
    </row>
    <row r="191" spans="1:58" x14ac:dyDescent="0.2">
      <c r="A191" s="45" t="str">
        <f>"503.03.14"</f>
        <v>503.03.14</v>
      </c>
      <c r="B191" s="47" t="s">
        <v>985</v>
      </c>
      <c r="C191" s="46">
        <f>CE_RegimeContributivo!B363</f>
        <v>0</v>
      </c>
      <c r="D191" s="46">
        <f>CE_RegimeContributivo!C363</f>
        <v>0</v>
      </c>
      <c r="E191" s="46">
        <f>CE_RegimeContributivo!E363</f>
        <v>0</v>
      </c>
      <c r="F191" s="46">
        <f>CE_RegimeContributivo!S363</f>
        <v>0</v>
      </c>
      <c r="G191" s="60" t="e">
        <f t="shared" si="117"/>
        <v>#DIV/0!</v>
      </c>
      <c r="H191" s="60" t="e">
        <f t="shared" si="118"/>
        <v>#DIV/0!</v>
      </c>
      <c r="I191" s="46">
        <f>CE_RegimeNaoContributivo!B363</f>
        <v>0</v>
      </c>
      <c r="J191" s="46">
        <f>CE_RegimeNaoContributivo!C363</f>
        <v>0</v>
      </c>
      <c r="K191" s="46">
        <f>CE_RegimeNaoContributivo!E363</f>
        <v>0</v>
      </c>
      <c r="L191" s="46">
        <f>CE_RegimeNaoContributivo!S363</f>
        <v>0</v>
      </c>
      <c r="M191" s="60" t="e">
        <f t="shared" si="119"/>
        <v>#DIV/0!</v>
      </c>
      <c r="N191" s="60" t="e">
        <f t="shared" si="120"/>
        <v>#DIV/0!</v>
      </c>
      <c r="O191" s="46">
        <f>CE_AdministraçãoINSS!B363</f>
        <v>0</v>
      </c>
      <c r="P191" s="46">
        <f>CE_AdministraçãoINSS!C363</f>
        <v>0</v>
      </c>
      <c r="Q191" s="46">
        <f>CE_AdministraçãoINSS!E363</f>
        <v>0</v>
      </c>
      <c r="R191" s="46">
        <f>CE_AdministraçãoINSS!S363</f>
        <v>0</v>
      </c>
      <c r="S191" s="60" t="e">
        <f t="shared" si="121"/>
        <v>#DIV/0!</v>
      </c>
      <c r="T191" s="60" t="e">
        <f t="shared" si="122"/>
        <v>#DIV/0!</v>
      </c>
      <c r="U191" s="46">
        <f t="shared" si="123"/>
        <v>0</v>
      </c>
      <c r="V191" s="46">
        <f t="shared" si="123"/>
        <v>0</v>
      </c>
      <c r="W191" s="46">
        <f t="shared" si="123"/>
        <v>0</v>
      </c>
      <c r="X191" s="46">
        <f t="shared" si="114"/>
        <v>0</v>
      </c>
      <c r="Y191" s="60" t="e">
        <f t="shared" si="124"/>
        <v>#DIV/0!</v>
      </c>
      <c r="Z191" s="60" t="e">
        <f t="shared" si="125"/>
        <v>#DIV/0!</v>
      </c>
      <c r="AA191" s="46">
        <f>CE_AdministraçãoFRSS!B363</f>
        <v>0</v>
      </c>
      <c r="AB191" s="46">
        <f>CE_AdministraçãoFRSS!C363</f>
        <v>0</v>
      </c>
      <c r="AC191" s="46">
        <f>CE_AdministraçãoFRSS!E363</f>
        <v>0</v>
      </c>
      <c r="AD191" s="46">
        <f>CE_AdministraçãoFRSS!S363</f>
        <v>0</v>
      </c>
      <c r="AE191" s="60" t="e">
        <f t="shared" si="126"/>
        <v>#DIV/0!</v>
      </c>
      <c r="AF191" s="60" t="e">
        <f t="shared" si="127"/>
        <v>#DIV/0!</v>
      </c>
      <c r="AG191" s="46">
        <f t="shared" si="128"/>
        <v>0</v>
      </c>
      <c r="AH191" s="46">
        <f t="shared" si="128"/>
        <v>0</v>
      </c>
      <c r="AI191" s="46">
        <f t="shared" si="128"/>
        <v>0</v>
      </c>
      <c r="AJ191" s="46">
        <f t="shared" si="115"/>
        <v>0</v>
      </c>
      <c r="AK191" s="60" t="e">
        <f t="shared" si="129"/>
        <v>#DIV/0!</v>
      </c>
      <c r="AL191" s="60" t="e">
        <f t="shared" si="130"/>
        <v>#DIV/0!</v>
      </c>
      <c r="AM191" s="46">
        <f t="shared" si="131"/>
        <v>0</v>
      </c>
      <c r="AN191" s="46">
        <f t="shared" si="131"/>
        <v>0</v>
      </c>
      <c r="AO191" s="46">
        <f t="shared" si="131"/>
        <v>0</v>
      </c>
      <c r="AP191" s="46">
        <f t="shared" si="116"/>
        <v>0</v>
      </c>
      <c r="AQ191" s="60" t="e">
        <f t="shared" si="132"/>
        <v>#DIV/0!</v>
      </c>
      <c r="AR191" s="60" t="e">
        <f t="shared" si="133"/>
        <v>#DIV/0!</v>
      </c>
      <c r="AT191" s="38"/>
      <c r="AU191" s="38"/>
      <c r="AV191" s="38"/>
      <c r="AW191" s="38"/>
      <c r="AY191" s="38"/>
      <c r="AZ191" s="38"/>
      <c r="BA191" s="38"/>
      <c r="BB191" s="38"/>
    </row>
    <row r="192" spans="1:58" x14ac:dyDescent="0.2">
      <c r="A192" s="45" t="str">
        <f>"503.03.15"</f>
        <v>503.03.15</v>
      </c>
      <c r="B192" s="47" t="s">
        <v>986</v>
      </c>
      <c r="C192" s="46">
        <f>CE_RegimeContributivo!B364</f>
        <v>1000000</v>
      </c>
      <c r="D192" s="46">
        <f>CE_RegimeContributivo!C364</f>
        <v>1000000</v>
      </c>
      <c r="E192" s="46">
        <f>CE_RegimeContributivo!E364</f>
        <v>556106.11000000022</v>
      </c>
      <c r="F192" s="46">
        <f>CE_RegimeContributivo!S364</f>
        <v>507441.09299999999</v>
      </c>
      <c r="G192" s="60">
        <f t="shared" si="117"/>
        <v>0.50744109299999995</v>
      </c>
      <c r="H192" s="60">
        <f t="shared" si="118"/>
        <v>0.55610611000000021</v>
      </c>
      <c r="I192" s="46">
        <f>CE_RegimeNaoContributivo!B364</f>
        <v>0</v>
      </c>
      <c r="J192" s="46">
        <f>CE_RegimeNaoContributivo!C364</f>
        <v>0</v>
      </c>
      <c r="K192" s="46">
        <f>CE_RegimeNaoContributivo!E364</f>
        <v>0</v>
      </c>
      <c r="L192" s="46">
        <f>CE_RegimeNaoContributivo!S364</f>
        <v>0</v>
      </c>
      <c r="M192" s="60" t="e">
        <f t="shared" si="119"/>
        <v>#DIV/0!</v>
      </c>
      <c r="N192" s="60" t="e">
        <f t="shared" si="120"/>
        <v>#DIV/0!</v>
      </c>
      <c r="O192" s="46">
        <f>CE_AdministraçãoINSS!B364</f>
        <v>0</v>
      </c>
      <c r="P192" s="46">
        <f>CE_AdministraçãoINSS!C364</f>
        <v>0</v>
      </c>
      <c r="Q192" s="46">
        <f>CE_AdministraçãoINSS!E364</f>
        <v>0</v>
      </c>
      <c r="R192" s="46">
        <f>CE_AdministraçãoINSS!S364</f>
        <v>0</v>
      </c>
      <c r="S192" s="60" t="e">
        <f t="shared" si="121"/>
        <v>#DIV/0!</v>
      </c>
      <c r="T192" s="60" t="e">
        <f t="shared" si="122"/>
        <v>#DIV/0!</v>
      </c>
      <c r="U192" s="46">
        <f t="shared" si="123"/>
        <v>1000000</v>
      </c>
      <c r="V192" s="46">
        <f t="shared" si="123"/>
        <v>1000000</v>
      </c>
      <c r="W192" s="46">
        <f t="shared" si="123"/>
        <v>556106.11000000022</v>
      </c>
      <c r="X192" s="46">
        <f t="shared" si="114"/>
        <v>507441.09299999999</v>
      </c>
      <c r="Y192" s="60">
        <f t="shared" si="124"/>
        <v>0.50744109299999995</v>
      </c>
      <c r="Z192" s="60">
        <f t="shared" si="125"/>
        <v>0.55610611000000021</v>
      </c>
      <c r="AA192" s="46">
        <f>CE_AdministraçãoFRSS!B364</f>
        <v>0</v>
      </c>
      <c r="AB192" s="46">
        <f>CE_AdministraçãoFRSS!C364</f>
        <v>0</v>
      </c>
      <c r="AC192" s="46">
        <f>CE_AdministraçãoFRSS!E364</f>
        <v>0</v>
      </c>
      <c r="AD192" s="46">
        <f>CE_AdministraçãoFRSS!S364</f>
        <v>0</v>
      </c>
      <c r="AE192" s="60" t="e">
        <f t="shared" si="126"/>
        <v>#DIV/0!</v>
      </c>
      <c r="AF192" s="60" t="e">
        <f t="shared" si="127"/>
        <v>#DIV/0!</v>
      </c>
      <c r="AG192" s="46">
        <f t="shared" si="128"/>
        <v>0</v>
      </c>
      <c r="AH192" s="46">
        <f t="shared" si="128"/>
        <v>0</v>
      </c>
      <c r="AI192" s="46">
        <f t="shared" si="128"/>
        <v>0</v>
      </c>
      <c r="AJ192" s="46">
        <f t="shared" si="115"/>
        <v>0</v>
      </c>
      <c r="AK192" s="60" t="e">
        <f t="shared" si="129"/>
        <v>#DIV/0!</v>
      </c>
      <c r="AL192" s="60" t="e">
        <f t="shared" si="130"/>
        <v>#DIV/0!</v>
      </c>
      <c r="AM192" s="46">
        <f t="shared" si="131"/>
        <v>1000000</v>
      </c>
      <c r="AN192" s="46">
        <f t="shared" si="131"/>
        <v>1000000</v>
      </c>
      <c r="AO192" s="46">
        <f t="shared" si="131"/>
        <v>556106.11000000022</v>
      </c>
      <c r="AP192" s="46">
        <f t="shared" si="116"/>
        <v>507441.09299999999</v>
      </c>
      <c r="AQ192" s="60">
        <f t="shared" si="132"/>
        <v>0.50744109299999995</v>
      </c>
      <c r="AR192" s="60">
        <f t="shared" si="133"/>
        <v>0.55610611000000021</v>
      </c>
      <c r="AT192" s="38"/>
      <c r="AU192" s="38"/>
      <c r="AV192" s="38"/>
      <c r="AW192" s="38"/>
      <c r="AY192" s="38"/>
      <c r="AZ192" s="38"/>
      <c r="BA192" s="38"/>
      <c r="BB192" s="38"/>
    </row>
    <row r="193" spans="1:54" x14ac:dyDescent="0.2">
      <c r="A193" s="45" t="str">
        <f>"503.03.16"</f>
        <v>503.03.16</v>
      </c>
      <c r="B193" s="47" t="s">
        <v>987</v>
      </c>
      <c r="C193" s="46">
        <f>CE_RegimeContributivo!B365</f>
        <v>50000</v>
      </c>
      <c r="D193" s="46">
        <f>CE_RegimeContributivo!C365</f>
        <v>50000</v>
      </c>
      <c r="E193" s="46">
        <f>CE_RegimeContributivo!E365</f>
        <v>13795.14</v>
      </c>
      <c r="F193" s="46">
        <f>CE_RegimeContributivo!S365</f>
        <v>11814.550000000001</v>
      </c>
      <c r="G193" s="60">
        <f t="shared" si="117"/>
        <v>0.23629100000000003</v>
      </c>
      <c r="H193" s="60">
        <f t="shared" si="118"/>
        <v>0.2759028</v>
      </c>
      <c r="I193" s="46">
        <f>CE_RegimeNaoContributivo!B365</f>
        <v>0</v>
      </c>
      <c r="J193" s="46">
        <f>CE_RegimeNaoContributivo!C365</f>
        <v>0</v>
      </c>
      <c r="K193" s="46">
        <f>CE_RegimeNaoContributivo!E365</f>
        <v>0</v>
      </c>
      <c r="L193" s="46">
        <f>CE_RegimeNaoContributivo!S365</f>
        <v>0</v>
      </c>
      <c r="M193" s="60" t="e">
        <f t="shared" si="119"/>
        <v>#DIV/0!</v>
      </c>
      <c r="N193" s="60" t="e">
        <f t="shared" si="120"/>
        <v>#DIV/0!</v>
      </c>
      <c r="O193" s="46">
        <f>CE_AdministraçãoINSS!B365</f>
        <v>0</v>
      </c>
      <c r="P193" s="46">
        <f>CE_AdministraçãoINSS!C365</f>
        <v>0</v>
      </c>
      <c r="Q193" s="46">
        <f>CE_AdministraçãoINSS!E365</f>
        <v>0</v>
      </c>
      <c r="R193" s="46">
        <f>CE_AdministraçãoINSS!S365</f>
        <v>0</v>
      </c>
      <c r="S193" s="60" t="e">
        <f t="shared" si="121"/>
        <v>#DIV/0!</v>
      </c>
      <c r="T193" s="60" t="e">
        <f t="shared" si="122"/>
        <v>#DIV/0!</v>
      </c>
      <c r="U193" s="46">
        <f t="shared" si="123"/>
        <v>50000</v>
      </c>
      <c r="V193" s="46">
        <f t="shared" si="123"/>
        <v>50000</v>
      </c>
      <c r="W193" s="46">
        <f t="shared" si="123"/>
        <v>13795.14</v>
      </c>
      <c r="X193" s="46">
        <f t="shared" si="114"/>
        <v>11814.550000000001</v>
      </c>
      <c r="Y193" s="60">
        <f t="shared" si="124"/>
        <v>0.23629100000000003</v>
      </c>
      <c r="Z193" s="60">
        <f t="shared" si="125"/>
        <v>0.2759028</v>
      </c>
      <c r="AA193" s="46">
        <f>CE_AdministraçãoFRSS!B365</f>
        <v>0</v>
      </c>
      <c r="AB193" s="46">
        <f>CE_AdministraçãoFRSS!C365</f>
        <v>0</v>
      </c>
      <c r="AC193" s="46">
        <f>CE_AdministraçãoFRSS!E365</f>
        <v>0</v>
      </c>
      <c r="AD193" s="46">
        <f>CE_AdministraçãoFRSS!S365</f>
        <v>0</v>
      </c>
      <c r="AE193" s="60" t="e">
        <f t="shared" si="126"/>
        <v>#DIV/0!</v>
      </c>
      <c r="AF193" s="60" t="e">
        <f t="shared" si="127"/>
        <v>#DIV/0!</v>
      </c>
      <c r="AG193" s="46">
        <f t="shared" si="128"/>
        <v>0</v>
      </c>
      <c r="AH193" s="46">
        <f t="shared" si="128"/>
        <v>0</v>
      </c>
      <c r="AI193" s="46">
        <f t="shared" si="128"/>
        <v>0</v>
      </c>
      <c r="AJ193" s="46">
        <f t="shared" si="115"/>
        <v>0</v>
      </c>
      <c r="AK193" s="60" t="e">
        <f t="shared" si="129"/>
        <v>#DIV/0!</v>
      </c>
      <c r="AL193" s="60" t="e">
        <f t="shared" si="130"/>
        <v>#DIV/0!</v>
      </c>
      <c r="AM193" s="46">
        <f t="shared" si="131"/>
        <v>50000</v>
      </c>
      <c r="AN193" s="46">
        <f t="shared" si="131"/>
        <v>50000</v>
      </c>
      <c r="AO193" s="46">
        <f t="shared" si="131"/>
        <v>13795.14</v>
      </c>
      <c r="AP193" s="46">
        <f t="shared" si="116"/>
        <v>11814.550000000001</v>
      </c>
      <c r="AQ193" s="60">
        <f t="shared" si="132"/>
        <v>0.23629100000000003</v>
      </c>
      <c r="AR193" s="60">
        <f t="shared" si="133"/>
        <v>0.2759028</v>
      </c>
      <c r="AT193" s="38"/>
      <c r="AU193" s="38"/>
      <c r="AV193" s="38"/>
      <c r="AW193" s="38"/>
      <c r="AY193" s="38"/>
      <c r="AZ193" s="38"/>
      <c r="BA193" s="38"/>
      <c r="BB193" s="38"/>
    </row>
    <row r="194" spans="1:54" x14ac:dyDescent="0.2">
      <c r="A194" s="45" t="str">
        <f>"503.03.17"</f>
        <v>503.03.17</v>
      </c>
      <c r="B194" s="47" t="s">
        <v>988</v>
      </c>
      <c r="C194" s="46">
        <f>CE_RegimeContributivo!B366</f>
        <v>1000</v>
      </c>
      <c r="D194" s="46">
        <f>CE_RegimeContributivo!C366</f>
        <v>1000</v>
      </c>
      <c r="E194" s="46">
        <f>CE_RegimeContributivo!E366</f>
        <v>0</v>
      </c>
      <c r="F194" s="46">
        <f>CE_RegimeContributivo!S366</f>
        <v>0</v>
      </c>
      <c r="G194" s="60">
        <f t="shared" si="117"/>
        <v>0</v>
      </c>
      <c r="H194" s="60">
        <f t="shared" si="118"/>
        <v>0</v>
      </c>
      <c r="I194" s="46">
        <f>CE_RegimeNaoContributivo!B366</f>
        <v>0</v>
      </c>
      <c r="J194" s="46">
        <f>CE_RegimeNaoContributivo!C366</f>
        <v>0</v>
      </c>
      <c r="K194" s="46">
        <f>CE_RegimeNaoContributivo!E366</f>
        <v>0</v>
      </c>
      <c r="L194" s="46">
        <f>CE_RegimeNaoContributivo!S366</f>
        <v>0</v>
      </c>
      <c r="M194" s="60" t="e">
        <f t="shared" si="119"/>
        <v>#DIV/0!</v>
      </c>
      <c r="N194" s="60" t="e">
        <f t="shared" si="120"/>
        <v>#DIV/0!</v>
      </c>
      <c r="O194" s="46">
        <f>CE_AdministraçãoINSS!B366</f>
        <v>0</v>
      </c>
      <c r="P194" s="46">
        <f>CE_AdministraçãoINSS!C366</f>
        <v>0</v>
      </c>
      <c r="Q194" s="46">
        <f>CE_AdministraçãoINSS!E366</f>
        <v>0</v>
      </c>
      <c r="R194" s="46">
        <f>CE_AdministraçãoINSS!S366</f>
        <v>0</v>
      </c>
      <c r="S194" s="60" t="e">
        <f t="shared" si="121"/>
        <v>#DIV/0!</v>
      </c>
      <c r="T194" s="60" t="e">
        <f t="shared" si="122"/>
        <v>#DIV/0!</v>
      </c>
      <c r="U194" s="46">
        <f t="shared" si="123"/>
        <v>1000</v>
      </c>
      <c r="V194" s="46">
        <f t="shared" si="123"/>
        <v>1000</v>
      </c>
      <c r="W194" s="46">
        <f t="shared" si="123"/>
        <v>0</v>
      </c>
      <c r="X194" s="46">
        <f t="shared" si="114"/>
        <v>0</v>
      </c>
      <c r="Y194" s="60">
        <f t="shared" si="124"/>
        <v>0</v>
      </c>
      <c r="Z194" s="60">
        <f t="shared" si="125"/>
        <v>0</v>
      </c>
      <c r="AA194" s="46">
        <f>CE_AdministraçãoFRSS!B366</f>
        <v>0</v>
      </c>
      <c r="AB194" s="46">
        <f>CE_AdministraçãoFRSS!C366</f>
        <v>0</v>
      </c>
      <c r="AC194" s="46">
        <f>CE_AdministraçãoFRSS!E366</f>
        <v>0</v>
      </c>
      <c r="AD194" s="46">
        <f>CE_AdministraçãoFRSS!S366</f>
        <v>0</v>
      </c>
      <c r="AE194" s="60" t="e">
        <f t="shared" si="126"/>
        <v>#DIV/0!</v>
      </c>
      <c r="AF194" s="60" t="e">
        <f t="shared" si="127"/>
        <v>#DIV/0!</v>
      </c>
      <c r="AG194" s="46">
        <f t="shared" si="128"/>
        <v>0</v>
      </c>
      <c r="AH194" s="46">
        <f t="shared" si="128"/>
        <v>0</v>
      </c>
      <c r="AI194" s="46">
        <f t="shared" si="128"/>
        <v>0</v>
      </c>
      <c r="AJ194" s="46">
        <f t="shared" si="115"/>
        <v>0</v>
      </c>
      <c r="AK194" s="60" t="e">
        <f t="shared" si="129"/>
        <v>#DIV/0!</v>
      </c>
      <c r="AL194" s="60" t="e">
        <f t="shared" si="130"/>
        <v>#DIV/0!</v>
      </c>
      <c r="AM194" s="46">
        <f t="shared" si="131"/>
        <v>1000</v>
      </c>
      <c r="AN194" s="46">
        <f t="shared" si="131"/>
        <v>1000</v>
      </c>
      <c r="AO194" s="46">
        <f t="shared" si="131"/>
        <v>0</v>
      </c>
      <c r="AP194" s="46">
        <f t="shared" si="116"/>
        <v>0</v>
      </c>
      <c r="AQ194" s="60">
        <f t="shared" si="132"/>
        <v>0</v>
      </c>
      <c r="AR194" s="60">
        <f t="shared" si="133"/>
        <v>0</v>
      </c>
      <c r="AT194" s="38"/>
      <c r="AU194" s="38"/>
      <c r="AV194" s="38"/>
      <c r="AW194" s="38"/>
      <c r="AY194" s="38"/>
      <c r="AZ194" s="38"/>
      <c r="BA194" s="38"/>
      <c r="BB194" s="38"/>
    </row>
    <row r="195" spans="1:54" x14ac:dyDescent="0.2">
      <c r="A195" s="45" t="str">
        <f>"503.03.18"</f>
        <v>503.03.18</v>
      </c>
      <c r="B195" s="47" t="s">
        <v>989</v>
      </c>
      <c r="C195" s="46">
        <f>CE_RegimeContributivo!B367</f>
        <v>550000</v>
      </c>
      <c r="D195" s="46">
        <f>CE_RegimeContributivo!C367</f>
        <v>550000</v>
      </c>
      <c r="E195" s="46">
        <f>CE_RegimeContributivo!E367</f>
        <v>362072.63209905423</v>
      </c>
      <c r="F195" s="46">
        <f>CE_RegimeContributivo!S367</f>
        <v>357364.41298743966</v>
      </c>
      <c r="G195" s="60">
        <f t="shared" si="117"/>
        <v>0.64975347815898121</v>
      </c>
      <c r="H195" s="60">
        <f t="shared" si="118"/>
        <v>0.65831387654373497</v>
      </c>
      <c r="I195" s="46">
        <f>CE_RegimeNaoContributivo!B367</f>
        <v>0</v>
      </c>
      <c r="J195" s="46">
        <f>CE_RegimeNaoContributivo!C367</f>
        <v>0</v>
      </c>
      <c r="K195" s="46">
        <f>CE_RegimeNaoContributivo!E367</f>
        <v>0</v>
      </c>
      <c r="L195" s="46">
        <f>CE_RegimeNaoContributivo!S367</f>
        <v>0</v>
      </c>
      <c r="M195" s="60" t="e">
        <f t="shared" si="119"/>
        <v>#DIV/0!</v>
      </c>
      <c r="N195" s="60" t="e">
        <f t="shared" si="120"/>
        <v>#DIV/0!</v>
      </c>
      <c r="O195" s="46">
        <f>CE_AdministraçãoINSS!B367</f>
        <v>0</v>
      </c>
      <c r="P195" s="46">
        <f>CE_AdministraçãoINSS!C367</f>
        <v>0</v>
      </c>
      <c r="Q195" s="46">
        <f>CE_AdministraçãoINSS!E367</f>
        <v>0</v>
      </c>
      <c r="R195" s="46">
        <f>CE_AdministraçãoINSS!S367</f>
        <v>0</v>
      </c>
      <c r="S195" s="60" t="e">
        <f t="shared" si="121"/>
        <v>#DIV/0!</v>
      </c>
      <c r="T195" s="60" t="e">
        <f t="shared" si="122"/>
        <v>#DIV/0!</v>
      </c>
      <c r="U195" s="46">
        <f t="shared" si="123"/>
        <v>550000</v>
      </c>
      <c r="V195" s="46">
        <f t="shared" si="123"/>
        <v>550000</v>
      </c>
      <c r="W195" s="46">
        <f t="shared" si="123"/>
        <v>362072.63209905423</v>
      </c>
      <c r="X195" s="46">
        <f t="shared" si="114"/>
        <v>357364.41298743966</v>
      </c>
      <c r="Y195" s="60">
        <f t="shared" si="124"/>
        <v>0.64975347815898121</v>
      </c>
      <c r="Z195" s="60">
        <f t="shared" si="125"/>
        <v>0.65831387654373497</v>
      </c>
      <c r="AA195" s="46">
        <f>CE_AdministraçãoFRSS!B367</f>
        <v>0</v>
      </c>
      <c r="AB195" s="46">
        <f>CE_AdministraçãoFRSS!C367</f>
        <v>0</v>
      </c>
      <c r="AC195" s="46">
        <f>CE_AdministraçãoFRSS!E367</f>
        <v>0</v>
      </c>
      <c r="AD195" s="46">
        <f>CE_AdministraçãoFRSS!S367</f>
        <v>0</v>
      </c>
      <c r="AE195" s="60" t="e">
        <f t="shared" si="126"/>
        <v>#DIV/0!</v>
      </c>
      <c r="AF195" s="60" t="e">
        <f t="shared" si="127"/>
        <v>#DIV/0!</v>
      </c>
      <c r="AG195" s="46">
        <f t="shared" si="128"/>
        <v>0</v>
      </c>
      <c r="AH195" s="46">
        <f t="shared" si="128"/>
        <v>0</v>
      </c>
      <c r="AI195" s="46">
        <f t="shared" si="128"/>
        <v>0</v>
      </c>
      <c r="AJ195" s="46">
        <f t="shared" si="115"/>
        <v>0</v>
      </c>
      <c r="AK195" s="60" t="e">
        <f t="shared" si="129"/>
        <v>#DIV/0!</v>
      </c>
      <c r="AL195" s="60" t="e">
        <f t="shared" si="130"/>
        <v>#DIV/0!</v>
      </c>
      <c r="AM195" s="46">
        <f t="shared" si="131"/>
        <v>550000</v>
      </c>
      <c r="AN195" s="46">
        <f t="shared" si="131"/>
        <v>550000</v>
      </c>
      <c r="AO195" s="46">
        <f t="shared" si="131"/>
        <v>362072.63209905423</v>
      </c>
      <c r="AP195" s="46">
        <f t="shared" si="116"/>
        <v>357364.41298743966</v>
      </c>
      <c r="AQ195" s="60">
        <f t="shared" si="132"/>
        <v>0.64975347815898121</v>
      </c>
      <c r="AR195" s="60">
        <f t="shared" si="133"/>
        <v>0.65831387654373497</v>
      </c>
      <c r="AT195" s="38"/>
      <c r="AU195" s="38"/>
      <c r="AV195" s="38"/>
      <c r="AW195" s="38"/>
      <c r="AY195" s="38"/>
      <c r="AZ195" s="38"/>
      <c r="BA195" s="38"/>
      <c r="BB195" s="38"/>
    </row>
    <row r="196" spans="1:54" x14ac:dyDescent="0.2">
      <c r="A196" s="45" t="str">
        <f>"503.03.19"</f>
        <v>503.03.19</v>
      </c>
      <c r="B196" s="47" t="s">
        <v>990</v>
      </c>
      <c r="C196" s="46">
        <f>CE_RegimeContributivo!B368</f>
        <v>0</v>
      </c>
      <c r="D196" s="46">
        <f>CE_RegimeContributivo!C368</f>
        <v>0</v>
      </c>
      <c r="E196" s="46">
        <f>CE_RegimeContributivo!E368</f>
        <v>0</v>
      </c>
      <c r="F196" s="46">
        <f>CE_RegimeContributivo!S368</f>
        <v>0</v>
      </c>
      <c r="G196" s="60" t="e">
        <f t="shared" si="117"/>
        <v>#DIV/0!</v>
      </c>
      <c r="H196" s="60" t="e">
        <f t="shared" si="118"/>
        <v>#DIV/0!</v>
      </c>
      <c r="I196" s="46">
        <f>CE_RegimeNaoContributivo!B368</f>
        <v>0</v>
      </c>
      <c r="J196" s="46">
        <f>CE_RegimeNaoContributivo!C368</f>
        <v>0</v>
      </c>
      <c r="K196" s="46">
        <f>CE_RegimeNaoContributivo!E368</f>
        <v>0</v>
      </c>
      <c r="L196" s="46">
        <f>CE_RegimeNaoContributivo!S368</f>
        <v>0</v>
      </c>
      <c r="M196" s="60" t="e">
        <f t="shared" si="119"/>
        <v>#DIV/0!</v>
      </c>
      <c r="N196" s="60" t="e">
        <f t="shared" si="120"/>
        <v>#DIV/0!</v>
      </c>
      <c r="O196" s="46">
        <f>CE_AdministraçãoINSS!B368</f>
        <v>0</v>
      </c>
      <c r="P196" s="46">
        <f>CE_AdministraçãoINSS!C368</f>
        <v>0</v>
      </c>
      <c r="Q196" s="46">
        <f>CE_AdministraçãoINSS!E368</f>
        <v>0</v>
      </c>
      <c r="R196" s="46">
        <f>CE_AdministraçãoINSS!S368</f>
        <v>0</v>
      </c>
      <c r="S196" s="60" t="e">
        <f t="shared" si="121"/>
        <v>#DIV/0!</v>
      </c>
      <c r="T196" s="60" t="e">
        <f t="shared" si="122"/>
        <v>#DIV/0!</v>
      </c>
      <c r="U196" s="46">
        <f t="shared" si="123"/>
        <v>0</v>
      </c>
      <c r="V196" s="46">
        <f t="shared" si="123"/>
        <v>0</v>
      </c>
      <c r="W196" s="46">
        <f t="shared" si="123"/>
        <v>0</v>
      </c>
      <c r="X196" s="46">
        <f t="shared" si="114"/>
        <v>0</v>
      </c>
      <c r="Y196" s="60" t="e">
        <f t="shared" si="124"/>
        <v>#DIV/0!</v>
      </c>
      <c r="Z196" s="60" t="e">
        <f t="shared" si="125"/>
        <v>#DIV/0!</v>
      </c>
      <c r="AA196" s="46">
        <f>CE_AdministraçãoFRSS!B368</f>
        <v>0</v>
      </c>
      <c r="AB196" s="46">
        <f>CE_AdministraçãoFRSS!C368</f>
        <v>0</v>
      </c>
      <c r="AC196" s="46">
        <f>CE_AdministraçãoFRSS!E368</f>
        <v>0</v>
      </c>
      <c r="AD196" s="46">
        <f>CE_AdministraçãoFRSS!S368</f>
        <v>0</v>
      </c>
      <c r="AE196" s="60" t="e">
        <f t="shared" si="126"/>
        <v>#DIV/0!</v>
      </c>
      <c r="AF196" s="60" t="e">
        <f t="shared" si="127"/>
        <v>#DIV/0!</v>
      </c>
      <c r="AG196" s="46">
        <f t="shared" si="128"/>
        <v>0</v>
      </c>
      <c r="AH196" s="46">
        <f t="shared" si="128"/>
        <v>0</v>
      </c>
      <c r="AI196" s="46">
        <f t="shared" si="128"/>
        <v>0</v>
      </c>
      <c r="AJ196" s="46">
        <f t="shared" si="115"/>
        <v>0</v>
      </c>
      <c r="AK196" s="60" t="e">
        <f t="shared" si="129"/>
        <v>#DIV/0!</v>
      </c>
      <c r="AL196" s="60" t="e">
        <f t="shared" si="130"/>
        <v>#DIV/0!</v>
      </c>
      <c r="AM196" s="46">
        <f t="shared" si="131"/>
        <v>0</v>
      </c>
      <c r="AN196" s="46">
        <f t="shared" si="131"/>
        <v>0</v>
      </c>
      <c r="AO196" s="46">
        <f t="shared" si="131"/>
        <v>0</v>
      </c>
      <c r="AP196" s="46">
        <f t="shared" si="116"/>
        <v>0</v>
      </c>
      <c r="AQ196" s="60" t="e">
        <f t="shared" si="132"/>
        <v>#DIV/0!</v>
      </c>
      <c r="AR196" s="60" t="e">
        <f t="shared" si="133"/>
        <v>#DIV/0!</v>
      </c>
      <c r="AT196" s="38"/>
      <c r="AU196" s="38"/>
      <c r="AV196" s="38"/>
      <c r="AW196" s="38"/>
      <c r="AY196" s="38"/>
      <c r="AZ196" s="38"/>
      <c r="BA196" s="38"/>
      <c r="BB196" s="38"/>
    </row>
    <row r="197" spans="1:54" x14ac:dyDescent="0.2">
      <c r="A197" s="45" t="str">
        <f>"503.03.20"</f>
        <v>503.03.20</v>
      </c>
      <c r="B197" s="47" t="s">
        <v>991</v>
      </c>
      <c r="C197" s="46">
        <f>CE_RegimeContributivo!B369</f>
        <v>1300000</v>
      </c>
      <c r="D197" s="46">
        <f>CE_RegimeContributivo!C369</f>
        <v>300000</v>
      </c>
      <c r="E197" s="46">
        <f>CE_RegimeContributivo!E369</f>
        <v>7528.4</v>
      </c>
      <c r="F197" s="46">
        <f>CE_RegimeContributivo!S369</f>
        <v>7391.0399999999991</v>
      </c>
      <c r="G197" s="60">
        <f t="shared" si="117"/>
        <v>2.4636799999999997E-2</v>
      </c>
      <c r="H197" s="60">
        <f t="shared" si="118"/>
        <v>2.5094666666666664E-2</v>
      </c>
      <c r="I197" s="46">
        <f>CE_RegimeNaoContributivo!B369</f>
        <v>0</v>
      </c>
      <c r="J197" s="46">
        <f>CE_RegimeNaoContributivo!C369</f>
        <v>0</v>
      </c>
      <c r="K197" s="46">
        <f>CE_RegimeNaoContributivo!E369</f>
        <v>0</v>
      </c>
      <c r="L197" s="46">
        <f>CE_RegimeNaoContributivo!S369</f>
        <v>0</v>
      </c>
      <c r="M197" s="60" t="e">
        <f t="shared" si="119"/>
        <v>#DIV/0!</v>
      </c>
      <c r="N197" s="60" t="e">
        <f t="shared" si="120"/>
        <v>#DIV/0!</v>
      </c>
      <c r="O197" s="46">
        <f>CE_AdministraçãoINSS!B369</f>
        <v>0</v>
      </c>
      <c r="P197" s="46">
        <f>CE_AdministraçãoINSS!C369</f>
        <v>0</v>
      </c>
      <c r="Q197" s="46">
        <f>CE_AdministraçãoINSS!E369</f>
        <v>0</v>
      </c>
      <c r="R197" s="46">
        <f>CE_AdministraçãoINSS!S369</f>
        <v>0</v>
      </c>
      <c r="S197" s="60" t="e">
        <f t="shared" si="121"/>
        <v>#DIV/0!</v>
      </c>
      <c r="T197" s="60" t="e">
        <f t="shared" si="122"/>
        <v>#DIV/0!</v>
      </c>
      <c r="U197" s="46">
        <f t="shared" si="123"/>
        <v>1300000</v>
      </c>
      <c r="V197" s="46">
        <f t="shared" si="123"/>
        <v>300000</v>
      </c>
      <c r="W197" s="46">
        <f t="shared" si="123"/>
        <v>7528.4</v>
      </c>
      <c r="X197" s="46">
        <f t="shared" si="114"/>
        <v>7391.0399999999991</v>
      </c>
      <c r="Y197" s="60">
        <f t="shared" si="124"/>
        <v>2.4636799999999997E-2</v>
      </c>
      <c r="Z197" s="60">
        <f t="shared" si="125"/>
        <v>2.5094666666666664E-2</v>
      </c>
      <c r="AA197" s="46">
        <f>CE_AdministraçãoFRSS!B369</f>
        <v>0</v>
      </c>
      <c r="AB197" s="46">
        <f>CE_AdministraçãoFRSS!C369</f>
        <v>0</v>
      </c>
      <c r="AC197" s="46">
        <f>CE_AdministraçãoFRSS!E369</f>
        <v>0</v>
      </c>
      <c r="AD197" s="46">
        <f>CE_AdministraçãoFRSS!S369</f>
        <v>0</v>
      </c>
      <c r="AE197" s="60" t="e">
        <f t="shared" si="126"/>
        <v>#DIV/0!</v>
      </c>
      <c r="AF197" s="60" t="e">
        <f t="shared" si="127"/>
        <v>#DIV/0!</v>
      </c>
      <c r="AG197" s="46">
        <f t="shared" si="128"/>
        <v>0</v>
      </c>
      <c r="AH197" s="46">
        <f t="shared" si="128"/>
        <v>0</v>
      </c>
      <c r="AI197" s="46">
        <f t="shared" si="128"/>
        <v>0</v>
      </c>
      <c r="AJ197" s="46">
        <f t="shared" si="115"/>
        <v>0</v>
      </c>
      <c r="AK197" s="60" t="e">
        <f t="shared" si="129"/>
        <v>#DIV/0!</v>
      </c>
      <c r="AL197" s="60" t="e">
        <f t="shared" si="130"/>
        <v>#DIV/0!</v>
      </c>
      <c r="AM197" s="46">
        <f t="shared" si="131"/>
        <v>1300000</v>
      </c>
      <c r="AN197" s="46">
        <f t="shared" si="131"/>
        <v>300000</v>
      </c>
      <c r="AO197" s="46">
        <f t="shared" si="131"/>
        <v>7528.4</v>
      </c>
      <c r="AP197" s="46">
        <f t="shared" si="116"/>
        <v>7391.0399999999991</v>
      </c>
      <c r="AQ197" s="60">
        <f t="shared" si="132"/>
        <v>2.4636799999999997E-2</v>
      </c>
      <c r="AR197" s="60">
        <f t="shared" si="133"/>
        <v>2.5094666666666664E-2</v>
      </c>
      <c r="AT197" s="38"/>
      <c r="AU197" s="38"/>
      <c r="AV197" s="38"/>
      <c r="AW197" s="38"/>
      <c r="AY197" s="38"/>
      <c r="AZ197" s="38"/>
      <c r="BA197" s="38"/>
      <c r="BB197" s="38"/>
    </row>
    <row r="198" spans="1:54" x14ac:dyDescent="0.2">
      <c r="A198" s="45" t="str">
        <f>"503.03.21"</f>
        <v>503.03.21</v>
      </c>
      <c r="B198" s="47" t="s">
        <v>992</v>
      </c>
      <c r="C198" s="46">
        <f>CE_RegimeContributivo!B370</f>
        <v>0</v>
      </c>
      <c r="D198" s="46">
        <f>CE_RegimeContributivo!C370</f>
        <v>0</v>
      </c>
      <c r="E198" s="46">
        <f>CE_RegimeContributivo!E370</f>
        <v>0</v>
      </c>
      <c r="F198" s="46">
        <f>CE_RegimeContributivo!S370</f>
        <v>0</v>
      </c>
      <c r="G198" s="60" t="e">
        <f t="shared" si="117"/>
        <v>#DIV/0!</v>
      </c>
      <c r="H198" s="60" t="e">
        <f t="shared" si="118"/>
        <v>#DIV/0!</v>
      </c>
      <c r="I198" s="46">
        <f>CE_RegimeNaoContributivo!B370</f>
        <v>0</v>
      </c>
      <c r="J198" s="46">
        <f>CE_RegimeNaoContributivo!C370</f>
        <v>0</v>
      </c>
      <c r="K198" s="46">
        <f>CE_RegimeNaoContributivo!E370</f>
        <v>0</v>
      </c>
      <c r="L198" s="46">
        <f>CE_RegimeNaoContributivo!S370</f>
        <v>0</v>
      </c>
      <c r="M198" s="60" t="e">
        <f t="shared" si="119"/>
        <v>#DIV/0!</v>
      </c>
      <c r="N198" s="60" t="e">
        <f t="shared" si="120"/>
        <v>#DIV/0!</v>
      </c>
      <c r="O198" s="46">
        <f>CE_AdministraçãoINSS!B370</f>
        <v>0</v>
      </c>
      <c r="P198" s="46">
        <f>CE_AdministraçãoINSS!C370</f>
        <v>0</v>
      </c>
      <c r="Q198" s="46">
        <f>CE_AdministraçãoINSS!E370</f>
        <v>0</v>
      </c>
      <c r="R198" s="46">
        <f>CE_AdministraçãoINSS!S370</f>
        <v>0</v>
      </c>
      <c r="S198" s="60" t="e">
        <f t="shared" si="121"/>
        <v>#DIV/0!</v>
      </c>
      <c r="T198" s="60" t="e">
        <f t="shared" si="122"/>
        <v>#DIV/0!</v>
      </c>
      <c r="U198" s="46">
        <f t="shared" si="123"/>
        <v>0</v>
      </c>
      <c r="V198" s="46">
        <f t="shared" si="123"/>
        <v>0</v>
      </c>
      <c r="W198" s="46">
        <f t="shared" si="123"/>
        <v>0</v>
      </c>
      <c r="X198" s="46">
        <f t="shared" si="114"/>
        <v>0</v>
      </c>
      <c r="Y198" s="60" t="e">
        <f t="shared" si="124"/>
        <v>#DIV/0!</v>
      </c>
      <c r="Z198" s="60" t="e">
        <f t="shared" si="125"/>
        <v>#DIV/0!</v>
      </c>
      <c r="AA198" s="46">
        <f>CE_AdministraçãoFRSS!B370</f>
        <v>0</v>
      </c>
      <c r="AB198" s="46">
        <f>CE_AdministraçãoFRSS!C370</f>
        <v>0</v>
      </c>
      <c r="AC198" s="46">
        <f>CE_AdministraçãoFRSS!E370</f>
        <v>0</v>
      </c>
      <c r="AD198" s="46">
        <f>CE_AdministraçãoFRSS!S370</f>
        <v>0</v>
      </c>
      <c r="AE198" s="60" t="e">
        <f t="shared" si="126"/>
        <v>#DIV/0!</v>
      </c>
      <c r="AF198" s="60" t="e">
        <f t="shared" si="127"/>
        <v>#DIV/0!</v>
      </c>
      <c r="AG198" s="46">
        <f t="shared" si="128"/>
        <v>0</v>
      </c>
      <c r="AH198" s="46">
        <f t="shared" si="128"/>
        <v>0</v>
      </c>
      <c r="AI198" s="46">
        <f t="shared" si="128"/>
        <v>0</v>
      </c>
      <c r="AJ198" s="46">
        <f t="shared" si="115"/>
        <v>0</v>
      </c>
      <c r="AK198" s="60" t="e">
        <f t="shared" si="129"/>
        <v>#DIV/0!</v>
      </c>
      <c r="AL198" s="60" t="e">
        <f t="shared" si="130"/>
        <v>#DIV/0!</v>
      </c>
      <c r="AM198" s="46">
        <f t="shared" si="131"/>
        <v>0</v>
      </c>
      <c r="AN198" s="46">
        <f t="shared" si="131"/>
        <v>0</v>
      </c>
      <c r="AO198" s="46">
        <f t="shared" si="131"/>
        <v>0</v>
      </c>
      <c r="AP198" s="46">
        <f t="shared" si="116"/>
        <v>0</v>
      </c>
      <c r="AQ198" s="60" t="e">
        <f t="shared" si="132"/>
        <v>#DIV/0!</v>
      </c>
      <c r="AR198" s="60" t="e">
        <f t="shared" si="133"/>
        <v>#DIV/0!</v>
      </c>
      <c r="AT198" s="38"/>
      <c r="AU198" s="38"/>
      <c r="AV198" s="38"/>
      <c r="AW198" s="38"/>
      <c r="AY198" s="38"/>
      <c r="AZ198" s="38"/>
      <c r="BA198" s="38"/>
      <c r="BB198" s="38"/>
    </row>
    <row r="199" spans="1:54" x14ac:dyDescent="0.2">
      <c r="A199" s="45" t="str">
        <f>"503.03.22"</f>
        <v>503.03.22</v>
      </c>
      <c r="B199" s="47" t="s">
        <v>993</v>
      </c>
      <c r="C199" s="46">
        <f>CE_RegimeContributivo!B371</f>
        <v>0</v>
      </c>
      <c r="D199" s="46">
        <f>CE_RegimeContributivo!C371</f>
        <v>0</v>
      </c>
      <c r="E199" s="46">
        <f>CE_RegimeContributivo!E371</f>
        <v>0</v>
      </c>
      <c r="F199" s="46">
        <f>CE_RegimeContributivo!S371</f>
        <v>0</v>
      </c>
      <c r="G199" s="60" t="e">
        <f t="shared" si="117"/>
        <v>#DIV/0!</v>
      </c>
      <c r="H199" s="60" t="e">
        <f t="shared" si="118"/>
        <v>#DIV/0!</v>
      </c>
      <c r="I199" s="46">
        <f>CE_RegimeNaoContributivo!B371</f>
        <v>0</v>
      </c>
      <c r="J199" s="46">
        <f>CE_RegimeNaoContributivo!C371</f>
        <v>0</v>
      </c>
      <c r="K199" s="46">
        <f>CE_RegimeNaoContributivo!E371</f>
        <v>0</v>
      </c>
      <c r="L199" s="46">
        <f>CE_RegimeNaoContributivo!S371</f>
        <v>0</v>
      </c>
      <c r="M199" s="60" t="e">
        <f t="shared" si="119"/>
        <v>#DIV/0!</v>
      </c>
      <c r="N199" s="60" t="e">
        <f t="shared" si="120"/>
        <v>#DIV/0!</v>
      </c>
      <c r="O199" s="46">
        <f>CE_AdministraçãoINSS!B371</f>
        <v>0</v>
      </c>
      <c r="P199" s="46">
        <f>CE_AdministraçãoINSS!C371</f>
        <v>0</v>
      </c>
      <c r="Q199" s="46">
        <f>CE_AdministraçãoINSS!E371</f>
        <v>0</v>
      </c>
      <c r="R199" s="46">
        <f>CE_AdministraçãoINSS!S371</f>
        <v>0</v>
      </c>
      <c r="S199" s="60" t="e">
        <f t="shared" si="121"/>
        <v>#DIV/0!</v>
      </c>
      <c r="T199" s="60" t="e">
        <f t="shared" si="122"/>
        <v>#DIV/0!</v>
      </c>
      <c r="U199" s="46">
        <f t="shared" si="123"/>
        <v>0</v>
      </c>
      <c r="V199" s="46">
        <f t="shared" si="123"/>
        <v>0</v>
      </c>
      <c r="W199" s="46">
        <f t="shared" si="123"/>
        <v>0</v>
      </c>
      <c r="X199" s="46">
        <f t="shared" si="114"/>
        <v>0</v>
      </c>
      <c r="Y199" s="60" t="e">
        <f t="shared" si="124"/>
        <v>#DIV/0!</v>
      </c>
      <c r="Z199" s="60" t="e">
        <f t="shared" si="125"/>
        <v>#DIV/0!</v>
      </c>
      <c r="AA199" s="46">
        <f>CE_AdministraçãoFRSS!B371</f>
        <v>0</v>
      </c>
      <c r="AB199" s="46">
        <f>CE_AdministraçãoFRSS!C371</f>
        <v>0</v>
      </c>
      <c r="AC199" s="46">
        <f>CE_AdministraçãoFRSS!E371</f>
        <v>0</v>
      </c>
      <c r="AD199" s="46">
        <f>CE_AdministraçãoFRSS!S371</f>
        <v>0</v>
      </c>
      <c r="AE199" s="60" t="e">
        <f t="shared" si="126"/>
        <v>#DIV/0!</v>
      </c>
      <c r="AF199" s="60" t="e">
        <f t="shared" si="127"/>
        <v>#DIV/0!</v>
      </c>
      <c r="AG199" s="46">
        <f t="shared" si="128"/>
        <v>0</v>
      </c>
      <c r="AH199" s="46">
        <f t="shared" si="128"/>
        <v>0</v>
      </c>
      <c r="AI199" s="46">
        <f t="shared" si="128"/>
        <v>0</v>
      </c>
      <c r="AJ199" s="46">
        <f t="shared" si="115"/>
        <v>0</v>
      </c>
      <c r="AK199" s="60" t="e">
        <f t="shared" si="129"/>
        <v>#DIV/0!</v>
      </c>
      <c r="AL199" s="60" t="e">
        <f t="shared" si="130"/>
        <v>#DIV/0!</v>
      </c>
      <c r="AM199" s="46">
        <f t="shared" si="131"/>
        <v>0</v>
      </c>
      <c r="AN199" s="46">
        <f t="shared" si="131"/>
        <v>0</v>
      </c>
      <c r="AO199" s="46">
        <f t="shared" si="131"/>
        <v>0</v>
      </c>
      <c r="AP199" s="46">
        <f t="shared" si="116"/>
        <v>0</v>
      </c>
      <c r="AQ199" s="60" t="e">
        <f t="shared" si="132"/>
        <v>#DIV/0!</v>
      </c>
      <c r="AR199" s="60" t="e">
        <f t="shared" si="133"/>
        <v>#DIV/0!</v>
      </c>
      <c r="AT199" s="38"/>
      <c r="AU199" s="38"/>
      <c r="AV199" s="38"/>
      <c r="AW199" s="38"/>
      <c r="AY199" s="38"/>
      <c r="AZ199" s="38"/>
      <c r="BA199" s="38"/>
      <c r="BB199" s="38"/>
    </row>
    <row r="200" spans="1:54" x14ac:dyDescent="0.2">
      <c r="A200" s="45" t="str">
        <f>"503.03.23"</f>
        <v>503.03.23</v>
      </c>
      <c r="B200" s="47" t="s">
        <v>994</v>
      </c>
      <c r="C200" s="46">
        <f>CE_RegimeContributivo!B372</f>
        <v>0</v>
      </c>
      <c r="D200" s="46">
        <f>CE_RegimeContributivo!C372</f>
        <v>0</v>
      </c>
      <c r="E200" s="46">
        <f>CE_RegimeContributivo!E372</f>
        <v>0</v>
      </c>
      <c r="F200" s="46">
        <f>CE_RegimeContributivo!S372</f>
        <v>0</v>
      </c>
      <c r="G200" s="60" t="e">
        <f t="shared" si="117"/>
        <v>#DIV/0!</v>
      </c>
      <c r="H200" s="60" t="e">
        <f t="shared" si="118"/>
        <v>#DIV/0!</v>
      </c>
      <c r="I200" s="46">
        <f>CE_RegimeNaoContributivo!B372</f>
        <v>0</v>
      </c>
      <c r="J200" s="46">
        <f>CE_RegimeNaoContributivo!C372</f>
        <v>0</v>
      </c>
      <c r="K200" s="46">
        <f>CE_RegimeNaoContributivo!E372</f>
        <v>0</v>
      </c>
      <c r="L200" s="46">
        <f>CE_RegimeNaoContributivo!S372</f>
        <v>0</v>
      </c>
      <c r="M200" s="60" t="e">
        <f t="shared" si="119"/>
        <v>#DIV/0!</v>
      </c>
      <c r="N200" s="60" t="e">
        <f t="shared" si="120"/>
        <v>#DIV/0!</v>
      </c>
      <c r="O200" s="46">
        <f>CE_AdministraçãoINSS!B372</f>
        <v>0</v>
      </c>
      <c r="P200" s="46">
        <f>CE_AdministraçãoINSS!C372</f>
        <v>0</v>
      </c>
      <c r="Q200" s="46">
        <f>CE_AdministraçãoINSS!E372</f>
        <v>0</v>
      </c>
      <c r="R200" s="46">
        <f>CE_AdministraçãoINSS!S372</f>
        <v>0</v>
      </c>
      <c r="S200" s="60" t="e">
        <f t="shared" si="121"/>
        <v>#DIV/0!</v>
      </c>
      <c r="T200" s="60" t="e">
        <f t="shared" si="122"/>
        <v>#DIV/0!</v>
      </c>
      <c r="U200" s="46">
        <f t="shared" si="123"/>
        <v>0</v>
      </c>
      <c r="V200" s="46">
        <f t="shared" si="123"/>
        <v>0</v>
      </c>
      <c r="W200" s="46">
        <f t="shared" si="123"/>
        <v>0</v>
      </c>
      <c r="X200" s="46">
        <f t="shared" si="123"/>
        <v>0</v>
      </c>
      <c r="Y200" s="60" t="e">
        <f t="shared" si="124"/>
        <v>#DIV/0!</v>
      </c>
      <c r="Z200" s="60" t="e">
        <f t="shared" si="125"/>
        <v>#DIV/0!</v>
      </c>
      <c r="AA200" s="46">
        <f>CE_AdministraçãoFRSS!B372</f>
        <v>0</v>
      </c>
      <c r="AB200" s="46">
        <f>CE_AdministraçãoFRSS!C372</f>
        <v>0</v>
      </c>
      <c r="AC200" s="46">
        <f>CE_AdministraçãoFRSS!E372</f>
        <v>0</v>
      </c>
      <c r="AD200" s="46">
        <f>CE_AdministraçãoFRSS!S372</f>
        <v>0</v>
      </c>
      <c r="AE200" s="60" t="e">
        <f t="shared" si="126"/>
        <v>#DIV/0!</v>
      </c>
      <c r="AF200" s="60" t="e">
        <f t="shared" si="127"/>
        <v>#DIV/0!</v>
      </c>
      <c r="AG200" s="46">
        <f t="shared" si="128"/>
        <v>0</v>
      </c>
      <c r="AH200" s="46">
        <f t="shared" si="128"/>
        <v>0</v>
      </c>
      <c r="AI200" s="46">
        <f t="shared" si="128"/>
        <v>0</v>
      </c>
      <c r="AJ200" s="46">
        <f t="shared" si="128"/>
        <v>0</v>
      </c>
      <c r="AK200" s="60" t="e">
        <f t="shared" si="129"/>
        <v>#DIV/0!</v>
      </c>
      <c r="AL200" s="60" t="e">
        <f t="shared" si="130"/>
        <v>#DIV/0!</v>
      </c>
      <c r="AM200" s="46">
        <f t="shared" si="131"/>
        <v>0</v>
      </c>
      <c r="AN200" s="46">
        <f t="shared" si="131"/>
        <v>0</v>
      </c>
      <c r="AO200" s="46">
        <f t="shared" si="131"/>
        <v>0</v>
      </c>
      <c r="AP200" s="46">
        <f t="shared" si="131"/>
        <v>0</v>
      </c>
      <c r="AQ200" s="60" t="e">
        <f t="shared" si="132"/>
        <v>#DIV/0!</v>
      </c>
      <c r="AR200" s="60" t="e">
        <f t="shared" si="133"/>
        <v>#DIV/0!</v>
      </c>
      <c r="AT200" s="38"/>
      <c r="AU200" s="38"/>
      <c r="AV200" s="38"/>
      <c r="AW200" s="38"/>
      <c r="AY200" s="38"/>
      <c r="AZ200" s="38"/>
      <c r="BA200" s="38"/>
      <c r="BB200" s="38"/>
    </row>
    <row r="201" spans="1:54" x14ac:dyDescent="0.2">
      <c r="A201" s="45" t="str">
        <f>"503.03.24"</f>
        <v>503.03.24</v>
      </c>
      <c r="B201" s="47" t="s">
        <v>995</v>
      </c>
      <c r="C201" s="46">
        <f>CE_RegimeContributivo!B373</f>
        <v>0</v>
      </c>
      <c r="D201" s="46">
        <f>CE_RegimeContributivo!C373</f>
        <v>0</v>
      </c>
      <c r="E201" s="46">
        <f>CE_RegimeContributivo!E373</f>
        <v>0</v>
      </c>
      <c r="F201" s="46">
        <f>CE_RegimeContributivo!S373</f>
        <v>0</v>
      </c>
      <c r="G201" s="60" t="e">
        <f t="shared" si="117"/>
        <v>#DIV/0!</v>
      </c>
      <c r="H201" s="60" t="e">
        <f t="shared" si="118"/>
        <v>#DIV/0!</v>
      </c>
      <c r="I201" s="46">
        <f>CE_RegimeNaoContributivo!B373</f>
        <v>0</v>
      </c>
      <c r="J201" s="46">
        <f>CE_RegimeNaoContributivo!C373</f>
        <v>0</v>
      </c>
      <c r="K201" s="46">
        <f>CE_RegimeNaoContributivo!E373</f>
        <v>0</v>
      </c>
      <c r="L201" s="46">
        <f>CE_RegimeNaoContributivo!S373</f>
        <v>0</v>
      </c>
      <c r="M201" s="60" t="e">
        <f t="shared" si="119"/>
        <v>#DIV/0!</v>
      </c>
      <c r="N201" s="60" t="e">
        <f t="shared" si="120"/>
        <v>#DIV/0!</v>
      </c>
      <c r="O201" s="46">
        <f>CE_AdministraçãoINSS!B373</f>
        <v>0</v>
      </c>
      <c r="P201" s="46">
        <f>CE_AdministraçãoINSS!C373</f>
        <v>0</v>
      </c>
      <c r="Q201" s="46">
        <f>CE_AdministraçãoINSS!E373</f>
        <v>0</v>
      </c>
      <c r="R201" s="46">
        <f>CE_AdministraçãoINSS!S373</f>
        <v>0</v>
      </c>
      <c r="S201" s="60" t="e">
        <f t="shared" si="121"/>
        <v>#DIV/0!</v>
      </c>
      <c r="T201" s="60" t="e">
        <f t="shared" si="122"/>
        <v>#DIV/0!</v>
      </c>
      <c r="U201" s="46">
        <f t="shared" si="123"/>
        <v>0</v>
      </c>
      <c r="V201" s="46">
        <f t="shared" si="123"/>
        <v>0</v>
      </c>
      <c r="W201" s="46">
        <f t="shared" si="123"/>
        <v>0</v>
      </c>
      <c r="X201" s="46">
        <f t="shared" si="123"/>
        <v>0</v>
      </c>
      <c r="Y201" s="60" t="e">
        <f t="shared" si="124"/>
        <v>#DIV/0!</v>
      </c>
      <c r="Z201" s="60" t="e">
        <f t="shared" si="125"/>
        <v>#DIV/0!</v>
      </c>
      <c r="AA201" s="46">
        <f>CE_AdministraçãoFRSS!B373</f>
        <v>0</v>
      </c>
      <c r="AB201" s="46">
        <f>CE_AdministraçãoFRSS!C373</f>
        <v>0</v>
      </c>
      <c r="AC201" s="46">
        <f>CE_AdministraçãoFRSS!E373</f>
        <v>0</v>
      </c>
      <c r="AD201" s="46">
        <f>CE_AdministraçãoFRSS!S373</f>
        <v>0</v>
      </c>
      <c r="AE201" s="60" t="e">
        <f t="shared" si="126"/>
        <v>#DIV/0!</v>
      </c>
      <c r="AF201" s="60" t="e">
        <f t="shared" si="127"/>
        <v>#DIV/0!</v>
      </c>
      <c r="AG201" s="46">
        <f t="shared" si="128"/>
        <v>0</v>
      </c>
      <c r="AH201" s="46">
        <f t="shared" si="128"/>
        <v>0</v>
      </c>
      <c r="AI201" s="46">
        <f t="shared" si="128"/>
        <v>0</v>
      </c>
      <c r="AJ201" s="46">
        <f t="shared" si="128"/>
        <v>0</v>
      </c>
      <c r="AK201" s="60" t="e">
        <f t="shared" si="129"/>
        <v>#DIV/0!</v>
      </c>
      <c r="AL201" s="60" t="e">
        <f t="shared" si="130"/>
        <v>#DIV/0!</v>
      </c>
      <c r="AM201" s="46">
        <f t="shared" si="131"/>
        <v>0</v>
      </c>
      <c r="AN201" s="46">
        <f t="shared" si="131"/>
        <v>0</v>
      </c>
      <c r="AO201" s="46">
        <f t="shared" si="131"/>
        <v>0</v>
      </c>
      <c r="AP201" s="46">
        <f t="shared" si="131"/>
        <v>0</v>
      </c>
      <c r="AQ201" s="60" t="e">
        <f t="shared" si="132"/>
        <v>#DIV/0!</v>
      </c>
      <c r="AR201" s="60" t="e">
        <f t="shared" si="133"/>
        <v>#DIV/0!</v>
      </c>
      <c r="AT201" s="38"/>
      <c r="AU201" s="38"/>
      <c r="AV201" s="38"/>
      <c r="AW201" s="38"/>
      <c r="AY201" s="38"/>
      <c r="AZ201" s="38"/>
      <c r="BA201" s="38"/>
      <c r="BB201" s="38"/>
    </row>
    <row r="202" spans="1:54" x14ac:dyDescent="0.2">
      <c r="A202" s="45" t="str">
        <f>"503.03.25"</f>
        <v>503.03.25</v>
      </c>
      <c r="B202" s="47" t="s">
        <v>996</v>
      </c>
      <c r="C202" s="46">
        <f>CE_RegimeContributivo!B374</f>
        <v>0</v>
      </c>
      <c r="D202" s="46">
        <f>CE_RegimeContributivo!C374</f>
        <v>0</v>
      </c>
      <c r="E202" s="46">
        <f>CE_RegimeContributivo!E374</f>
        <v>0</v>
      </c>
      <c r="F202" s="46">
        <f>CE_RegimeContributivo!S374</f>
        <v>0</v>
      </c>
      <c r="G202" s="60" t="e">
        <f t="shared" si="117"/>
        <v>#DIV/0!</v>
      </c>
      <c r="H202" s="60" t="e">
        <f t="shared" si="118"/>
        <v>#DIV/0!</v>
      </c>
      <c r="I202" s="46">
        <f>CE_RegimeNaoContributivo!B374</f>
        <v>0</v>
      </c>
      <c r="J202" s="46">
        <f>CE_RegimeNaoContributivo!C374</f>
        <v>0</v>
      </c>
      <c r="K202" s="46">
        <f>CE_RegimeNaoContributivo!E374</f>
        <v>0</v>
      </c>
      <c r="L202" s="46">
        <f>CE_RegimeNaoContributivo!S374</f>
        <v>0</v>
      </c>
      <c r="M202" s="60" t="e">
        <f t="shared" si="119"/>
        <v>#DIV/0!</v>
      </c>
      <c r="N202" s="60" t="e">
        <f t="shared" si="120"/>
        <v>#DIV/0!</v>
      </c>
      <c r="O202" s="46">
        <f>CE_AdministraçãoINSS!B374</f>
        <v>0</v>
      </c>
      <c r="P202" s="46">
        <f>CE_AdministraçãoINSS!C374</f>
        <v>0</v>
      </c>
      <c r="Q202" s="46">
        <f>CE_AdministraçãoINSS!E374</f>
        <v>0</v>
      </c>
      <c r="R202" s="46">
        <f>CE_AdministraçãoINSS!S374</f>
        <v>0</v>
      </c>
      <c r="S202" s="60" t="e">
        <f t="shared" si="121"/>
        <v>#DIV/0!</v>
      </c>
      <c r="T202" s="60" t="e">
        <f t="shared" si="122"/>
        <v>#DIV/0!</v>
      </c>
      <c r="U202" s="46">
        <f t="shared" si="123"/>
        <v>0</v>
      </c>
      <c r="V202" s="46">
        <f t="shared" si="123"/>
        <v>0</v>
      </c>
      <c r="W202" s="46">
        <f t="shared" si="123"/>
        <v>0</v>
      </c>
      <c r="X202" s="46">
        <f t="shared" si="123"/>
        <v>0</v>
      </c>
      <c r="Y202" s="60" t="e">
        <f t="shared" si="124"/>
        <v>#DIV/0!</v>
      </c>
      <c r="Z202" s="60" t="e">
        <f t="shared" si="125"/>
        <v>#DIV/0!</v>
      </c>
      <c r="AA202" s="46">
        <f>CE_AdministraçãoFRSS!B374</f>
        <v>0</v>
      </c>
      <c r="AB202" s="46">
        <f>CE_AdministraçãoFRSS!C374</f>
        <v>0</v>
      </c>
      <c r="AC202" s="46">
        <f>CE_AdministraçãoFRSS!E374</f>
        <v>0</v>
      </c>
      <c r="AD202" s="46">
        <f>CE_AdministraçãoFRSS!S374</f>
        <v>0</v>
      </c>
      <c r="AE202" s="60" t="e">
        <f t="shared" si="126"/>
        <v>#DIV/0!</v>
      </c>
      <c r="AF202" s="60" t="e">
        <f t="shared" si="127"/>
        <v>#DIV/0!</v>
      </c>
      <c r="AG202" s="46">
        <f t="shared" si="128"/>
        <v>0</v>
      </c>
      <c r="AH202" s="46">
        <f t="shared" si="128"/>
        <v>0</v>
      </c>
      <c r="AI202" s="46">
        <f t="shared" si="128"/>
        <v>0</v>
      </c>
      <c r="AJ202" s="46">
        <f t="shared" si="128"/>
        <v>0</v>
      </c>
      <c r="AK202" s="60" t="e">
        <f t="shared" si="129"/>
        <v>#DIV/0!</v>
      </c>
      <c r="AL202" s="60" t="e">
        <f t="shared" si="130"/>
        <v>#DIV/0!</v>
      </c>
      <c r="AM202" s="46">
        <f t="shared" si="131"/>
        <v>0</v>
      </c>
      <c r="AN202" s="46">
        <f t="shared" si="131"/>
        <v>0</v>
      </c>
      <c r="AO202" s="46">
        <f t="shared" si="131"/>
        <v>0</v>
      </c>
      <c r="AP202" s="46">
        <f t="shared" si="131"/>
        <v>0</v>
      </c>
      <c r="AQ202" s="60" t="e">
        <f t="shared" si="132"/>
        <v>#DIV/0!</v>
      </c>
      <c r="AR202" s="60" t="e">
        <f t="shared" si="133"/>
        <v>#DIV/0!</v>
      </c>
      <c r="AT202" s="38"/>
      <c r="AU202" s="38"/>
      <c r="AV202" s="38"/>
      <c r="AW202" s="38"/>
      <c r="AY202" s="38"/>
      <c r="AZ202" s="38"/>
      <c r="BA202" s="38"/>
      <c r="BB202" s="38"/>
    </row>
    <row r="203" spans="1:54" x14ac:dyDescent="0.2">
      <c r="A203" s="45" t="str">
        <f>"503.03.26"</f>
        <v>503.03.26</v>
      </c>
      <c r="B203" s="47" t="s">
        <v>997</v>
      </c>
      <c r="C203" s="46">
        <f>CE_RegimeContributivo!B375</f>
        <v>0</v>
      </c>
      <c r="D203" s="46">
        <f>CE_RegimeContributivo!C375</f>
        <v>0</v>
      </c>
      <c r="E203" s="46">
        <f>CE_RegimeContributivo!E375</f>
        <v>0</v>
      </c>
      <c r="F203" s="46">
        <f>CE_RegimeContributivo!S375</f>
        <v>0</v>
      </c>
      <c r="G203" s="60" t="e">
        <f t="shared" ref="G203:G268" si="166">F203/D203</f>
        <v>#DIV/0!</v>
      </c>
      <c r="H203" s="60" t="e">
        <f t="shared" ref="H203:H268" si="167">E203/D203</f>
        <v>#DIV/0!</v>
      </c>
      <c r="I203" s="46">
        <f>CE_RegimeNaoContributivo!B375</f>
        <v>0</v>
      </c>
      <c r="J203" s="46">
        <f>CE_RegimeNaoContributivo!C375</f>
        <v>0</v>
      </c>
      <c r="K203" s="46">
        <f>CE_RegimeNaoContributivo!E375</f>
        <v>0</v>
      </c>
      <c r="L203" s="46">
        <f>CE_RegimeNaoContributivo!S375</f>
        <v>0</v>
      </c>
      <c r="M203" s="60" t="e">
        <f t="shared" ref="M203:M268" si="168">L203/J203</f>
        <v>#DIV/0!</v>
      </c>
      <c r="N203" s="60" t="e">
        <f t="shared" ref="N203:N268" si="169">K203/J203</f>
        <v>#DIV/0!</v>
      </c>
      <c r="O203" s="46">
        <f>CE_AdministraçãoINSS!B375</f>
        <v>0</v>
      </c>
      <c r="P203" s="46">
        <f>CE_AdministraçãoINSS!C375</f>
        <v>0</v>
      </c>
      <c r="Q203" s="46">
        <f>CE_AdministraçãoINSS!E375</f>
        <v>0</v>
      </c>
      <c r="R203" s="46">
        <f>CE_AdministraçãoINSS!S375</f>
        <v>0</v>
      </c>
      <c r="S203" s="60" t="e">
        <f t="shared" ref="S203:S268" si="170">R203/P203</f>
        <v>#DIV/0!</v>
      </c>
      <c r="T203" s="60" t="e">
        <f t="shared" ref="T203:T268" si="171">Q203/P203</f>
        <v>#DIV/0!</v>
      </c>
      <c r="U203" s="46">
        <f t="shared" ref="U203:X266" si="172">C203+I203+O203</f>
        <v>0</v>
      </c>
      <c r="V203" s="46">
        <f t="shared" si="172"/>
        <v>0</v>
      </c>
      <c r="W203" s="46">
        <f t="shared" si="172"/>
        <v>0</v>
      </c>
      <c r="X203" s="46">
        <f t="shared" si="172"/>
        <v>0</v>
      </c>
      <c r="Y203" s="60" t="e">
        <f t="shared" ref="Y203:Y268" si="173">X203/V203</f>
        <v>#DIV/0!</v>
      </c>
      <c r="Z203" s="60" t="e">
        <f t="shared" ref="Z203:Z268" si="174">W203/V203</f>
        <v>#DIV/0!</v>
      </c>
      <c r="AA203" s="46">
        <f>CE_AdministraçãoFRSS!B375</f>
        <v>0</v>
      </c>
      <c r="AB203" s="46">
        <f>CE_AdministraçãoFRSS!C375</f>
        <v>0</v>
      </c>
      <c r="AC203" s="46">
        <f>CE_AdministraçãoFRSS!E375</f>
        <v>0</v>
      </c>
      <c r="AD203" s="46">
        <f>CE_AdministraçãoFRSS!S375</f>
        <v>0</v>
      </c>
      <c r="AE203" s="60" t="e">
        <f t="shared" ref="AE203:AE268" si="175">AD203/AB203</f>
        <v>#DIV/0!</v>
      </c>
      <c r="AF203" s="60" t="e">
        <f t="shared" ref="AF203:AF268" si="176">AC203/AB203</f>
        <v>#DIV/0!</v>
      </c>
      <c r="AG203" s="46">
        <f t="shared" ref="AG203:AJ266" si="177">AA203</f>
        <v>0</v>
      </c>
      <c r="AH203" s="46">
        <f t="shared" si="177"/>
        <v>0</v>
      </c>
      <c r="AI203" s="46">
        <f t="shared" si="177"/>
        <v>0</v>
      </c>
      <c r="AJ203" s="46">
        <f t="shared" si="177"/>
        <v>0</v>
      </c>
      <c r="AK203" s="60" t="e">
        <f t="shared" ref="AK203:AK268" si="178">AJ203/AH203</f>
        <v>#DIV/0!</v>
      </c>
      <c r="AL203" s="60" t="e">
        <f t="shared" ref="AL203:AL268" si="179">AI203/AH203</f>
        <v>#DIV/0!</v>
      </c>
      <c r="AM203" s="46">
        <f t="shared" ref="AM203:AP266" si="180">U203+AG203</f>
        <v>0</v>
      </c>
      <c r="AN203" s="46">
        <f t="shared" si="180"/>
        <v>0</v>
      </c>
      <c r="AO203" s="46">
        <f t="shared" si="180"/>
        <v>0</v>
      </c>
      <c r="AP203" s="46">
        <f t="shared" si="180"/>
        <v>0</v>
      </c>
      <c r="AQ203" s="60" t="e">
        <f t="shared" ref="AQ203:AQ268" si="181">AP203/AN203</f>
        <v>#DIV/0!</v>
      </c>
      <c r="AR203" s="60" t="e">
        <f t="shared" ref="AR203:AR268" si="182">AO203/AN203</f>
        <v>#DIV/0!</v>
      </c>
      <c r="AT203" s="38"/>
      <c r="AU203" s="38"/>
      <c r="AV203" s="38"/>
      <c r="AW203" s="38"/>
      <c r="AY203" s="38"/>
      <c r="AZ203" s="38"/>
      <c r="BA203" s="38"/>
      <c r="BB203" s="38"/>
    </row>
    <row r="204" spans="1:54" ht="30" x14ac:dyDescent="0.2">
      <c r="A204" s="45" t="str">
        <f>"503.03.27"</f>
        <v>503.03.27</v>
      </c>
      <c r="B204" s="47" t="s">
        <v>998</v>
      </c>
      <c r="C204" s="46">
        <f>CE_RegimeContributivo!B376</f>
        <v>0</v>
      </c>
      <c r="D204" s="46">
        <f>CE_RegimeContributivo!C376</f>
        <v>0</v>
      </c>
      <c r="E204" s="46">
        <f>CE_RegimeContributivo!E376</f>
        <v>0</v>
      </c>
      <c r="F204" s="46">
        <f>CE_RegimeContributivo!S376</f>
        <v>0</v>
      </c>
      <c r="G204" s="60" t="e">
        <f t="shared" si="166"/>
        <v>#DIV/0!</v>
      </c>
      <c r="H204" s="60" t="e">
        <f t="shared" si="167"/>
        <v>#DIV/0!</v>
      </c>
      <c r="I204" s="46">
        <f>CE_RegimeNaoContributivo!B376</f>
        <v>0</v>
      </c>
      <c r="J204" s="46">
        <f>CE_RegimeNaoContributivo!C376</f>
        <v>0</v>
      </c>
      <c r="K204" s="46">
        <f>CE_RegimeNaoContributivo!E376</f>
        <v>0</v>
      </c>
      <c r="L204" s="46">
        <f>CE_RegimeNaoContributivo!S376</f>
        <v>0</v>
      </c>
      <c r="M204" s="60" t="e">
        <f t="shared" si="168"/>
        <v>#DIV/0!</v>
      </c>
      <c r="N204" s="60" t="e">
        <f t="shared" si="169"/>
        <v>#DIV/0!</v>
      </c>
      <c r="O204" s="46">
        <f>CE_AdministraçãoINSS!B376</f>
        <v>0</v>
      </c>
      <c r="P204" s="46">
        <f>CE_AdministraçãoINSS!C376</f>
        <v>0</v>
      </c>
      <c r="Q204" s="46">
        <f>CE_AdministraçãoINSS!E376</f>
        <v>0</v>
      </c>
      <c r="R204" s="46">
        <f>CE_AdministraçãoINSS!S376</f>
        <v>0</v>
      </c>
      <c r="S204" s="60" t="e">
        <f t="shared" si="170"/>
        <v>#DIV/0!</v>
      </c>
      <c r="T204" s="60" t="e">
        <f t="shared" si="171"/>
        <v>#DIV/0!</v>
      </c>
      <c r="U204" s="46">
        <f t="shared" si="172"/>
        <v>0</v>
      </c>
      <c r="V204" s="46">
        <f t="shared" si="172"/>
        <v>0</v>
      </c>
      <c r="W204" s="46">
        <f t="shared" si="172"/>
        <v>0</v>
      </c>
      <c r="X204" s="46">
        <f t="shared" si="172"/>
        <v>0</v>
      </c>
      <c r="Y204" s="60" t="e">
        <f t="shared" si="173"/>
        <v>#DIV/0!</v>
      </c>
      <c r="Z204" s="60" t="e">
        <f t="shared" si="174"/>
        <v>#DIV/0!</v>
      </c>
      <c r="AA204" s="46">
        <f>CE_AdministraçãoFRSS!B376</f>
        <v>0</v>
      </c>
      <c r="AB204" s="46">
        <f>CE_AdministraçãoFRSS!C376</f>
        <v>0</v>
      </c>
      <c r="AC204" s="46">
        <f>CE_AdministraçãoFRSS!E376</f>
        <v>0</v>
      </c>
      <c r="AD204" s="46">
        <f>CE_AdministraçãoFRSS!S376</f>
        <v>0</v>
      </c>
      <c r="AE204" s="60" t="e">
        <f t="shared" si="175"/>
        <v>#DIV/0!</v>
      </c>
      <c r="AF204" s="60" t="e">
        <f t="shared" si="176"/>
        <v>#DIV/0!</v>
      </c>
      <c r="AG204" s="46">
        <f t="shared" si="177"/>
        <v>0</v>
      </c>
      <c r="AH204" s="46">
        <f t="shared" si="177"/>
        <v>0</v>
      </c>
      <c r="AI204" s="46">
        <f t="shared" si="177"/>
        <v>0</v>
      </c>
      <c r="AJ204" s="46">
        <f t="shared" si="177"/>
        <v>0</v>
      </c>
      <c r="AK204" s="60" t="e">
        <f t="shared" si="178"/>
        <v>#DIV/0!</v>
      </c>
      <c r="AL204" s="60" t="e">
        <f t="shared" si="179"/>
        <v>#DIV/0!</v>
      </c>
      <c r="AM204" s="46">
        <f t="shared" si="180"/>
        <v>0</v>
      </c>
      <c r="AN204" s="46">
        <f t="shared" si="180"/>
        <v>0</v>
      </c>
      <c r="AO204" s="46">
        <f t="shared" si="180"/>
        <v>0</v>
      </c>
      <c r="AP204" s="46">
        <f t="shared" si="180"/>
        <v>0</v>
      </c>
      <c r="AQ204" s="60" t="e">
        <f t="shared" si="181"/>
        <v>#DIV/0!</v>
      </c>
      <c r="AR204" s="60" t="e">
        <f t="shared" si="182"/>
        <v>#DIV/0!</v>
      </c>
      <c r="AT204" s="38"/>
      <c r="AU204" s="38"/>
      <c r="AV204" s="38"/>
      <c r="AW204" s="38"/>
      <c r="AY204" s="38"/>
      <c r="AZ204" s="38"/>
      <c r="BA204" s="38"/>
      <c r="BB204" s="38"/>
    </row>
    <row r="205" spans="1:54" x14ac:dyDescent="0.2">
      <c r="A205" s="45" t="str">
        <f>"503.03.28"</f>
        <v>503.03.28</v>
      </c>
      <c r="B205" s="47" t="s">
        <v>999</v>
      </c>
      <c r="C205" s="46">
        <f>CE_RegimeContributivo!B377</f>
        <v>0</v>
      </c>
      <c r="D205" s="46">
        <f>CE_RegimeContributivo!C377</f>
        <v>0</v>
      </c>
      <c r="E205" s="46">
        <f>CE_RegimeContributivo!E377</f>
        <v>0</v>
      </c>
      <c r="F205" s="46">
        <f>CE_RegimeContributivo!S377</f>
        <v>0</v>
      </c>
      <c r="G205" s="60" t="e">
        <f t="shared" si="166"/>
        <v>#DIV/0!</v>
      </c>
      <c r="H205" s="60" t="e">
        <f t="shared" si="167"/>
        <v>#DIV/0!</v>
      </c>
      <c r="I205" s="46">
        <f>CE_RegimeNaoContributivo!B377</f>
        <v>0</v>
      </c>
      <c r="J205" s="46">
        <f>CE_RegimeNaoContributivo!C377</f>
        <v>0</v>
      </c>
      <c r="K205" s="46">
        <f>CE_RegimeNaoContributivo!E377</f>
        <v>0</v>
      </c>
      <c r="L205" s="46">
        <f>CE_RegimeNaoContributivo!S377</f>
        <v>0</v>
      </c>
      <c r="M205" s="60" t="e">
        <f t="shared" si="168"/>
        <v>#DIV/0!</v>
      </c>
      <c r="N205" s="60" t="e">
        <f t="shared" si="169"/>
        <v>#DIV/0!</v>
      </c>
      <c r="O205" s="46">
        <f>CE_AdministraçãoINSS!B377</f>
        <v>0</v>
      </c>
      <c r="P205" s="46">
        <f>CE_AdministraçãoINSS!C377</f>
        <v>0</v>
      </c>
      <c r="Q205" s="46">
        <f>CE_AdministraçãoINSS!E377</f>
        <v>0</v>
      </c>
      <c r="R205" s="46">
        <f>CE_AdministraçãoINSS!S377</f>
        <v>0</v>
      </c>
      <c r="S205" s="60" t="e">
        <f t="shared" si="170"/>
        <v>#DIV/0!</v>
      </c>
      <c r="T205" s="60" t="e">
        <f t="shared" si="171"/>
        <v>#DIV/0!</v>
      </c>
      <c r="U205" s="46">
        <f t="shared" si="172"/>
        <v>0</v>
      </c>
      <c r="V205" s="46">
        <f t="shared" si="172"/>
        <v>0</v>
      </c>
      <c r="W205" s="46">
        <f t="shared" si="172"/>
        <v>0</v>
      </c>
      <c r="X205" s="46">
        <f t="shared" si="172"/>
        <v>0</v>
      </c>
      <c r="Y205" s="60" t="e">
        <f t="shared" si="173"/>
        <v>#DIV/0!</v>
      </c>
      <c r="Z205" s="60" t="e">
        <f t="shared" si="174"/>
        <v>#DIV/0!</v>
      </c>
      <c r="AA205" s="46">
        <f>CE_AdministraçãoFRSS!B377</f>
        <v>0</v>
      </c>
      <c r="AB205" s="46">
        <f>CE_AdministraçãoFRSS!C377</f>
        <v>0</v>
      </c>
      <c r="AC205" s="46">
        <f>CE_AdministraçãoFRSS!E377</f>
        <v>0</v>
      </c>
      <c r="AD205" s="46">
        <f>CE_AdministraçãoFRSS!S377</f>
        <v>0</v>
      </c>
      <c r="AE205" s="60" t="e">
        <f t="shared" si="175"/>
        <v>#DIV/0!</v>
      </c>
      <c r="AF205" s="60" t="e">
        <f t="shared" si="176"/>
        <v>#DIV/0!</v>
      </c>
      <c r="AG205" s="46">
        <f t="shared" si="177"/>
        <v>0</v>
      </c>
      <c r="AH205" s="46">
        <f t="shared" si="177"/>
        <v>0</v>
      </c>
      <c r="AI205" s="46">
        <f t="shared" si="177"/>
        <v>0</v>
      </c>
      <c r="AJ205" s="46">
        <f t="shared" si="177"/>
        <v>0</v>
      </c>
      <c r="AK205" s="60" t="e">
        <f t="shared" si="178"/>
        <v>#DIV/0!</v>
      </c>
      <c r="AL205" s="60" t="e">
        <f t="shared" si="179"/>
        <v>#DIV/0!</v>
      </c>
      <c r="AM205" s="46">
        <f t="shared" si="180"/>
        <v>0</v>
      </c>
      <c r="AN205" s="46">
        <f t="shared" si="180"/>
        <v>0</v>
      </c>
      <c r="AO205" s="46">
        <f t="shared" si="180"/>
        <v>0</v>
      </c>
      <c r="AP205" s="46">
        <f t="shared" si="180"/>
        <v>0</v>
      </c>
      <c r="AQ205" s="60" t="e">
        <f t="shared" si="181"/>
        <v>#DIV/0!</v>
      </c>
      <c r="AR205" s="60" t="e">
        <f t="shared" si="182"/>
        <v>#DIV/0!</v>
      </c>
      <c r="AT205" s="38"/>
      <c r="AU205" s="38"/>
      <c r="AV205" s="38"/>
      <c r="AW205" s="38"/>
      <c r="AY205" s="38"/>
      <c r="AZ205" s="38"/>
      <c r="BA205" s="38"/>
      <c r="BB205" s="38"/>
    </row>
    <row r="206" spans="1:54" x14ac:dyDescent="0.2">
      <c r="A206" s="45" t="str">
        <f>"503.03.29"</f>
        <v>503.03.29</v>
      </c>
      <c r="B206" s="47" t="s">
        <v>1000</v>
      </c>
      <c r="C206" s="46">
        <f>CE_RegimeContributivo!B378</f>
        <v>0</v>
      </c>
      <c r="D206" s="46">
        <f>CE_RegimeContributivo!C378</f>
        <v>0</v>
      </c>
      <c r="E206" s="46">
        <f>CE_RegimeContributivo!E378</f>
        <v>0</v>
      </c>
      <c r="F206" s="46">
        <f>CE_RegimeContributivo!S378</f>
        <v>0</v>
      </c>
      <c r="G206" s="60" t="e">
        <f t="shared" si="166"/>
        <v>#DIV/0!</v>
      </c>
      <c r="H206" s="60" t="e">
        <f t="shared" si="167"/>
        <v>#DIV/0!</v>
      </c>
      <c r="I206" s="46">
        <f>CE_RegimeNaoContributivo!B378</f>
        <v>0</v>
      </c>
      <c r="J206" s="46">
        <f>CE_RegimeNaoContributivo!C378</f>
        <v>0</v>
      </c>
      <c r="K206" s="46">
        <f>CE_RegimeNaoContributivo!E378</f>
        <v>0</v>
      </c>
      <c r="L206" s="46">
        <f>CE_RegimeNaoContributivo!S378</f>
        <v>0</v>
      </c>
      <c r="M206" s="60" t="e">
        <f t="shared" si="168"/>
        <v>#DIV/0!</v>
      </c>
      <c r="N206" s="60" t="e">
        <f t="shared" si="169"/>
        <v>#DIV/0!</v>
      </c>
      <c r="O206" s="46">
        <f>CE_AdministraçãoINSS!B378</f>
        <v>0</v>
      </c>
      <c r="P206" s="46">
        <f>CE_AdministraçãoINSS!C378</f>
        <v>0</v>
      </c>
      <c r="Q206" s="46">
        <f>CE_AdministraçãoINSS!E378</f>
        <v>0</v>
      </c>
      <c r="R206" s="46">
        <f>CE_AdministraçãoINSS!S378</f>
        <v>0</v>
      </c>
      <c r="S206" s="60" t="e">
        <f t="shared" si="170"/>
        <v>#DIV/0!</v>
      </c>
      <c r="T206" s="60" t="e">
        <f t="shared" si="171"/>
        <v>#DIV/0!</v>
      </c>
      <c r="U206" s="46">
        <f t="shared" si="172"/>
        <v>0</v>
      </c>
      <c r="V206" s="46">
        <f t="shared" si="172"/>
        <v>0</v>
      </c>
      <c r="W206" s="46">
        <f t="shared" si="172"/>
        <v>0</v>
      </c>
      <c r="X206" s="46">
        <f t="shared" si="172"/>
        <v>0</v>
      </c>
      <c r="Y206" s="60" t="e">
        <f t="shared" si="173"/>
        <v>#DIV/0!</v>
      </c>
      <c r="Z206" s="60" t="e">
        <f t="shared" si="174"/>
        <v>#DIV/0!</v>
      </c>
      <c r="AA206" s="46">
        <f>CE_AdministraçãoFRSS!B378</f>
        <v>0</v>
      </c>
      <c r="AB206" s="46">
        <f>CE_AdministraçãoFRSS!C378</f>
        <v>0</v>
      </c>
      <c r="AC206" s="46">
        <f>CE_AdministraçãoFRSS!E378</f>
        <v>0</v>
      </c>
      <c r="AD206" s="46">
        <f>CE_AdministraçãoFRSS!S378</f>
        <v>0</v>
      </c>
      <c r="AE206" s="60" t="e">
        <f t="shared" si="175"/>
        <v>#DIV/0!</v>
      </c>
      <c r="AF206" s="60" t="e">
        <f t="shared" si="176"/>
        <v>#DIV/0!</v>
      </c>
      <c r="AG206" s="46">
        <f t="shared" si="177"/>
        <v>0</v>
      </c>
      <c r="AH206" s="46">
        <f t="shared" si="177"/>
        <v>0</v>
      </c>
      <c r="AI206" s="46">
        <f t="shared" si="177"/>
        <v>0</v>
      </c>
      <c r="AJ206" s="46">
        <f t="shared" si="177"/>
        <v>0</v>
      </c>
      <c r="AK206" s="60" t="e">
        <f t="shared" si="178"/>
        <v>#DIV/0!</v>
      </c>
      <c r="AL206" s="60" t="e">
        <f t="shared" si="179"/>
        <v>#DIV/0!</v>
      </c>
      <c r="AM206" s="46">
        <f t="shared" si="180"/>
        <v>0</v>
      </c>
      <c r="AN206" s="46">
        <f t="shared" si="180"/>
        <v>0</v>
      </c>
      <c r="AO206" s="46">
        <f t="shared" si="180"/>
        <v>0</v>
      </c>
      <c r="AP206" s="46">
        <f t="shared" si="180"/>
        <v>0</v>
      </c>
      <c r="AQ206" s="60" t="e">
        <f t="shared" si="181"/>
        <v>#DIV/0!</v>
      </c>
      <c r="AR206" s="60" t="e">
        <f t="shared" si="182"/>
        <v>#DIV/0!</v>
      </c>
      <c r="AT206" s="38"/>
      <c r="AU206" s="38"/>
      <c r="AV206" s="38"/>
      <c r="AW206" s="38"/>
      <c r="AY206" s="38"/>
      <c r="AZ206" s="38"/>
      <c r="BA206" s="38"/>
      <c r="BB206" s="38"/>
    </row>
    <row r="207" spans="1:54" x14ac:dyDescent="0.2">
      <c r="A207" s="45" t="str">
        <f>"503.03.30"</f>
        <v>503.03.30</v>
      </c>
      <c r="B207" s="47" t="s">
        <v>1001</v>
      </c>
      <c r="C207" s="46">
        <f>CE_RegimeContributivo!B379</f>
        <v>0</v>
      </c>
      <c r="D207" s="46">
        <f>CE_RegimeContributivo!C379</f>
        <v>0</v>
      </c>
      <c r="E207" s="46">
        <f>CE_RegimeContributivo!E379</f>
        <v>0</v>
      </c>
      <c r="F207" s="46">
        <f>CE_RegimeContributivo!S379</f>
        <v>0</v>
      </c>
      <c r="G207" s="60" t="e">
        <f t="shared" si="166"/>
        <v>#DIV/0!</v>
      </c>
      <c r="H207" s="60" t="e">
        <f t="shared" si="167"/>
        <v>#DIV/0!</v>
      </c>
      <c r="I207" s="46">
        <f>CE_RegimeNaoContributivo!B379</f>
        <v>0</v>
      </c>
      <c r="J207" s="46">
        <f>CE_RegimeNaoContributivo!C379</f>
        <v>0</v>
      </c>
      <c r="K207" s="46">
        <f>CE_RegimeNaoContributivo!E379</f>
        <v>0</v>
      </c>
      <c r="L207" s="46">
        <f>CE_RegimeNaoContributivo!S379</f>
        <v>0</v>
      </c>
      <c r="M207" s="60" t="e">
        <f t="shared" si="168"/>
        <v>#DIV/0!</v>
      </c>
      <c r="N207" s="60" t="e">
        <f t="shared" si="169"/>
        <v>#DIV/0!</v>
      </c>
      <c r="O207" s="46">
        <f>CE_AdministraçãoINSS!B379</f>
        <v>0</v>
      </c>
      <c r="P207" s="46">
        <f>CE_AdministraçãoINSS!C379</f>
        <v>0</v>
      </c>
      <c r="Q207" s="46">
        <f>CE_AdministraçãoINSS!E379</f>
        <v>0</v>
      </c>
      <c r="R207" s="46">
        <f>CE_AdministraçãoINSS!S379</f>
        <v>0</v>
      </c>
      <c r="S207" s="60" t="e">
        <f t="shared" si="170"/>
        <v>#DIV/0!</v>
      </c>
      <c r="T207" s="60" t="e">
        <f t="shared" si="171"/>
        <v>#DIV/0!</v>
      </c>
      <c r="U207" s="46">
        <f t="shared" si="172"/>
        <v>0</v>
      </c>
      <c r="V207" s="46">
        <f t="shared" si="172"/>
        <v>0</v>
      </c>
      <c r="W207" s="46">
        <f t="shared" si="172"/>
        <v>0</v>
      </c>
      <c r="X207" s="46">
        <f t="shared" si="172"/>
        <v>0</v>
      </c>
      <c r="Y207" s="60" t="e">
        <f t="shared" si="173"/>
        <v>#DIV/0!</v>
      </c>
      <c r="Z207" s="60" t="e">
        <f t="shared" si="174"/>
        <v>#DIV/0!</v>
      </c>
      <c r="AA207" s="46">
        <f>CE_AdministraçãoFRSS!B379</f>
        <v>0</v>
      </c>
      <c r="AB207" s="46">
        <f>CE_AdministraçãoFRSS!C379</f>
        <v>0</v>
      </c>
      <c r="AC207" s="46">
        <f>CE_AdministraçãoFRSS!E379</f>
        <v>0</v>
      </c>
      <c r="AD207" s="46">
        <f>CE_AdministraçãoFRSS!S379</f>
        <v>0</v>
      </c>
      <c r="AE207" s="60" t="e">
        <f t="shared" si="175"/>
        <v>#DIV/0!</v>
      </c>
      <c r="AF207" s="60" t="e">
        <f t="shared" si="176"/>
        <v>#DIV/0!</v>
      </c>
      <c r="AG207" s="46">
        <f t="shared" si="177"/>
        <v>0</v>
      </c>
      <c r="AH207" s="46">
        <f t="shared" si="177"/>
        <v>0</v>
      </c>
      <c r="AI207" s="46">
        <f t="shared" si="177"/>
        <v>0</v>
      </c>
      <c r="AJ207" s="46">
        <f t="shared" si="177"/>
        <v>0</v>
      </c>
      <c r="AK207" s="60" t="e">
        <f t="shared" si="178"/>
        <v>#DIV/0!</v>
      </c>
      <c r="AL207" s="60" t="e">
        <f t="shared" si="179"/>
        <v>#DIV/0!</v>
      </c>
      <c r="AM207" s="46">
        <f t="shared" si="180"/>
        <v>0</v>
      </c>
      <c r="AN207" s="46">
        <f t="shared" si="180"/>
        <v>0</v>
      </c>
      <c r="AO207" s="46">
        <f t="shared" si="180"/>
        <v>0</v>
      </c>
      <c r="AP207" s="46">
        <f t="shared" si="180"/>
        <v>0</v>
      </c>
      <c r="AQ207" s="60" t="e">
        <f t="shared" si="181"/>
        <v>#DIV/0!</v>
      </c>
      <c r="AR207" s="60" t="e">
        <f t="shared" si="182"/>
        <v>#DIV/0!</v>
      </c>
      <c r="AT207" s="38"/>
      <c r="AU207" s="38"/>
      <c r="AV207" s="38"/>
      <c r="AW207" s="38"/>
      <c r="AY207" s="38"/>
      <c r="AZ207" s="38"/>
      <c r="BA207" s="38"/>
      <c r="BB207" s="38"/>
    </row>
    <row r="208" spans="1:54" x14ac:dyDescent="0.2">
      <c r="A208" s="45" t="str">
        <f>"503.03.31"</f>
        <v>503.03.31</v>
      </c>
      <c r="B208" s="47" t="s">
        <v>1002</v>
      </c>
      <c r="C208" s="46">
        <f>CE_RegimeContributivo!B380</f>
        <v>0</v>
      </c>
      <c r="D208" s="46">
        <f>CE_RegimeContributivo!C380</f>
        <v>0</v>
      </c>
      <c r="E208" s="46">
        <f>CE_RegimeContributivo!E380</f>
        <v>0</v>
      </c>
      <c r="F208" s="46">
        <f>CE_RegimeContributivo!S380</f>
        <v>0</v>
      </c>
      <c r="G208" s="60" t="e">
        <f t="shared" si="166"/>
        <v>#DIV/0!</v>
      </c>
      <c r="H208" s="60" t="e">
        <f t="shared" si="167"/>
        <v>#DIV/0!</v>
      </c>
      <c r="I208" s="46">
        <f>CE_RegimeNaoContributivo!B380</f>
        <v>0</v>
      </c>
      <c r="J208" s="46">
        <f>CE_RegimeNaoContributivo!C380</f>
        <v>0</v>
      </c>
      <c r="K208" s="46">
        <f>CE_RegimeNaoContributivo!E380</f>
        <v>0</v>
      </c>
      <c r="L208" s="46">
        <f>CE_RegimeNaoContributivo!S380</f>
        <v>0</v>
      </c>
      <c r="M208" s="60" t="e">
        <f t="shared" si="168"/>
        <v>#DIV/0!</v>
      </c>
      <c r="N208" s="60" t="e">
        <f t="shared" si="169"/>
        <v>#DIV/0!</v>
      </c>
      <c r="O208" s="46">
        <f>CE_AdministraçãoINSS!B380</f>
        <v>0</v>
      </c>
      <c r="P208" s="46">
        <f>CE_AdministraçãoINSS!C380</f>
        <v>0</v>
      </c>
      <c r="Q208" s="46">
        <f>CE_AdministraçãoINSS!E380</f>
        <v>0</v>
      </c>
      <c r="R208" s="46">
        <f>CE_AdministraçãoINSS!S380</f>
        <v>0</v>
      </c>
      <c r="S208" s="60" t="e">
        <f t="shared" si="170"/>
        <v>#DIV/0!</v>
      </c>
      <c r="T208" s="60" t="e">
        <f t="shared" si="171"/>
        <v>#DIV/0!</v>
      </c>
      <c r="U208" s="46">
        <f t="shared" si="172"/>
        <v>0</v>
      </c>
      <c r="V208" s="46">
        <f t="shared" si="172"/>
        <v>0</v>
      </c>
      <c r="W208" s="46">
        <f t="shared" si="172"/>
        <v>0</v>
      </c>
      <c r="X208" s="46">
        <f t="shared" si="172"/>
        <v>0</v>
      </c>
      <c r="Y208" s="60" t="e">
        <f t="shared" si="173"/>
        <v>#DIV/0!</v>
      </c>
      <c r="Z208" s="60" t="e">
        <f t="shared" si="174"/>
        <v>#DIV/0!</v>
      </c>
      <c r="AA208" s="46">
        <f>CE_AdministraçãoFRSS!B380</f>
        <v>0</v>
      </c>
      <c r="AB208" s="46">
        <f>CE_AdministraçãoFRSS!C380</f>
        <v>0</v>
      </c>
      <c r="AC208" s="46">
        <f>CE_AdministraçãoFRSS!E380</f>
        <v>0</v>
      </c>
      <c r="AD208" s="46">
        <f>CE_AdministraçãoFRSS!S380</f>
        <v>0</v>
      </c>
      <c r="AE208" s="60" t="e">
        <f t="shared" si="175"/>
        <v>#DIV/0!</v>
      </c>
      <c r="AF208" s="60" t="e">
        <f t="shared" si="176"/>
        <v>#DIV/0!</v>
      </c>
      <c r="AG208" s="46">
        <f t="shared" si="177"/>
        <v>0</v>
      </c>
      <c r="AH208" s="46">
        <f t="shared" si="177"/>
        <v>0</v>
      </c>
      <c r="AI208" s="46">
        <f t="shared" si="177"/>
        <v>0</v>
      </c>
      <c r="AJ208" s="46">
        <f t="shared" si="177"/>
        <v>0</v>
      </c>
      <c r="AK208" s="60" t="e">
        <f t="shared" si="178"/>
        <v>#DIV/0!</v>
      </c>
      <c r="AL208" s="60" t="e">
        <f t="shared" si="179"/>
        <v>#DIV/0!</v>
      </c>
      <c r="AM208" s="46">
        <f t="shared" si="180"/>
        <v>0</v>
      </c>
      <c r="AN208" s="46">
        <f t="shared" si="180"/>
        <v>0</v>
      </c>
      <c r="AO208" s="46">
        <f t="shared" si="180"/>
        <v>0</v>
      </c>
      <c r="AP208" s="46">
        <f t="shared" si="180"/>
        <v>0</v>
      </c>
      <c r="AQ208" s="60" t="e">
        <f t="shared" si="181"/>
        <v>#DIV/0!</v>
      </c>
      <c r="AR208" s="60" t="e">
        <f t="shared" si="182"/>
        <v>#DIV/0!</v>
      </c>
      <c r="AT208" s="38"/>
      <c r="AU208" s="38"/>
      <c r="AV208" s="38"/>
      <c r="AW208" s="38"/>
      <c r="AY208" s="38"/>
      <c r="AZ208" s="38"/>
      <c r="BA208" s="38"/>
      <c r="BB208" s="38"/>
    </row>
    <row r="209" spans="1:58" s="44" customFormat="1" x14ac:dyDescent="0.2">
      <c r="A209" s="41" t="str">
        <f>"503.04"</f>
        <v>503.04</v>
      </c>
      <c r="B209" s="42" t="s">
        <v>1003</v>
      </c>
      <c r="C209" s="43">
        <f>SUM(C210:C212)</f>
        <v>0</v>
      </c>
      <c r="D209" s="43">
        <f>SUM(D210:D212)</f>
        <v>0</v>
      </c>
      <c r="E209" s="43">
        <f>SUM(E210:E212)</f>
        <v>0</v>
      </c>
      <c r="F209" s="43">
        <f t="shared" ref="F209" si="183">SUM(F210:F212)</f>
        <v>0</v>
      </c>
      <c r="G209" s="59" t="e">
        <f t="shared" si="166"/>
        <v>#DIV/0!</v>
      </c>
      <c r="H209" s="59" t="e">
        <f t="shared" si="167"/>
        <v>#DIV/0!</v>
      </c>
      <c r="I209" s="43">
        <f>SUM(I210:I212)</f>
        <v>0</v>
      </c>
      <c r="J209" s="43">
        <f>SUM(J210:J212)</f>
        <v>0</v>
      </c>
      <c r="K209" s="43">
        <f t="shared" ref="K209:L209" si="184">SUM(K210:K212)</f>
        <v>0</v>
      </c>
      <c r="L209" s="43">
        <f t="shared" si="184"/>
        <v>0</v>
      </c>
      <c r="M209" s="59" t="e">
        <f t="shared" si="168"/>
        <v>#DIV/0!</v>
      </c>
      <c r="N209" s="59" t="e">
        <f t="shared" si="169"/>
        <v>#DIV/0!</v>
      </c>
      <c r="O209" s="43">
        <f>CE_AdministraçãoINSS!B375</f>
        <v>0</v>
      </c>
      <c r="P209" s="43">
        <f>CE_AdministraçãoINSS!C375</f>
        <v>0</v>
      </c>
      <c r="Q209" s="43">
        <f t="shared" ref="Q209:R209" si="185">SUM(Q210:Q212)</f>
        <v>0</v>
      </c>
      <c r="R209" s="43">
        <f t="shared" si="185"/>
        <v>0</v>
      </c>
      <c r="S209" s="59" t="e">
        <f t="shared" si="170"/>
        <v>#DIV/0!</v>
      </c>
      <c r="T209" s="59" t="e">
        <f t="shared" si="171"/>
        <v>#DIV/0!</v>
      </c>
      <c r="U209" s="43">
        <f t="shared" si="172"/>
        <v>0</v>
      </c>
      <c r="V209" s="43">
        <f t="shared" si="172"/>
        <v>0</v>
      </c>
      <c r="W209" s="43">
        <f t="shared" si="172"/>
        <v>0</v>
      </c>
      <c r="X209" s="43">
        <f t="shared" si="172"/>
        <v>0</v>
      </c>
      <c r="Y209" s="59" t="e">
        <f t="shared" si="173"/>
        <v>#DIV/0!</v>
      </c>
      <c r="Z209" s="59" t="e">
        <f t="shared" si="174"/>
        <v>#DIV/0!</v>
      </c>
      <c r="AA209" s="43">
        <f>AA210+AA211+AA212</f>
        <v>0</v>
      </c>
      <c r="AB209" s="43">
        <f>AB210+AB211+AB212</f>
        <v>0</v>
      </c>
      <c r="AC209" s="43">
        <f t="shared" ref="AC209:AD209" si="186">SUM(AC210:AC212)</f>
        <v>0</v>
      </c>
      <c r="AD209" s="43">
        <f t="shared" si="186"/>
        <v>0</v>
      </c>
      <c r="AE209" s="59" t="e">
        <f t="shared" si="175"/>
        <v>#DIV/0!</v>
      </c>
      <c r="AF209" s="59" t="e">
        <f t="shared" si="176"/>
        <v>#DIV/0!</v>
      </c>
      <c r="AG209" s="43">
        <f t="shared" si="177"/>
        <v>0</v>
      </c>
      <c r="AH209" s="43">
        <f t="shared" si="177"/>
        <v>0</v>
      </c>
      <c r="AI209" s="43">
        <f t="shared" si="177"/>
        <v>0</v>
      </c>
      <c r="AJ209" s="43">
        <f t="shared" si="177"/>
        <v>0</v>
      </c>
      <c r="AK209" s="59" t="e">
        <f t="shared" si="178"/>
        <v>#DIV/0!</v>
      </c>
      <c r="AL209" s="59" t="e">
        <f t="shared" si="179"/>
        <v>#DIV/0!</v>
      </c>
      <c r="AM209" s="43">
        <f t="shared" si="180"/>
        <v>0</v>
      </c>
      <c r="AN209" s="43">
        <f t="shared" si="180"/>
        <v>0</v>
      </c>
      <c r="AO209" s="43">
        <f t="shared" si="180"/>
        <v>0</v>
      </c>
      <c r="AP209" s="43">
        <f t="shared" si="180"/>
        <v>0</v>
      </c>
      <c r="AQ209" s="59" t="e">
        <f t="shared" si="181"/>
        <v>#DIV/0!</v>
      </c>
      <c r="AR209" s="59" t="e">
        <f t="shared" si="182"/>
        <v>#DIV/0!</v>
      </c>
      <c r="AT209" s="38"/>
      <c r="AU209" s="38"/>
      <c r="AV209" s="38"/>
      <c r="AW209" s="38"/>
      <c r="AY209" s="38"/>
      <c r="AZ209" s="38"/>
      <c r="BA209" s="38"/>
      <c r="BB209" s="38"/>
      <c r="BC209" s="36"/>
      <c r="BD209" s="36"/>
      <c r="BE209" s="36"/>
      <c r="BF209" s="36"/>
    </row>
    <row r="210" spans="1:58" x14ac:dyDescent="0.2">
      <c r="A210" s="45" t="str">
        <f>"503.04.01"</f>
        <v>503.04.01</v>
      </c>
      <c r="B210" s="47" t="s">
        <v>1004</v>
      </c>
      <c r="C210" s="46">
        <f>CE_RegimeContributivo!B382</f>
        <v>0</v>
      </c>
      <c r="D210" s="46">
        <f>CE_RegimeContributivo!C382</f>
        <v>0</v>
      </c>
      <c r="E210" s="46">
        <f>CE_RegimeContributivo!E382</f>
        <v>0</v>
      </c>
      <c r="F210" s="46">
        <f>CE_RegimeContributivo!S382</f>
        <v>0</v>
      </c>
      <c r="G210" s="60" t="e">
        <f t="shared" si="166"/>
        <v>#DIV/0!</v>
      </c>
      <c r="H210" s="60" t="e">
        <f t="shared" si="167"/>
        <v>#DIV/0!</v>
      </c>
      <c r="I210" s="46">
        <f>CE_RegimeNaoContributivo!B382</f>
        <v>0</v>
      </c>
      <c r="J210" s="46">
        <f>CE_RegimeNaoContributivo!C382</f>
        <v>0</v>
      </c>
      <c r="K210" s="46">
        <f>CE_RegimeNaoContributivo!E382</f>
        <v>0</v>
      </c>
      <c r="L210" s="46">
        <f>CE_RegimeNaoContributivo!S382</f>
        <v>0</v>
      </c>
      <c r="M210" s="60" t="e">
        <f t="shared" si="168"/>
        <v>#DIV/0!</v>
      </c>
      <c r="N210" s="60" t="e">
        <f t="shared" si="169"/>
        <v>#DIV/0!</v>
      </c>
      <c r="O210" s="46">
        <f>CE_AdministraçãoINSS!B382</f>
        <v>0</v>
      </c>
      <c r="P210" s="46">
        <f>CE_AdministraçãoINSS!C382</f>
        <v>0</v>
      </c>
      <c r="Q210" s="46">
        <f>CE_AdministraçãoINSS!E382</f>
        <v>0</v>
      </c>
      <c r="R210" s="46">
        <f>CE_AdministraçãoINSS!S382</f>
        <v>0</v>
      </c>
      <c r="S210" s="60" t="e">
        <f t="shared" si="170"/>
        <v>#DIV/0!</v>
      </c>
      <c r="T210" s="60" t="e">
        <f t="shared" si="171"/>
        <v>#DIV/0!</v>
      </c>
      <c r="U210" s="46">
        <f t="shared" si="172"/>
        <v>0</v>
      </c>
      <c r="V210" s="46">
        <f t="shared" si="172"/>
        <v>0</v>
      </c>
      <c r="W210" s="46">
        <f t="shared" si="172"/>
        <v>0</v>
      </c>
      <c r="X210" s="46">
        <f t="shared" si="172"/>
        <v>0</v>
      </c>
      <c r="Y210" s="60" t="e">
        <f t="shared" si="173"/>
        <v>#DIV/0!</v>
      </c>
      <c r="Z210" s="60" t="e">
        <f t="shared" si="174"/>
        <v>#DIV/0!</v>
      </c>
      <c r="AA210" s="46">
        <f>CE_AdministraçãoFRSS!B382</f>
        <v>0</v>
      </c>
      <c r="AB210" s="46">
        <f>CE_AdministraçãoFRSS!C382</f>
        <v>0</v>
      </c>
      <c r="AC210" s="46">
        <f>CE_AdministraçãoFRSS!E382</f>
        <v>0</v>
      </c>
      <c r="AD210" s="46">
        <f>CE_AdministraçãoFRSS!S382</f>
        <v>0</v>
      </c>
      <c r="AE210" s="60" t="e">
        <f t="shared" si="175"/>
        <v>#DIV/0!</v>
      </c>
      <c r="AF210" s="60" t="e">
        <f t="shared" si="176"/>
        <v>#DIV/0!</v>
      </c>
      <c r="AG210" s="46">
        <f t="shared" si="177"/>
        <v>0</v>
      </c>
      <c r="AH210" s="46">
        <f t="shared" si="177"/>
        <v>0</v>
      </c>
      <c r="AI210" s="46">
        <f t="shared" si="177"/>
        <v>0</v>
      </c>
      <c r="AJ210" s="46">
        <f t="shared" si="177"/>
        <v>0</v>
      </c>
      <c r="AK210" s="60" t="e">
        <f t="shared" si="178"/>
        <v>#DIV/0!</v>
      </c>
      <c r="AL210" s="60" t="e">
        <f t="shared" si="179"/>
        <v>#DIV/0!</v>
      </c>
      <c r="AM210" s="46">
        <f t="shared" si="180"/>
        <v>0</v>
      </c>
      <c r="AN210" s="46">
        <f t="shared" si="180"/>
        <v>0</v>
      </c>
      <c r="AO210" s="46">
        <f t="shared" si="180"/>
        <v>0</v>
      </c>
      <c r="AP210" s="46">
        <f t="shared" si="180"/>
        <v>0</v>
      </c>
      <c r="AQ210" s="60" t="e">
        <f t="shared" si="181"/>
        <v>#DIV/0!</v>
      </c>
      <c r="AR210" s="60" t="e">
        <f t="shared" si="182"/>
        <v>#DIV/0!</v>
      </c>
      <c r="AT210" s="38"/>
      <c r="AU210" s="38"/>
      <c r="AV210" s="38"/>
      <c r="AW210" s="38"/>
      <c r="AY210" s="38"/>
      <c r="AZ210" s="38"/>
      <c r="BA210" s="38"/>
      <c r="BB210" s="38"/>
    </row>
    <row r="211" spans="1:58" x14ac:dyDescent="0.2">
      <c r="A211" s="45" t="str">
        <f>"503.04.02"</f>
        <v>503.04.02</v>
      </c>
      <c r="B211" s="47" t="s">
        <v>1005</v>
      </c>
      <c r="C211" s="46">
        <f>CE_RegimeContributivo!B383</f>
        <v>0</v>
      </c>
      <c r="D211" s="46">
        <f>CE_RegimeContributivo!C383</f>
        <v>0</v>
      </c>
      <c r="E211" s="46">
        <f>CE_RegimeContributivo!E383</f>
        <v>0</v>
      </c>
      <c r="F211" s="46">
        <f>CE_RegimeContributivo!S383</f>
        <v>0</v>
      </c>
      <c r="G211" s="60" t="e">
        <f t="shared" si="166"/>
        <v>#DIV/0!</v>
      </c>
      <c r="H211" s="60" t="e">
        <f t="shared" si="167"/>
        <v>#DIV/0!</v>
      </c>
      <c r="I211" s="46">
        <f>CE_RegimeNaoContributivo!B383</f>
        <v>0</v>
      </c>
      <c r="J211" s="46">
        <f>CE_RegimeNaoContributivo!C383</f>
        <v>0</v>
      </c>
      <c r="K211" s="46">
        <f>CE_RegimeNaoContributivo!E383</f>
        <v>0</v>
      </c>
      <c r="L211" s="46">
        <f>CE_RegimeNaoContributivo!S383</f>
        <v>0</v>
      </c>
      <c r="M211" s="60" t="e">
        <f t="shared" si="168"/>
        <v>#DIV/0!</v>
      </c>
      <c r="N211" s="60" t="e">
        <f t="shared" si="169"/>
        <v>#DIV/0!</v>
      </c>
      <c r="O211" s="46">
        <f>CE_AdministraçãoINSS!B383</f>
        <v>0</v>
      </c>
      <c r="P211" s="46">
        <f>CE_AdministraçãoINSS!C383</f>
        <v>0</v>
      </c>
      <c r="Q211" s="46">
        <f>CE_AdministraçãoINSS!E383</f>
        <v>0</v>
      </c>
      <c r="R211" s="46">
        <f>CE_AdministraçãoINSS!S383</f>
        <v>0</v>
      </c>
      <c r="S211" s="60" t="e">
        <f t="shared" si="170"/>
        <v>#DIV/0!</v>
      </c>
      <c r="T211" s="60" t="e">
        <f t="shared" si="171"/>
        <v>#DIV/0!</v>
      </c>
      <c r="U211" s="46">
        <f t="shared" si="172"/>
        <v>0</v>
      </c>
      <c r="V211" s="46">
        <f t="shared" si="172"/>
        <v>0</v>
      </c>
      <c r="W211" s="46">
        <f t="shared" si="172"/>
        <v>0</v>
      </c>
      <c r="X211" s="46">
        <f t="shared" si="172"/>
        <v>0</v>
      </c>
      <c r="Y211" s="60" t="e">
        <f t="shared" si="173"/>
        <v>#DIV/0!</v>
      </c>
      <c r="Z211" s="60" t="e">
        <f t="shared" si="174"/>
        <v>#DIV/0!</v>
      </c>
      <c r="AA211" s="46">
        <f>CE_AdministraçãoFRSS!B383</f>
        <v>0</v>
      </c>
      <c r="AB211" s="46">
        <f>CE_AdministraçãoFRSS!C383</f>
        <v>0</v>
      </c>
      <c r="AC211" s="46">
        <f>CE_AdministraçãoFRSS!E383</f>
        <v>0</v>
      </c>
      <c r="AD211" s="46">
        <f>CE_AdministraçãoFRSS!S383</f>
        <v>0</v>
      </c>
      <c r="AE211" s="60" t="e">
        <f t="shared" si="175"/>
        <v>#DIV/0!</v>
      </c>
      <c r="AF211" s="60" t="e">
        <f t="shared" si="176"/>
        <v>#DIV/0!</v>
      </c>
      <c r="AG211" s="46">
        <f t="shared" si="177"/>
        <v>0</v>
      </c>
      <c r="AH211" s="46">
        <f t="shared" si="177"/>
        <v>0</v>
      </c>
      <c r="AI211" s="46">
        <f t="shared" si="177"/>
        <v>0</v>
      </c>
      <c r="AJ211" s="46">
        <f t="shared" si="177"/>
        <v>0</v>
      </c>
      <c r="AK211" s="60" t="e">
        <f t="shared" si="178"/>
        <v>#DIV/0!</v>
      </c>
      <c r="AL211" s="60" t="e">
        <f t="shared" si="179"/>
        <v>#DIV/0!</v>
      </c>
      <c r="AM211" s="46">
        <f t="shared" si="180"/>
        <v>0</v>
      </c>
      <c r="AN211" s="46">
        <f t="shared" si="180"/>
        <v>0</v>
      </c>
      <c r="AO211" s="46">
        <f t="shared" si="180"/>
        <v>0</v>
      </c>
      <c r="AP211" s="46">
        <f t="shared" si="180"/>
        <v>0</v>
      </c>
      <c r="AQ211" s="60" t="e">
        <f t="shared" si="181"/>
        <v>#DIV/0!</v>
      </c>
      <c r="AR211" s="60" t="e">
        <f t="shared" si="182"/>
        <v>#DIV/0!</v>
      </c>
      <c r="AT211" s="38"/>
      <c r="AU211" s="38"/>
      <c r="AV211" s="38"/>
      <c r="AW211" s="38"/>
      <c r="AY211" s="38"/>
      <c r="AZ211" s="38"/>
      <c r="BA211" s="38"/>
      <c r="BB211" s="38"/>
    </row>
    <row r="212" spans="1:58" ht="30" x14ac:dyDescent="0.2">
      <c r="A212" s="45" t="str">
        <f>"503.04.03"</f>
        <v>503.04.03</v>
      </c>
      <c r="B212" s="47" t="s">
        <v>1006</v>
      </c>
      <c r="C212" s="46">
        <f>CE_RegimeContributivo!B384</f>
        <v>0</v>
      </c>
      <c r="D212" s="46">
        <f>CE_RegimeContributivo!C384</f>
        <v>0</v>
      </c>
      <c r="E212" s="46">
        <f>CE_RegimeContributivo!E384</f>
        <v>0</v>
      </c>
      <c r="F212" s="46">
        <f>CE_RegimeContributivo!S384</f>
        <v>0</v>
      </c>
      <c r="G212" s="60" t="e">
        <f t="shared" si="166"/>
        <v>#DIV/0!</v>
      </c>
      <c r="H212" s="60" t="e">
        <f t="shared" si="167"/>
        <v>#DIV/0!</v>
      </c>
      <c r="I212" s="46">
        <f>CE_RegimeNaoContributivo!B384</f>
        <v>0</v>
      </c>
      <c r="J212" s="46">
        <f>CE_RegimeNaoContributivo!C384</f>
        <v>0</v>
      </c>
      <c r="K212" s="46">
        <f>CE_RegimeNaoContributivo!E384</f>
        <v>0</v>
      </c>
      <c r="L212" s="46">
        <f>CE_RegimeNaoContributivo!S384</f>
        <v>0</v>
      </c>
      <c r="M212" s="60" t="e">
        <f t="shared" si="168"/>
        <v>#DIV/0!</v>
      </c>
      <c r="N212" s="60" t="e">
        <f t="shared" si="169"/>
        <v>#DIV/0!</v>
      </c>
      <c r="O212" s="46">
        <f>CE_AdministraçãoINSS!B384</f>
        <v>0</v>
      </c>
      <c r="P212" s="46">
        <f>CE_AdministraçãoINSS!C384</f>
        <v>0</v>
      </c>
      <c r="Q212" s="46">
        <f>CE_AdministraçãoINSS!E384</f>
        <v>0</v>
      </c>
      <c r="R212" s="46">
        <f>CE_AdministraçãoINSS!S384</f>
        <v>0</v>
      </c>
      <c r="S212" s="60" t="e">
        <f t="shared" si="170"/>
        <v>#DIV/0!</v>
      </c>
      <c r="T212" s="60" t="e">
        <f t="shared" si="171"/>
        <v>#DIV/0!</v>
      </c>
      <c r="U212" s="46">
        <f t="shared" si="172"/>
        <v>0</v>
      </c>
      <c r="V212" s="46">
        <f t="shared" si="172"/>
        <v>0</v>
      </c>
      <c r="W212" s="46">
        <f t="shared" si="172"/>
        <v>0</v>
      </c>
      <c r="X212" s="46">
        <f t="shared" si="172"/>
        <v>0</v>
      </c>
      <c r="Y212" s="60" t="e">
        <f t="shared" si="173"/>
        <v>#DIV/0!</v>
      </c>
      <c r="Z212" s="60" t="e">
        <f t="shared" si="174"/>
        <v>#DIV/0!</v>
      </c>
      <c r="AA212" s="46">
        <f>CE_AdministraçãoFRSS!B384</f>
        <v>0</v>
      </c>
      <c r="AB212" s="46">
        <f>CE_AdministraçãoFRSS!C384</f>
        <v>0</v>
      </c>
      <c r="AC212" s="46">
        <f>CE_AdministraçãoFRSS!E384</f>
        <v>0</v>
      </c>
      <c r="AD212" s="46">
        <f>CE_AdministraçãoFRSS!S384</f>
        <v>0</v>
      </c>
      <c r="AE212" s="60" t="e">
        <f t="shared" si="175"/>
        <v>#DIV/0!</v>
      </c>
      <c r="AF212" s="60" t="e">
        <f t="shared" si="176"/>
        <v>#DIV/0!</v>
      </c>
      <c r="AG212" s="46">
        <f t="shared" si="177"/>
        <v>0</v>
      </c>
      <c r="AH212" s="46">
        <f t="shared" si="177"/>
        <v>0</v>
      </c>
      <c r="AI212" s="46">
        <f t="shared" si="177"/>
        <v>0</v>
      </c>
      <c r="AJ212" s="46">
        <f t="shared" si="177"/>
        <v>0</v>
      </c>
      <c r="AK212" s="60" t="e">
        <f t="shared" si="178"/>
        <v>#DIV/0!</v>
      </c>
      <c r="AL212" s="60" t="e">
        <f t="shared" si="179"/>
        <v>#DIV/0!</v>
      </c>
      <c r="AM212" s="46">
        <f t="shared" si="180"/>
        <v>0</v>
      </c>
      <c r="AN212" s="46">
        <f t="shared" si="180"/>
        <v>0</v>
      </c>
      <c r="AO212" s="46">
        <f t="shared" si="180"/>
        <v>0</v>
      </c>
      <c r="AP212" s="46">
        <f t="shared" si="180"/>
        <v>0</v>
      </c>
      <c r="AQ212" s="60" t="e">
        <f t="shared" si="181"/>
        <v>#DIV/0!</v>
      </c>
      <c r="AR212" s="60" t="e">
        <f t="shared" si="182"/>
        <v>#DIV/0!</v>
      </c>
      <c r="AT212" s="38"/>
      <c r="AU212" s="38"/>
      <c r="AV212" s="38"/>
      <c r="AW212" s="38"/>
      <c r="AY212" s="38"/>
      <c r="AZ212" s="38"/>
      <c r="BA212" s="38"/>
      <c r="BB212" s="38"/>
    </row>
    <row r="213" spans="1:58" s="44" customFormat="1" x14ac:dyDescent="0.2">
      <c r="A213" s="41" t="str">
        <f>"503.05"</f>
        <v>503.05</v>
      </c>
      <c r="B213" s="42" t="s">
        <v>1007</v>
      </c>
      <c r="C213" s="43">
        <f>SUM(C214:C216)</f>
        <v>0</v>
      </c>
      <c r="D213" s="43">
        <f>SUM(D214:D216)</f>
        <v>0</v>
      </c>
      <c r="E213" s="43">
        <f>SUM(E214:E216)</f>
        <v>0</v>
      </c>
      <c r="F213" s="43">
        <f t="shared" ref="F213" si="187">SUM(F214:F216)</f>
        <v>0</v>
      </c>
      <c r="G213" s="59" t="e">
        <f t="shared" si="166"/>
        <v>#DIV/0!</v>
      </c>
      <c r="H213" s="59" t="e">
        <f t="shared" si="167"/>
        <v>#DIV/0!</v>
      </c>
      <c r="I213" s="43">
        <f>SUM(I214:I216)</f>
        <v>0</v>
      </c>
      <c r="J213" s="43">
        <f>SUM(J214:J216)</f>
        <v>0</v>
      </c>
      <c r="K213" s="43">
        <f t="shared" ref="K213:L213" si="188">SUM(K214:K216)</f>
        <v>0</v>
      </c>
      <c r="L213" s="43">
        <f t="shared" si="188"/>
        <v>0</v>
      </c>
      <c r="M213" s="59" t="e">
        <f t="shared" si="168"/>
        <v>#DIV/0!</v>
      </c>
      <c r="N213" s="59" t="e">
        <f t="shared" si="169"/>
        <v>#DIV/0!</v>
      </c>
      <c r="O213" s="43">
        <f>SUM(O214:O216)</f>
        <v>0</v>
      </c>
      <c r="P213" s="43">
        <f>SUM(P214:P216)</f>
        <v>0</v>
      </c>
      <c r="Q213" s="43">
        <f t="shared" ref="Q213:R213" si="189">SUM(Q214:Q216)</f>
        <v>0</v>
      </c>
      <c r="R213" s="43">
        <f t="shared" si="189"/>
        <v>0</v>
      </c>
      <c r="S213" s="59" t="e">
        <f t="shared" si="170"/>
        <v>#DIV/0!</v>
      </c>
      <c r="T213" s="59" t="e">
        <f t="shared" si="171"/>
        <v>#DIV/0!</v>
      </c>
      <c r="U213" s="43">
        <f t="shared" si="172"/>
        <v>0</v>
      </c>
      <c r="V213" s="43">
        <f t="shared" si="172"/>
        <v>0</v>
      </c>
      <c r="W213" s="43">
        <f t="shared" si="172"/>
        <v>0</v>
      </c>
      <c r="X213" s="43">
        <f t="shared" si="172"/>
        <v>0</v>
      </c>
      <c r="Y213" s="59" t="e">
        <f t="shared" si="173"/>
        <v>#DIV/0!</v>
      </c>
      <c r="Z213" s="59" t="e">
        <f t="shared" si="174"/>
        <v>#DIV/0!</v>
      </c>
      <c r="AA213" s="43">
        <f>SUM(AA214:AA216)</f>
        <v>0</v>
      </c>
      <c r="AB213" s="43">
        <f>SUM(AB214:AB216)</f>
        <v>0</v>
      </c>
      <c r="AC213" s="43">
        <f t="shared" ref="AC213:AD213" si="190">SUM(AC214:AC216)</f>
        <v>0</v>
      </c>
      <c r="AD213" s="43">
        <f t="shared" si="190"/>
        <v>0</v>
      </c>
      <c r="AE213" s="59" t="e">
        <f t="shared" si="175"/>
        <v>#DIV/0!</v>
      </c>
      <c r="AF213" s="59" t="e">
        <f t="shared" si="176"/>
        <v>#DIV/0!</v>
      </c>
      <c r="AG213" s="43">
        <f t="shared" si="177"/>
        <v>0</v>
      </c>
      <c r="AH213" s="43">
        <f t="shared" si="177"/>
        <v>0</v>
      </c>
      <c r="AI213" s="43">
        <f t="shared" si="177"/>
        <v>0</v>
      </c>
      <c r="AJ213" s="43">
        <f t="shared" si="177"/>
        <v>0</v>
      </c>
      <c r="AK213" s="59" t="e">
        <f t="shared" si="178"/>
        <v>#DIV/0!</v>
      </c>
      <c r="AL213" s="59" t="e">
        <f t="shared" si="179"/>
        <v>#DIV/0!</v>
      </c>
      <c r="AM213" s="43">
        <f t="shared" si="180"/>
        <v>0</v>
      </c>
      <c r="AN213" s="43">
        <f t="shared" si="180"/>
        <v>0</v>
      </c>
      <c r="AO213" s="43">
        <f t="shared" si="180"/>
        <v>0</v>
      </c>
      <c r="AP213" s="43">
        <f t="shared" si="180"/>
        <v>0</v>
      </c>
      <c r="AQ213" s="59" t="e">
        <f t="shared" si="181"/>
        <v>#DIV/0!</v>
      </c>
      <c r="AR213" s="59" t="e">
        <f t="shared" si="182"/>
        <v>#DIV/0!</v>
      </c>
      <c r="AT213" s="38"/>
      <c r="AU213" s="38"/>
      <c r="AV213" s="38"/>
      <c r="AW213" s="38"/>
      <c r="AY213" s="38"/>
      <c r="AZ213" s="38"/>
      <c r="BA213" s="38"/>
      <c r="BB213" s="38"/>
      <c r="BC213" s="36"/>
      <c r="BD213" s="36"/>
      <c r="BE213" s="36"/>
      <c r="BF213" s="36"/>
    </row>
    <row r="214" spans="1:58" x14ac:dyDescent="0.2">
      <c r="A214" s="45" t="str">
        <f>"503.05.01"</f>
        <v>503.05.01</v>
      </c>
      <c r="B214" s="47" t="s">
        <v>1008</v>
      </c>
      <c r="C214" s="46">
        <f>CE_RegimeContributivo!B386</f>
        <v>0</v>
      </c>
      <c r="D214" s="46">
        <f>CE_RegimeContributivo!C386</f>
        <v>0</v>
      </c>
      <c r="E214" s="46">
        <f>CE_RegimeContributivo!E386</f>
        <v>0</v>
      </c>
      <c r="F214" s="46">
        <f>CE_RegimeContributivo!S386</f>
        <v>0</v>
      </c>
      <c r="G214" s="60" t="e">
        <f t="shared" si="166"/>
        <v>#DIV/0!</v>
      </c>
      <c r="H214" s="60" t="e">
        <f t="shared" si="167"/>
        <v>#DIV/0!</v>
      </c>
      <c r="I214" s="46">
        <f>CE_RegimeNaoContributivo!B386</f>
        <v>0</v>
      </c>
      <c r="J214" s="46">
        <f>CE_RegimeNaoContributivo!C386</f>
        <v>0</v>
      </c>
      <c r="K214" s="46">
        <f>CE_RegimeNaoContributivo!E386</f>
        <v>0</v>
      </c>
      <c r="L214" s="46">
        <f>CE_RegimeNaoContributivo!S386</f>
        <v>0</v>
      </c>
      <c r="M214" s="60" t="e">
        <f t="shared" si="168"/>
        <v>#DIV/0!</v>
      </c>
      <c r="N214" s="60" t="e">
        <f t="shared" si="169"/>
        <v>#DIV/0!</v>
      </c>
      <c r="O214" s="46">
        <f>CE_AdministraçãoINSS!B386</f>
        <v>0</v>
      </c>
      <c r="P214" s="46">
        <f>CE_AdministraçãoINSS!C386</f>
        <v>0</v>
      </c>
      <c r="Q214" s="46">
        <f>CE_AdministraçãoINSS!E386</f>
        <v>0</v>
      </c>
      <c r="R214" s="46">
        <f>CE_AdministraçãoINSS!S386</f>
        <v>0</v>
      </c>
      <c r="S214" s="60" t="e">
        <f t="shared" si="170"/>
        <v>#DIV/0!</v>
      </c>
      <c r="T214" s="60" t="e">
        <f t="shared" si="171"/>
        <v>#DIV/0!</v>
      </c>
      <c r="U214" s="46">
        <f t="shared" si="172"/>
        <v>0</v>
      </c>
      <c r="V214" s="46">
        <f t="shared" si="172"/>
        <v>0</v>
      </c>
      <c r="W214" s="46">
        <f t="shared" si="172"/>
        <v>0</v>
      </c>
      <c r="X214" s="46">
        <f t="shared" si="172"/>
        <v>0</v>
      </c>
      <c r="Y214" s="60" t="e">
        <f t="shared" si="173"/>
        <v>#DIV/0!</v>
      </c>
      <c r="Z214" s="60" t="e">
        <f t="shared" si="174"/>
        <v>#DIV/0!</v>
      </c>
      <c r="AA214" s="46">
        <f>CE_AdministraçãoFRSS!B386</f>
        <v>0</v>
      </c>
      <c r="AB214" s="46">
        <f>CE_AdministraçãoFRSS!C386</f>
        <v>0</v>
      </c>
      <c r="AC214" s="46">
        <f>CE_AdministraçãoFRSS!E386</f>
        <v>0</v>
      </c>
      <c r="AD214" s="46">
        <f>CE_AdministraçãoFRSS!S386</f>
        <v>0</v>
      </c>
      <c r="AE214" s="60" t="e">
        <f t="shared" si="175"/>
        <v>#DIV/0!</v>
      </c>
      <c r="AF214" s="60" t="e">
        <f t="shared" si="176"/>
        <v>#DIV/0!</v>
      </c>
      <c r="AG214" s="46">
        <f t="shared" si="177"/>
        <v>0</v>
      </c>
      <c r="AH214" s="46">
        <f t="shared" si="177"/>
        <v>0</v>
      </c>
      <c r="AI214" s="46">
        <f t="shared" si="177"/>
        <v>0</v>
      </c>
      <c r="AJ214" s="46">
        <f t="shared" si="177"/>
        <v>0</v>
      </c>
      <c r="AK214" s="60" t="e">
        <f t="shared" si="178"/>
        <v>#DIV/0!</v>
      </c>
      <c r="AL214" s="60" t="e">
        <f t="shared" si="179"/>
        <v>#DIV/0!</v>
      </c>
      <c r="AM214" s="46">
        <f t="shared" si="180"/>
        <v>0</v>
      </c>
      <c r="AN214" s="46">
        <f t="shared" si="180"/>
        <v>0</v>
      </c>
      <c r="AO214" s="46">
        <f t="shared" si="180"/>
        <v>0</v>
      </c>
      <c r="AP214" s="46">
        <f t="shared" si="180"/>
        <v>0</v>
      </c>
      <c r="AQ214" s="60" t="e">
        <f t="shared" si="181"/>
        <v>#DIV/0!</v>
      </c>
      <c r="AR214" s="60" t="e">
        <f t="shared" si="182"/>
        <v>#DIV/0!</v>
      </c>
      <c r="AT214" s="38"/>
      <c r="AU214" s="38"/>
      <c r="AV214" s="38"/>
      <c r="AW214" s="38"/>
      <c r="AY214" s="38"/>
      <c r="AZ214" s="38"/>
      <c r="BA214" s="38"/>
      <c r="BB214" s="38"/>
    </row>
    <row r="215" spans="1:58" x14ac:dyDescent="0.2">
      <c r="A215" s="45" t="str">
        <f>"503.05.02"</f>
        <v>503.05.02</v>
      </c>
      <c r="B215" s="47" t="s">
        <v>1009</v>
      </c>
      <c r="C215" s="46">
        <f>CE_RegimeContributivo!B387</f>
        <v>0</v>
      </c>
      <c r="D215" s="46">
        <f>CE_RegimeContributivo!C387</f>
        <v>0</v>
      </c>
      <c r="E215" s="46">
        <f>CE_RegimeContributivo!E387</f>
        <v>0</v>
      </c>
      <c r="F215" s="46">
        <f>CE_RegimeContributivo!S387</f>
        <v>0</v>
      </c>
      <c r="G215" s="60" t="e">
        <f t="shared" si="166"/>
        <v>#DIV/0!</v>
      </c>
      <c r="H215" s="60" t="e">
        <f t="shared" si="167"/>
        <v>#DIV/0!</v>
      </c>
      <c r="I215" s="46">
        <f>CE_RegimeNaoContributivo!B387</f>
        <v>0</v>
      </c>
      <c r="J215" s="46">
        <f>CE_RegimeNaoContributivo!C387</f>
        <v>0</v>
      </c>
      <c r="K215" s="46">
        <f>CE_RegimeNaoContributivo!E387</f>
        <v>0</v>
      </c>
      <c r="L215" s="46">
        <f>CE_RegimeNaoContributivo!S387</f>
        <v>0</v>
      </c>
      <c r="M215" s="60" t="e">
        <f t="shared" si="168"/>
        <v>#DIV/0!</v>
      </c>
      <c r="N215" s="60" t="e">
        <f t="shared" si="169"/>
        <v>#DIV/0!</v>
      </c>
      <c r="O215" s="46">
        <f>CE_AdministraçãoINSS!B387</f>
        <v>0</v>
      </c>
      <c r="P215" s="46">
        <f>CE_AdministraçãoINSS!C387</f>
        <v>0</v>
      </c>
      <c r="Q215" s="46">
        <f>CE_AdministraçãoINSS!E387</f>
        <v>0</v>
      </c>
      <c r="R215" s="46">
        <f>CE_AdministraçãoINSS!S387</f>
        <v>0</v>
      </c>
      <c r="S215" s="60" t="e">
        <f t="shared" si="170"/>
        <v>#DIV/0!</v>
      </c>
      <c r="T215" s="60" t="e">
        <f t="shared" si="171"/>
        <v>#DIV/0!</v>
      </c>
      <c r="U215" s="46">
        <f t="shared" si="172"/>
        <v>0</v>
      </c>
      <c r="V215" s="46">
        <f t="shared" si="172"/>
        <v>0</v>
      </c>
      <c r="W215" s="46">
        <f t="shared" si="172"/>
        <v>0</v>
      </c>
      <c r="X215" s="46">
        <f t="shared" si="172"/>
        <v>0</v>
      </c>
      <c r="Y215" s="60" t="e">
        <f t="shared" si="173"/>
        <v>#DIV/0!</v>
      </c>
      <c r="Z215" s="60" t="e">
        <f t="shared" si="174"/>
        <v>#DIV/0!</v>
      </c>
      <c r="AA215" s="46">
        <f>CE_AdministraçãoFRSS!B387</f>
        <v>0</v>
      </c>
      <c r="AB215" s="46">
        <f>CE_AdministraçãoFRSS!C387</f>
        <v>0</v>
      </c>
      <c r="AC215" s="46">
        <f>CE_AdministraçãoFRSS!E387</f>
        <v>0</v>
      </c>
      <c r="AD215" s="46">
        <f>CE_AdministraçãoFRSS!S387</f>
        <v>0</v>
      </c>
      <c r="AE215" s="60" t="e">
        <f t="shared" si="175"/>
        <v>#DIV/0!</v>
      </c>
      <c r="AF215" s="60" t="e">
        <f t="shared" si="176"/>
        <v>#DIV/0!</v>
      </c>
      <c r="AG215" s="46">
        <f t="shared" si="177"/>
        <v>0</v>
      </c>
      <c r="AH215" s="46">
        <f t="shared" si="177"/>
        <v>0</v>
      </c>
      <c r="AI215" s="46">
        <f t="shared" si="177"/>
        <v>0</v>
      </c>
      <c r="AJ215" s="46">
        <f t="shared" si="177"/>
        <v>0</v>
      </c>
      <c r="AK215" s="60" t="e">
        <f t="shared" si="178"/>
        <v>#DIV/0!</v>
      </c>
      <c r="AL215" s="60" t="e">
        <f t="shared" si="179"/>
        <v>#DIV/0!</v>
      </c>
      <c r="AM215" s="46">
        <f t="shared" si="180"/>
        <v>0</v>
      </c>
      <c r="AN215" s="46">
        <f t="shared" si="180"/>
        <v>0</v>
      </c>
      <c r="AO215" s="46">
        <f t="shared" si="180"/>
        <v>0</v>
      </c>
      <c r="AP215" s="46">
        <f t="shared" si="180"/>
        <v>0</v>
      </c>
      <c r="AQ215" s="60" t="e">
        <f t="shared" si="181"/>
        <v>#DIV/0!</v>
      </c>
      <c r="AR215" s="60" t="e">
        <f t="shared" si="182"/>
        <v>#DIV/0!</v>
      </c>
      <c r="AT215" s="38"/>
      <c r="AU215" s="38"/>
      <c r="AV215" s="38"/>
      <c r="AW215" s="38"/>
      <c r="AY215" s="38"/>
      <c r="AZ215" s="38"/>
      <c r="BA215" s="38"/>
      <c r="BB215" s="38"/>
    </row>
    <row r="216" spans="1:58" x14ac:dyDescent="0.2">
      <c r="A216" s="45" t="str">
        <f>"503.05.03"</f>
        <v>503.05.03</v>
      </c>
      <c r="B216" s="47" t="s">
        <v>1010</v>
      </c>
      <c r="C216" s="46">
        <f>CE_RegimeContributivo!B388</f>
        <v>0</v>
      </c>
      <c r="D216" s="46">
        <f>CE_RegimeContributivo!C388</f>
        <v>0</v>
      </c>
      <c r="E216" s="46">
        <f>CE_RegimeContributivo!E388</f>
        <v>0</v>
      </c>
      <c r="F216" s="46">
        <f>CE_RegimeContributivo!S388</f>
        <v>0</v>
      </c>
      <c r="G216" s="60" t="e">
        <f t="shared" si="166"/>
        <v>#DIV/0!</v>
      </c>
      <c r="H216" s="60" t="e">
        <f t="shared" si="167"/>
        <v>#DIV/0!</v>
      </c>
      <c r="I216" s="46">
        <f>CE_RegimeNaoContributivo!B388</f>
        <v>0</v>
      </c>
      <c r="J216" s="46">
        <f>CE_RegimeNaoContributivo!C388</f>
        <v>0</v>
      </c>
      <c r="K216" s="46">
        <f>CE_RegimeNaoContributivo!E388</f>
        <v>0</v>
      </c>
      <c r="L216" s="46">
        <f>CE_RegimeNaoContributivo!S388</f>
        <v>0</v>
      </c>
      <c r="M216" s="60" t="e">
        <f t="shared" si="168"/>
        <v>#DIV/0!</v>
      </c>
      <c r="N216" s="60" t="e">
        <f t="shared" si="169"/>
        <v>#DIV/0!</v>
      </c>
      <c r="O216" s="46">
        <f>CE_AdministraçãoINSS!B388</f>
        <v>0</v>
      </c>
      <c r="P216" s="46">
        <f>CE_AdministraçãoINSS!C388</f>
        <v>0</v>
      </c>
      <c r="Q216" s="46">
        <f>CE_AdministraçãoINSS!E388</f>
        <v>0</v>
      </c>
      <c r="R216" s="46">
        <f>CE_AdministraçãoINSS!S388</f>
        <v>0</v>
      </c>
      <c r="S216" s="60" t="e">
        <f t="shared" si="170"/>
        <v>#DIV/0!</v>
      </c>
      <c r="T216" s="60" t="e">
        <f t="shared" si="171"/>
        <v>#DIV/0!</v>
      </c>
      <c r="U216" s="46">
        <f t="shared" si="172"/>
        <v>0</v>
      </c>
      <c r="V216" s="46">
        <f t="shared" si="172"/>
        <v>0</v>
      </c>
      <c r="W216" s="46">
        <f t="shared" si="172"/>
        <v>0</v>
      </c>
      <c r="X216" s="46">
        <f t="shared" si="172"/>
        <v>0</v>
      </c>
      <c r="Y216" s="60" t="e">
        <f t="shared" si="173"/>
        <v>#DIV/0!</v>
      </c>
      <c r="Z216" s="60" t="e">
        <f t="shared" si="174"/>
        <v>#DIV/0!</v>
      </c>
      <c r="AA216" s="46">
        <f>CE_AdministraçãoFRSS!B388</f>
        <v>0</v>
      </c>
      <c r="AB216" s="46">
        <f>CE_AdministraçãoFRSS!C388</f>
        <v>0</v>
      </c>
      <c r="AC216" s="46">
        <f>CE_AdministraçãoFRSS!E388</f>
        <v>0</v>
      </c>
      <c r="AD216" s="46">
        <f>CE_AdministraçãoFRSS!S388</f>
        <v>0</v>
      </c>
      <c r="AE216" s="60" t="e">
        <f t="shared" si="175"/>
        <v>#DIV/0!</v>
      </c>
      <c r="AF216" s="60" t="e">
        <f t="shared" si="176"/>
        <v>#DIV/0!</v>
      </c>
      <c r="AG216" s="46">
        <f t="shared" si="177"/>
        <v>0</v>
      </c>
      <c r="AH216" s="46">
        <f t="shared" si="177"/>
        <v>0</v>
      </c>
      <c r="AI216" s="46">
        <f t="shared" si="177"/>
        <v>0</v>
      </c>
      <c r="AJ216" s="46">
        <f t="shared" si="177"/>
        <v>0</v>
      </c>
      <c r="AK216" s="60" t="e">
        <f t="shared" si="178"/>
        <v>#DIV/0!</v>
      </c>
      <c r="AL216" s="60" t="e">
        <f t="shared" si="179"/>
        <v>#DIV/0!</v>
      </c>
      <c r="AM216" s="46">
        <f t="shared" si="180"/>
        <v>0</v>
      </c>
      <c r="AN216" s="46">
        <f t="shared" si="180"/>
        <v>0</v>
      </c>
      <c r="AO216" s="46">
        <f t="shared" si="180"/>
        <v>0</v>
      </c>
      <c r="AP216" s="46">
        <f t="shared" si="180"/>
        <v>0</v>
      </c>
      <c r="AQ216" s="60" t="e">
        <f t="shared" si="181"/>
        <v>#DIV/0!</v>
      </c>
      <c r="AR216" s="60" t="e">
        <f t="shared" si="182"/>
        <v>#DIV/0!</v>
      </c>
      <c r="AT216" s="38"/>
      <c r="AU216" s="38"/>
      <c r="AV216" s="38"/>
      <c r="AW216" s="38"/>
      <c r="AY216" s="38"/>
      <c r="AZ216" s="38"/>
      <c r="BA216" s="38"/>
      <c r="BB216" s="38"/>
    </row>
    <row r="217" spans="1:58" x14ac:dyDescent="0.2">
      <c r="A217" s="41" t="str">
        <f>"503.06"</f>
        <v>503.06</v>
      </c>
      <c r="B217" s="42" t="s">
        <v>116</v>
      </c>
      <c r="C217" s="43">
        <f>SUM(C218:C224)</f>
        <v>0</v>
      </c>
      <c r="D217" s="43">
        <f>SUM(D218:D224)</f>
        <v>0</v>
      </c>
      <c r="E217" s="43">
        <f>SUM(E218:E224)</f>
        <v>0</v>
      </c>
      <c r="F217" s="43">
        <f t="shared" ref="F217" si="191">SUM(F218:F224)</f>
        <v>0</v>
      </c>
      <c r="G217" s="59" t="e">
        <f t="shared" si="166"/>
        <v>#DIV/0!</v>
      </c>
      <c r="H217" s="59" t="e">
        <f t="shared" si="167"/>
        <v>#DIV/0!</v>
      </c>
      <c r="I217" s="43">
        <f>SUM(I218:I224)</f>
        <v>0</v>
      </c>
      <c r="J217" s="43">
        <f>SUM(J218:J224)</f>
        <v>0</v>
      </c>
      <c r="K217" s="43">
        <f t="shared" ref="K217:L217" si="192">SUM(K218:K224)</f>
        <v>0</v>
      </c>
      <c r="L217" s="43">
        <f t="shared" si="192"/>
        <v>0</v>
      </c>
      <c r="M217" s="59" t="e">
        <f t="shared" si="168"/>
        <v>#DIV/0!</v>
      </c>
      <c r="N217" s="59" t="e">
        <f t="shared" si="169"/>
        <v>#DIV/0!</v>
      </c>
      <c r="O217" s="43">
        <f>SUM(O218:O224)</f>
        <v>0</v>
      </c>
      <c r="P217" s="43">
        <f>SUM(P218:P224)</f>
        <v>0</v>
      </c>
      <c r="Q217" s="43">
        <f t="shared" ref="Q217:R217" si="193">SUM(Q218:Q224)</f>
        <v>0</v>
      </c>
      <c r="R217" s="43">
        <f t="shared" si="193"/>
        <v>0</v>
      </c>
      <c r="S217" s="59" t="e">
        <f t="shared" si="170"/>
        <v>#DIV/0!</v>
      </c>
      <c r="T217" s="59" t="e">
        <f t="shared" si="171"/>
        <v>#DIV/0!</v>
      </c>
      <c r="U217" s="43">
        <f t="shared" si="172"/>
        <v>0</v>
      </c>
      <c r="V217" s="43">
        <f t="shared" si="172"/>
        <v>0</v>
      </c>
      <c r="W217" s="43">
        <f t="shared" si="172"/>
        <v>0</v>
      </c>
      <c r="X217" s="43">
        <f t="shared" si="172"/>
        <v>0</v>
      </c>
      <c r="Y217" s="59" t="e">
        <f t="shared" si="173"/>
        <v>#DIV/0!</v>
      </c>
      <c r="Z217" s="59" t="e">
        <f t="shared" si="174"/>
        <v>#DIV/0!</v>
      </c>
      <c r="AA217" s="43">
        <f>SUM(AA218:AA224)</f>
        <v>0</v>
      </c>
      <c r="AB217" s="43">
        <f>SUM(AB218:AB224)</f>
        <v>0</v>
      </c>
      <c r="AC217" s="43">
        <f t="shared" ref="AC217:AD217" si="194">SUM(AC218:AC224)</f>
        <v>0</v>
      </c>
      <c r="AD217" s="43">
        <f t="shared" si="194"/>
        <v>0</v>
      </c>
      <c r="AE217" s="59" t="e">
        <f t="shared" si="175"/>
        <v>#DIV/0!</v>
      </c>
      <c r="AF217" s="59" t="e">
        <f t="shared" si="176"/>
        <v>#DIV/0!</v>
      </c>
      <c r="AG217" s="43">
        <f t="shared" si="177"/>
        <v>0</v>
      </c>
      <c r="AH217" s="43">
        <f t="shared" si="177"/>
        <v>0</v>
      </c>
      <c r="AI217" s="43">
        <f t="shared" si="177"/>
        <v>0</v>
      </c>
      <c r="AJ217" s="43">
        <f t="shared" si="177"/>
        <v>0</v>
      </c>
      <c r="AK217" s="59" t="e">
        <f t="shared" si="178"/>
        <v>#DIV/0!</v>
      </c>
      <c r="AL217" s="59" t="e">
        <f t="shared" si="179"/>
        <v>#DIV/0!</v>
      </c>
      <c r="AM217" s="43">
        <f t="shared" si="180"/>
        <v>0</v>
      </c>
      <c r="AN217" s="43">
        <f t="shared" si="180"/>
        <v>0</v>
      </c>
      <c r="AO217" s="43">
        <f t="shared" si="180"/>
        <v>0</v>
      </c>
      <c r="AP217" s="43">
        <f t="shared" si="180"/>
        <v>0</v>
      </c>
      <c r="AQ217" s="59" t="e">
        <f t="shared" si="181"/>
        <v>#DIV/0!</v>
      </c>
      <c r="AR217" s="59" t="e">
        <f t="shared" si="182"/>
        <v>#DIV/0!</v>
      </c>
      <c r="AT217" s="38"/>
      <c r="AU217" s="38"/>
      <c r="AV217" s="38"/>
      <c r="AW217" s="38"/>
      <c r="AY217" s="38"/>
      <c r="AZ217" s="38"/>
      <c r="BA217" s="38"/>
      <c r="BB217" s="38"/>
    </row>
    <row r="218" spans="1:58" x14ac:dyDescent="0.2">
      <c r="A218" s="45" t="str">
        <f>"503.06.01"</f>
        <v>503.06.01</v>
      </c>
      <c r="B218" s="47" t="s">
        <v>1011</v>
      </c>
      <c r="C218" s="46">
        <f>CE_RegimeContributivo!B390</f>
        <v>0</v>
      </c>
      <c r="D218" s="46">
        <f>CE_RegimeContributivo!C390</f>
        <v>0</v>
      </c>
      <c r="E218" s="46">
        <f>CE_RegimeContributivo!E390</f>
        <v>0</v>
      </c>
      <c r="F218" s="46">
        <f>CE_RegimeContributivo!S390</f>
        <v>0</v>
      </c>
      <c r="G218" s="60" t="e">
        <f t="shared" si="166"/>
        <v>#DIV/0!</v>
      </c>
      <c r="H218" s="60" t="e">
        <f t="shared" si="167"/>
        <v>#DIV/0!</v>
      </c>
      <c r="I218" s="46">
        <f>CE_RegimeNaoContributivo!B390</f>
        <v>0</v>
      </c>
      <c r="J218" s="46">
        <f>CE_RegimeNaoContributivo!C390</f>
        <v>0</v>
      </c>
      <c r="K218" s="46">
        <f>CE_RegimeNaoContributivo!E390</f>
        <v>0</v>
      </c>
      <c r="L218" s="46">
        <f>CE_RegimeNaoContributivo!S390</f>
        <v>0</v>
      </c>
      <c r="M218" s="60" t="e">
        <f t="shared" si="168"/>
        <v>#DIV/0!</v>
      </c>
      <c r="N218" s="60" t="e">
        <f t="shared" si="169"/>
        <v>#DIV/0!</v>
      </c>
      <c r="O218" s="46">
        <f>CE_AdministraçãoINSS!B390</f>
        <v>0</v>
      </c>
      <c r="P218" s="46">
        <f>CE_AdministraçãoINSS!C390</f>
        <v>0</v>
      </c>
      <c r="Q218" s="46">
        <f>CE_AdministraçãoINSS!E390</f>
        <v>0</v>
      </c>
      <c r="R218" s="46">
        <f>CE_AdministraçãoINSS!S390</f>
        <v>0</v>
      </c>
      <c r="S218" s="60" t="e">
        <f t="shared" si="170"/>
        <v>#DIV/0!</v>
      </c>
      <c r="T218" s="60" t="e">
        <f t="shared" si="171"/>
        <v>#DIV/0!</v>
      </c>
      <c r="U218" s="46">
        <f t="shared" si="172"/>
        <v>0</v>
      </c>
      <c r="V218" s="46">
        <f t="shared" si="172"/>
        <v>0</v>
      </c>
      <c r="W218" s="46">
        <f t="shared" si="172"/>
        <v>0</v>
      </c>
      <c r="X218" s="46">
        <f t="shared" si="172"/>
        <v>0</v>
      </c>
      <c r="Y218" s="60" t="e">
        <f t="shared" si="173"/>
        <v>#DIV/0!</v>
      </c>
      <c r="Z218" s="60" t="e">
        <f t="shared" si="174"/>
        <v>#DIV/0!</v>
      </c>
      <c r="AA218" s="46">
        <f>CE_AdministraçãoFRSS!B390</f>
        <v>0</v>
      </c>
      <c r="AB218" s="46">
        <f>CE_AdministraçãoFRSS!C390</f>
        <v>0</v>
      </c>
      <c r="AC218" s="46">
        <f>CE_AdministraçãoFRSS!E390</f>
        <v>0</v>
      </c>
      <c r="AD218" s="46">
        <f>CE_AdministraçãoFRSS!S390</f>
        <v>0</v>
      </c>
      <c r="AE218" s="60" t="e">
        <f t="shared" si="175"/>
        <v>#DIV/0!</v>
      </c>
      <c r="AF218" s="60" t="e">
        <f t="shared" si="176"/>
        <v>#DIV/0!</v>
      </c>
      <c r="AG218" s="46">
        <f t="shared" si="177"/>
        <v>0</v>
      </c>
      <c r="AH218" s="46">
        <f t="shared" si="177"/>
        <v>0</v>
      </c>
      <c r="AI218" s="46">
        <f t="shared" si="177"/>
        <v>0</v>
      </c>
      <c r="AJ218" s="46">
        <f t="shared" si="177"/>
        <v>0</v>
      </c>
      <c r="AK218" s="60" t="e">
        <f t="shared" si="178"/>
        <v>#DIV/0!</v>
      </c>
      <c r="AL218" s="60" t="e">
        <f t="shared" si="179"/>
        <v>#DIV/0!</v>
      </c>
      <c r="AM218" s="46">
        <f t="shared" si="180"/>
        <v>0</v>
      </c>
      <c r="AN218" s="46">
        <f t="shared" si="180"/>
        <v>0</v>
      </c>
      <c r="AO218" s="46">
        <f t="shared" si="180"/>
        <v>0</v>
      </c>
      <c r="AP218" s="46">
        <f t="shared" si="180"/>
        <v>0</v>
      </c>
      <c r="AQ218" s="60" t="e">
        <f t="shared" si="181"/>
        <v>#DIV/0!</v>
      </c>
      <c r="AR218" s="60" t="e">
        <f t="shared" si="182"/>
        <v>#DIV/0!</v>
      </c>
      <c r="AT218" s="38"/>
      <c r="AU218" s="38"/>
      <c r="AV218" s="38"/>
      <c r="AW218" s="38"/>
      <c r="AY218" s="38"/>
      <c r="AZ218" s="38"/>
      <c r="BA218" s="38"/>
      <c r="BB218" s="38"/>
    </row>
    <row r="219" spans="1:58" x14ac:dyDescent="0.2">
      <c r="A219" s="45" t="str">
        <f>"503.06.02"</f>
        <v>503.06.02</v>
      </c>
      <c r="B219" s="47" t="s">
        <v>1012</v>
      </c>
      <c r="C219" s="46">
        <f>CE_RegimeContributivo!B391</f>
        <v>0</v>
      </c>
      <c r="D219" s="46">
        <f>CE_RegimeContributivo!C391</f>
        <v>0</v>
      </c>
      <c r="E219" s="46">
        <f>CE_RegimeContributivo!E391</f>
        <v>0</v>
      </c>
      <c r="F219" s="46">
        <f>CE_RegimeContributivo!S391</f>
        <v>0</v>
      </c>
      <c r="G219" s="60" t="e">
        <f t="shared" si="166"/>
        <v>#DIV/0!</v>
      </c>
      <c r="H219" s="60" t="e">
        <f t="shared" si="167"/>
        <v>#DIV/0!</v>
      </c>
      <c r="I219" s="46">
        <f>CE_RegimeNaoContributivo!B391</f>
        <v>0</v>
      </c>
      <c r="J219" s="46">
        <f>CE_RegimeNaoContributivo!C391</f>
        <v>0</v>
      </c>
      <c r="K219" s="46">
        <f>CE_RegimeNaoContributivo!E391</f>
        <v>0</v>
      </c>
      <c r="L219" s="46">
        <f>CE_RegimeNaoContributivo!S391</f>
        <v>0</v>
      </c>
      <c r="M219" s="60" t="e">
        <f t="shared" si="168"/>
        <v>#DIV/0!</v>
      </c>
      <c r="N219" s="60" t="e">
        <f t="shared" si="169"/>
        <v>#DIV/0!</v>
      </c>
      <c r="O219" s="46">
        <f>CE_AdministraçãoINSS!B391</f>
        <v>0</v>
      </c>
      <c r="P219" s="46">
        <f>CE_AdministraçãoINSS!C391</f>
        <v>0</v>
      </c>
      <c r="Q219" s="46">
        <f>CE_AdministraçãoINSS!E391</f>
        <v>0</v>
      </c>
      <c r="R219" s="46">
        <f>CE_AdministraçãoINSS!S391</f>
        <v>0</v>
      </c>
      <c r="S219" s="60" t="e">
        <f t="shared" si="170"/>
        <v>#DIV/0!</v>
      </c>
      <c r="T219" s="60" t="e">
        <f t="shared" si="171"/>
        <v>#DIV/0!</v>
      </c>
      <c r="U219" s="46">
        <f t="shared" si="172"/>
        <v>0</v>
      </c>
      <c r="V219" s="46">
        <f t="shared" si="172"/>
        <v>0</v>
      </c>
      <c r="W219" s="46">
        <f t="shared" si="172"/>
        <v>0</v>
      </c>
      <c r="X219" s="46">
        <f t="shared" si="172"/>
        <v>0</v>
      </c>
      <c r="Y219" s="60" t="e">
        <f t="shared" si="173"/>
        <v>#DIV/0!</v>
      </c>
      <c r="Z219" s="60" t="e">
        <f t="shared" si="174"/>
        <v>#DIV/0!</v>
      </c>
      <c r="AA219" s="46">
        <f>CE_AdministraçãoFRSS!B391</f>
        <v>0</v>
      </c>
      <c r="AB219" s="46">
        <f>CE_AdministraçãoFRSS!C391</f>
        <v>0</v>
      </c>
      <c r="AC219" s="46">
        <f>CE_AdministraçãoFRSS!E391</f>
        <v>0</v>
      </c>
      <c r="AD219" s="46">
        <f>CE_AdministraçãoFRSS!S391</f>
        <v>0</v>
      </c>
      <c r="AE219" s="60" t="e">
        <f t="shared" si="175"/>
        <v>#DIV/0!</v>
      </c>
      <c r="AF219" s="60" t="e">
        <f t="shared" si="176"/>
        <v>#DIV/0!</v>
      </c>
      <c r="AG219" s="46">
        <f t="shared" si="177"/>
        <v>0</v>
      </c>
      <c r="AH219" s="46">
        <f t="shared" si="177"/>
        <v>0</v>
      </c>
      <c r="AI219" s="46">
        <f t="shared" si="177"/>
        <v>0</v>
      </c>
      <c r="AJ219" s="46">
        <f t="shared" si="177"/>
        <v>0</v>
      </c>
      <c r="AK219" s="60" t="e">
        <f t="shared" si="178"/>
        <v>#DIV/0!</v>
      </c>
      <c r="AL219" s="60" t="e">
        <f t="shared" si="179"/>
        <v>#DIV/0!</v>
      </c>
      <c r="AM219" s="46">
        <f t="shared" si="180"/>
        <v>0</v>
      </c>
      <c r="AN219" s="46">
        <f t="shared" si="180"/>
        <v>0</v>
      </c>
      <c r="AO219" s="46">
        <f t="shared" si="180"/>
        <v>0</v>
      </c>
      <c r="AP219" s="46">
        <f t="shared" si="180"/>
        <v>0</v>
      </c>
      <c r="AQ219" s="60" t="e">
        <f t="shared" si="181"/>
        <v>#DIV/0!</v>
      </c>
      <c r="AR219" s="60" t="e">
        <f t="shared" si="182"/>
        <v>#DIV/0!</v>
      </c>
      <c r="AT219" s="38"/>
      <c r="AU219" s="38"/>
      <c r="AV219" s="38"/>
      <c r="AW219" s="38"/>
      <c r="AY219" s="38"/>
      <c r="AZ219" s="38"/>
      <c r="BA219" s="38"/>
      <c r="BB219" s="38"/>
    </row>
    <row r="220" spans="1:58" x14ac:dyDescent="0.2">
      <c r="A220" s="45" t="str">
        <f>"503.06.03"</f>
        <v>503.06.03</v>
      </c>
      <c r="B220" s="47" t="s">
        <v>1013</v>
      </c>
      <c r="C220" s="46">
        <f>CE_RegimeContributivo!B392</f>
        <v>0</v>
      </c>
      <c r="D220" s="46">
        <f>CE_RegimeContributivo!C392</f>
        <v>0</v>
      </c>
      <c r="E220" s="46">
        <f>CE_RegimeContributivo!E392</f>
        <v>0</v>
      </c>
      <c r="F220" s="46">
        <f>CE_RegimeContributivo!S392</f>
        <v>0</v>
      </c>
      <c r="G220" s="60" t="e">
        <f t="shared" si="166"/>
        <v>#DIV/0!</v>
      </c>
      <c r="H220" s="60" t="e">
        <f t="shared" si="167"/>
        <v>#DIV/0!</v>
      </c>
      <c r="I220" s="46">
        <f>CE_RegimeNaoContributivo!B392</f>
        <v>0</v>
      </c>
      <c r="J220" s="46">
        <f>CE_RegimeNaoContributivo!C392</f>
        <v>0</v>
      </c>
      <c r="K220" s="46">
        <f>CE_RegimeNaoContributivo!E392</f>
        <v>0</v>
      </c>
      <c r="L220" s="46">
        <f>CE_RegimeNaoContributivo!S392</f>
        <v>0</v>
      </c>
      <c r="M220" s="60" t="e">
        <f t="shared" si="168"/>
        <v>#DIV/0!</v>
      </c>
      <c r="N220" s="60" t="e">
        <f t="shared" si="169"/>
        <v>#DIV/0!</v>
      </c>
      <c r="O220" s="46">
        <f>CE_AdministraçãoINSS!B392</f>
        <v>0</v>
      </c>
      <c r="P220" s="46">
        <f>CE_AdministraçãoINSS!C392</f>
        <v>0</v>
      </c>
      <c r="Q220" s="46">
        <f>CE_AdministraçãoINSS!E392</f>
        <v>0</v>
      </c>
      <c r="R220" s="46">
        <f>CE_AdministraçãoINSS!S392</f>
        <v>0</v>
      </c>
      <c r="S220" s="60" t="e">
        <f t="shared" si="170"/>
        <v>#DIV/0!</v>
      </c>
      <c r="T220" s="60" t="e">
        <f t="shared" si="171"/>
        <v>#DIV/0!</v>
      </c>
      <c r="U220" s="46">
        <f t="shared" si="172"/>
        <v>0</v>
      </c>
      <c r="V220" s="46">
        <f t="shared" si="172"/>
        <v>0</v>
      </c>
      <c r="W220" s="46">
        <f t="shared" si="172"/>
        <v>0</v>
      </c>
      <c r="X220" s="46">
        <f t="shared" si="172"/>
        <v>0</v>
      </c>
      <c r="Y220" s="60" t="e">
        <f t="shared" si="173"/>
        <v>#DIV/0!</v>
      </c>
      <c r="Z220" s="60" t="e">
        <f t="shared" si="174"/>
        <v>#DIV/0!</v>
      </c>
      <c r="AA220" s="46">
        <f>CE_AdministraçãoFRSS!B392</f>
        <v>0</v>
      </c>
      <c r="AB220" s="46">
        <f>CE_AdministraçãoFRSS!C392</f>
        <v>0</v>
      </c>
      <c r="AC220" s="46">
        <f>CE_AdministraçãoFRSS!E392</f>
        <v>0</v>
      </c>
      <c r="AD220" s="46">
        <f>CE_AdministraçãoFRSS!S392</f>
        <v>0</v>
      </c>
      <c r="AE220" s="60" t="e">
        <f t="shared" si="175"/>
        <v>#DIV/0!</v>
      </c>
      <c r="AF220" s="60" t="e">
        <f t="shared" si="176"/>
        <v>#DIV/0!</v>
      </c>
      <c r="AG220" s="46">
        <f t="shared" si="177"/>
        <v>0</v>
      </c>
      <c r="AH220" s="46">
        <f t="shared" si="177"/>
        <v>0</v>
      </c>
      <c r="AI220" s="46">
        <f t="shared" si="177"/>
        <v>0</v>
      </c>
      <c r="AJ220" s="46">
        <f t="shared" si="177"/>
        <v>0</v>
      </c>
      <c r="AK220" s="60" t="e">
        <f t="shared" si="178"/>
        <v>#DIV/0!</v>
      </c>
      <c r="AL220" s="60" t="e">
        <f t="shared" si="179"/>
        <v>#DIV/0!</v>
      </c>
      <c r="AM220" s="46">
        <f t="shared" si="180"/>
        <v>0</v>
      </c>
      <c r="AN220" s="46">
        <f t="shared" si="180"/>
        <v>0</v>
      </c>
      <c r="AO220" s="46">
        <f t="shared" si="180"/>
        <v>0</v>
      </c>
      <c r="AP220" s="46">
        <f t="shared" si="180"/>
        <v>0</v>
      </c>
      <c r="AQ220" s="60" t="e">
        <f t="shared" si="181"/>
        <v>#DIV/0!</v>
      </c>
      <c r="AR220" s="60" t="e">
        <f t="shared" si="182"/>
        <v>#DIV/0!</v>
      </c>
      <c r="AT220" s="38"/>
      <c r="AU220" s="38"/>
      <c r="AV220" s="38"/>
      <c r="AW220" s="38"/>
      <c r="AY220" s="38"/>
      <c r="AZ220" s="38"/>
      <c r="BA220" s="38"/>
      <c r="BB220" s="38"/>
    </row>
    <row r="221" spans="1:58" x14ac:dyDescent="0.2">
      <c r="A221" s="45" t="str">
        <f>"503.06.04"</f>
        <v>503.06.04</v>
      </c>
      <c r="B221" s="47" t="s">
        <v>1014</v>
      </c>
      <c r="C221" s="46">
        <f>CE_RegimeContributivo!B393</f>
        <v>0</v>
      </c>
      <c r="D221" s="46">
        <f>CE_RegimeContributivo!C393</f>
        <v>0</v>
      </c>
      <c r="E221" s="46">
        <f>CE_RegimeContributivo!E393</f>
        <v>0</v>
      </c>
      <c r="F221" s="46">
        <f>CE_RegimeContributivo!S393</f>
        <v>0</v>
      </c>
      <c r="G221" s="60" t="e">
        <f t="shared" si="166"/>
        <v>#DIV/0!</v>
      </c>
      <c r="H221" s="60" t="e">
        <f t="shared" si="167"/>
        <v>#DIV/0!</v>
      </c>
      <c r="I221" s="46">
        <f>CE_RegimeNaoContributivo!B393</f>
        <v>0</v>
      </c>
      <c r="J221" s="46">
        <f>CE_RegimeNaoContributivo!C393</f>
        <v>0</v>
      </c>
      <c r="K221" s="46">
        <f>CE_RegimeNaoContributivo!E393</f>
        <v>0</v>
      </c>
      <c r="L221" s="46">
        <f>CE_RegimeNaoContributivo!S393</f>
        <v>0</v>
      </c>
      <c r="M221" s="60" t="e">
        <f t="shared" si="168"/>
        <v>#DIV/0!</v>
      </c>
      <c r="N221" s="60" t="e">
        <f t="shared" si="169"/>
        <v>#DIV/0!</v>
      </c>
      <c r="O221" s="46">
        <f>CE_AdministraçãoINSS!B393</f>
        <v>0</v>
      </c>
      <c r="P221" s="46">
        <f>CE_AdministraçãoINSS!C393</f>
        <v>0</v>
      </c>
      <c r="Q221" s="46">
        <f>CE_AdministraçãoINSS!E393</f>
        <v>0</v>
      </c>
      <c r="R221" s="46">
        <f>CE_AdministraçãoINSS!S393</f>
        <v>0</v>
      </c>
      <c r="S221" s="60" t="e">
        <f t="shared" si="170"/>
        <v>#DIV/0!</v>
      </c>
      <c r="T221" s="60" t="e">
        <f t="shared" si="171"/>
        <v>#DIV/0!</v>
      </c>
      <c r="U221" s="46">
        <f t="shared" si="172"/>
        <v>0</v>
      </c>
      <c r="V221" s="46">
        <f t="shared" si="172"/>
        <v>0</v>
      </c>
      <c r="W221" s="46">
        <f t="shared" si="172"/>
        <v>0</v>
      </c>
      <c r="X221" s="46">
        <f t="shared" si="172"/>
        <v>0</v>
      </c>
      <c r="Y221" s="60" t="e">
        <f t="shared" si="173"/>
        <v>#DIV/0!</v>
      </c>
      <c r="Z221" s="60" t="e">
        <f t="shared" si="174"/>
        <v>#DIV/0!</v>
      </c>
      <c r="AA221" s="46">
        <f>CE_AdministraçãoFRSS!B393</f>
        <v>0</v>
      </c>
      <c r="AB221" s="46">
        <f>CE_AdministraçãoFRSS!C393</f>
        <v>0</v>
      </c>
      <c r="AC221" s="46">
        <f>CE_AdministraçãoFRSS!E393</f>
        <v>0</v>
      </c>
      <c r="AD221" s="46">
        <f>CE_AdministraçãoFRSS!S393</f>
        <v>0</v>
      </c>
      <c r="AE221" s="60" t="e">
        <f t="shared" si="175"/>
        <v>#DIV/0!</v>
      </c>
      <c r="AF221" s="60" t="e">
        <f t="shared" si="176"/>
        <v>#DIV/0!</v>
      </c>
      <c r="AG221" s="46">
        <f t="shared" si="177"/>
        <v>0</v>
      </c>
      <c r="AH221" s="46">
        <f t="shared" si="177"/>
        <v>0</v>
      </c>
      <c r="AI221" s="46">
        <f t="shared" si="177"/>
        <v>0</v>
      </c>
      <c r="AJ221" s="46">
        <f t="shared" si="177"/>
        <v>0</v>
      </c>
      <c r="AK221" s="60" t="e">
        <f t="shared" si="178"/>
        <v>#DIV/0!</v>
      </c>
      <c r="AL221" s="60" t="e">
        <f t="shared" si="179"/>
        <v>#DIV/0!</v>
      </c>
      <c r="AM221" s="46">
        <f t="shared" si="180"/>
        <v>0</v>
      </c>
      <c r="AN221" s="46">
        <f t="shared" si="180"/>
        <v>0</v>
      </c>
      <c r="AO221" s="46">
        <f t="shared" si="180"/>
        <v>0</v>
      </c>
      <c r="AP221" s="46">
        <f t="shared" si="180"/>
        <v>0</v>
      </c>
      <c r="AQ221" s="60" t="e">
        <f t="shared" si="181"/>
        <v>#DIV/0!</v>
      </c>
      <c r="AR221" s="60" t="e">
        <f t="shared" si="182"/>
        <v>#DIV/0!</v>
      </c>
      <c r="AT221" s="38"/>
      <c r="AU221" s="38"/>
      <c r="AV221" s="38"/>
      <c r="AW221" s="38"/>
      <c r="AY221" s="38"/>
      <c r="AZ221" s="38"/>
      <c r="BA221" s="38"/>
      <c r="BB221" s="38"/>
    </row>
    <row r="222" spans="1:58" x14ac:dyDescent="0.2">
      <c r="A222" s="45" t="str">
        <f>"503.06.05"</f>
        <v>503.06.05</v>
      </c>
      <c r="B222" s="47" t="s">
        <v>1015</v>
      </c>
      <c r="C222" s="46">
        <f>CE_RegimeContributivo!B394</f>
        <v>0</v>
      </c>
      <c r="D222" s="46">
        <f>CE_RegimeContributivo!C394</f>
        <v>0</v>
      </c>
      <c r="E222" s="46">
        <f>CE_RegimeContributivo!E394</f>
        <v>0</v>
      </c>
      <c r="F222" s="46">
        <f>CE_RegimeContributivo!S394</f>
        <v>0</v>
      </c>
      <c r="G222" s="60" t="e">
        <f t="shared" si="166"/>
        <v>#DIV/0!</v>
      </c>
      <c r="H222" s="60" t="e">
        <f t="shared" si="167"/>
        <v>#DIV/0!</v>
      </c>
      <c r="I222" s="46">
        <f>CE_RegimeNaoContributivo!B394</f>
        <v>0</v>
      </c>
      <c r="J222" s="46">
        <f>CE_RegimeNaoContributivo!C394</f>
        <v>0</v>
      </c>
      <c r="K222" s="46">
        <f>CE_RegimeNaoContributivo!E394</f>
        <v>0</v>
      </c>
      <c r="L222" s="46">
        <f>CE_RegimeNaoContributivo!S394</f>
        <v>0</v>
      </c>
      <c r="M222" s="60" t="e">
        <f t="shared" si="168"/>
        <v>#DIV/0!</v>
      </c>
      <c r="N222" s="60" t="e">
        <f t="shared" si="169"/>
        <v>#DIV/0!</v>
      </c>
      <c r="O222" s="46">
        <f>CE_AdministraçãoINSS!B394</f>
        <v>0</v>
      </c>
      <c r="P222" s="46">
        <f>CE_AdministraçãoINSS!C394</f>
        <v>0</v>
      </c>
      <c r="Q222" s="46">
        <f>CE_AdministraçãoINSS!E394</f>
        <v>0</v>
      </c>
      <c r="R222" s="46">
        <f>CE_AdministraçãoINSS!S394</f>
        <v>0</v>
      </c>
      <c r="S222" s="60" t="e">
        <f t="shared" si="170"/>
        <v>#DIV/0!</v>
      </c>
      <c r="T222" s="60" t="e">
        <f t="shared" si="171"/>
        <v>#DIV/0!</v>
      </c>
      <c r="U222" s="46">
        <f t="shared" si="172"/>
        <v>0</v>
      </c>
      <c r="V222" s="46">
        <f t="shared" si="172"/>
        <v>0</v>
      </c>
      <c r="W222" s="46">
        <f t="shared" si="172"/>
        <v>0</v>
      </c>
      <c r="X222" s="46">
        <f t="shared" si="172"/>
        <v>0</v>
      </c>
      <c r="Y222" s="60" t="e">
        <f t="shared" si="173"/>
        <v>#DIV/0!</v>
      </c>
      <c r="Z222" s="60" t="e">
        <f t="shared" si="174"/>
        <v>#DIV/0!</v>
      </c>
      <c r="AA222" s="46">
        <f>CE_AdministraçãoFRSS!B394</f>
        <v>0</v>
      </c>
      <c r="AB222" s="46">
        <f>CE_AdministraçãoFRSS!C394</f>
        <v>0</v>
      </c>
      <c r="AC222" s="46">
        <f>CE_AdministraçãoFRSS!E394</f>
        <v>0</v>
      </c>
      <c r="AD222" s="46">
        <f>CE_AdministraçãoFRSS!S394</f>
        <v>0</v>
      </c>
      <c r="AE222" s="60" t="e">
        <f t="shared" si="175"/>
        <v>#DIV/0!</v>
      </c>
      <c r="AF222" s="60" t="e">
        <f t="shared" si="176"/>
        <v>#DIV/0!</v>
      </c>
      <c r="AG222" s="46">
        <f t="shared" si="177"/>
        <v>0</v>
      </c>
      <c r="AH222" s="46">
        <f t="shared" si="177"/>
        <v>0</v>
      </c>
      <c r="AI222" s="46">
        <f t="shared" si="177"/>
        <v>0</v>
      </c>
      <c r="AJ222" s="46">
        <f t="shared" si="177"/>
        <v>0</v>
      </c>
      <c r="AK222" s="60" t="e">
        <f t="shared" si="178"/>
        <v>#DIV/0!</v>
      </c>
      <c r="AL222" s="60" t="e">
        <f t="shared" si="179"/>
        <v>#DIV/0!</v>
      </c>
      <c r="AM222" s="46">
        <f t="shared" si="180"/>
        <v>0</v>
      </c>
      <c r="AN222" s="46">
        <f t="shared" si="180"/>
        <v>0</v>
      </c>
      <c r="AO222" s="46">
        <f t="shared" si="180"/>
        <v>0</v>
      </c>
      <c r="AP222" s="46">
        <f t="shared" si="180"/>
        <v>0</v>
      </c>
      <c r="AQ222" s="60" t="e">
        <f t="shared" si="181"/>
        <v>#DIV/0!</v>
      </c>
      <c r="AR222" s="60" t="e">
        <f t="shared" si="182"/>
        <v>#DIV/0!</v>
      </c>
      <c r="AT222" s="38"/>
      <c r="AU222" s="38"/>
      <c r="AV222" s="38"/>
      <c r="AW222" s="38"/>
      <c r="AY222" s="38"/>
      <c r="AZ222" s="38"/>
      <c r="BA222" s="38"/>
      <c r="BB222" s="38"/>
    </row>
    <row r="223" spans="1:58" x14ac:dyDescent="0.2">
      <c r="A223" s="45" t="str">
        <f>"503.06.06"</f>
        <v>503.06.06</v>
      </c>
      <c r="B223" s="47" t="s">
        <v>1016</v>
      </c>
      <c r="C223" s="46">
        <f>CE_RegimeContributivo!B395</f>
        <v>0</v>
      </c>
      <c r="D223" s="46">
        <f>CE_RegimeContributivo!C395</f>
        <v>0</v>
      </c>
      <c r="E223" s="46">
        <f>CE_RegimeContributivo!E395</f>
        <v>0</v>
      </c>
      <c r="F223" s="46">
        <f>CE_RegimeContributivo!S395</f>
        <v>0</v>
      </c>
      <c r="G223" s="60" t="e">
        <f t="shared" si="166"/>
        <v>#DIV/0!</v>
      </c>
      <c r="H223" s="60" t="e">
        <f t="shared" si="167"/>
        <v>#DIV/0!</v>
      </c>
      <c r="I223" s="46">
        <f>CE_RegimeNaoContributivo!B395</f>
        <v>0</v>
      </c>
      <c r="J223" s="46">
        <f>CE_RegimeNaoContributivo!C395</f>
        <v>0</v>
      </c>
      <c r="K223" s="46">
        <f>CE_RegimeNaoContributivo!E395</f>
        <v>0</v>
      </c>
      <c r="L223" s="46">
        <f>CE_RegimeNaoContributivo!S395</f>
        <v>0</v>
      </c>
      <c r="M223" s="60" t="e">
        <f t="shared" si="168"/>
        <v>#DIV/0!</v>
      </c>
      <c r="N223" s="60" t="e">
        <f t="shared" si="169"/>
        <v>#DIV/0!</v>
      </c>
      <c r="O223" s="46">
        <f>CE_AdministraçãoINSS!B395</f>
        <v>0</v>
      </c>
      <c r="P223" s="46">
        <f>CE_AdministraçãoINSS!C395</f>
        <v>0</v>
      </c>
      <c r="Q223" s="46">
        <f>CE_AdministraçãoINSS!E395</f>
        <v>0</v>
      </c>
      <c r="R223" s="46">
        <f>CE_AdministraçãoINSS!S395</f>
        <v>0</v>
      </c>
      <c r="S223" s="60" t="e">
        <f t="shared" si="170"/>
        <v>#DIV/0!</v>
      </c>
      <c r="T223" s="60" t="e">
        <f t="shared" si="171"/>
        <v>#DIV/0!</v>
      </c>
      <c r="U223" s="46">
        <f t="shared" si="172"/>
        <v>0</v>
      </c>
      <c r="V223" s="46">
        <f t="shared" si="172"/>
        <v>0</v>
      </c>
      <c r="W223" s="46">
        <f t="shared" si="172"/>
        <v>0</v>
      </c>
      <c r="X223" s="46">
        <f t="shared" si="172"/>
        <v>0</v>
      </c>
      <c r="Y223" s="60" t="e">
        <f t="shared" si="173"/>
        <v>#DIV/0!</v>
      </c>
      <c r="Z223" s="60" t="e">
        <f t="shared" si="174"/>
        <v>#DIV/0!</v>
      </c>
      <c r="AA223" s="46">
        <f>CE_AdministraçãoFRSS!B395</f>
        <v>0</v>
      </c>
      <c r="AB223" s="46">
        <f>CE_AdministraçãoFRSS!C395</f>
        <v>0</v>
      </c>
      <c r="AC223" s="46">
        <f>CE_AdministraçãoFRSS!E395</f>
        <v>0</v>
      </c>
      <c r="AD223" s="46">
        <f>CE_AdministraçãoFRSS!S395</f>
        <v>0</v>
      </c>
      <c r="AE223" s="60" t="e">
        <f t="shared" si="175"/>
        <v>#DIV/0!</v>
      </c>
      <c r="AF223" s="60" t="e">
        <f t="shared" si="176"/>
        <v>#DIV/0!</v>
      </c>
      <c r="AG223" s="46">
        <f t="shared" si="177"/>
        <v>0</v>
      </c>
      <c r="AH223" s="46">
        <f t="shared" si="177"/>
        <v>0</v>
      </c>
      <c r="AI223" s="46">
        <f t="shared" si="177"/>
        <v>0</v>
      </c>
      <c r="AJ223" s="46">
        <f t="shared" si="177"/>
        <v>0</v>
      </c>
      <c r="AK223" s="60" t="e">
        <f t="shared" si="178"/>
        <v>#DIV/0!</v>
      </c>
      <c r="AL223" s="60" t="e">
        <f t="shared" si="179"/>
        <v>#DIV/0!</v>
      </c>
      <c r="AM223" s="46">
        <f t="shared" si="180"/>
        <v>0</v>
      </c>
      <c r="AN223" s="46">
        <f t="shared" si="180"/>
        <v>0</v>
      </c>
      <c r="AO223" s="46">
        <f t="shared" si="180"/>
        <v>0</v>
      </c>
      <c r="AP223" s="46">
        <f t="shared" si="180"/>
        <v>0</v>
      </c>
      <c r="AQ223" s="60" t="e">
        <f t="shared" si="181"/>
        <v>#DIV/0!</v>
      </c>
      <c r="AR223" s="60" t="e">
        <f t="shared" si="182"/>
        <v>#DIV/0!</v>
      </c>
      <c r="AT223" s="38"/>
      <c r="AU223" s="38"/>
      <c r="AV223" s="38"/>
      <c r="AW223" s="38"/>
      <c r="AY223" s="38"/>
      <c r="AZ223" s="38"/>
      <c r="BA223" s="38"/>
      <c r="BB223" s="38"/>
    </row>
    <row r="224" spans="1:58" x14ac:dyDescent="0.2">
      <c r="A224" s="45" t="str">
        <f>"503.06.07"</f>
        <v>503.06.07</v>
      </c>
      <c r="B224" s="47" t="s">
        <v>1017</v>
      </c>
      <c r="C224" s="46">
        <f>CE_RegimeContributivo!B396</f>
        <v>0</v>
      </c>
      <c r="D224" s="46">
        <f>CE_RegimeContributivo!C396</f>
        <v>0</v>
      </c>
      <c r="E224" s="46">
        <f>CE_RegimeContributivo!E396</f>
        <v>0</v>
      </c>
      <c r="F224" s="46">
        <f>CE_RegimeContributivo!S396</f>
        <v>0</v>
      </c>
      <c r="G224" s="60" t="e">
        <f t="shared" si="166"/>
        <v>#DIV/0!</v>
      </c>
      <c r="H224" s="60" t="e">
        <f t="shared" si="167"/>
        <v>#DIV/0!</v>
      </c>
      <c r="I224" s="46">
        <f>CE_RegimeNaoContributivo!B396</f>
        <v>0</v>
      </c>
      <c r="J224" s="46">
        <f>CE_RegimeNaoContributivo!C396</f>
        <v>0</v>
      </c>
      <c r="K224" s="46">
        <f>CE_RegimeNaoContributivo!E396</f>
        <v>0</v>
      </c>
      <c r="L224" s="46">
        <f>CE_RegimeNaoContributivo!S396</f>
        <v>0</v>
      </c>
      <c r="M224" s="60" t="e">
        <f t="shared" si="168"/>
        <v>#DIV/0!</v>
      </c>
      <c r="N224" s="60" t="e">
        <f t="shared" si="169"/>
        <v>#DIV/0!</v>
      </c>
      <c r="O224" s="46">
        <f>CE_AdministraçãoINSS!B396</f>
        <v>0</v>
      </c>
      <c r="P224" s="46">
        <f>CE_AdministraçãoINSS!C396</f>
        <v>0</v>
      </c>
      <c r="Q224" s="46">
        <f>CE_AdministraçãoINSS!E396</f>
        <v>0</v>
      </c>
      <c r="R224" s="46">
        <f>CE_AdministraçãoINSS!S396</f>
        <v>0</v>
      </c>
      <c r="S224" s="60" t="e">
        <f t="shared" si="170"/>
        <v>#DIV/0!</v>
      </c>
      <c r="T224" s="60" t="e">
        <f t="shared" si="171"/>
        <v>#DIV/0!</v>
      </c>
      <c r="U224" s="46">
        <f t="shared" si="172"/>
        <v>0</v>
      </c>
      <c r="V224" s="46">
        <f t="shared" si="172"/>
        <v>0</v>
      </c>
      <c r="W224" s="46">
        <f t="shared" si="172"/>
        <v>0</v>
      </c>
      <c r="X224" s="46">
        <f t="shared" si="172"/>
        <v>0</v>
      </c>
      <c r="Y224" s="60" t="e">
        <f t="shared" si="173"/>
        <v>#DIV/0!</v>
      </c>
      <c r="Z224" s="60" t="e">
        <f t="shared" si="174"/>
        <v>#DIV/0!</v>
      </c>
      <c r="AA224" s="46">
        <f>CE_AdministraçãoFRSS!B396</f>
        <v>0</v>
      </c>
      <c r="AB224" s="46">
        <f>CE_AdministraçãoFRSS!C396</f>
        <v>0</v>
      </c>
      <c r="AC224" s="46">
        <f>CE_AdministraçãoFRSS!E396</f>
        <v>0</v>
      </c>
      <c r="AD224" s="46">
        <f>CE_AdministraçãoFRSS!S396</f>
        <v>0</v>
      </c>
      <c r="AE224" s="60" t="e">
        <f t="shared" si="175"/>
        <v>#DIV/0!</v>
      </c>
      <c r="AF224" s="60" t="e">
        <f t="shared" si="176"/>
        <v>#DIV/0!</v>
      </c>
      <c r="AG224" s="46">
        <f t="shared" si="177"/>
        <v>0</v>
      </c>
      <c r="AH224" s="46">
        <f t="shared" si="177"/>
        <v>0</v>
      </c>
      <c r="AI224" s="46">
        <f t="shared" si="177"/>
        <v>0</v>
      </c>
      <c r="AJ224" s="46">
        <f t="shared" si="177"/>
        <v>0</v>
      </c>
      <c r="AK224" s="60" t="e">
        <f t="shared" si="178"/>
        <v>#DIV/0!</v>
      </c>
      <c r="AL224" s="60" t="e">
        <f t="shared" si="179"/>
        <v>#DIV/0!</v>
      </c>
      <c r="AM224" s="46">
        <f t="shared" si="180"/>
        <v>0</v>
      </c>
      <c r="AN224" s="46">
        <f t="shared" si="180"/>
        <v>0</v>
      </c>
      <c r="AO224" s="46">
        <f t="shared" si="180"/>
        <v>0</v>
      </c>
      <c r="AP224" s="46">
        <f t="shared" si="180"/>
        <v>0</v>
      </c>
      <c r="AQ224" s="60" t="e">
        <f t="shared" si="181"/>
        <v>#DIV/0!</v>
      </c>
      <c r="AR224" s="60" t="e">
        <f t="shared" si="182"/>
        <v>#DIV/0!</v>
      </c>
      <c r="AT224" s="38"/>
      <c r="AU224" s="38"/>
      <c r="AV224" s="38"/>
      <c r="AW224" s="38"/>
      <c r="AY224" s="38"/>
      <c r="AZ224" s="38"/>
      <c r="BA224" s="38"/>
      <c r="BB224" s="38"/>
    </row>
    <row r="225" spans="1:58" x14ac:dyDescent="0.2">
      <c r="A225" s="41" t="str">
        <f>"503.07"</f>
        <v>503.07</v>
      </c>
      <c r="B225" s="42" t="s">
        <v>105</v>
      </c>
      <c r="C225" s="43">
        <f>CE_RegimeContributivo!B397</f>
        <v>0</v>
      </c>
      <c r="D225" s="43">
        <f>CE_RegimeContributivo!C397</f>
        <v>0</v>
      </c>
      <c r="E225" s="43">
        <f>CE_RegimeContributivo!E397</f>
        <v>0</v>
      </c>
      <c r="F225" s="43">
        <f>CE_RegimeContributivo!S397</f>
        <v>0</v>
      </c>
      <c r="G225" s="59" t="e">
        <f t="shared" si="166"/>
        <v>#DIV/0!</v>
      </c>
      <c r="H225" s="59" t="e">
        <f t="shared" si="167"/>
        <v>#DIV/0!</v>
      </c>
      <c r="I225" s="43">
        <f>CE_RegimeNaoContributivo!B397</f>
        <v>0</v>
      </c>
      <c r="J225" s="43">
        <f>CE_RegimeNaoContributivo!C397</f>
        <v>0</v>
      </c>
      <c r="K225" s="43">
        <f>CE_RegimeNaoContributivo!E397</f>
        <v>0</v>
      </c>
      <c r="L225" s="43">
        <f>CE_RegimeNaoContributivo!S397</f>
        <v>0</v>
      </c>
      <c r="M225" s="59" t="e">
        <f t="shared" si="168"/>
        <v>#DIV/0!</v>
      </c>
      <c r="N225" s="59" t="e">
        <f t="shared" si="169"/>
        <v>#DIV/0!</v>
      </c>
      <c r="O225" s="43">
        <f>CE_AdministraçãoINSS!B397</f>
        <v>0</v>
      </c>
      <c r="P225" s="43">
        <f>CE_AdministraçãoINSS!C397</f>
        <v>0</v>
      </c>
      <c r="Q225" s="43">
        <f>CE_AdministraçãoINSS!E397</f>
        <v>0</v>
      </c>
      <c r="R225" s="43">
        <f>CE_AdministraçãoINSS!S397</f>
        <v>0</v>
      </c>
      <c r="S225" s="59" t="e">
        <f t="shared" si="170"/>
        <v>#DIV/0!</v>
      </c>
      <c r="T225" s="59" t="e">
        <f t="shared" si="171"/>
        <v>#DIV/0!</v>
      </c>
      <c r="U225" s="43">
        <f t="shared" si="172"/>
        <v>0</v>
      </c>
      <c r="V225" s="43">
        <f t="shared" si="172"/>
        <v>0</v>
      </c>
      <c r="W225" s="43">
        <f t="shared" si="172"/>
        <v>0</v>
      </c>
      <c r="X225" s="43">
        <f t="shared" si="172"/>
        <v>0</v>
      </c>
      <c r="Y225" s="59" t="e">
        <f t="shared" si="173"/>
        <v>#DIV/0!</v>
      </c>
      <c r="Z225" s="59" t="e">
        <f t="shared" si="174"/>
        <v>#DIV/0!</v>
      </c>
      <c r="AA225" s="43">
        <f>CE_AdministraçãoFRSS!B397</f>
        <v>0</v>
      </c>
      <c r="AB225" s="43">
        <f>CE_AdministraçãoFRSS!C397</f>
        <v>0</v>
      </c>
      <c r="AC225" s="43">
        <f>CE_AdministraçãoFRSS!E397</f>
        <v>0</v>
      </c>
      <c r="AD225" s="43">
        <f>CE_AdministraçãoFRSS!S397</f>
        <v>0</v>
      </c>
      <c r="AE225" s="59" t="e">
        <f t="shared" si="175"/>
        <v>#DIV/0!</v>
      </c>
      <c r="AF225" s="59" t="e">
        <f t="shared" si="176"/>
        <v>#DIV/0!</v>
      </c>
      <c r="AG225" s="43">
        <f t="shared" si="177"/>
        <v>0</v>
      </c>
      <c r="AH225" s="43">
        <f t="shared" si="177"/>
        <v>0</v>
      </c>
      <c r="AI225" s="43">
        <f t="shared" si="177"/>
        <v>0</v>
      </c>
      <c r="AJ225" s="43">
        <f t="shared" si="177"/>
        <v>0</v>
      </c>
      <c r="AK225" s="59" t="e">
        <f t="shared" si="178"/>
        <v>#DIV/0!</v>
      </c>
      <c r="AL225" s="59" t="e">
        <f t="shared" si="179"/>
        <v>#DIV/0!</v>
      </c>
      <c r="AM225" s="43">
        <f t="shared" si="180"/>
        <v>0</v>
      </c>
      <c r="AN225" s="43">
        <f t="shared" si="180"/>
        <v>0</v>
      </c>
      <c r="AO225" s="43">
        <f t="shared" si="180"/>
        <v>0</v>
      </c>
      <c r="AP225" s="43">
        <f t="shared" si="180"/>
        <v>0</v>
      </c>
      <c r="AQ225" s="59" t="e">
        <f t="shared" si="181"/>
        <v>#DIV/0!</v>
      </c>
      <c r="AR225" s="59" t="e">
        <f t="shared" si="182"/>
        <v>#DIV/0!</v>
      </c>
      <c r="AT225" s="38"/>
      <c r="AU225" s="38"/>
      <c r="AV225" s="38"/>
      <c r="AW225" s="38"/>
      <c r="AY225" s="38"/>
      <c r="AZ225" s="38"/>
      <c r="BA225" s="38"/>
      <c r="BB225" s="38"/>
    </row>
    <row r="226" spans="1:58" x14ac:dyDescent="0.2">
      <c r="A226" s="41" t="str">
        <f>"503.08"</f>
        <v>503.08</v>
      </c>
      <c r="B226" s="42" t="s">
        <v>112</v>
      </c>
      <c r="C226" s="43">
        <f>CE_RegimeContributivo!B398</f>
        <v>0</v>
      </c>
      <c r="D226" s="43">
        <f>CE_RegimeContributivo!C398</f>
        <v>0</v>
      </c>
      <c r="E226" s="43">
        <f>CE_RegimeContributivo!E398</f>
        <v>0</v>
      </c>
      <c r="F226" s="43">
        <f>CE_RegimeContributivo!S398</f>
        <v>0</v>
      </c>
      <c r="G226" s="59" t="e">
        <f t="shared" si="166"/>
        <v>#DIV/0!</v>
      </c>
      <c r="H226" s="59" t="e">
        <f t="shared" si="167"/>
        <v>#DIV/0!</v>
      </c>
      <c r="I226" s="43">
        <f>CE_RegimeNaoContributivo!B398</f>
        <v>0</v>
      </c>
      <c r="J226" s="43">
        <f>CE_RegimeNaoContributivo!C398</f>
        <v>0</v>
      </c>
      <c r="K226" s="43">
        <f>CE_RegimeNaoContributivo!E398</f>
        <v>0</v>
      </c>
      <c r="L226" s="43">
        <f>CE_RegimeNaoContributivo!S398</f>
        <v>0</v>
      </c>
      <c r="M226" s="59" t="e">
        <f t="shared" si="168"/>
        <v>#DIV/0!</v>
      </c>
      <c r="N226" s="59" t="e">
        <f t="shared" si="169"/>
        <v>#DIV/0!</v>
      </c>
      <c r="O226" s="43">
        <f>CE_AdministraçãoINSS!B398</f>
        <v>0</v>
      </c>
      <c r="P226" s="43">
        <f>CE_AdministraçãoINSS!C398</f>
        <v>0</v>
      </c>
      <c r="Q226" s="43">
        <f>CE_AdministraçãoINSS!E398</f>
        <v>0</v>
      </c>
      <c r="R226" s="43">
        <f>CE_AdministraçãoINSS!S398</f>
        <v>0</v>
      </c>
      <c r="S226" s="59" t="e">
        <f t="shared" si="170"/>
        <v>#DIV/0!</v>
      </c>
      <c r="T226" s="59" t="e">
        <f t="shared" si="171"/>
        <v>#DIV/0!</v>
      </c>
      <c r="U226" s="43">
        <f t="shared" si="172"/>
        <v>0</v>
      </c>
      <c r="V226" s="43">
        <f t="shared" si="172"/>
        <v>0</v>
      </c>
      <c r="W226" s="43">
        <f t="shared" si="172"/>
        <v>0</v>
      </c>
      <c r="X226" s="43">
        <f t="shared" si="172"/>
        <v>0</v>
      </c>
      <c r="Y226" s="59" t="e">
        <f t="shared" si="173"/>
        <v>#DIV/0!</v>
      </c>
      <c r="Z226" s="59" t="e">
        <f t="shared" si="174"/>
        <v>#DIV/0!</v>
      </c>
      <c r="AA226" s="43">
        <f>CE_AdministraçãoFRSS!B398</f>
        <v>0</v>
      </c>
      <c r="AB226" s="43">
        <f>CE_AdministraçãoFRSS!C398</f>
        <v>0</v>
      </c>
      <c r="AC226" s="43">
        <f>CE_AdministraçãoFRSS!E398</f>
        <v>0</v>
      </c>
      <c r="AD226" s="43">
        <f>CE_AdministraçãoFRSS!S398</f>
        <v>0</v>
      </c>
      <c r="AE226" s="59" t="e">
        <f t="shared" si="175"/>
        <v>#DIV/0!</v>
      </c>
      <c r="AF226" s="59" t="e">
        <f t="shared" si="176"/>
        <v>#DIV/0!</v>
      </c>
      <c r="AG226" s="43">
        <f t="shared" si="177"/>
        <v>0</v>
      </c>
      <c r="AH226" s="43">
        <f t="shared" si="177"/>
        <v>0</v>
      </c>
      <c r="AI226" s="43">
        <f t="shared" si="177"/>
        <v>0</v>
      </c>
      <c r="AJ226" s="43">
        <f t="shared" si="177"/>
        <v>0</v>
      </c>
      <c r="AK226" s="59" t="e">
        <f t="shared" si="178"/>
        <v>#DIV/0!</v>
      </c>
      <c r="AL226" s="59" t="e">
        <f t="shared" si="179"/>
        <v>#DIV/0!</v>
      </c>
      <c r="AM226" s="43">
        <f t="shared" si="180"/>
        <v>0</v>
      </c>
      <c r="AN226" s="43">
        <f t="shared" si="180"/>
        <v>0</v>
      </c>
      <c r="AO226" s="43">
        <f t="shared" si="180"/>
        <v>0</v>
      </c>
      <c r="AP226" s="43">
        <f t="shared" si="180"/>
        <v>0</v>
      </c>
      <c r="AQ226" s="59" t="e">
        <f t="shared" si="181"/>
        <v>#DIV/0!</v>
      </c>
      <c r="AR226" s="59" t="e">
        <f t="shared" si="182"/>
        <v>#DIV/0!</v>
      </c>
      <c r="AT226" s="38"/>
      <c r="AU226" s="38"/>
      <c r="AV226" s="38"/>
      <c r="AW226" s="38"/>
      <c r="AY226" s="38"/>
      <c r="AZ226" s="38"/>
      <c r="BA226" s="38"/>
      <c r="BB226" s="38"/>
    </row>
    <row r="227" spans="1:58" x14ac:dyDescent="0.2">
      <c r="A227" s="41" t="str">
        <f>"503.09"</f>
        <v>503.09</v>
      </c>
      <c r="B227" s="42" t="s">
        <v>113</v>
      </c>
      <c r="C227" s="43">
        <f>CE_RegimeContributivo!B399</f>
        <v>0</v>
      </c>
      <c r="D227" s="43">
        <f>CE_RegimeContributivo!C399</f>
        <v>0</v>
      </c>
      <c r="E227" s="43">
        <f>CE_RegimeContributivo!E399</f>
        <v>0</v>
      </c>
      <c r="F227" s="43">
        <f>CE_RegimeContributivo!S399</f>
        <v>0</v>
      </c>
      <c r="G227" s="59" t="e">
        <f t="shared" si="166"/>
        <v>#DIV/0!</v>
      </c>
      <c r="H227" s="59" t="e">
        <f t="shared" si="167"/>
        <v>#DIV/0!</v>
      </c>
      <c r="I227" s="43">
        <f>CE_RegimeNaoContributivo!B399</f>
        <v>0</v>
      </c>
      <c r="J227" s="43">
        <f>CE_RegimeNaoContributivo!C399</f>
        <v>0</v>
      </c>
      <c r="K227" s="43">
        <f>CE_RegimeNaoContributivo!E399</f>
        <v>0</v>
      </c>
      <c r="L227" s="43">
        <f>CE_RegimeNaoContributivo!S399</f>
        <v>0</v>
      </c>
      <c r="M227" s="59" t="e">
        <f t="shared" si="168"/>
        <v>#DIV/0!</v>
      </c>
      <c r="N227" s="59" t="e">
        <f t="shared" si="169"/>
        <v>#DIV/0!</v>
      </c>
      <c r="O227" s="43">
        <f>CE_AdministraçãoINSS!B399</f>
        <v>0</v>
      </c>
      <c r="P227" s="43">
        <f>CE_AdministraçãoINSS!C399</f>
        <v>0</v>
      </c>
      <c r="Q227" s="43">
        <f>CE_AdministraçãoINSS!E399</f>
        <v>0</v>
      </c>
      <c r="R227" s="43">
        <f>CE_AdministraçãoINSS!S399</f>
        <v>0</v>
      </c>
      <c r="S227" s="59" t="e">
        <f t="shared" si="170"/>
        <v>#DIV/0!</v>
      </c>
      <c r="T227" s="59" t="e">
        <f t="shared" si="171"/>
        <v>#DIV/0!</v>
      </c>
      <c r="U227" s="43">
        <f t="shared" si="172"/>
        <v>0</v>
      </c>
      <c r="V227" s="43">
        <f t="shared" si="172"/>
        <v>0</v>
      </c>
      <c r="W227" s="43">
        <f t="shared" si="172"/>
        <v>0</v>
      </c>
      <c r="X227" s="43">
        <f t="shared" si="172"/>
        <v>0</v>
      </c>
      <c r="Y227" s="59" t="e">
        <f t="shared" si="173"/>
        <v>#DIV/0!</v>
      </c>
      <c r="Z227" s="59" t="e">
        <f t="shared" si="174"/>
        <v>#DIV/0!</v>
      </c>
      <c r="AA227" s="43">
        <f>CE_AdministraçãoFRSS!B399</f>
        <v>0</v>
      </c>
      <c r="AB227" s="43">
        <f>CE_AdministraçãoFRSS!C399</f>
        <v>0</v>
      </c>
      <c r="AC227" s="43">
        <f>CE_AdministraçãoFRSS!E399</f>
        <v>0</v>
      </c>
      <c r="AD227" s="43">
        <f>CE_AdministraçãoFRSS!S399</f>
        <v>0</v>
      </c>
      <c r="AE227" s="59" t="e">
        <f t="shared" si="175"/>
        <v>#DIV/0!</v>
      </c>
      <c r="AF227" s="59" t="e">
        <f t="shared" si="176"/>
        <v>#DIV/0!</v>
      </c>
      <c r="AG227" s="43">
        <f t="shared" si="177"/>
        <v>0</v>
      </c>
      <c r="AH227" s="43">
        <f t="shared" si="177"/>
        <v>0</v>
      </c>
      <c r="AI227" s="43">
        <f t="shared" si="177"/>
        <v>0</v>
      </c>
      <c r="AJ227" s="43">
        <f t="shared" si="177"/>
        <v>0</v>
      </c>
      <c r="AK227" s="59" t="e">
        <f t="shared" si="178"/>
        <v>#DIV/0!</v>
      </c>
      <c r="AL227" s="59" t="e">
        <f t="shared" si="179"/>
        <v>#DIV/0!</v>
      </c>
      <c r="AM227" s="43">
        <f t="shared" si="180"/>
        <v>0</v>
      </c>
      <c r="AN227" s="43">
        <f t="shared" si="180"/>
        <v>0</v>
      </c>
      <c r="AO227" s="43">
        <f t="shared" si="180"/>
        <v>0</v>
      </c>
      <c r="AP227" s="43">
        <f t="shared" si="180"/>
        <v>0</v>
      </c>
      <c r="AQ227" s="59" t="e">
        <f t="shared" si="181"/>
        <v>#DIV/0!</v>
      </c>
      <c r="AR227" s="59" t="e">
        <f t="shared" si="182"/>
        <v>#DIV/0!</v>
      </c>
      <c r="AT227" s="38"/>
      <c r="AU227" s="38"/>
      <c r="AV227" s="38"/>
      <c r="AW227" s="38"/>
      <c r="AY227" s="38"/>
      <c r="AZ227" s="38"/>
      <c r="BA227" s="38"/>
      <c r="BB227" s="38"/>
    </row>
    <row r="228" spans="1:58" x14ac:dyDescent="0.2">
      <c r="A228" s="41" t="str">
        <f>"503.10"</f>
        <v>503.10</v>
      </c>
      <c r="B228" s="42" t="s">
        <v>141</v>
      </c>
      <c r="C228" s="43">
        <f>CE_RegimeContributivo!B400</f>
        <v>0</v>
      </c>
      <c r="D228" s="43">
        <f>CE_RegimeContributivo!C400</f>
        <v>0</v>
      </c>
      <c r="E228" s="43">
        <f>CE_RegimeContributivo!E400</f>
        <v>0</v>
      </c>
      <c r="F228" s="43">
        <f>CE_RegimeContributivo!S400</f>
        <v>0</v>
      </c>
      <c r="G228" s="59" t="e">
        <f t="shared" si="166"/>
        <v>#DIV/0!</v>
      </c>
      <c r="H228" s="59" t="e">
        <f t="shared" si="167"/>
        <v>#DIV/0!</v>
      </c>
      <c r="I228" s="43">
        <f>CE_RegimeNaoContributivo!B400</f>
        <v>0</v>
      </c>
      <c r="J228" s="43">
        <f>CE_RegimeNaoContributivo!C400</f>
        <v>0</v>
      </c>
      <c r="K228" s="43">
        <f>CE_RegimeNaoContributivo!E400</f>
        <v>0</v>
      </c>
      <c r="L228" s="43">
        <f>CE_RegimeNaoContributivo!S400</f>
        <v>0</v>
      </c>
      <c r="M228" s="59" t="e">
        <f t="shared" si="168"/>
        <v>#DIV/0!</v>
      </c>
      <c r="N228" s="59" t="e">
        <f t="shared" si="169"/>
        <v>#DIV/0!</v>
      </c>
      <c r="O228" s="43">
        <f>CE_AdministraçãoINSS!B400</f>
        <v>0</v>
      </c>
      <c r="P228" s="43">
        <f>CE_AdministraçãoINSS!C400</f>
        <v>0</v>
      </c>
      <c r="Q228" s="43">
        <f>CE_AdministraçãoINSS!E400</f>
        <v>0</v>
      </c>
      <c r="R228" s="43">
        <f>CE_AdministraçãoINSS!S400</f>
        <v>0</v>
      </c>
      <c r="S228" s="59" t="e">
        <f t="shared" si="170"/>
        <v>#DIV/0!</v>
      </c>
      <c r="T228" s="59" t="e">
        <f t="shared" si="171"/>
        <v>#DIV/0!</v>
      </c>
      <c r="U228" s="43">
        <f t="shared" si="172"/>
        <v>0</v>
      </c>
      <c r="V228" s="43">
        <f t="shared" si="172"/>
        <v>0</v>
      </c>
      <c r="W228" s="43">
        <f t="shared" si="172"/>
        <v>0</v>
      </c>
      <c r="X228" s="43">
        <f t="shared" si="172"/>
        <v>0</v>
      </c>
      <c r="Y228" s="59" t="e">
        <f t="shared" si="173"/>
        <v>#DIV/0!</v>
      </c>
      <c r="Z228" s="59" t="e">
        <f t="shared" si="174"/>
        <v>#DIV/0!</v>
      </c>
      <c r="AA228" s="43">
        <f>CE_AdministraçãoFRSS!B400</f>
        <v>0</v>
      </c>
      <c r="AB228" s="43">
        <f>CE_AdministraçãoFRSS!C400</f>
        <v>0</v>
      </c>
      <c r="AC228" s="43">
        <f>CE_AdministraçãoFRSS!E400</f>
        <v>0</v>
      </c>
      <c r="AD228" s="43">
        <f>CE_AdministraçãoFRSS!S400</f>
        <v>0</v>
      </c>
      <c r="AE228" s="59" t="e">
        <f t="shared" si="175"/>
        <v>#DIV/0!</v>
      </c>
      <c r="AF228" s="59" t="e">
        <f t="shared" si="176"/>
        <v>#DIV/0!</v>
      </c>
      <c r="AG228" s="43">
        <f t="shared" si="177"/>
        <v>0</v>
      </c>
      <c r="AH228" s="43">
        <f t="shared" si="177"/>
        <v>0</v>
      </c>
      <c r="AI228" s="43">
        <f t="shared" si="177"/>
        <v>0</v>
      </c>
      <c r="AJ228" s="43">
        <f t="shared" si="177"/>
        <v>0</v>
      </c>
      <c r="AK228" s="59" t="e">
        <f t="shared" si="178"/>
        <v>#DIV/0!</v>
      </c>
      <c r="AL228" s="59" t="e">
        <f t="shared" si="179"/>
        <v>#DIV/0!</v>
      </c>
      <c r="AM228" s="43">
        <f t="shared" si="180"/>
        <v>0</v>
      </c>
      <c r="AN228" s="43">
        <f t="shared" si="180"/>
        <v>0</v>
      </c>
      <c r="AO228" s="43">
        <f t="shared" si="180"/>
        <v>0</v>
      </c>
      <c r="AP228" s="43">
        <f t="shared" si="180"/>
        <v>0</v>
      </c>
      <c r="AQ228" s="59" t="e">
        <f t="shared" si="181"/>
        <v>#DIV/0!</v>
      </c>
      <c r="AR228" s="59" t="e">
        <f t="shared" si="182"/>
        <v>#DIV/0!</v>
      </c>
      <c r="AT228" s="38"/>
      <c r="AU228" s="38"/>
      <c r="AV228" s="38"/>
      <c r="AW228" s="38"/>
      <c r="AY228" s="38"/>
      <c r="AZ228" s="38"/>
      <c r="BA228" s="38"/>
      <c r="BB228" s="38"/>
    </row>
    <row r="229" spans="1:58" x14ac:dyDescent="0.2">
      <c r="A229" s="41" t="str">
        <f>"503.11"</f>
        <v>503.11</v>
      </c>
      <c r="B229" s="42" t="s">
        <v>27</v>
      </c>
      <c r="C229" s="43">
        <f>C230+C237+C238+C239+C240+C241</f>
        <v>39526303</v>
      </c>
      <c r="D229" s="43">
        <f>D230+D237+D238+D239+D240+D241</f>
        <v>64277867.439999998</v>
      </c>
      <c r="E229" s="43">
        <f>E230+E237+E238+E239+E240+E241</f>
        <v>52506564.439999998</v>
      </c>
      <c r="F229" s="43">
        <f t="shared" ref="F229" si="195">F230+F237+F238+F239+F240+F241</f>
        <v>52506564.439999998</v>
      </c>
      <c r="G229" s="59">
        <f t="shared" si="166"/>
        <v>0.81686848881556484</v>
      </c>
      <c r="H229" s="59">
        <f t="shared" si="167"/>
        <v>0.81686848881556484</v>
      </c>
      <c r="I229" s="43">
        <f>I230+I237+I238+I239+I240+I241</f>
        <v>0</v>
      </c>
      <c r="J229" s="43">
        <f>J230+J237+J238+J239+J240+J241</f>
        <v>0</v>
      </c>
      <c r="K229" s="43">
        <f t="shared" ref="K229:L229" si="196">K230+K237+K238+K239+K240+K241</f>
        <v>0</v>
      </c>
      <c r="L229" s="43">
        <f t="shared" si="196"/>
        <v>0</v>
      </c>
      <c r="M229" s="59" t="e">
        <f t="shared" si="168"/>
        <v>#DIV/0!</v>
      </c>
      <c r="N229" s="59" t="e">
        <f t="shared" si="169"/>
        <v>#DIV/0!</v>
      </c>
      <c r="O229" s="43">
        <f>O230+O237+O238+O239+O240+O241</f>
        <v>0</v>
      </c>
      <c r="P229" s="43">
        <f>P230+P237+P238+P239+P240+P241</f>
        <v>0</v>
      </c>
      <c r="Q229" s="43">
        <f t="shared" ref="Q229:R229" si="197">Q230+Q237+Q238+Q239+Q240+Q241</f>
        <v>0</v>
      </c>
      <c r="R229" s="43">
        <f t="shared" si="197"/>
        <v>0</v>
      </c>
      <c r="S229" s="59" t="e">
        <f t="shared" si="170"/>
        <v>#DIV/0!</v>
      </c>
      <c r="T229" s="59" t="e">
        <f t="shared" si="171"/>
        <v>#DIV/0!</v>
      </c>
      <c r="U229" s="43">
        <f t="shared" si="172"/>
        <v>39526303</v>
      </c>
      <c r="V229" s="43">
        <f t="shared" si="172"/>
        <v>64277867.439999998</v>
      </c>
      <c r="W229" s="43">
        <f t="shared" si="172"/>
        <v>52506564.439999998</v>
      </c>
      <c r="X229" s="43">
        <f t="shared" si="172"/>
        <v>52506564.439999998</v>
      </c>
      <c r="Y229" s="59">
        <f t="shared" si="173"/>
        <v>0.81686848881556484</v>
      </c>
      <c r="Z229" s="59">
        <f t="shared" si="174"/>
        <v>0.81686848881556484</v>
      </c>
      <c r="AA229" s="43">
        <f>AA230+AA237+AA238+AA239+AA240+AA241</f>
        <v>0</v>
      </c>
      <c r="AB229" s="43">
        <f>AB230+AB237+AB238+AB239+AB240+AB241</f>
        <v>0</v>
      </c>
      <c r="AC229" s="43">
        <f t="shared" ref="AC229:AD229" si="198">AC230+AC237+AC238+AC239+AC240+AC241</f>
        <v>0</v>
      </c>
      <c r="AD229" s="43">
        <f t="shared" si="198"/>
        <v>0</v>
      </c>
      <c r="AE229" s="59" t="e">
        <f t="shared" si="175"/>
        <v>#DIV/0!</v>
      </c>
      <c r="AF229" s="59" t="e">
        <f t="shared" si="176"/>
        <v>#DIV/0!</v>
      </c>
      <c r="AG229" s="43">
        <f t="shared" si="177"/>
        <v>0</v>
      </c>
      <c r="AH229" s="43">
        <f t="shared" si="177"/>
        <v>0</v>
      </c>
      <c r="AI229" s="43">
        <f t="shared" si="177"/>
        <v>0</v>
      </c>
      <c r="AJ229" s="43">
        <f t="shared" si="177"/>
        <v>0</v>
      </c>
      <c r="AK229" s="59" t="e">
        <f t="shared" si="178"/>
        <v>#DIV/0!</v>
      </c>
      <c r="AL229" s="59" t="e">
        <f t="shared" si="179"/>
        <v>#DIV/0!</v>
      </c>
      <c r="AM229" s="43">
        <f t="shared" si="180"/>
        <v>39526303</v>
      </c>
      <c r="AN229" s="43">
        <f t="shared" si="180"/>
        <v>64277867.439999998</v>
      </c>
      <c r="AO229" s="43">
        <f t="shared" si="180"/>
        <v>52506564.439999998</v>
      </c>
      <c r="AP229" s="43">
        <f t="shared" si="180"/>
        <v>52506564.439999998</v>
      </c>
      <c r="AQ229" s="59">
        <f t="shared" si="181"/>
        <v>0.81686848881556484</v>
      </c>
      <c r="AR229" s="59">
        <f t="shared" si="182"/>
        <v>0.81686848881556484</v>
      </c>
      <c r="AT229" s="38"/>
      <c r="AU229" s="38"/>
      <c r="AV229" s="38"/>
      <c r="AW229" s="38"/>
      <c r="AY229" s="38"/>
      <c r="AZ229" s="38"/>
      <c r="BA229" s="38"/>
      <c r="BB229" s="38"/>
    </row>
    <row r="230" spans="1:58" x14ac:dyDescent="0.2">
      <c r="A230" s="45" t="str">
        <f>"503.11.01"</f>
        <v>503.11.01</v>
      </c>
      <c r="B230" s="47" t="s">
        <v>139</v>
      </c>
      <c r="C230" s="46">
        <f>C231+C232+C235+C236</f>
        <v>39526303</v>
      </c>
      <c r="D230" s="46">
        <f t="shared" ref="D230:F230" si="199">D231+D232+D235+D236</f>
        <v>64277867.439999998</v>
      </c>
      <c r="E230" s="46">
        <f t="shared" si="199"/>
        <v>52506564.439999998</v>
      </c>
      <c r="F230" s="46">
        <f t="shared" si="199"/>
        <v>52506564.439999998</v>
      </c>
      <c r="G230" s="60">
        <f t="shared" si="166"/>
        <v>0.81686848881556484</v>
      </c>
      <c r="H230" s="60">
        <f t="shared" si="167"/>
        <v>0.81686848881556484</v>
      </c>
      <c r="I230" s="46">
        <f>I231+I232+I235+I236</f>
        <v>0</v>
      </c>
      <c r="J230" s="46">
        <f t="shared" ref="J230:L230" si="200">J231+J232+J235+J236</f>
        <v>0</v>
      </c>
      <c r="K230" s="46">
        <f t="shared" si="200"/>
        <v>0</v>
      </c>
      <c r="L230" s="46">
        <f t="shared" si="200"/>
        <v>0</v>
      </c>
      <c r="M230" s="60" t="e">
        <f t="shared" si="168"/>
        <v>#DIV/0!</v>
      </c>
      <c r="N230" s="60" t="e">
        <f t="shared" si="169"/>
        <v>#DIV/0!</v>
      </c>
      <c r="O230" s="46">
        <f t="shared" ref="O230:R230" si="201">O231+O232+O235+O236</f>
        <v>0</v>
      </c>
      <c r="P230" s="46">
        <f t="shared" si="201"/>
        <v>0</v>
      </c>
      <c r="Q230" s="46">
        <f t="shared" si="201"/>
        <v>0</v>
      </c>
      <c r="R230" s="46">
        <f t="shared" si="201"/>
        <v>0</v>
      </c>
      <c r="S230" s="60" t="e">
        <f t="shared" si="170"/>
        <v>#DIV/0!</v>
      </c>
      <c r="T230" s="60" t="e">
        <f t="shared" si="171"/>
        <v>#DIV/0!</v>
      </c>
      <c r="U230" s="46">
        <f t="shared" si="172"/>
        <v>39526303</v>
      </c>
      <c r="V230" s="46">
        <f t="shared" si="172"/>
        <v>64277867.439999998</v>
      </c>
      <c r="W230" s="46">
        <f t="shared" si="172"/>
        <v>52506564.439999998</v>
      </c>
      <c r="X230" s="46">
        <f t="shared" si="172"/>
        <v>52506564.439999998</v>
      </c>
      <c r="Y230" s="60">
        <f t="shared" si="173"/>
        <v>0.81686848881556484</v>
      </c>
      <c r="Z230" s="60">
        <f t="shared" si="174"/>
        <v>0.81686848881556484</v>
      </c>
      <c r="AA230" s="46">
        <f t="shared" ref="AA230:AD230" si="202">AA231+AA232+AA235+AA236</f>
        <v>0</v>
      </c>
      <c r="AB230" s="46">
        <f t="shared" si="202"/>
        <v>0</v>
      </c>
      <c r="AC230" s="46">
        <f t="shared" si="202"/>
        <v>0</v>
      </c>
      <c r="AD230" s="46">
        <f t="shared" si="202"/>
        <v>0</v>
      </c>
      <c r="AE230" s="60" t="e">
        <f t="shared" si="175"/>
        <v>#DIV/0!</v>
      </c>
      <c r="AF230" s="60" t="e">
        <f t="shared" si="176"/>
        <v>#DIV/0!</v>
      </c>
      <c r="AG230" s="46">
        <f t="shared" si="177"/>
        <v>0</v>
      </c>
      <c r="AH230" s="46">
        <f t="shared" si="177"/>
        <v>0</v>
      </c>
      <c r="AI230" s="46">
        <f t="shared" si="177"/>
        <v>0</v>
      </c>
      <c r="AJ230" s="46">
        <f t="shared" si="177"/>
        <v>0</v>
      </c>
      <c r="AK230" s="60" t="e">
        <f t="shared" si="178"/>
        <v>#DIV/0!</v>
      </c>
      <c r="AL230" s="60" t="e">
        <f t="shared" si="179"/>
        <v>#DIV/0!</v>
      </c>
      <c r="AM230" s="46">
        <f t="shared" si="180"/>
        <v>39526303</v>
      </c>
      <c r="AN230" s="46">
        <f t="shared" si="180"/>
        <v>64277867.439999998</v>
      </c>
      <c r="AO230" s="46">
        <f t="shared" si="180"/>
        <v>52506564.439999998</v>
      </c>
      <c r="AP230" s="46">
        <f t="shared" si="180"/>
        <v>52506564.439999998</v>
      </c>
      <c r="AQ230" s="60">
        <f t="shared" si="181"/>
        <v>0.81686848881556484</v>
      </c>
      <c r="AR230" s="60">
        <f t="shared" si="182"/>
        <v>0.81686848881556484</v>
      </c>
      <c r="AT230" s="38"/>
      <c r="AU230" s="38"/>
      <c r="AV230" s="38"/>
      <c r="AW230" s="38"/>
      <c r="AY230" s="38"/>
      <c r="AZ230" s="38"/>
      <c r="BA230" s="38"/>
      <c r="BB230" s="38"/>
    </row>
    <row r="231" spans="1:58" s="51" customFormat="1" x14ac:dyDescent="0.2">
      <c r="A231" s="49" t="str">
        <f>"503.11.01.01"</f>
        <v>503.11.01.01</v>
      </c>
      <c r="B231" s="49" t="s">
        <v>1018</v>
      </c>
      <c r="C231" s="50">
        <f>CE_RegimeContributivo!B403</f>
        <v>0</v>
      </c>
      <c r="D231" s="50">
        <f>CE_RegimeContributivo!C403</f>
        <v>0</v>
      </c>
      <c r="E231" s="50">
        <f>CE_RegimeContributivo!E403</f>
        <v>0</v>
      </c>
      <c r="F231" s="50">
        <f>CE_RegimeContributivo!S403</f>
        <v>0</v>
      </c>
      <c r="G231" s="61" t="e">
        <f t="shared" si="166"/>
        <v>#DIV/0!</v>
      </c>
      <c r="H231" s="61" t="e">
        <f t="shared" si="167"/>
        <v>#DIV/0!</v>
      </c>
      <c r="I231" s="50">
        <f>CE_RegimeNaoContributivo!B403</f>
        <v>0</v>
      </c>
      <c r="J231" s="50">
        <f>CE_RegimeNaoContributivo!C403</f>
        <v>0</v>
      </c>
      <c r="K231" s="50">
        <f>CE_RegimeNaoContributivo!E403</f>
        <v>0</v>
      </c>
      <c r="L231" s="50">
        <f>CE_RegimeNaoContributivo!S403</f>
        <v>0</v>
      </c>
      <c r="M231" s="61" t="e">
        <f t="shared" si="168"/>
        <v>#DIV/0!</v>
      </c>
      <c r="N231" s="61" t="e">
        <f t="shared" si="169"/>
        <v>#DIV/0!</v>
      </c>
      <c r="O231" s="50">
        <f>CE_AdministraçãoINSS!B403</f>
        <v>0</v>
      </c>
      <c r="P231" s="50">
        <f>CE_AdministraçãoINSS!C403</f>
        <v>0</v>
      </c>
      <c r="Q231" s="50">
        <f>CE_AdministraçãoINSS!E403</f>
        <v>0</v>
      </c>
      <c r="R231" s="50">
        <f>CE_AdministraçãoINSS!S403</f>
        <v>0</v>
      </c>
      <c r="S231" s="61" t="e">
        <f t="shared" si="170"/>
        <v>#DIV/0!</v>
      </c>
      <c r="T231" s="61" t="e">
        <f t="shared" si="171"/>
        <v>#DIV/0!</v>
      </c>
      <c r="U231" s="50">
        <f t="shared" si="172"/>
        <v>0</v>
      </c>
      <c r="V231" s="50">
        <f t="shared" si="172"/>
        <v>0</v>
      </c>
      <c r="W231" s="50">
        <f t="shared" si="172"/>
        <v>0</v>
      </c>
      <c r="X231" s="50">
        <f t="shared" si="172"/>
        <v>0</v>
      </c>
      <c r="Y231" s="61" t="e">
        <f t="shared" si="173"/>
        <v>#DIV/0!</v>
      </c>
      <c r="Z231" s="61" t="e">
        <f t="shared" si="174"/>
        <v>#DIV/0!</v>
      </c>
      <c r="AA231" s="50">
        <f>CE_AdministraçãoFRSS!B403</f>
        <v>0</v>
      </c>
      <c r="AB231" s="50">
        <f>CE_AdministraçãoFRSS!C403</f>
        <v>0</v>
      </c>
      <c r="AC231" s="50">
        <f>CE_AdministraçãoFRSS!E403</f>
        <v>0</v>
      </c>
      <c r="AD231" s="50">
        <f>CE_AdministraçãoFRSS!S403</f>
        <v>0</v>
      </c>
      <c r="AE231" s="61" t="e">
        <f t="shared" si="175"/>
        <v>#DIV/0!</v>
      </c>
      <c r="AF231" s="61" t="e">
        <f t="shared" si="176"/>
        <v>#DIV/0!</v>
      </c>
      <c r="AG231" s="46">
        <f t="shared" si="177"/>
        <v>0</v>
      </c>
      <c r="AH231" s="46">
        <f t="shared" si="177"/>
        <v>0</v>
      </c>
      <c r="AI231" s="46">
        <f t="shared" si="177"/>
        <v>0</v>
      </c>
      <c r="AJ231" s="46">
        <f t="shared" si="177"/>
        <v>0</v>
      </c>
      <c r="AK231" s="61" t="e">
        <f t="shared" si="178"/>
        <v>#DIV/0!</v>
      </c>
      <c r="AL231" s="61" t="e">
        <f t="shared" si="179"/>
        <v>#DIV/0!</v>
      </c>
      <c r="AM231" s="46">
        <f t="shared" si="180"/>
        <v>0</v>
      </c>
      <c r="AN231" s="46">
        <f t="shared" si="180"/>
        <v>0</v>
      </c>
      <c r="AO231" s="46">
        <f t="shared" si="180"/>
        <v>0</v>
      </c>
      <c r="AP231" s="46">
        <f t="shared" si="180"/>
        <v>0</v>
      </c>
      <c r="AQ231" s="61" t="e">
        <f t="shared" si="181"/>
        <v>#DIV/0!</v>
      </c>
      <c r="AR231" s="61" t="e">
        <f t="shared" si="182"/>
        <v>#DIV/0!</v>
      </c>
      <c r="AT231" s="38"/>
      <c r="AU231" s="38"/>
      <c r="AV231" s="38"/>
      <c r="AW231" s="38"/>
      <c r="AY231" s="38"/>
      <c r="AZ231" s="38"/>
      <c r="BA231" s="38"/>
      <c r="BB231" s="38"/>
      <c r="BC231" s="36"/>
      <c r="BD231" s="36"/>
      <c r="BE231" s="36"/>
      <c r="BF231" s="36"/>
    </row>
    <row r="232" spans="1:58" s="51" customFormat="1" x14ac:dyDescent="0.2">
      <c r="A232" s="104" t="str">
        <f>"503.11.01.02"</f>
        <v>503.11.01.02</v>
      </c>
      <c r="B232" s="104" t="s">
        <v>1019</v>
      </c>
      <c r="C232" s="105">
        <f>C233+C234</f>
        <v>39526303</v>
      </c>
      <c r="D232" s="105">
        <f t="shared" ref="D232:F232" si="203">D233+D234</f>
        <v>64277867.439999998</v>
      </c>
      <c r="E232" s="105">
        <f t="shared" si="203"/>
        <v>52506564.439999998</v>
      </c>
      <c r="F232" s="105">
        <f t="shared" si="203"/>
        <v>52506564.439999998</v>
      </c>
      <c r="G232" s="106">
        <f t="shared" si="166"/>
        <v>0.81686848881556484</v>
      </c>
      <c r="H232" s="106">
        <f t="shared" si="167"/>
        <v>0.81686848881556484</v>
      </c>
      <c r="I232" s="105">
        <f>I233+I234</f>
        <v>0</v>
      </c>
      <c r="J232" s="105">
        <f t="shared" ref="J232:L232" si="204">J233+J234</f>
        <v>0</v>
      </c>
      <c r="K232" s="105">
        <f t="shared" si="204"/>
        <v>0</v>
      </c>
      <c r="L232" s="105">
        <f t="shared" si="204"/>
        <v>0</v>
      </c>
      <c r="M232" s="106" t="e">
        <f t="shared" si="168"/>
        <v>#DIV/0!</v>
      </c>
      <c r="N232" s="106" t="e">
        <f t="shared" si="169"/>
        <v>#DIV/0!</v>
      </c>
      <c r="O232" s="105">
        <f t="shared" ref="O232:R232" si="205">O233+O234</f>
        <v>0</v>
      </c>
      <c r="P232" s="105">
        <f t="shared" si="205"/>
        <v>0</v>
      </c>
      <c r="Q232" s="105">
        <f t="shared" si="205"/>
        <v>0</v>
      </c>
      <c r="R232" s="105">
        <f t="shared" si="205"/>
        <v>0</v>
      </c>
      <c r="S232" s="106" t="e">
        <f t="shared" si="170"/>
        <v>#DIV/0!</v>
      </c>
      <c r="T232" s="106" t="e">
        <f t="shared" si="171"/>
        <v>#DIV/0!</v>
      </c>
      <c r="U232" s="105">
        <f t="shared" si="172"/>
        <v>39526303</v>
      </c>
      <c r="V232" s="105">
        <f t="shared" si="172"/>
        <v>64277867.439999998</v>
      </c>
      <c r="W232" s="105">
        <f t="shared" si="172"/>
        <v>52506564.439999998</v>
      </c>
      <c r="X232" s="105">
        <f t="shared" si="172"/>
        <v>52506564.439999998</v>
      </c>
      <c r="Y232" s="106">
        <f t="shared" si="173"/>
        <v>0.81686848881556484</v>
      </c>
      <c r="Z232" s="106">
        <f t="shared" si="174"/>
        <v>0.81686848881556484</v>
      </c>
      <c r="AA232" s="105">
        <f t="shared" ref="AA232:AD232" si="206">AA233+AA234</f>
        <v>0</v>
      </c>
      <c r="AB232" s="105">
        <f t="shared" si="206"/>
        <v>0</v>
      </c>
      <c r="AC232" s="105">
        <f t="shared" si="206"/>
        <v>0</v>
      </c>
      <c r="AD232" s="105">
        <f t="shared" si="206"/>
        <v>0</v>
      </c>
      <c r="AE232" s="106" t="e">
        <f t="shared" si="175"/>
        <v>#DIV/0!</v>
      </c>
      <c r="AF232" s="106" t="e">
        <f t="shared" si="176"/>
        <v>#DIV/0!</v>
      </c>
      <c r="AG232" s="105">
        <f t="shared" si="177"/>
        <v>0</v>
      </c>
      <c r="AH232" s="105">
        <f t="shared" si="177"/>
        <v>0</v>
      </c>
      <c r="AI232" s="105">
        <f t="shared" si="177"/>
        <v>0</v>
      </c>
      <c r="AJ232" s="105">
        <f t="shared" si="177"/>
        <v>0</v>
      </c>
      <c r="AK232" s="106" t="e">
        <f t="shared" si="178"/>
        <v>#DIV/0!</v>
      </c>
      <c r="AL232" s="106" t="e">
        <f t="shared" si="179"/>
        <v>#DIV/0!</v>
      </c>
      <c r="AM232" s="105">
        <f t="shared" si="180"/>
        <v>39526303</v>
      </c>
      <c r="AN232" s="105">
        <f t="shared" si="180"/>
        <v>64277867.439999998</v>
      </c>
      <c r="AO232" s="105">
        <f t="shared" si="180"/>
        <v>52506564.439999998</v>
      </c>
      <c r="AP232" s="105">
        <f t="shared" si="180"/>
        <v>52506564.439999998</v>
      </c>
      <c r="AQ232" s="106">
        <f t="shared" si="181"/>
        <v>0.81686848881556484</v>
      </c>
      <c r="AR232" s="106">
        <f t="shared" si="182"/>
        <v>0.81686848881556484</v>
      </c>
      <c r="AT232" s="38"/>
      <c r="AU232" s="38"/>
      <c r="AV232" s="38"/>
      <c r="AW232" s="38"/>
      <c r="AY232" s="38"/>
      <c r="AZ232" s="38"/>
      <c r="BA232" s="38"/>
      <c r="BB232" s="38"/>
      <c r="BC232" s="36"/>
      <c r="BD232" s="36"/>
      <c r="BE232" s="36"/>
      <c r="BF232" s="36"/>
    </row>
    <row r="233" spans="1:58" s="51" customFormat="1" x14ac:dyDescent="0.2">
      <c r="A233" s="49" t="str">
        <f>"503.11.01.02.01"</f>
        <v>503.11.01.02.01</v>
      </c>
      <c r="B233" s="49" t="s">
        <v>1405</v>
      </c>
      <c r="C233" s="50">
        <f>CE_RegimeContributivo!B407</f>
        <v>0</v>
      </c>
      <c r="D233" s="50">
        <f>CE_RegimeContributivo!C407</f>
        <v>0</v>
      </c>
      <c r="E233" s="50">
        <f>CE_RegimeContributivo!E407</f>
        <v>0</v>
      </c>
      <c r="F233" s="50">
        <f>CE_RegimeContributivo!S407</f>
        <v>0</v>
      </c>
      <c r="G233" s="61" t="e">
        <f t="shared" si="166"/>
        <v>#DIV/0!</v>
      </c>
      <c r="H233" s="61" t="e">
        <f t="shared" si="167"/>
        <v>#DIV/0!</v>
      </c>
      <c r="I233" s="50">
        <f>CE_RegimeNaoContributivo!B407</f>
        <v>0</v>
      </c>
      <c r="J233" s="50">
        <f>CE_RegimeNaoContributivo!C407</f>
        <v>0</v>
      </c>
      <c r="K233" s="50">
        <f>CE_RegimeNaoContributivo!E407</f>
        <v>0</v>
      </c>
      <c r="L233" s="50">
        <f>CE_RegimeNaoContributivo!S407</f>
        <v>0</v>
      </c>
      <c r="M233" s="61" t="e">
        <f t="shared" si="168"/>
        <v>#DIV/0!</v>
      </c>
      <c r="N233" s="61" t="e">
        <f t="shared" si="169"/>
        <v>#DIV/0!</v>
      </c>
      <c r="O233" s="50">
        <f>CE_AdministraçãoINSS!B407</f>
        <v>0</v>
      </c>
      <c r="P233" s="50">
        <f>CE_AdministraçãoINSS!C407</f>
        <v>0</v>
      </c>
      <c r="Q233" s="50">
        <f>CE_AdministraçãoINSS!E407</f>
        <v>0</v>
      </c>
      <c r="R233" s="50">
        <f>CE_AdministraçãoINSS!S407</f>
        <v>0</v>
      </c>
      <c r="S233" s="61" t="e">
        <f t="shared" si="170"/>
        <v>#DIV/0!</v>
      </c>
      <c r="T233" s="61" t="e">
        <f t="shared" si="171"/>
        <v>#DIV/0!</v>
      </c>
      <c r="U233" s="50">
        <f t="shared" si="172"/>
        <v>0</v>
      </c>
      <c r="V233" s="50">
        <f t="shared" si="172"/>
        <v>0</v>
      </c>
      <c r="W233" s="50">
        <f t="shared" si="172"/>
        <v>0</v>
      </c>
      <c r="X233" s="50">
        <f t="shared" si="172"/>
        <v>0</v>
      </c>
      <c r="Y233" s="61" t="e">
        <f t="shared" si="173"/>
        <v>#DIV/0!</v>
      </c>
      <c r="Z233" s="61" t="e">
        <f t="shared" si="174"/>
        <v>#DIV/0!</v>
      </c>
      <c r="AA233" s="50">
        <f>CE_AdministraçãoFRSS!B407</f>
        <v>0</v>
      </c>
      <c r="AB233" s="50">
        <f>CE_AdministraçãoFRSS!C407</f>
        <v>0</v>
      </c>
      <c r="AC233" s="50">
        <f>CE_AdministraçãoFRSS!E407</f>
        <v>0</v>
      </c>
      <c r="AD233" s="50">
        <f>CE_AdministraçãoFRSS!S407</f>
        <v>0</v>
      </c>
      <c r="AE233" s="61" t="e">
        <f t="shared" si="175"/>
        <v>#DIV/0!</v>
      </c>
      <c r="AF233" s="61" t="e">
        <f t="shared" si="176"/>
        <v>#DIV/0!</v>
      </c>
      <c r="AG233" s="50">
        <f t="shared" si="177"/>
        <v>0</v>
      </c>
      <c r="AH233" s="50">
        <f t="shared" si="177"/>
        <v>0</v>
      </c>
      <c r="AI233" s="50">
        <f t="shared" si="177"/>
        <v>0</v>
      </c>
      <c r="AJ233" s="50">
        <f t="shared" si="177"/>
        <v>0</v>
      </c>
      <c r="AK233" s="61" t="e">
        <f t="shared" si="178"/>
        <v>#DIV/0!</v>
      </c>
      <c r="AL233" s="61" t="e">
        <f t="shared" si="179"/>
        <v>#DIV/0!</v>
      </c>
      <c r="AM233" s="50">
        <f t="shared" si="180"/>
        <v>0</v>
      </c>
      <c r="AN233" s="50">
        <f t="shared" si="180"/>
        <v>0</v>
      </c>
      <c r="AO233" s="50">
        <f t="shared" si="180"/>
        <v>0</v>
      </c>
      <c r="AP233" s="50">
        <f t="shared" si="180"/>
        <v>0</v>
      </c>
      <c r="AQ233" s="61" t="e">
        <f t="shared" si="181"/>
        <v>#DIV/0!</v>
      </c>
      <c r="AR233" s="61" t="e">
        <f t="shared" si="182"/>
        <v>#DIV/0!</v>
      </c>
      <c r="AT233" s="135"/>
      <c r="AU233" s="135"/>
      <c r="AV233" s="135"/>
      <c r="AW233" s="135"/>
      <c r="AY233" s="135"/>
      <c r="AZ233" s="135"/>
      <c r="BA233" s="135"/>
      <c r="BB233" s="135"/>
    </row>
    <row r="234" spans="1:58" s="51" customFormat="1" x14ac:dyDescent="0.2">
      <c r="A234" s="49" t="str">
        <f>"503.11.01.02.02"</f>
        <v>503.11.01.02.02</v>
      </c>
      <c r="B234" s="49" t="s">
        <v>1406</v>
      </c>
      <c r="C234" s="50">
        <f>CE_RegimeContributivo!B408</f>
        <v>39526303</v>
      </c>
      <c r="D234" s="50">
        <f>CE_RegimeContributivo!C408</f>
        <v>64277867.439999998</v>
      </c>
      <c r="E234" s="50">
        <f>CE_RegimeContributivo!E408</f>
        <v>52506564.439999998</v>
      </c>
      <c r="F234" s="50">
        <f>CE_RegimeContributivo!S408</f>
        <v>52506564.439999998</v>
      </c>
      <c r="G234" s="61">
        <f t="shared" si="166"/>
        <v>0.81686848881556484</v>
      </c>
      <c r="H234" s="61">
        <f t="shared" si="167"/>
        <v>0.81686848881556484</v>
      </c>
      <c r="I234" s="50">
        <f>CE_RegimeNaoContributivo!B408</f>
        <v>0</v>
      </c>
      <c r="J234" s="50">
        <f>CE_RegimeNaoContributivo!C408</f>
        <v>0</v>
      </c>
      <c r="K234" s="50">
        <f>CE_RegimeNaoContributivo!E408</f>
        <v>0</v>
      </c>
      <c r="L234" s="50">
        <f>CE_RegimeNaoContributivo!S408</f>
        <v>0</v>
      </c>
      <c r="M234" s="61" t="e">
        <f t="shared" si="168"/>
        <v>#DIV/0!</v>
      </c>
      <c r="N234" s="61" t="e">
        <f t="shared" si="169"/>
        <v>#DIV/0!</v>
      </c>
      <c r="O234" s="50">
        <f>CE_AdministraçãoINSS!B408</f>
        <v>0</v>
      </c>
      <c r="P234" s="50">
        <f>CE_AdministraçãoINSS!C408</f>
        <v>0</v>
      </c>
      <c r="Q234" s="50">
        <f>CE_AdministraçãoINSS!E408</f>
        <v>0</v>
      </c>
      <c r="R234" s="50">
        <f>CE_AdministraçãoINSS!S408</f>
        <v>0</v>
      </c>
      <c r="S234" s="61" t="e">
        <f t="shared" si="170"/>
        <v>#DIV/0!</v>
      </c>
      <c r="T234" s="61" t="e">
        <f t="shared" si="171"/>
        <v>#DIV/0!</v>
      </c>
      <c r="U234" s="50">
        <f t="shared" si="172"/>
        <v>39526303</v>
      </c>
      <c r="V234" s="50">
        <f t="shared" si="172"/>
        <v>64277867.439999998</v>
      </c>
      <c r="W234" s="50">
        <f t="shared" si="172"/>
        <v>52506564.439999998</v>
      </c>
      <c r="X234" s="50">
        <f t="shared" si="172"/>
        <v>52506564.439999998</v>
      </c>
      <c r="Y234" s="61">
        <f t="shared" si="173"/>
        <v>0.81686848881556484</v>
      </c>
      <c r="Z234" s="61">
        <f t="shared" si="174"/>
        <v>0.81686848881556484</v>
      </c>
      <c r="AA234" s="50">
        <f>CE_AdministraçãoFRSS!B408</f>
        <v>0</v>
      </c>
      <c r="AB234" s="50">
        <f>CE_AdministraçãoFRSS!C408</f>
        <v>0</v>
      </c>
      <c r="AC234" s="50">
        <f>CE_AdministraçãoFRSS!E408</f>
        <v>0</v>
      </c>
      <c r="AD234" s="50">
        <f>CE_AdministraçãoFRSS!S408</f>
        <v>0</v>
      </c>
      <c r="AE234" s="61" t="e">
        <f t="shared" si="175"/>
        <v>#DIV/0!</v>
      </c>
      <c r="AF234" s="61" t="e">
        <f t="shared" si="176"/>
        <v>#DIV/0!</v>
      </c>
      <c r="AG234" s="50">
        <f t="shared" si="177"/>
        <v>0</v>
      </c>
      <c r="AH234" s="50">
        <f t="shared" si="177"/>
        <v>0</v>
      </c>
      <c r="AI234" s="50">
        <f t="shared" si="177"/>
        <v>0</v>
      </c>
      <c r="AJ234" s="50">
        <f t="shared" si="177"/>
        <v>0</v>
      </c>
      <c r="AK234" s="61" t="e">
        <f t="shared" si="178"/>
        <v>#DIV/0!</v>
      </c>
      <c r="AL234" s="61" t="e">
        <f t="shared" si="179"/>
        <v>#DIV/0!</v>
      </c>
      <c r="AM234" s="50">
        <f t="shared" si="180"/>
        <v>39526303</v>
      </c>
      <c r="AN234" s="50">
        <f t="shared" si="180"/>
        <v>64277867.439999998</v>
      </c>
      <c r="AO234" s="50">
        <f t="shared" si="180"/>
        <v>52506564.439999998</v>
      </c>
      <c r="AP234" s="50">
        <f t="shared" si="180"/>
        <v>52506564.439999998</v>
      </c>
      <c r="AQ234" s="61">
        <f t="shared" si="181"/>
        <v>0.81686848881556484</v>
      </c>
      <c r="AR234" s="61">
        <f t="shared" si="182"/>
        <v>0.81686848881556484</v>
      </c>
      <c r="AT234" s="135"/>
      <c r="AU234" s="135"/>
      <c r="AV234" s="135"/>
      <c r="AW234" s="135"/>
      <c r="AY234" s="135"/>
      <c r="AZ234" s="135"/>
      <c r="BA234" s="135"/>
      <c r="BB234" s="135"/>
    </row>
    <row r="235" spans="1:58" s="51" customFormat="1" x14ac:dyDescent="0.2">
      <c r="A235" s="49" t="str">
        <f>"503.11.01.03"</f>
        <v>503.11.01.03</v>
      </c>
      <c r="B235" s="49" t="s">
        <v>1020</v>
      </c>
      <c r="C235" s="50">
        <f>CE_RegimeContributivo!B409</f>
        <v>0</v>
      </c>
      <c r="D235" s="50">
        <f>CE_RegimeContributivo!C409</f>
        <v>0</v>
      </c>
      <c r="E235" s="50">
        <f>CE_RegimeContributivo!E409</f>
        <v>0</v>
      </c>
      <c r="F235" s="50">
        <f>CE_RegimeContributivo!S409</f>
        <v>0</v>
      </c>
      <c r="G235" s="61" t="e">
        <f t="shared" si="166"/>
        <v>#DIV/0!</v>
      </c>
      <c r="H235" s="61" t="e">
        <f t="shared" si="167"/>
        <v>#DIV/0!</v>
      </c>
      <c r="I235" s="50">
        <f>CE_RegimeNaoContributivo!B409</f>
        <v>0</v>
      </c>
      <c r="J235" s="50">
        <f>CE_RegimeNaoContributivo!C409</f>
        <v>0</v>
      </c>
      <c r="K235" s="50">
        <f>CE_RegimeNaoContributivo!E409</f>
        <v>0</v>
      </c>
      <c r="L235" s="50">
        <f>CE_RegimeNaoContributivo!S409</f>
        <v>0</v>
      </c>
      <c r="M235" s="61" t="e">
        <f t="shared" si="168"/>
        <v>#DIV/0!</v>
      </c>
      <c r="N235" s="61" t="e">
        <f t="shared" si="169"/>
        <v>#DIV/0!</v>
      </c>
      <c r="O235" s="50">
        <f>CE_AdministraçãoINSS!B409</f>
        <v>0</v>
      </c>
      <c r="P235" s="50">
        <f>CE_AdministraçãoINSS!C409</f>
        <v>0</v>
      </c>
      <c r="Q235" s="50">
        <f>CE_AdministraçãoINSS!E409</f>
        <v>0</v>
      </c>
      <c r="R235" s="50">
        <f>CE_AdministraçãoINSS!S409</f>
        <v>0</v>
      </c>
      <c r="S235" s="61" t="e">
        <f t="shared" si="170"/>
        <v>#DIV/0!</v>
      </c>
      <c r="T235" s="61" t="e">
        <f t="shared" si="171"/>
        <v>#DIV/0!</v>
      </c>
      <c r="U235" s="50">
        <f t="shared" si="172"/>
        <v>0</v>
      </c>
      <c r="V235" s="50">
        <f t="shared" si="172"/>
        <v>0</v>
      </c>
      <c r="W235" s="50">
        <f t="shared" si="172"/>
        <v>0</v>
      </c>
      <c r="X235" s="50">
        <f t="shared" si="172"/>
        <v>0</v>
      </c>
      <c r="Y235" s="61" t="e">
        <f t="shared" si="173"/>
        <v>#DIV/0!</v>
      </c>
      <c r="Z235" s="61" t="e">
        <f t="shared" si="174"/>
        <v>#DIV/0!</v>
      </c>
      <c r="AA235" s="50">
        <f>CE_AdministraçãoFRSS!B409</f>
        <v>0</v>
      </c>
      <c r="AB235" s="50">
        <f>CE_AdministraçãoFRSS!C409</f>
        <v>0</v>
      </c>
      <c r="AC235" s="50">
        <f>CE_AdministraçãoFRSS!E409</f>
        <v>0</v>
      </c>
      <c r="AD235" s="50">
        <f>CE_AdministraçãoFRSS!S409</f>
        <v>0</v>
      </c>
      <c r="AE235" s="61" t="e">
        <f t="shared" si="175"/>
        <v>#DIV/0!</v>
      </c>
      <c r="AF235" s="61" t="e">
        <f t="shared" si="176"/>
        <v>#DIV/0!</v>
      </c>
      <c r="AG235" s="46">
        <f t="shared" si="177"/>
        <v>0</v>
      </c>
      <c r="AH235" s="46">
        <f t="shared" si="177"/>
        <v>0</v>
      </c>
      <c r="AI235" s="46">
        <f t="shared" si="177"/>
        <v>0</v>
      </c>
      <c r="AJ235" s="46">
        <f t="shared" si="177"/>
        <v>0</v>
      </c>
      <c r="AK235" s="61" t="e">
        <f t="shared" si="178"/>
        <v>#DIV/0!</v>
      </c>
      <c r="AL235" s="61" t="e">
        <f t="shared" si="179"/>
        <v>#DIV/0!</v>
      </c>
      <c r="AM235" s="46">
        <f t="shared" si="180"/>
        <v>0</v>
      </c>
      <c r="AN235" s="46">
        <f t="shared" si="180"/>
        <v>0</v>
      </c>
      <c r="AO235" s="46">
        <f t="shared" si="180"/>
        <v>0</v>
      </c>
      <c r="AP235" s="46">
        <f t="shared" si="180"/>
        <v>0</v>
      </c>
      <c r="AQ235" s="61" t="e">
        <f t="shared" si="181"/>
        <v>#DIV/0!</v>
      </c>
      <c r="AR235" s="61" t="e">
        <f t="shared" si="182"/>
        <v>#DIV/0!</v>
      </c>
      <c r="AT235" s="38"/>
      <c r="AU235" s="38"/>
      <c r="AV235" s="38"/>
      <c r="AW235" s="38"/>
      <c r="AY235" s="38"/>
      <c r="AZ235" s="38"/>
      <c r="BA235" s="38"/>
      <c r="BB235" s="38"/>
      <c r="BC235" s="36"/>
      <c r="BD235" s="36"/>
      <c r="BE235" s="36"/>
      <c r="BF235" s="36"/>
    </row>
    <row r="236" spans="1:58" s="51" customFormat="1" x14ac:dyDescent="0.2">
      <c r="A236" s="49" t="str">
        <f>"503.11.01.04"</f>
        <v>503.11.01.04</v>
      </c>
      <c r="B236" s="49" t="s">
        <v>1021</v>
      </c>
      <c r="C236" s="50">
        <f>CE_RegimeContributivo!B410</f>
        <v>0</v>
      </c>
      <c r="D236" s="50">
        <f>CE_RegimeContributivo!C410</f>
        <v>0</v>
      </c>
      <c r="E236" s="50">
        <f>CE_RegimeContributivo!E410</f>
        <v>0</v>
      </c>
      <c r="F236" s="50">
        <f>CE_RegimeContributivo!S410</f>
        <v>0</v>
      </c>
      <c r="G236" s="61" t="e">
        <f t="shared" si="166"/>
        <v>#DIV/0!</v>
      </c>
      <c r="H236" s="61" t="e">
        <f t="shared" si="167"/>
        <v>#DIV/0!</v>
      </c>
      <c r="I236" s="50">
        <f>CE_RegimeNaoContributivo!B410</f>
        <v>0</v>
      </c>
      <c r="J236" s="50">
        <f>CE_RegimeNaoContributivo!C410</f>
        <v>0</v>
      </c>
      <c r="K236" s="50">
        <f>CE_RegimeNaoContributivo!E410</f>
        <v>0</v>
      </c>
      <c r="L236" s="50">
        <f>CE_RegimeNaoContributivo!S410</f>
        <v>0</v>
      </c>
      <c r="M236" s="61" t="e">
        <f t="shared" si="168"/>
        <v>#DIV/0!</v>
      </c>
      <c r="N236" s="61" t="e">
        <f t="shared" si="169"/>
        <v>#DIV/0!</v>
      </c>
      <c r="O236" s="50">
        <f>CE_AdministraçãoINSS!B410</f>
        <v>0</v>
      </c>
      <c r="P236" s="50">
        <f>CE_AdministraçãoINSS!C410</f>
        <v>0</v>
      </c>
      <c r="Q236" s="50">
        <f>CE_AdministraçãoINSS!E410</f>
        <v>0</v>
      </c>
      <c r="R236" s="50">
        <f>CE_AdministraçãoINSS!S410</f>
        <v>0</v>
      </c>
      <c r="S236" s="61" t="e">
        <f t="shared" si="170"/>
        <v>#DIV/0!</v>
      </c>
      <c r="T236" s="61" t="e">
        <f t="shared" si="171"/>
        <v>#DIV/0!</v>
      </c>
      <c r="U236" s="50">
        <f t="shared" si="172"/>
        <v>0</v>
      </c>
      <c r="V236" s="50">
        <f t="shared" si="172"/>
        <v>0</v>
      </c>
      <c r="W236" s="50">
        <f t="shared" si="172"/>
        <v>0</v>
      </c>
      <c r="X236" s="50">
        <f t="shared" si="172"/>
        <v>0</v>
      </c>
      <c r="Y236" s="61" t="e">
        <f t="shared" si="173"/>
        <v>#DIV/0!</v>
      </c>
      <c r="Z236" s="61" t="e">
        <f t="shared" si="174"/>
        <v>#DIV/0!</v>
      </c>
      <c r="AA236" s="50">
        <f>CE_AdministraçãoFRSS!B410</f>
        <v>0</v>
      </c>
      <c r="AB236" s="50">
        <f>CE_AdministraçãoFRSS!C410</f>
        <v>0</v>
      </c>
      <c r="AC236" s="50">
        <f>CE_AdministraçãoFRSS!E410</f>
        <v>0</v>
      </c>
      <c r="AD236" s="50">
        <f>CE_AdministraçãoFRSS!S410</f>
        <v>0</v>
      </c>
      <c r="AE236" s="61" t="e">
        <f t="shared" si="175"/>
        <v>#DIV/0!</v>
      </c>
      <c r="AF236" s="61" t="e">
        <f t="shared" si="176"/>
        <v>#DIV/0!</v>
      </c>
      <c r="AG236" s="46">
        <f t="shared" si="177"/>
        <v>0</v>
      </c>
      <c r="AH236" s="46">
        <f t="shared" si="177"/>
        <v>0</v>
      </c>
      <c r="AI236" s="46">
        <f t="shared" si="177"/>
        <v>0</v>
      </c>
      <c r="AJ236" s="46">
        <f t="shared" si="177"/>
        <v>0</v>
      </c>
      <c r="AK236" s="61" t="e">
        <f t="shared" si="178"/>
        <v>#DIV/0!</v>
      </c>
      <c r="AL236" s="61" t="e">
        <f t="shared" si="179"/>
        <v>#DIV/0!</v>
      </c>
      <c r="AM236" s="46">
        <f t="shared" si="180"/>
        <v>0</v>
      </c>
      <c r="AN236" s="46">
        <f t="shared" si="180"/>
        <v>0</v>
      </c>
      <c r="AO236" s="46">
        <f t="shared" si="180"/>
        <v>0</v>
      </c>
      <c r="AP236" s="46">
        <f t="shared" si="180"/>
        <v>0</v>
      </c>
      <c r="AQ236" s="61" t="e">
        <f t="shared" si="181"/>
        <v>#DIV/0!</v>
      </c>
      <c r="AR236" s="61" t="e">
        <f t="shared" si="182"/>
        <v>#DIV/0!</v>
      </c>
      <c r="AT236" s="38"/>
      <c r="AU236" s="38"/>
      <c r="AV236" s="38"/>
      <c r="AW236" s="38"/>
      <c r="AY236" s="38"/>
      <c r="AZ236" s="38"/>
      <c r="BA236" s="38"/>
      <c r="BB236" s="38"/>
      <c r="BC236" s="36"/>
      <c r="BD236" s="36"/>
      <c r="BE236" s="36"/>
      <c r="BF236" s="36"/>
    </row>
    <row r="237" spans="1:58" x14ac:dyDescent="0.2">
      <c r="A237" s="45" t="str">
        <f>"503.11.02"</f>
        <v>503.11.02</v>
      </c>
      <c r="B237" s="47" t="s">
        <v>1022</v>
      </c>
      <c r="C237" s="46">
        <f>CE_RegimeContributivo!B411</f>
        <v>0</v>
      </c>
      <c r="D237" s="46">
        <f>CE_RegimeContributivo!C411</f>
        <v>0</v>
      </c>
      <c r="E237" s="46">
        <f>CE_RegimeContributivo!E411</f>
        <v>0</v>
      </c>
      <c r="F237" s="46">
        <f>CE_RegimeContributivo!S411</f>
        <v>0</v>
      </c>
      <c r="G237" s="60" t="e">
        <f t="shared" si="166"/>
        <v>#DIV/0!</v>
      </c>
      <c r="H237" s="60" t="e">
        <f t="shared" si="167"/>
        <v>#DIV/0!</v>
      </c>
      <c r="I237" s="46">
        <f>CE_RegimeNaoContributivo!B411</f>
        <v>0</v>
      </c>
      <c r="J237" s="46">
        <f>CE_RegimeNaoContributivo!C411</f>
        <v>0</v>
      </c>
      <c r="K237" s="46">
        <f>CE_RegimeNaoContributivo!E411</f>
        <v>0</v>
      </c>
      <c r="L237" s="46">
        <f>CE_RegimeNaoContributivo!S411</f>
        <v>0</v>
      </c>
      <c r="M237" s="60" t="e">
        <f t="shared" si="168"/>
        <v>#DIV/0!</v>
      </c>
      <c r="N237" s="60" t="e">
        <f t="shared" si="169"/>
        <v>#DIV/0!</v>
      </c>
      <c r="O237" s="46">
        <f>CE_AdministraçãoINSS!B411</f>
        <v>0</v>
      </c>
      <c r="P237" s="46">
        <f>CE_AdministraçãoINSS!C411</f>
        <v>0</v>
      </c>
      <c r="Q237" s="46">
        <f>CE_AdministraçãoINSS!E411</f>
        <v>0</v>
      </c>
      <c r="R237" s="46">
        <f>CE_AdministraçãoINSS!S411</f>
        <v>0</v>
      </c>
      <c r="S237" s="60" t="e">
        <f t="shared" si="170"/>
        <v>#DIV/0!</v>
      </c>
      <c r="T237" s="60" t="e">
        <f t="shared" si="171"/>
        <v>#DIV/0!</v>
      </c>
      <c r="U237" s="46">
        <f t="shared" si="172"/>
        <v>0</v>
      </c>
      <c r="V237" s="46">
        <f t="shared" si="172"/>
        <v>0</v>
      </c>
      <c r="W237" s="46">
        <f t="shared" si="172"/>
        <v>0</v>
      </c>
      <c r="X237" s="46">
        <f t="shared" si="172"/>
        <v>0</v>
      </c>
      <c r="Y237" s="60" t="e">
        <f t="shared" si="173"/>
        <v>#DIV/0!</v>
      </c>
      <c r="Z237" s="60" t="e">
        <f t="shared" si="174"/>
        <v>#DIV/0!</v>
      </c>
      <c r="AA237" s="46">
        <f>CE_AdministraçãoFRSS!B411</f>
        <v>0</v>
      </c>
      <c r="AB237" s="46">
        <f>CE_AdministraçãoFRSS!C411</f>
        <v>0</v>
      </c>
      <c r="AC237" s="46">
        <f>CE_AdministraçãoFRSS!E411</f>
        <v>0</v>
      </c>
      <c r="AD237" s="46">
        <f>CE_AdministraçãoFRSS!S411</f>
        <v>0</v>
      </c>
      <c r="AE237" s="60" t="e">
        <f t="shared" si="175"/>
        <v>#DIV/0!</v>
      </c>
      <c r="AF237" s="60" t="e">
        <f t="shared" si="176"/>
        <v>#DIV/0!</v>
      </c>
      <c r="AG237" s="46">
        <f t="shared" si="177"/>
        <v>0</v>
      </c>
      <c r="AH237" s="46">
        <f t="shared" si="177"/>
        <v>0</v>
      </c>
      <c r="AI237" s="46">
        <f t="shared" si="177"/>
        <v>0</v>
      </c>
      <c r="AJ237" s="46">
        <f t="shared" si="177"/>
        <v>0</v>
      </c>
      <c r="AK237" s="60" t="e">
        <f t="shared" si="178"/>
        <v>#DIV/0!</v>
      </c>
      <c r="AL237" s="60" t="e">
        <f t="shared" si="179"/>
        <v>#DIV/0!</v>
      </c>
      <c r="AM237" s="46">
        <f t="shared" si="180"/>
        <v>0</v>
      </c>
      <c r="AN237" s="46">
        <f t="shared" si="180"/>
        <v>0</v>
      </c>
      <c r="AO237" s="46">
        <f t="shared" si="180"/>
        <v>0</v>
      </c>
      <c r="AP237" s="46">
        <f t="shared" si="180"/>
        <v>0</v>
      </c>
      <c r="AQ237" s="60" t="e">
        <f t="shared" si="181"/>
        <v>#DIV/0!</v>
      </c>
      <c r="AR237" s="60" t="e">
        <f t="shared" si="182"/>
        <v>#DIV/0!</v>
      </c>
      <c r="AT237" s="38"/>
      <c r="AU237" s="38"/>
      <c r="AV237" s="38"/>
      <c r="AW237" s="38"/>
      <c r="AY237" s="38"/>
      <c r="AZ237" s="38"/>
      <c r="BA237" s="38"/>
      <c r="BB237" s="38"/>
    </row>
    <row r="238" spans="1:58" x14ac:dyDescent="0.2">
      <c r="A238" s="45" t="str">
        <f>"503.11.03"</f>
        <v>503.11.03</v>
      </c>
      <c r="B238" s="47" t="s">
        <v>140</v>
      </c>
      <c r="C238" s="46">
        <f>CE_RegimeContributivo!B412</f>
        <v>0</v>
      </c>
      <c r="D238" s="46">
        <f>CE_RegimeContributivo!C412</f>
        <v>0</v>
      </c>
      <c r="E238" s="46">
        <f>CE_RegimeContributivo!E412</f>
        <v>0</v>
      </c>
      <c r="F238" s="46">
        <f>CE_RegimeContributivo!S412</f>
        <v>0</v>
      </c>
      <c r="G238" s="60" t="e">
        <f t="shared" si="166"/>
        <v>#DIV/0!</v>
      </c>
      <c r="H238" s="60" t="e">
        <f t="shared" si="167"/>
        <v>#DIV/0!</v>
      </c>
      <c r="I238" s="46">
        <f>CE_RegimeNaoContributivo!B412</f>
        <v>0</v>
      </c>
      <c r="J238" s="46">
        <f>CE_RegimeNaoContributivo!C412</f>
        <v>0</v>
      </c>
      <c r="K238" s="46">
        <f>CE_RegimeNaoContributivo!E412</f>
        <v>0</v>
      </c>
      <c r="L238" s="46">
        <f>CE_RegimeNaoContributivo!S412</f>
        <v>0</v>
      </c>
      <c r="M238" s="60" t="e">
        <f t="shared" si="168"/>
        <v>#DIV/0!</v>
      </c>
      <c r="N238" s="60" t="e">
        <f t="shared" si="169"/>
        <v>#DIV/0!</v>
      </c>
      <c r="O238" s="46">
        <f>CE_AdministraçãoINSS!B412</f>
        <v>0</v>
      </c>
      <c r="P238" s="46">
        <f>CE_AdministraçãoINSS!C412</f>
        <v>0</v>
      </c>
      <c r="Q238" s="46">
        <f>CE_AdministraçãoINSS!E412</f>
        <v>0</v>
      </c>
      <c r="R238" s="46">
        <f>CE_AdministraçãoINSS!S412</f>
        <v>0</v>
      </c>
      <c r="S238" s="60" t="e">
        <f t="shared" si="170"/>
        <v>#DIV/0!</v>
      </c>
      <c r="T238" s="60" t="e">
        <f t="shared" si="171"/>
        <v>#DIV/0!</v>
      </c>
      <c r="U238" s="46">
        <f t="shared" si="172"/>
        <v>0</v>
      </c>
      <c r="V238" s="46">
        <f t="shared" si="172"/>
        <v>0</v>
      </c>
      <c r="W238" s="46">
        <f t="shared" si="172"/>
        <v>0</v>
      </c>
      <c r="X238" s="46">
        <f t="shared" si="172"/>
        <v>0</v>
      </c>
      <c r="Y238" s="60" t="e">
        <f t="shared" si="173"/>
        <v>#DIV/0!</v>
      </c>
      <c r="Z238" s="60" t="e">
        <f t="shared" si="174"/>
        <v>#DIV/0!</v>
      </c>
      <c r="AA238" s="46">
        <f>CE_AdministraçãoFRSS!B412</f>
        <v>0</v>
      </c>
      <c r="AB238" s="46">
        <f>CE_AdministraçãoFRSS!C412</f>
        <v>0</v>
      </c>
      <c r="AC238" s="46">
        <f>CE_AdministraçãoFRSS!E412</f>
        <v>0</v>
      </c>
      <c r="AD238" s="46">
        <f>CE_AdministraçãoFRSS!S412</f>
        <v>0</v>
      </c>
      <c r="AE238" s="60" t="e">
        <f t="shared" si="175"/>
        <v>#DIV/0!</v>
      </c>
      <c r="AF238" s="60" t="e">
        <f t="shared" si="176"/>
        <v>#DIV/0!</v>
      </c>
      <c r="AG238" s="46">
        <f t="shared" si="177"/>
        <v>0</v>
      </c>
      <c r="AH238" s="46">
        <f t="shared" si="177"/>
        <v>0</v>
      </c>
      <c r="AI238" s="46">
        <f t="shared" si="177"/>
        <v>0</v>
      </c>
      <c r="AJ238" s="46">
        <f t="shared" si="177"/>
        <v>0</v>
      </c>
      <c r="AK238" s="60" t="e">
        <f t="shared" si="178"/>
        <v>#DIV/0!</v>
      </c>
      <c r="AL238" s="60" t="e">
        <f t="shared" si="179"/>
        <v>#DIV/0!</v>
      </c>
      <c r="AM238" s="46">
        <f t="shared" si="180"/>
        <v>0</v>
      </c>
      <c r="AN238" s="46">
        <f t="shared" si="180"/>
        <v>0</v>
      </c>
      <c r="AO238" s="46">
        <f t="shared" si="180"/>
        <v>0</v>
      </c>
      <c r="AP238" s="46">
        <f t="shared" si="180"/>
        <v>0</v>
      </c>
      <c r="AQ238" s="60" t="e">
        <f t="shared" si="181"/>
        <v>#DIV/0!</v>
      </c>
      <c r="AR238" s="60" t="e">
        <f t="shared" si="182"/>
        <v>#DIV/0!</v>
      </c>
      <c r="AT238" s="38"/>
      <c r="AU238" s="38"/>
      <c r="AV238" s="38"/>
      <c r="AW238" s="38"/>
      <c r="AY238" s="38"/>
      <c r="AZ238" s="38"/>
      <c r="BA238" s="38"/>
      <c r="BB238" s="38"/>
    </row>
    <row r="239" spans="1:58" x14ac:dyDescent="0.2">
      <c r="A239" s="45" t="str">
        <f>"503.11.04"</f>
        <v>503.11.04</v>
      </c>
      <c r="B239" s="47" t="s">
        <v>1023</v>
      </c>
      <c r="C239" s="46">
        <f>CE_RegimeContributivo!B413</f>
        <v>0</v>
      </c>
      <c r="D239" s="46">
        <f>CE_RegimeContributivo!C413</f>
        <v>0</v>
      </c>
      <c r="E239" s="46">
        <f>CE_RegimeContributivo!E413</f>
        <v>0</v>
      </c>
      <c r="F239" s="46">
        <f>CE_RegimeContributivo!S413</f>
        <v>0</v>
      </c>
      <c r="G239" s="60" t="e">
        <f t="shared" si="166"/>
        <v>#DIV/0!</v>
      </c>
      <c r="H239" s="60" t="e">
        <f t="shared" si="167"/>
        <v>#DIV/0!</v>
      </c>
      <c r="I239" s="46">
        <f>CE_RegimeNaoContributivo!B413</f>
        <v>0</v>
      </c>
      <c r="J239" s="46">
        <f>CE_RegimeNaoContributivo!C413</f>
        <v>0</v>
      </c>
      <c r="K239" s="46">
        <f>CE_RegimeNaoContributivo!E413</f>
        <v>0</v>
      </c>
      <c r="L239" s="46">
        <f>CE_RegimeNaoContributivo!S413</f>
        <v>0</v>
      </c>
      <c r="M239" s="60" t="e">
        <f t="shared" si="168"/>
        <v>#DIV/0!</v>
      </c>
      <c r="N239" s="60" t="e">
        <f t="shared" si="169"/>
        <v>#DIV/0!</v>
      </c>
      <c r="O239" s="46">
        <f>CE_AdministraçãoINSS!B413</f>
        <v>0</v>
      </c>
      <c r="P239" s="46">
        <f>CE_AdministraçãoINSS!C413</f>
        <v>0</v>
      </c>
      <c r="Q239" s="46">
        <f>CE_AdministraçãoINSS!E413</f>
        <v>0</v>
      </c>
      <c r="R239" s="46">
        <f>CE_AdministraçãoINSS!S413</f>
        <v>0</v>
      </c>
      <c r="S239" s="60" t="e">
        <f t="shared" si="170"/>
        <v>#DIV/0!</v>
      </c>
      <c r="T239" s="60" t="e">
        <f t="shared" si="171"/>
        <v>#DIV/0!</v>
      </c>
      <c r="U239" s="46">
        <f t="shared" si="172"/>
        <v>0</v>
      </c>
      <c r="V239" s="46">
        <f t="shared" si="172"/>
        <v>0</v>
      </c>
      <c r="W239" s="46">
        <f t="shared" si="172"/>
        <v>0</v>
      </c>
      <c r="X239" s="46">
        <f t="shared" si="172"/>
        <v>0</v>
      </c>
      <c r="Y239" s="60" t="e">
        <f t="shared" si="173"/>
        <v>#DIV/0!</v>
      </c>
      <c r="Z239" s="60" t="e">
        <f t="shared" si="174"/>
        <v>#DIV/0!</v>
      </c>
      <c r="AA239" s="46">
        <f>CE_AdministraçãoFRSS!B413</f>
        <v>0</v>
      </c>
      <c r="AB239" s="46">
        <f>CE_AdministraçãoFRSS!C413</f>
        <v>0</v>
      </c>
      <c r="AC239" s="46">
        <f>CE_AdministraçãoFRSS!E413</f>
        <v>0</v>
      </c>
      <c r="AD239" s="46">
        <f>CE_AdministraçãoFRSS!S413</f>
        <v>0</v>
      </c>
      <c r="AE239" s="60" t="e">
        <f t="shared" si="175"/>
        <v>#DIV/0!</v>
      </c>
      <c r="AF239" s="60" t="e">
        <f t="shared" si="176"/>
        <v>#DIV/0!</v>
      </c>
      <c r="AG239" s="46">
        <f t="shared" si="177"/>
        <v>0</v>
      </c>
      <c r="AH239" s="46">
        <f t="shared" si="177"/>
        <v>0</v>
      </c>
      <c r="AI239" s="46">
        <f t="shared" si="177"/>
        <v>0</v>
      </c>
      <c r="AJ239" s="46">
        <f t="shared" si="177"/>
        <v>0</v>
      </c>
      <c r="AK239" s="60" t="e">
        <f t="shared" si="178"/>
        <v>#DIV/0!</v>
      </c>
      <c r="AL239" s="60" t="e">
        <f t="shared" si="179"/>
        <v>#DIV/0!</v>
      </c>
      <c r="AM239" s="46">
        <f t="shared" si="180"/>
        <v>0</v>
      </c>
      <c r="AN239" s="46">
        <f t="shared" si="180"/>
        <v>0</v>
      </c>
      <c r="AO239" s="46">
        <f t="shared" si="180"/>
        <v>0</v>
      </c>
      <c r="AP239" s="46">
        <f t="shared" si="180"/>
        <v>0</v>
      </c>
      <c r="AQ239" s="60" t="e">
        <f t="shared" si="181"/>
        <v>#DIV/0!</v>
      </c>
      <c r="AR239" s="60" t="e">
        <f t="shared" si="182"/>
        <v>#DIV/0!</v>
      </c>
      <c r="AT239" s="38"/>
      <c r="AU239" s="38"/>
      <c r="AV239" s="38"/>
      <c r="AW239" s="38"/>
      <c r="AY239" s="38"/>
      <c r="AZ239" s="38"/>
      <c r="BA239" s="38"/>
      <c r="BB239" s="38"/>
    </row>
    <row r="240" spans="1:58" x14ac:dyDescent="0.2">
      <c r="A240" s="45" t="str">
        <f>"503.11.05"</f>
        <v>503.11.05</v>
      </c>
      <c r="B240" s="47" t="s">
        <v>1024</v>
      </c>
      <c r="C240" s="46">
        <f>CE_RegimeContributivo!B414</f>
        <v>0</v>
      </c>
      <c r="D240" s="46">
        <f>CE_RegimeContributivo!C414</f>
        <v>0</v>
      </c>
      <c r="E240" s="46">
        <f>CE_RegimeContributivo!E414</f>
        <v>0</v>
      </c>
      <c r="F240" s="46">
        <f>CE_RegimeContributivo!S414</f>
        <v>0</v>
      </c>
      <c r="G240" s="60" t="e">
        <f t="shared" si="166"/>
        <v>#DIV/0!</v>
      </c>
      <c r="H240" s="60" t="e">
        <f t="shared" si="167"/>
        <v>#DIV/0!</v>
      </c>
      <c r="I240" s="46">
        <f>CE_RegimeNaoContributivo!B414</f>
        <v>0</v>
      </c>
      <c r="J240" s="46">
        <f>CE_RegimeNaoContributivo!C414</f>
        <v>0</v>
      </c>
      <c r="K240" s="46">
        <f>CE_RegimeNaoContributivo!E414</f>
        <v>0</v>
      </c>
      <c r="L240" s="46">
        <f>CE_RegimeNaoContributivo!S414</f>
        <v>0</v>
      </c>
      <c r="M240" s="60" t="e">
        <f t="shared" si="168"/>
        <v>#DIV/0!</v>
      </c>
      <c r="N240" s="60" t="e">
        <f t="shared" si="169"/>
        <v>#DIV/0!</v>
      </c>
      <c r="O240" s="46">
        <f>CE_AdministraçãoINSS!B414</f>
        <v>0</v>
      </c>
      <c r="P240" s="46">
        <f>CE_AdministraçãoINSS!C414</f>
        <v>0</v>
      </c>
      <c r="Q240" s="46">
        <f>CE_AdministraçãoINSS!E414</f>
        <v>0</v>
      </c>
      <c r="R240" s="46">
        <f>CE_AdministraçãoINSS!S414</f>
        <v>0</v>
      </c>
      <c r="S240" s="60" t="e">
        <f t="shared" si="170"/>
        <v>#DIV/0!</v>
      </c>
      <c r="T240" s="60" t="e">
        <f t="shared" si="171"/>
        <v>#DIV/0!</v>
      </c>
      <c r="U240" s="46">
        <f t="shared" si="172"/>
        <v>0</v>
      </c>
      <c r="V240" s="46">
        <f t="shared" si="172"/>
        <v>0</v>
      </c>
      <c r="W240" s="46">
        <f t="shared" si="172"/>
        <v>0</v>
      </c>
      <c r="X240" s="46">
        <f t="shared" si="172"/>
        <v>0</v>
      </c>
      <c r="Y240" s="60" t="e">
        <f t="shared" si="173"/>
        <v>#DIV/0!</v>
      </c>
      <c r="Z240" s="60" t="e">
        <f t="shared" si="174"/>
        <v>#DIV/0!</v>
      </c>
      <c r="AA240" s="46">
        <f>CE_AdministraçãoFRSS!B414</f>
        <v>0</v>
      </c>
      <c r="AB240" s="46">
        <f>CE_AdministraçãoFRSS!C414</f>
        <v>0</v>
      </c>
      <c r="AC240" s="46">
        <f>CE_AdministraçãoFRSS!E414</f>
        <v>0</v>
      </c>
      <c r="AD240" s="46">
        <f>CE_AdministraçãoFRSS!S414</f>
        <v>0</v>
      </c>
      <c r="AE240" s="60" t="e">
        <f t="shared" si="175"/>
        <v>#DIV/0!</v>
      </c>
      <c r="AF240" s="60" t="e">
        <f t="shared" si="176"/>
        <v>#DIV/0!</v>
      </c>
      <c r="AG240" s="46">
        <f t="shared" si="177"/>
        <v>0</v>
      </c>
      <c r="AH240" s="46">
        <f t="shared" si="177"/>
        <v>0</v>
      </c>
      <c r="AI240" s="46">
        <f t="shared" si="177"/>
        <v>0</v>
      </c>
      <c r="AJ240" s="46">
        <f t="shared" si="177"/>
        <v>0</v>
      </c>
      <c r="AK240" s="60" t="e">
        <f t="shared" si="178"/>
        <v>#DIV/0!</v>
      </c>
      <c r="AL240" s="60" t="e">
        <f t="shared" si="179"/>
        <v>#DIV/0!</v>
      </c>
      <c r="AM240" s="46">
        <f t="shared" si="180"/>
        <v>0</v>
      </c>
      <c r="AN240" s="46">
        <f t="shared" si="180"/>
        <v>0</v>
      </c>
      <c r="AO240" s="46">
        <f t="shared" si="180"/>
        <v>0</v>
      </c>
      <c r="AP240" s="46">
        <f t="shared" si="180"/>
        <v>0</v>
      </c>
      <c r="AQ240" s="60" t="e">
        <f t="shared" si="181"/>
        <v>#DIV/0!</v>
      </c>
      <c r="AR240" s="60" t="e">
        <f t="shared" si="182"/>
        <v>#DIV/0!</v>
      </c>
      <c r="AT240" s="38"/>
      <c r="AU240" s="38"/>
      <c r="AV240" s="38"/>
      <c r="AW240" s="38"/>
      <c r="AY240" s="38"/>
      <c r="AZ240" s="38"/>
      <c r="BA240" s="38"/>
      <c r="BB240" s="38"/>
    </row>
    <row r="241" spans="1:58" x14ac:dyDescent="0.2">
      <c r="A241" s="45" t="str">
        <f>"503.11.06"</f>
        <v>503.11.06</v>
      </c>
      <c r="B241" s="47" t="s">
        <v>774</v>
      </c>
      <c r="C241" s="46">
        <f>CE_RegimeContributivo!B415</f>
        <v>0</v>
      </c>
      <c r="D241" s="46">
        <f>CE_RegimeContributivo!C415</f>
        <v>0</v>
      </c>
      <c r="E241" s="46">
        <f>CE_RegimeContributivo!E415</f>
        <v>0</v>
      </c>
      <c r="F241" s="46">
        <f>CE_RegimeContributivo!S415</f>
        <v>0</v>
      </c>
      <c r="G241" s="60" t="e">
        <f t="shared" si="166"/>
        <v>#DIV/0!</v>
      </c>
      <c r="H241" s="60" t="e">
        <f t="shared" si="167"/>
        <v>#DIV/0!</v>
      </c>
      <c r="I241" s="46">
        <f>CE_RegimeNaoContributivo!B415</f>
        <v>0</v>
      </c>
      <c r="J241" s="46">
        <f>CE_RegimeNaoContributivo!C415</f>
        <v>0</v>
      </c>
      <c r="K241" s="46">
        <f>CE_RegimeNaoContributivo!E415</f>
        <v>0</v>
      </c>
      <c r="L241" s="46">
        <f>CE_RegimeNaoContributivo!S415</f>
        <v>0</v>
      </c>
      <c r="M241" s="60" t="e">
        <f t="shared" si="168"/>
        <v>#DIV/0!</v>
      </c>
      <c r="N241" s="60" t="e">
        <f t="shared" si="169"/>
        <v>#DIV/0!</v>
      </c>
      <c r="O241" s="46">
        <f>CE_AdministraçãoINSS!B415</f>
        <v>0</v>
      </c>
      <c r="P241" s="46">
        <f>CE_AdministraçãoINSS!C415</f>
        <v>0</v>
      </c>
      <c r="Q241" s="46">
        <f>CE_AdministraçãoINSS!E415</f>
        <v>0</v>
      </c>
      <c r="R241" s="46">
        <f>CE_AdministraçãoINSS!S415</f>
        <v>0</v>
      </c>
      <c r="S241" s="60" t="e">
        <f t="shared" si="170"/>
        <v>#DIV/0!</v>
      </c>
      <c r="T241" s="60" t="e">
        <f t="shared" si="171"/>
        <v>#DIV/0!</v>
      </c>
      <c r="U241" s="46">
        <f t="shared" si="172"/>
        <v>0</v>
      </c>
      <c r="V241" s="46">
        <f t="shared" si="172"/>
        <v>0</v>
      </c>
      <c r="W241" s="46">
        <f t="shared" si="172"/>
        <v>0</v>
      </c>
      <c r="X241" s="46">
        <f t="shared" si="172"/>
        <v>0</v>
      </c>
      <c r="Y241" s="60" t="e">
        <f t="shared" si="173"/>
        <v>#DIV/0!</v>
      </c>
      <c r="Z241" s="60" t="e">
        <f t="shared" si="174"/>
        <v>#DIV/0!</v>
      </c>
      <c r="AA241" s="46">
        <f>CE_AdministraçãoFRSS!B415</f>
        <v>0</v>
      </c>
      <c r="AB241" s="46">
        <f>CE_AdministraçãoFRSS!C415</f>
        <v>0</v>
      </c>
      <c r="AC241" s="46">
        <f>CE_AdministraçãoFRSS!E415</f>
        <v>0</v>
      </c>
      <c r="AD241" s="46">
        <f>CE_AdministraçãoFRSS!S415</f>
        <v>0</v>
      </c>
      <c r="AE241" s="60" t="e">
        <f t="shared" si="175"/>
        <v>#DIV/0!</v>
      </c>
      <c r="AF241" s="60" t="e">
        <f t="shared" si="176"/>
        <v>#DIV/0!</v>
      </c>
      <c r="AG241" s="46">
        <f t="shared" si="177"/>
        <v>0</v>
      </c>
      <c r="AH241" s="46">
        <f t="shared" si="177"/>
        <v>0</v>
      </c>
      <c r="AI241" s="46">
        <f t="shared" si="177"/>
        <v>0</v>
      </c>
      <c r="AJ241" s="46">
        <f t="shared" si="177"/>
        <v>0</v>
      </c>
      <c r="AK241" s="60" t="e">
        <f t="shared" si="178"/>
        <v>#DIV/0!</v>
      </c>
      <c r="AL241" s="60" t="e">
        <f t="shared" si="179"/>
        <v>#DIV/0!</v>
      </c>
      <c r="AM241" s="46">
        <f t="shared" si="180"/>
        <v>0</v>
      </c>
      <c r="AN241" s="46">
        <f t="shared" si="180"/>
        <v>0</v>
      </c>
      <c r="AO241" s="46">
        <f t="shared" si="180"/>
        <v>0</v>
      </c>
      <c r="AP241" s="46">
        <f t="shared" si="180"/>
        <v>0</v>
      </c>
      <c r="AQ241" s="60" t="e">
        <f t="shared" si="181"/>
        <v>#DIV/0!</v>
      </c>
      <c r="AR241" s="60" t="e">
        <f t="shared" si="182"/>
        <v>#DIV/0!</v>
      </c>
      <c r="AT241" s="38"/>
      <c r="AU241" s="38"/>
      <c r="AV241" s="38"/>
      <c r="AW241" s="38"/>
      <c r="AY241" s="38"/>
      <c r="AZ241" s="38"/>
      <c r="BA241" s="38"/>
      <c r="BB241" s="38"/>
    </row>
    <row r="242" spans="1:58" s="44" customFormat="1" x14ac:dyDescent="0.2">
      <c r="A242" s="41" t="str">
        <f>"503.12"</f>
        <v>503.12</v>
      </c>
      <c r="B242" s="42" t="s">
        <v>28</v>
      </c>
      <c r="C242" s="43">
        <f>C243+C244+C245</f>
        <v>0</v>
      </c>
      <c r="D242" s="43">
        <f>D243+D244+D245</f>
        <v>0</v>
      </c>
      <c r="E242" s="43">
        <f>E243+E244+E245</f>
        <v>0</v>
      </c>
      <c r="F242" s="43">
        <f t="shared" ref="F242" si="207">F243+F244+F245</f>
        <v>0</v>
      </c>
      <c r="G242" s="59" t="e">
        <f t="shared" si="166"/>
        <v>#DIV/0!</v>
      </c>
      <c r="H242" s="59" t="e">
        <f t="shared" si="167"/>
        <v>#DIV/0!</v>
      </c>
      <c r="I242" s="43">
        <f>I243+I244+I245</f>
        <v>0</v>
      </c>
      <c r="J242" s="43">
        <f>J243+J244+J245</f>
        <v>0</v>
      </c>
      <c r="K242" s="43">
        <f t="shared" ref="K242:L242" si="208">K243+K244+K245</f>
        <v>0</v>
      </c>
      <c r="L242" s="43">
        <f t="shared" si="208"/>
        <v>0</v>
      </c>
      <c r="M242" s="59" t="e">
        <f t="shared" si="168"/>
        <v>#DIV/0!</v>
      </c>
      <c r="N242" s="59" t="e">
        <f t="shared" si="169"/>
        <v>#DIV/0!</v>
      </c>
      <c r="O242" s="43">
        <f>O243+O244+O245</f>
        <v>0</v>
      </c>
      <c r="P242" s="43">
        <f>P243+P244+P245</f>
        <v>0</v>
      </c>
      <c r="Q242" s="43">
        <f t="shared" ref="Q242:R242" si="209">Q243+Q244+Q245</f>
        <v>0</v>
      </c>
      <c r="R242" s="43">
        <f t="shared" si="209"/>
        <v>0</v>
      </c>
      <c r="S242" s="59" t="e">
        <f t="shared" si="170"/>
        <v>#DIV/0!</v>
      </c>
      <c r="T242" s="59" t="e">
        <f t="shared" si="171"/>
        <v>#DIV/0!</v>
      </c>
      <c r="U242" s="43">
        <f t="shared" si="172"/>
        <v>0</v>
      </c>
      <c r="V242" s="43">
        <f t="shared" si="172"/>
        <v>0</v>
      </c>
      <c r="W242" s="43">
        <f t="shared" si="172"/>
        <v>0</v>
      </c>
      <c r="X242" s="43">
        <f t="shared" si="172"/>
        <v>0</v>
      </c>
      <c r="Y242" s="59" t="e">
        <f t="shared" si="173"/>
        <v>#DIV/0!</v>
      </c>
      <c r="Z242" s="59" t="e">
        <f t="shared" si="174"/>
        <v>#DIV/0!</v>
      </c>
      <c r="AA242" s="43">
        <f>AA243+AA244+AA245</f>
        <v>0</v>
      </c>
      <c r="AB242" s="43">
        <f>AB243+AB244+AB245</f>
        <v>0</v>
      </c>
      <c r="AC242" s="43">
        <f t="shared" ref="AC242:AD242" si="210">AC243+AC244+AC245</f>
        <v>0</v>
      </c>
      <c r="AD242" s="43">
        <f t="shared" si="210"/>
        <v>0</v>
      </c>
      <c r="AE242" s="59" t="e">
        <f t="shared" si="175"/>
        <v>#DIV/0!</v>
      </c>
      <c r="AF242" s="59" t="e">
        <f t="shared" si="176"/>
        <v>#DIV/0!</v>
      </c>
      <c r="AG242" s="43">
        <f t="shared" si="177"/>
        <v>0</v>
      </c>
      <c r="AH242" s="43">
        <f t="shared" si="177"/>
        <v>0</v>
      </c>
      <c r="AI242" s="43">
        <f t="shared" si="177"/>
        <v>0</v>
      </c>
      <c r="AJ242" s="43">
        <f t="shared" si="177"/>
        <v>0</v>
      </c>
      <c r="AK242" s="59" t="e">
        <f t="shared" si="178"/>
        <v>#DIV/0!</v>
      </c>
      <c r="AL242" s="59" t="e">
        <f t="shared" si="179"/>
        <v>#DIV/0!</v>
      </c>
      <c r="AM242" s="43">
        <f t="shared" si="180"/>
        <v>0</v>
      </c>
      <c r="AN242" s="43">
        <f t="shared" si="180"/>
        <v>0</v>
      </c>
      <c r="AO242" s="43">
        <f t="shared" si="180"/>
        <v>0</v>
      </c>
      <c r="AP242" s="43">
        <f t="shared" si="180"/>
        <v>0</v>
      </c>
      <c r="AQ242" s="59" t="e">
        <f t="shared" si="181"/>
        <v>#DIV/0!</v>
      </c>
      <c r="AR242" s="59" t="e">
        <f t="shared" si="182"/>
        <v>#DIV/0!</v>
      </c>
      <c r="AT242" s="38"/>
      <c r="AU242" s="38"/>
      <c r="AV242" s="38"/>
      <c r="AW242" s="38"/>
      <c r="AY242" s="38"/>
      <c r="AZ242" s="38"/>
      <c r="BA242" s="38"/>
      <c r="BB242" s="38"/>
      <c r="BC242" s="36"/>
      <c r="BD242" s="36"/>
      <c r="BE242" s="36"/>
      <c r="BF242" s="36"/>
    </row>
    <row r="243" spans="1:58" x14ac:dyDescent="0.2">
      <c r="A243" s="45" t="str">
        <f>"503.12.01"</f>
        <v>503.12.01</v>
      </c>
      <c r="B243" s="47" t="s">
        <v>1025</v>
      </c>
      <c r="C243" s="46">
        <f>CE_RegimeContributivo!B417</f>
        <v>0</v>
      </c>
      <c r="D243" s="46">
        <f>CE_RegimeContributivo!C417</f>
        <v>0</v>
      </c>
      <c r="E243" s="46">
        <f>CE_RegimeContributivo!E417</f>
        <v>0</v>
      </c>
      <c r="F243" s="46">
        <f>CE_RegimeContributivo!S417</f>
        <v>0</v>
      </c>
      <c r="G243" s="60" t="e">
        <f t="shared" si="166"/>
        <v>#DIV/0!</v>
      </c>
      <c r="H243" s="60" t="e">
        <f t="shared" si="167"/>
        <v>#DIV/0!</v>
      </c>
      <c r="I243" s="46">
        <f>CE_RegimeNaoContributivo!B417</f>
        <v>0</v>
      </c>
      <c r="J243" s="46">
        <f>CE_RegimeNaoContributivo!C417</f>
        <v>0</v>
      </c>
      <c r="K243" s="46">
        <f>CE_RegimeNaoContributivo!E417</f>
        <v>0</v>
      </c>
      <c r="L243" s="46">
        <f>CE_RegimeNaoContributivo!S417</f>
        <v>0</v>
      </c>
      <c r="M243" s="60" t="e">
        <f t="shared" si="168"/>
        <v>#DIV/0!</v>
      </c>
      <c r="N243" s="60" t="e">
        <f t="shared" si="169"/>
        <v>#DIV/0!</v>
      </c>
      <c r="O243" s="46">
        <f>CE_AdministraçãoINSS!B417</f>
        <v>0</v>
      </c>
      <c r="P243" s="46">
        <f>CE_AdministraçãoINSS!C417</f>
        <v>0</v>
      </c>
      <c r="Q243" s="46">
        <f>CE_AdministraçãoINSS!E417</f>
        <v>0</v>
      </c>
      <c r="R243" s="46">
        <f>CE_AdministraçãoINSS!S417</f>
        <v>0</v>
      </c>
      <c r="S243" s="60" t="e">
        <f t="shared" si="170"/>
        <v>#DIV/0!</v>
      </c>
      <c r="T243" s="60" t="e">
        <f t="shared" si="171"/>
        <v>#DIV/0!</v>
      </c>
      <c r="U243" s="46">
        <f t="shared" si="172"/>
        <v>0</v>
      </c>
      <c r="V243" s="46">
        <f t="shared" si="172"/>
        <v>0</v>
      </c>
      <c r="W243" s="46">
        <f t="shared" si="172"/>
        <v>0</v>
      </c>
      <c r="X243" s="46">
        <f t="shared" si="172"/>
        <v>0</v>
      </c>
      <c r="Y243" s="60" t="e">
        <f t="shared" si="173"/>
        <v>#DIV/0!</v>
      </c>
      <c r="Z243" s="60" t="e">
        <f t="shared" si="174"/>
        <v>#DIV/0!</v>
      </c>
      <c r="AA243" s="46">
        <f>CE_AdministraçãoFRSS!B417</f>
        <v>0</v>
      </c>
      <c r="AB243" s="46">
        <f>CE_AdministraçãoFRSS!C417</f>
        <v>0</v>
      </c>
      <c r="AC243" s="46">
        <f>CE_AdministraçãoFRSS!E417</f>
        <v>0</v>
      </c>
      <c r="AD243" s="46">
        <f>CE_AdministraçãoFRSS!S417</f>
        <v>0</v>
      </c>
      <c r="AE243" s="60" t="e">
        <f t="shared" si="175"/>
        <v>#DIV/0!</v>
      </c>
      <c r="AF243" s="60" t="e">
        <f t="shared" si="176"/>
        <v>#DIV/0!</v>
      </c>
      <c r="AG243" s="46">
        <f t="shared" si="177"/>
        <v>0</v>
      </c>
      <c r="AH243" s="46">
        <f t="shared" si="177"/>
        <v>0</v>
      </c>
      <c r="AI243" s="46">
        <f t="shared" si="177"/>
        <v>0</v>
      </c>
      <c r="AJ243" s="46">
        <f t="shared" si="177"/>
        <v>0</v>
      </c>
      <c r="AK243" s="60" t="e">
        <f t="shared" si="178"/>
        <v>#DIV/0!</v>
      </c>
      <c r="AL243" s="60" t="e">
        <f t="shared" si="179"/>
        <v>#DIV/0!</v>
      </c>
      <c r="AM243" s="46">
        <f t="shared" si="180"/>
        <v>0</v>
      </c>
      <c r="AN243" s="46">
        <f t="shared" si="180"/>
        <v>0</v>
      </c>
      <c r="AO243" s="46">
        <f t="shared" si="180"/>
        <v>0</v>
      </c>
      <c r="AP243" s="46">
        <f t="shared" si="180"/>
        <v>0</v>
      </c>
      <c r="AQ243" s="60" t="e">
        <f t="shared" si="181"/>
        <v>#DIV/0!</v>
      </c>
      <c r="AR243" s="60" t="e">
        <f t="shared" si="182"/>
        <v>#DIV/0!</v>
      </c>
      <c r="AT243" s="38"/>
      <c r="AU243" s="38"/>
      <c r="AV243" s="38"/>
      <c r="AW243" s="38"/>
      <c r="AY243" s="38"/>
      <c r="AZ243" s="38"/>
      <c r="BA243" s="38"/>
      <c r="BB243" s="38"/>
    </row>
    <row r="244" spans="1:58" x14ac:dyDescent="0.2">
      <c r="A244" s="45" t="str">
        <f>"503.12.02"</f>
        <v>503.12.02</v>
      </c>
      <c r="B244" s="47" t="s">
        <v>143</v>
      </c>
      <c r="C244" s="46">
        <f>CE_RegimeContributivo!B418</f>
        <v>0</v>
      </c>
      <c r="D244" s="46">
        <f>CE_RegimeContributivo!C418</f>
        <v>0</v>
      </c>
      <c r="E244" s="46">
        <f>CE_RegimeContributivo!E418</f>
        <v>0</v>
      </c>
      <c r="F244" s="46">
        <f>CE_RegimeContributivo!S418</f>
        <v>0</v>
      </c>
      <c r="G244" s="60" t="e">
        <f t="shared" si="166"/>
        <v>#DIV/0!</v>
      </c>
      <c r="H244" s="60" t="e">
        <f t="shared" si="167"/>
        <v>#DIV/0!</v>
      </c>
      <c r="I244" s="46">
        <f>CE_RegimeNaoContributivo!B418</f>
        <v>0</v>
      </c>
      <c r="J244" s="46">
        <f>CE_RegimeNaoContributivo!C418</f>
        <v>0</v>
      </c>
      <c r="K244" s="46">
        <f>CE_RegimeNaoContributivo!E418</f>
        <v>0</v>
      </c>
      <c r="L244" s="46">
        <f>CE_RegimeNaoContributivo!S418</f>
        <v>0</v>
      </c>
      <c r="M244" s="60" t="e">
        <f t="shared" si="168"/>
        <v>#DIV/0!</v>
      </c>
      <c r="N244" s="60" t="e">
        <f t="shared" si="169"/>
        <v>#DIV/0!</v>
      </c>
      <c r="O244" s="46">
        <f>CE_AdministraçãoINSS!B418</f>
        <v>0</v>
      </c>
      <c r="P244" s="46">
        <f>CE_AdministraçãoINSS!C418</f>
        <v>0</v>
      </c>
      <c r="Q244" s="46">
        <f>CE_AdministraçãoINSS!E418</f>
        <v>0</v>
      </c>
      <c r="R244" s="46">
        <f>CE_AdministraçãoINSS!S418</f>
        <v>0</v>
      </c>
      <c r="S244" s="60" t="e">
        <f t="shared" si="170"/>
        <v>#DIV/0!</v>
      </c>
      <c r="T244" s="60" t="e">
        <f t="shared" si="171"/>
        <v>#DIV/0!</v>
      </c>
      <c r="U244" s="46">
        <f t="shared" si="172"/>
        <v>0</v>
      </c>
      <c r="V244" s="46">
        <f t="shared" si="172"/>
        <v>0</v>
      </c>
      <c r="W244" s="46">
        <f t="shared" si="172"/>
        <v>0</v>
      </c>
      <c r="X244" s="46">
        <f t="shared" si="172"/>
        <v>0</v>
      </c>
      <c r="Y244" s="60" t="e">
        <f t="shared" si="173"/>
        <v>#DIV/0!</v>
      </c>
      <c r="Z244" s="60" t="e">
        <f t="shared" si="174"/>
        <v>#DIV/0!</v>
      </c>
      <c r="AA244" s="46">
        <f>CE_AdministraçãoFRSS!B418</f>
        <v>0</v>
      </c>
      <c r="AB244" s="46">
        <f>CE_AdministraçãoFRSS!C418</f>
        <v>0</v>
      </c>
      <c r="AC244" s="46">
        <f>CE_AdministraçãoFRSS!E418</f>
        <v>0</v>
      </c>
      <c r="AD244" s="46">
        <f>CE_AdministraçãoFRSS!S418</f>
        <v>0</v>
      </c>
      <c r="AE244" s="60" t="e">
        <f t="shared" si="175"/>
        <v>#DIV/0!</v>
      </c>
      <c r="AF244" s="60" t="e">
        <f t="shared" si="176"/>
        <v>#DIV/0!</v>
      </c>
      <c r="AG244" s="46">
        <f t="shared" si="177"/>
        <v>0</v>
      </c>
      <c r="AH244" s="46">
        <f t="shared" si="177"/>
        <v>0</v>
      </c>
      <c r="AI244" s="46">
        <f t="shared" si="177"/>
        <v>0</v>
      </c>
      <c r="AJ244" s="46">
        <f t="shared" si="177"/>
        <v>0</v>
      </c>
      <c r="AK244" s="60" t="e">
        <f t="shared" si="178"/>
        <v>#DIV/0!</v>
      </c>
      <c r="AL244" s="60" t="e">
        <f t="shared" si="179"/>
        <v>#DIV/0!</v>
      </c>
      <c r="AM244" s="46">
        <f t="shared" si="180"/>
        <v>0</v>
      </c>
      <c r="AN244" s="46">
        <f t="shared" si="180"/>
        <v>0</v>
      </c>
      <c r="AO244" s="46">
        <f t="shared" si="180"/>
        <v>0</v>
      </c>
      <c r="AP244" s="46">
        <f t="shared" si="180"/>
        <v>0</v>
      </c>
      <c r="AQ244" s="60" t="e">
        <f t="shared" si="181"/>
        <v>#DIV/0!</v>
      </c>
      <c r="AR244" s="60" t="e">
        <f t="shared" si="182"/>
        <v>#DIV/0!</v>
      </c>
      <c r="AT244" s="38"/>
      <c r="AU244" s="38"/>
      <c r="AV244" s="38"/>
      <c r="AW244" s="38"/>
      <c r="AY244" s="38"/>
      <c r="AZ244" s="38"/>
      <c r="BA244" s="38"/>
      <c r="BB244" s="38"/>
    </row>
    <row r="245" spans="1:58" x14ac:dyDescent="0.2">
      <c r="A245" s="45" t="str">
        <f>"503.12.03"</f>
        <v>503.12.03</v>
      </c>
      <c r="B245" s="47" t="s">
        <v>819</v>
      </c>
      <c r="C245" s="46">
        <f>CE_RegimeContributivo!B419</f>
        <v>0</v>
      </c>
      <c r="D245" s="46">
        <f>CE_RegimeContributivo!C419</f>
        <v>0</v>
      </c>
      <c r="E245" s="46">
        <f>CE_RegimeContributivo!E419</f>
        <v>0</v>
      </c>
      <c r="F245" s="46">
        <f>CE_RegimeContributivo!S419</f>
        <v>0</v>
      </c>
      <c r="G245" s="60" t="e">
        <f t="shared" si="166"/>
        <v>#DIV/0!</v>
      </c>
      <c r="H245" s="60" t="e">
        <f t="shared" si="167"/>
        <v>#DIV/0!</v>
      </c>
      <c r="I245" s="46">
        <f>CE_RegimeNaoContributivo!B419</f>
        <v>0</v>
      </c>
      <c r="J245" s="46">
        <f>CE_RegimeNaoContributivo!C419</f>
        <v>0</v>
      </c>
      <c r="K245" s="46">
        <f>CE_RegimeNaoContributivo!E419</f>
        <v>0</v>
      </c>
      <c r="L245" s="46">
        <f>CE_RegimeNaoContributivo!S419</f>
        <v>0</v>
      </c>
      <c r="M245" s="60" t="e">
        <f t="shared" si="168"/>
        <v>#DIV/0!</v>
      </c>
      <c r="N245" s="60" t="e">
        <f t="shared" si="169"/>
        <v>#DIV/0!</v>
      </c>
      <c r="O245" s="46">
        <f>CE_AdministraçãoINSS!B419</f>
        <v>0</v>
      </c>
      <c r="P245" s="46">
        <f>CE_AdministraçãoINSS!C419</f>
        <v>0</v>
      </c>
      <c r="Q245" s="46">
        <f>CE_AdministraçãoINSS!E419</f>
        <v>0</v>
      </c>
      <c r="R245" s="46">
        <f>CE_AdministraçãoINSS!S419</f>
        <v>0</v>
      </c>
      <c r="S245" s="60" t="e">
        <f t="shared" si="170"/>
        <v>#DIV/0!</v>
      </c>
      <c r="T245" s="60" t="e">
        <f t="shared" si="171"/>
        <v>#DIV/0!</v>
      </c>
      <c r="U245" s="46">
        <f t="shared" si="172"/>
        <v>0</v>
      </c>
      <c r="V245" s="46">
        <f t="shared" si="172"/>
        <v>0</v>
      </c>
      <c r="W245" s="46">
        <f t="shared" si="172"/>
        <v>0</v>
      </c>
      <c r="X245" s="46">
        <f t="shared" si="172"/>
        <v>0</v>
      </c>
      <c r="Y245" s="60" t="e">
        <f t="shared" si="173"/>
        <v>#DIV/0!</v>
      </c>
      <c r="Z245" s="60" t="e">
        <f t="shared" si="174"/>
        <v>#DIV/0!</v>
      </c>
      <c r="AA245" s="46">
        <f>CE_AdministraçãoFRSS!B419</f>
        <v>0</v>
      </c>
      <c r="AB245" s="46">
        <f>CE_AdministraçãoFRSS!C419</f>
        <v>0</v>
      </c>
      <c r="AC245" s="46">
        <f>CE_AdministraçãoFRSS!E419</f>
        <v>0</v>
      </c>
      <c r="AD245" s="46">
        <f>CE_AdministraçãoFRSS!S419</f>
        <v>0</v>
      </c>
      <c r="AE245" s="60" t="e">
        <f t="shared" si="175"/>
        <v>#DIV/0!</v>
      </c>
      <c r="AF245" s="60" t="e">
        <f t="shared" si="176"/>
        <v>#DIV/0!</v>
      </c>
      <c r="AG245" s="46">
        <f t="shared" si="177"/>
        <v>0</v>
      </c>
      <c r="AH245" s="46">
        <f t="shared" si="177"/>
        <v>0</v>
      </c>
      <c r="AI245" s="46">
        <f t="shared" si="177"/>
        <v>0</v>
      </c>
      <c r="AJ245" s="46">
        <f t="shared" si="177"/>
        <v>0</v>
      </c>
      <c r="AK245" s="60" t="e">
        <f t="shared" si="178"/>
        <v>#DIV/0!</v>
      </c>
      <c r="AL245" s="60" t="e">
        <f t="shared" si="179"/>
        <v>#DIV/0!</v>
      </c>
      <c r="AM245" s="46">
        <f t="shared" si="180"/>
        <v>0</v>
      </c>
      <c r="AN245" s="46">
        <f t="shared" si="180"/>
        <v>0</v>
      </c>
      <c r="AO245" s="46">
        <f t="shared" si="180"/>
        <v>0</v>
      </c>
      <c r="AP245" s="46">
        <f t="shared" si="180"/>
        <v>0</v>
      </c>
      <c r="AQ245" s="60" t="e">
        <f t="shared" si="181"/>
        <v>#DIV/0!</v>
      </c>
      <c r="AR245" s="60" t="e">
        <f t="shared" si="182"/>
        <v>#DIV/0!</v>
      </c>
      <c r="AT245" s="38"/>
      <c r="AU245" s="38"/>
      <c r="AV245" s="38"/>
      <c r="AW245" s="38"/>
      <c r="AY245" s="38"/>
      <c r="AZ245" s="38"/>
      <c r="BA245" s="38"/>
      <c r="BB245" s="38"/>
    </row>
    <row r="246" spans="1:58" x14ac:dyDescent="0.2">
      <c r="A246" s="41" t="str">
        <f>"503.13"</f>
        <v>503.13</v>
      </c>
      <c r="B246" s="42" t="s">
        <v>29</v>
      </c>
      <c r="C246" s="43">
        <f>SUM(C247:C252)</f>
        <v>0</v>
      </c>
      <c r="D246" s="43">
        <f>SUM(D247:D252)</f>
        <v>0</v>
      </c>
      <c r="E246" s="43">
        <f>SUM(E247:E252)</f>
        <v>0</v>
      </c>
      <c r="F246" s="43">
        <f t="shared" ref="F246" si="211">SUM(F247:F252)</f>
        <v>0</v>
      </c>
      <c r="G246" s="59" t="e">
        <f t="shared" si="166"/>
        <v>#DIV/0!</v>
      </c>
      <c r="H246" s="59" t="e">
        <f t="shared" si="167"/>
        <v>#DIV/0!</v>
      </c>
      <c r="I246" s="43">
        <f>SUM(I247:I252)</f>
        <v>0</v>
      </c>
      <c r="J246" s="43">
        <f>SUM(J247:J252)</f>
        <v>0</v>
      </c>
      <c r="K246" s="43">
        <f t="shared" ref="K246:L246" si="212">SUM(K247:K252)</f>
        <v>0</v>
      </c>
      <c r="L246" s="43">
        <f t="shared" si="212"/>
        <v>0</v>
      </c>
      <c r="M246" s="59" t="e">
        <f t="shared" si="168"/>
        <v>#DIV/0!</v>
      </c>
      <c r="N246" s="59" t="e">
        <f t="shared" si="169"/>
        <v>#DIV/0!</v>
      </c>
      <c r="O246" s="43">
        <f>SUM(O247:O252)</f>
        <v>0</v>
      </c>
      <c r="P246" s="43">
        <f>SUM(P247:P252)</f>
        <v>0</v>
      </c>
      <c r="Q246" s="43">
        <f t="shared" ref="Q246:R246" si="213">SUM(Q247:Q252)</f>
        <v>0</v>
      </c>
      <c r="R246" s="43">
        <f t="shared" si="213"/>
        <v>0</v>
      </c>
      <c r="S246" s="59" t="e">
        <f t="shared" si="170"/>
        <v>#DIV/0!</v>
      </c>
      <c r="T246" s="59" t="e">
        <f t="shared" si="171"/>
        <v>#DIV/0!</v>
      </c>
      <c r="U246" s="43">
        <f t="shared" si="172"/>
        <v>0</v>
      </c>
      <c r="V246" s="43">
        <f t="shared" si="172"/>
        <v>0</v>
      </c>
      <c r="W246" s="43">
        <f t="shared" si="172"/>
        <v>0</v>
      </c>
      <c r="X246" s="43">
        <f t="shared" si="172"/>
        <v>0</v>
      </c>
      <c r="Y246" s="59" t="e">
        <f t="shared" si="173"/>
        <v>#DIV/0!</v>
      </c>
      <c r="Z246" s="59" t="e">
        <f t="shared" si="174"/>
        <v>#DIV/0!</v>
      </c>
      <c r="AA246" s="43">
        <f>SUM(AA247:AA252)</f>
        <v>0</v>
      </c>
      <c r="AB246" s="43">
        <f>SUM(AB247:AB252)</f>
        <v>0</v>
      </c>
      <c r="AC246" s="43">
        <f t="shared" ref="AC246:AD246" si="214">SUM(AC247:AC252)</f>
        <v>0</v>
      </c>
      <c r="AD246" s="43">
        <f t="shared" si="214"/>
        <v>0</v>
      </c>
      <c r="AE246" s="59" t="e">
        <f t="shared" si="175"/>
        <v>#DIV/0!</v>
      </c>
      <c r="AF246" s="59" t="e">
        <f t="shared" si="176"/>
        <v>#DIV/0!</v>
      </c>
      <c r="AG246" s="43">
        <f t="shared" si="177"/>
        <v>0</v>
      </c>
      <c r="AH246" s="43">
        <f t="shared" si="177"/>
        <v>0</v>
      </c>
      <c r="AI246" s="43">
        <f t="shared" si="177"/>
        <v>0</v>
      </c>
      <c r="AJ246" s="43">
        <f t="shared" si="177"/>
        <v>0</v>
      </c>
      <c r="AK246" s="59" t="e">
        <f t="shared" si="178"/>
        <v>#DIV/0!</v>
      </c>
      <c r="AL246" s="59" t="e">
        <f t="shared" si="179"/>
        <v>#DIV/0!</v>
      </c>
      <c r="AM246" s="43">
        <f t="shared" si="180"/>
        <v>0</v>
      </c>
      <c r="AN246" s="43">
        <f t="shared" si="180"/>
        <v>0</v>
      </c>
      <c r="AO246" s="43">
        <f t="shared" si="180"/>
        <v>0</v>
      </c>
      <c r="AP246" s="43">
        <f t="shared" si="180"/>
        <v>0</v>
      </c>
      <c r="AQ246" s="59" t="e">
        <f t="shared" si="181"/>
        <v>#DIV/0!</v>
      </c>
      <c r="AR246" s="59" t="e">
        <f t="shared" si="182"/>
        <v>#DIV/0!</v>
      </c>
      <c r="AT246" s="38"/>
      <c r="AU246" s="38"/>
      <c r="AV246" s="38"/>
      <c r="AW246" s="38"/>
      <c r="AY246" s="38"/>
      <c r="AZ246" s="38"/>
      <c r="BA246" s="38"/>
      <c r="BB246" s="38"/>
    </row>
    <row r="247" spans="1:58" x14ac:dyDescent="0.2">
      <c r="A247" s="45" t="str">
        <f>"503.13.01"</f>
        <v>503.13.01</v>
      </c>
      <c r="B247" s="47" t="s">
        <v>1026</v>
      </c>
      <c r="C247" s="46">
        <f>CE_RegimeContributivo!B421</f>
        <v>0</v>
      </c>
      <c r="D247" s="46">
        <f>CE_RegimeContributivo!C421</f>
        <v>0</v>
      </c>
      <c r="E247" s="46">
        <f>CE_RegimeContributivo!E421</f>
        <v>0</v>
      </c>
      <c r="F247" s="46">
        <f>CE_RegimeContributivo!S421</f>
        <v>0</v>
      </c>
      <c r="G247" s="60" t="e">
        <f t="shared" si="166"/>
        <v>#DIV/0!</v>
      </c>
      <c r="H247" s="60" t="e">
        <f t="shared" si="167"/>
        <v>#DIV/0!</v>
      </c>
      <c r="I247" s="46">
        <f>CE_RegimeNaoContributivo!B421</f>
        <v>0</v>
      </c>
      <c r="J247" s="46">
        <f>CE_RegimeNaoContributivo!C421</f>
        <v>0</v>
      </c>
      <c r="K247" s="46">
        <f>CE_RegimeNaoContributivo!E421</f>
        <v>0</v>
      </c>
      <c r="L247" s="46">
        <f>CE_RegimeNaoContributivo!S421</f>
        <v>0</v>
      </c>
      <c r="M247" s="60" t="e">
        <f t="shared" si="168"/>
        <v>#DIV/0!</v>
      </c>
      <c r="N247" s="60" t="e">
        <f t="shared" si="169"/>
        <v>#DIV/0!</v>
      </c>
      <c r="O247" s="46">
        <f>CE_AdministraçãoINSS!B421</f>
        <v>0</v>
      </c>
      <c r="P247" s="46">
        <f>CE_AdministraçãoINSS!C421</f>
        <v>0</v>
      </c>
      <c r="Q247" s="46">
        <f>CE_AdministraçãoINSS!E421</f>
        <v>0</v>
      </c>
      <c r="R247" s="46">
        <f>CE_AdministraçãoINSS!S421</f>
        <v>0</v>
      </c>
      <c r="S247" s="60" t="e">
        <f t="shared" si="170"/>
        <v>#DIV/0!</v>
      </c>
      <c r="T247" s="60" t="e">
        <f t="shared" si="171"/>
        <v>#DIV/0!</v>
      </c>
      <c r="U247" s="46">
        <f t="shared" si="172"/>
        <v>0</v>
      </c>
      <c r="V247" s="46">
        <f t="shared" si="172"/>
        <v>0</v>
      </c>
      <c r="W247" s="46">
        <f t="shared" si="172"/>
        <v>0</v>
      </c>
      <c r="X247" s="46">
        <f t="shared" si="172"/>
        <v>0</v>
      </c>
      <c r="Y247" s="60" t="e">
        <f t="shared" si="173"/>
        <v>#DIV/0!</v>
      </c>
      <c r="Z247" s="60" t="e">
        <f t="shared" si="174"/>
        <v>#DIV/0!</v>
      </c>
      <c r="AA247" s="46">
        <f>CE_AdministraçãoFRSS!B421</f>
        <v>0</v>
      </c>
      <c r="AB247" s="46">
        <f>CE_AdministraçãoFRSS!C421</f>
        <v>0</v>
      </c>
      <c r="AC247" s="46">
        <f>CE_AdministraçãoFRSS!E421</f>
        <v>0</v>
      </c>
      <c r="AD247" s="46">
        <f>CE_AdministraçãoFRSS!S421</f>
        <v>0</v>
      </c>
      <c r="AE247" s="60" t="e">
        <f t="shared" si="175"/>
        <v>#DIV/0!</v>
      </c>
      <c r="AF247" s="60" t="e">
        <f t="shared" si="176"/>
        <v>#DIV/0!</v>
      </c>
      <c r="AG247" s="46">
        <f t="shared" si="177"/>
        <v>0</v>
      </c>
      <c r="AH247" s="46">
        <f t="shared" si="177"/>
        <v>0</v>
      </c>
      <c r="AI247" s="46">
        <f t="shared" si="177"/>
        <v>0</v>
      </c>
      <c r="AJ247" s="46">
        <f t="shared" si="177"/>
        <v>0</v>
      </c>
      <c r="AK247" s="60" t="e">
        <f t="shared" si="178"/>
        <v>#DIV/0!</v>
      </c>
      <c r="AL247" s="60" t="e">
        <f t="shared" si="179"/>
        <v>#DIV/0!</v>
      </c>
      <c r="AM247" s="46">
        <f t="shared" si="180"/>
        <v>0</v>
      </c>
      <c r="AN247" s="46">
        <f t="shared" si="180"/>
        <v>0</v>
      </c>
      <c r="AO247" s="46">
        <f t="shared" si="180"/>
        <v>0</v>
      </c>
      <c r="AP247" s="46">
        <f t="shared" si="180"/>
        <v>0</v>
      </c>
      <c r="AQ247" s="60" t="e">
        <f t="shared" si="181"/>
        <v>#DIV/0!</v>
      </c>
      <c r="AR247" s="60" t="e">
        <f t="shared" si="182"/>
        <v>#DIV/0!</v>
      </c>
      <c r="AT247" s="38"/>
      <c r="AU247" s="38"/>
      <c r="AV247" s="38"/>
      <c r="AW247" s="38"/>
      <c r="AY247" s="38"/>
      <c r="AZ247" s="38"/>
      <c r="BA247" s="38"/>
      <c r="BB247" s="38"/>
    </row>
    <row r="248" spans="1:58" x14ac:dyDescent="0.2">
      <c r="A248" s="45" t="str">
        <f>"503.13.02"</f>
        <v>503.13.02</v>
      </c>
      <c r="B248" s="47" t="s">
        <v>1027</v>
      </c>
      <c r="C248" s="46">
        <f>CE_RegimeContributivo!B422</f>
        <v>0</v>
      </c>
      <c r="D248" s="46">
        <f>CE_RegimeContributivo!C422</f>
        <v>0</v>
      </c>
      <c r="E248" s="46">
        <f>CE_RegimeContributivo!E422</f>
        <v>0</v>
      </c>
      <c r="F248" s="46">
        <f>CE_RegimeContributivo!S422</f>
        <v>0</v>
      </c>
      <c r="G248" s="60" t="e">
        <f t="shared" si="166"/>
        <v>#DIV/0!</v>
      </c>
      <c r="H248" s="60" t="e">
        <f t="shared" si="167"/>
        <v>#DIV/0!</v>
      </c>
      <c r="I248" s="46">
        <f>CE_RegimeNaoContributivo!B422</f>
        <v>0</v>
      </c>
      <c r="J248" s="46">
        <f>CE_RegimeNaoContributivo!C422</f>
        <v>0</v>
      </c>
      <c r="K248" s="46">
        <f>CE_RegimeNaoContributivo!E422</f>
        <v>0</v>
      </c>
      <c r="L248" s="46">
        <f>CE_RegimeNaoContributivo!S422</f>
        <v>0</v>
      </c>
      <c r="M248" s="60" t="e">
        <f t="shared" si="168"/>
        <v>#DIV/0!</v>
      </c>
      <c r="N248" s="60" t="e">
        <f t="shared" si="169"/>
        <v>#DIV/0!</v>
      </c>
      <c r="O248" s="46">
        <f>CE_AdministraçãoINSS!B422</f>
        <v>0</v>
      </c>
      <c r="P248" s="46">
        <f>CE_AdministraçãoINSS!C422</f>
        <v>0</v>
      </c>
      <c r="Q248" s="46">
        <f>CE_AdministraçãoINSS!E422</f>
        <v>0</v>
      </c>
      <c r="R248" s="46">
        <f>CE_AdministraçãoINSS!S422</f>
        <v>0</v>
      </c>
      <c r="S248" s="60" t="e">
        <f t="shared" si="170"/>
        <v>#DIV/0!</v>
      </c>
      <c r="T248" s="60" t="e">
        <f t="shared" si="171"/>
        <v>#DIV/0!</v>
      </c>
      <c r="U248" s="46">
        <f t="shared" si="172"/>
        <v>0</v>
      </c>
      <c r="V248" s="46">
        <f t="shared" si="172"/>
        <v>0</v>
      </c>
      <c r="W248" s="46">
        <f t="shared" si="172"/>
        <v>0</v>
      </c>
      <c r="X248" s="46">
        <f t="shared" si="172"/>
        <v>0</v>
      </c>
      <c r="Y248" s="60" t="e">
        <f t="shared" si="173"/>
        <v>#DIV/0!</v>
      </c>
      <c r="Z248" s="60" t="e">
        <f t="shared" si="174"/>
        <v>#DIV/0!</v>
      </c>
      <c r="AA248" s="46">
        <f>CE_AdministraçãoFRSS!B422</f>
        <v>0</v>
      </c>
      <c r="AB248" s="46">
        <f>CE_AdministraçãoFRSS!C422</f>
        <v>0</v>
      </c>
      <c r="AC248" s="46">
        <f>CE_AdministraçãoFRSS!E422</f>
        <v>0</v>
      </c>
      <c r="AD248" s="46">
        <f>CE_AdministraçãoFRSS!S422</f>
        <v>0</v>
      </c>
      <c r="AE248" s="60" t="e">
        <f t="shared" si="175"/>
        <v>#DIV/0!</v>
      </c>
      <c r="AF248" s="60" t="e">
        <f t="shared" si="176"/>
        <v>#DIV/0!</v>
      </c>
      <c r="AG248" s="46">
        <f t="shared" si="177"/>
        <v>0</v>
      </c>
      <c r="AH248" s="46">
        <f t="shared" si="177"/>
        <v>0</v>
      </c>
      <c r="AI248" s="46">
        <f t="shared" si="177"/>
        <v>0</v>
      </c>
      <c r="AJ248" s="46">
        <f t="shared" si="177"/>
        <v>0</v>
      </c>
      <c r="AK248" s="60" t="e">
        <f t="shared" si="178"/>
        <v>#DIV/0!</v>
      </c>
      <c r="AL248" s="60" t="e">
        <f t="shared" si="179"/>
        <v>#DIV/0!</v>
      </c>
      <c r="AM248" s="46">
        <f t="shared" si="180"/>
        <v>0</v>
      </c>
      <c r="AN248" s="46">
        <f t="shared" si="180"/>
        <v>0</v>
      </c>
      <c r="AO248" s="46">
        <f t="shared" si="180"/>
        <v>0</v>
      </c>
      <c r="AP248" s="46">
        <f t="shared" si="180"/>
        <v>0</v>
      </c>
      <c r="AQ248" s="60" t="e">
        <f t="shared" si="181"/>
        <v>#DIV/0!</v>
      </c>
      <c r="AR248" s="60" t="e">
        <f t="shared" si="182"/>
        <v>#DIV/0!</v>
      </c>
      <c r="AT248" s="38"/>
      <c r="AU248" s="38"/>
      <c r="AV248" s="38"/>
      <c r="AW248" s="38"/>
      <c r="AY248" s="38"/>
      <c r="AZ248" s="38"/>
      <c r="BA248" s="38"/>
      <c r="BB248" s="38"/>
    </row>
    <row r="249" spans="1:58" x14ac:dyDescent="0.2">
      <c r="A249" s="45" t="str">
        <f>"503.13.03"</f>
        <v>503.13.03</v>
      </c>
      <c r="B249" s="47" t="s">
        <v>1028</v>
      </c>
      <c r="C249" s="46">
        <f>CE_RegimeContributivo!B423</f>
        <v>0</v>
      </c>
      <c r="D249" s="46">
        <f>CE_RegimeContributivo!C423</f>
        <v>0</v>
      </c>
      <c r="E249" s="46">
        <f>CE_RegimeContributivo!E423</f>
        <v>0</v>
      </c>
      <c r="F249" s="46">
        <f>CE_RegimeContributivo!S423</f>
        <v>0</v>
      </c>
      <c r="G249" s="60" t="e">
        <f t="shared" si="166"/>
        <v>#DIV/0!</v>
      </c>
      <c r="H249" s="60" t="e">
        <f t="shared" si="167"/>
        <v>#DIV/0!</v>
      </c>
      <c r="I249" s="46">
        <f>CE_RegimeNaoContributivo!B423</f>
        <v>0</v>
      </c>
      <c r="J249" s="46">
        <f>CE_RegimeNaoContributivo!C423</f>
        <v>0</v>
      </c>
      <c r="K249" s="46">
        <f>CE_RegimeNaoContributivo!E423</f>
        <v>0</v>
      </c>
      <c r="L249" s="46">
        <f>CE_RegimeNaoContributivo!S423</f>
        <v>0</v>
      </c>
      <c r="M249" s="60" t="e">
        <f t="shared" si="168"/>
        <v>#DIV/0!</v>
      </c>
      <c r="N249" s="60" t="e">
        <f t="shared" si="169"/>
        <v>#DIV/0!</v>
      </c>
      <c r="O249" s="46">
        <f>CE_AdministraçãoINSS!B423</f>
        <v>0</v>
      </c>
      <c r="P249" s="46">
        <f>CE_AdministraçãoINSS!C423</f>
        <v>0</v>
      </c>
      <c r="Q249" s="46">
        <f>CE_AdministraçãoINSS!E423</f>
        <v>0</v>
      </c>
      <c r="R249" s="46">
        <f>CE_AdministraçãoINSS!S423</f>
        <v>0</v>
      </c>
      <c r="S249" s="60" t="e">
        <f t="shared" si="170"/>
        <v>#DIV/0!</v>
      </c>
      <c r="T249" s="60" t="e">
        <f t="shared" si="171"/>
        <v>#DIV/0!</v>
      </c>
      <c r="U249" s="46">
        <f t="shared" si="172"/>
        <v>0</v>
      </c>
      <c r="V249" s="46">
        <f t="shared" si="172"/>
        <v>0</v>
      </c>
      <c r="W249" s="46">
        <f t="shared" si="172"/>
        <v>0</v>
      </c>
      <c r="X249" s="46">
        <f t="shared" si="172"/>
        <v>0</v>
      </c>
      <c r="Y249" s="60" t="e">
        <f t="shared" si="173"/>
        <v>#DIV/0!</v>
      </c>
      <c r="Z249" s="60" t="e">
        <f t="shared" si="174"/>
        <v>#DIV/0!</v>
      </c>
      <c r="AA249" s="46">
        <f>CE_AdministraçãoFRSS!B423</f>
        <v>0</v>
      </c>
      <c r="AB249" s="46">
        <f>CE_AdministraçãoFRSS!C423</f>
        <v>0</v>
      </c>
      <c r="AC249" s="46">
        <f>CE_AdministraçãoFRSS!E423</f>
        <v>0</v>
      </c>
      <c r="AD249" s="46">
        <f>CE_AdministraçãoFRSS!S423</f>
        <v>0</v>
      </c>
      <c r="AE249" s="60" t="e">
        <f t="shared" si="175"/>
        <v>#DIV/0!</v>
      </c>
      <c r="AF249" s="60" t="e">
        <f t="shared" si="176"/>
        <v>#DIV/0!</v>
      </c>
      <c r="AG249" s="46">
        <f t="shared" si="177"/>
        <v>0</v>
      </c>
      <c r="AH249" s="46">
        <f t="shared" si="177"/>
        <v>0</v>
      </c>
      <c r="AI249" s="46">
        <f t="shared" si="177"/>
        <v>0</v>
      </c>
      <c r="AJ249" s="46">
        <f t="shared" si="177"/>
        <v>0</v>
      </c>
      <c r="AK249" s="60" t="e">
        <f t="shared" si="178"/>
        <v>#DIV/0!</v>
      </c>
      <c r="AL249" s="60" t="e">
        <f t="shared" si="179"/>
        <v>#DIV/0!</v>
      </c>
      <c r="AM249" s="46">
        <f t="shared" si="180"/>
        <v>0</v>
      </c>
      <c r="AN249" s="46">
        <f t="shared" si="180"/>
        <v>0</v>
      </c>
      <c r="AO249" s="46">
        <f t="shared" si="180"/>
        <v>0</v>
      </c>
      <c r="AP249" s="46">
        <f t="shared" si="180"/>
        <v>0</v>
      </c>
      <c r="AQ249" s="60" t="e">
        <f t="shared" si="181"/>
        <v>#DIV/0!</v>
      </c>
      <c r="AR249" s="60" t="e">
        <f t="shared" si="182"/>
        <v>#DIV/0!</v>
      </c>
      <c r="AT249" s="38"/>
      <c r="AU249" s="38"/>
      <c r="AV249" s="38"/>
      <c r="AW249" s="38"/>
      <c r="AY249" s="38"/>
      <c r="AZ249" s="38"/>
      <c r="BA249" s="38"/>
      <c r="BB249" s="38"/>
    </row>
    <row r="250" spans="1:58" x14ac:dyDescent="0.2">
      <c r="A250" s="45" t="str">
        <f>"503.13.04"</f>
        <v>503.13.04</v>
      </c>
      <c r="B250" s="47" t="s">
        <v>1029</v>
      </c>
      <c r="C250" s="46">
        <f>CE_RegimeContributivo!B424</f>
        <v>0</v>
      </c>
      <c r="D250" s="46">
        <f>CE_RegimeContributivo!C424</f>
        <v>0</v>
      </c>
      <c r="E250" s="46">
        <f>CE_RegimeContributivo!E424</f>
        <v>0</v>
      </c>
      <c r="F250" s="46">
        <f>CE_RegimeContributivo!S424</f>
        <v>0</v>
      </c>
      <c r="G250" s="60" t="e">
        <f t="shared" si="166"/>
        <v>#DIV/0!</v>
      </c>
      <c r="H250" s="60" t="e">
        <f t="shared" si="167"/>
        <v>#DIV/0!</v>
      </c>
      <c r="I250" s="46">
        <f>CE_RegimeNaoContributivo!B424</f>
        <v>0</v>
      </c>
      <c r="J250" s="46">
        <f>CE_RegimeNaoContributivo!C424</f>
        <v>0</v>
      </c>
      <c r="K250" s="46">
        <f>CE_RegimeNaoContributivo!E424</f>
        <v>0</v>
      </c>
      <c r="L250" s="46">
        <f>CE_RegimeNaoContributivo!S424</f>
        <v>0</v>
      </c>
      <c r="M250" s="60" t="e">
        <f t="shared" si="168"/>
        <v>#DIV/0!</v>
      </c>
      <c r="N250" s="60" t="e">
        <f t="shared" si="169"/>
        <v>#DIV/0!</v>
      </c>
      <c r="O250" s="46">
        <f>CE_AdministraçãoINSS!B424</f>
        <v>0</v>
      </c>
      <c r="P250" s="46">
        <f>CE_AdministraçãoINSS!C424</f>
        <v>0</v>
      </c>
      <c r="Q250" s="46">
        <f>CE_AdministraçãoINSS!E424</f>
        <v>0</v>
      </c>
      <c r="R250" s="46">
        <f>CE_AdministraçãoINSS!S424</f>
        <v>0</v>
      </c>
      <c r="S250" s="60" t="e">
        <f t="shared" si="170"/>
        <v>#DIV/0!</v>
      </c>
      <c r="T250" s="60" t="e">
        <f t="shared" si="171"/>
        <v>#DIV/0!</v>
      </c>
      <c r="U250" s="46">
        <f t="shared" si="172"/>
        <v>0</v>
      </c>
      <c r="V250" s="46">
        <f t="shared" si="172"/>
        <v>0</v>
      </c>
      <c r="W250" s="46">
        <f t="shared" si="172"/>
        <v>0</v>
      </c>
      <c r="X250" s="46">
        <f t="shared" si="172"/>
        <v>0</v>
      </c>
      <c r="Y250" s="60" t="e">
        <f t="shared" si="173"/>
        <v>#DIV/0!</v>
      </c>
      <c r="Z250" s="60" t="e">
        <f t="shared" si="174"/>
        <v>#DIV/0!</v>
      </c>
      <c r="AA250" s="46">
        <f>CE_AdministraçãoFRSS!B424</f>
        <v>0</v>
      </c>
      <c r="AB250" s="46">
        <f>CE_AdministraçãoFRSS!C424</f>
        <v>0</v>
      </c>
      <c r="AC250" s="46">
        <f>CE_AdministraçãoFRSS!E424</f>
        <v>0</v>
      </c>
      <c r="AD250" s="46">
        <f>CE_AdministraçãoFRSS!S424</f>
        <v>0</v>
      </c>
      <c r="AE250" s="60" t="e">
        <f t="shared" si="175"/>
        <v>#DIV/0!</v>
      </c>
      <c r="AF250" s="60" t="e">
        <f t="shared" si="176"/>
        <v>#DIV/0!</v>
      </c>
      <c r="AG250" s="46">
        <f t="shared" si="177"/>
        <v>0</v>
      </c>
      <c r="AH250" s="46">
        <f t="shared" si="177"/>
        <v>0</v>
      </c>
      <c r="AI250" s="46">
        <f t="shared" si="177"/>
        <v>0</v>
      </c>
      <c r="AJ250" s="46">
        <f t="shared" si="177"/>
        <v>0</v>
      </c>
      <c r="AK250" s="60" t="e">
        <f t="shared" si="178"/>
        <v>#DIV/0!</v>
      </c>
      <c r="AL250" s="60" t="e">
        <f t="shared" si="179"/>
        <v>#DIV/0!</v>
      </c>
      <c r="AM250" s="46">
        <f t="shared" si="180"/>
        <v>0</v>
      </c>
      <c r="AN250" s="46">
        <f t="shared" si="180"/>
        <v>0</v>
      </c>
      <c r="AO250" s="46">
        <f t="shared" si="180"/>
        <v>0</v>
      </c>
      <c r="AP250" s="46">
        <f t="shared" si="180"/>
        <v>0</v>
      </c>
      <c r="AQ250" s="60" t="e">
        <f t="shared" si="181"/>
        <v>#DIV/0!</v>
      </c>
      <c r="AR250" s="60" t="e">
        <f t="shared" si="182"/>
        <v>#DIV/0!</v>
      </c>
      <c r="AT250" s="38"/>
      <c r="AU250" s="38"/>
      <c r="AV250" s="38"/>
      <c r="AW250" s="38"/>
      <c r="AY250" s="38"/>
      <c r="AZ250" s="38"/>
      <c r="BA250" s="38"/>
      <c r="BB250" s="38"/>
    </row>
    <row r="251" spans="1:58" x14ac:dyDescent="0.2">
      <c r="A251" s="45" t="str">
        <f>"503.13.05"</f>
        <v>503.13.05</v>
      </c>
      <c r="B251" s="47" t="s">
        <v>1030</v>
      </c>
      <c r="C251" s="46">
        <f>CE_RegimeContributivo!B425</f>
        <v>0</v>
      </c>
      <c r="D251" s="46">
        <f>CE_RegimeContributivo!C425</f>
        <v>0</v>
      </c>
      <c r="E251" s="46">
        <f>CE_RegimeContributivo!E425</f>
        <v>0</v>
      </c>
      <c r="F251" s="46">
        <f>CE_RegimeContributivo!S425</f>
        <v>0</v>
      </c>
      <c r="G251" s="60" t="e">
        <f t="shared" si="166"/>
        <v>#DIV/0!</v>
      </c>
      <c r="H251" s="60" t="e">
        <f t="shared" si="167"/>
        <v>#DIV/0!</v>
      </c>
      <c r="I251" s="46">
        <f>CE_RegimeNaoContributivo!B425</f>
        <v>0</v>
      </c>
      <c r="J251" s="46">
        <f>CE_RegimeNaoContributivo!C425</f>
        <v>0</v>
      </c>
      <c r="K251" s="46">
        <f>CE_RegimeNaoContributivo!E425</f>
        <v>0</v>
      </c>
      <c r="L251" s="46">
        <f>CE_RegimeNaoContributivo!S425</f>
        <v>0</v>
      </c>
      <c r="M251" s="60" t="e">
        <f t="shared" si="168"/>
        <v>#DIV/0!</v>
      </c>
      <c r="N251" s="60" t="e">
        <f t="shared" si="169"/>
        <v>#DIV/0!</v>
      </c>
      <c r="O251" s="46">
        <f>CE_AdministraçãoINSS!B425</f>
        <v>0</v>
      </c>
      <c r="P251" s="46">
        <f>CE_AdministraçãoINSS!C425</f>
        <v>0</v>
      </c>
      <c r="Q251" s="46">
        <f>CE_AdministraçãoINSS!E425</f>
        <v>0</v>
      </c>
      <c r="R251" s="46">
        <f>CE_AdministraçãoINSS!S425</f>
        <v>0</v>
      </c>
      <c r="S251" s="60" t="e">
        <f t="shared" si="170"/>
        <v>#DIV/0!</v>
      </c>
      <c r="T251" s="60" t="e">
        <f t="shared" si="171"/>
        <v>#DIV/0!</v>
      </c>
      <c r="U251" s="46">
        <f t="shared" si="172"/>
        <v>0</v>
      </c>
      <c r="V251" s="46">
        <f t="shared" si="172"/>
        <v>0</v>
      </c>
      <c r="W251" s="46">
        <f t="shared" si="172"/>
        <v>0</v>
      </c>
      <c r="X251" s="46">
        <f t="shared" si="172"/>
        <v>0</v>
      </c>
      <c r="Y251" s="60" t="e">
        <f t="shared" si="173"/>
        <v>#DIV/0!</v>
      </c>
      <c r="Z251" s="60" t="e">
        <f t="shared" si="174"/>
        <v>#DIV/0!</v>
      </c>
      <c r="AA251" s="46">
        <f>CE_AdministraçãoFRSS!B425</f>
        <v>0</v>
      </c>
      <c r="AB251" s="46">
        <f>CE_AdministraçãoFRSS!C425</f>
        <v>0</v>
      </c>
      <c r="AC251" s="46">
        <f>CE_AdministraçãoFRSS!E425</f>
        <v>0</v>
      </c>
      <c r="AD251" s="46">
        <f>CE_AdministraçãoFRSS!S425</f>
        <v>0</v>
      </c>
      <c r="AE251" s="60" t="e">
        <f t="shared" si="175"/>
        <v>#DIV/0!</v>
      </c>
      <c r="AF251" s="60" t="e">
        <f t="shared" si="176"/>
        <v>#DIV/0!</v>
      </c>
      <c r="AG251" s="46">
        <f t="shared" si="177"/>
        <v>0</v>
      </c>
      <c r="AH251" s="46">
        <f t="shared" si="177"/>
        <v>0</v>
      </c>
      <c r="AI251" s="46">
        <f t="shared" si="177"/>
        <v>0</v>
      </c>
      <c r="AJ251" s="46">
        <f t="shared" si="177"/>
        <v>0</v>
      </c>
      <c r="AK251" s="60" t="e">
        <f t="shared" si="178"/>
        <v>#DIV/0!</v>
      </c>
      <c r="AL251" s="60" t="e">
        <f t="shared" si="179"/>
        <v>#DIV/0!</v>
      </c>
      <c r="AM251" s="46">
        <f t="shared" si="180"/>
        <v>0</v>
      </c>
      <c r="AN251" s="46">
        <f t="shared" si="180"/>
        <v>0</v>
      </c>
      <c r="AO251" s="46">
        <f t="shared" si="180"/>
        <v>0</v>
      </c>
      <c r="AP251" s="46">
        <f t="shared" si="180"/>
        <v>0</v>
      </c>
      <c r="AQ251" s="60" t="e">
        <f t="shared" si="181"/>
        <v>#DIV/0!</v>
      </c>
      <c r="AR251" s="60" t="e">
        <f t="shared" si="182"/>
        <v>#DIV/0!</v>
      </c>
      <c r="AT251" s="38"/>
      <c r="AU251" s="38"/>
      <c r="AV251" s="38"/>
      <c r="AW251" s="38"/>
      <c r="AY251" s="38"/>
      <c r="AZ251" s="38"/>
      <c r="BA251" s="38"/>
      <c r="BB251" s="38"/>
    </row>
    <row r="252" spans="1:58" x14ac:dyDescent="0.2">
      <c r="A252" s="45" t="str">
        <f>"503.13.06"</f>
        <v>503.13.06</v>
      </c>
      <c r="B252" s="47" t="s">
        <v>822</v>
      </c>
      <c r="C252" s="46">
        <f>CE_RegimeContributivo!B426</f>
        <v>0</v>
      </c>
      <c r="D252" s="46">
        <f>CE_RegimeContributivo!C426</f>
        <v>0</v>
      </c>
      <c r="E252" s="46">
        <f>CE_RegimeContributivo!E426</f>
        <v>0</v>
      </c>
      <c r="F252" s="46">
        <f>CE_RegimeContributivo!S426</f>
        <v>0</v>
      </c>
      <c r="G252" s="60" t="e">
        <f t="shared" si="166"/>
        <v>#DIV/0!</v>
      </c>
      <c r="H252" s="60" t="e">
        <f t="shared" si="167"/>
        <v>#DIV/0!</v>
      </c>
      <c r="I252" s="46">
        <f>CE_RegimeNaoContributivo!B426</f>
        <v>0</v>
      </c>
      <c r="J252" s="46">
        <f>CE_RegimeNaoContributivo!C426</f>
        <v>0</v>
      </c>
      <c r="K252" s="46">
        <f>CE_RegimeNaoContributivo!E426</f>
        <v>0</v>
      </c>
      <c r="L252" s="46">
        <f>CE_RegimeNaoContributivo!S426</f>
        <v>0</v>
      </c>
      <c r="M252" s="60" t="e">
        <f t="shared" si="168"/>
        <v>#DIV/0!</v>
      </c>
      <c r="N252" s="60" t="e">
        <f t="shared" si="169"/>
        <v>#DIV/0!</v>
      </c>
      <c r="O252" s="46">
        <f>CE_AdministraçãoINSS!B426</f>
        <v>0</v>
      </c>
      <c r="P252" s="46">
        <f>CE_AdministraçãoINSS!C426</f>
        <v>0</v>
      </c>
      <c r="Q252" s="46">
        <f>CE_AdministraçãoINSS!E426</f>
        <v>0</v>
      </c>
      <c r="R252" s="46">
        <f>CE_AdministraçãoINSS!S426</f>
        <v>0</v>
      </c>
      <c r="S252" s="60" t="e">
        <f t="shared" si="170"/>
        <v>#DIV/0!</v>
      </c>
      <c r="T252" s="60" t="e">
        <f t="shared" si="171"/>
        <v>#DIV/0!</v>
      </c>
      <c r="U252" s="46">
        <f t="shared" si="172"/>
        <v>0</v>
      </c>
      <c r="V252" s="46">
        <f t="shared" si="172"/>
        <v>0</v>
      </c>
      <c r="W252" s="46">
        <f t="shared" si="172"/>
        <v>0</v>
      </c>
      <c r="X252" s="46">
        <f t="shared" si="172"/>
        <v>0</v>
      </c>
      <c r="Y252" s="60" t="e">
        <f t="shared" si="173"/>
        <v>#DIV/0!</v>
      </c>
      <c r="Z252" s="60" t="e">
        <f t="shared" si="174"/>
        <v>#DIV/0!</v>
      </c>
      <c r="AA252" s="46">
        <f>CE_AdministraçãoFRSS!B426</f>
        <v>0</v>
      </c>
      <c r="AB252" s="46">
        <f>CE_AdministraçãoFRSS!C426</f>
        <v>0</v>
      </c>
      <c r="AC252" s="46">
        <f>CE_AdministraçãoFRSS!E426</f>
        <v>0</v>
      </c>
      <c r="AD252" s="46">
        <f>CE_AdministraçãoFRSS!S426</f>
        <v>0</v>
      </c>
      <c r="AE252" s="60" t="e">
        <f t="shared" si="175"/>
        <v>#DIV/0!</v>
      </c>
      <c r="AF252" s="60" t="e">
        <f t="shared" si="176"/>
        <v>#DIV/0!</v>
      </c>
      <c r="AG252" s="46">
        <f t="shared" si="177"/>
        <v>0</v>
      </c>
      <c r="AH252" s="46">
        <f t="shared" si="177"/>
        <v>0</v>
      </c>
      <c r="AI252" s="46">
        <f t="shared" si="177"/>
        <v>0</v>
      </c>
      <c r="AJ252" s="46">
        <f t="shared" si="177"/>
        <v>0</v>
      </c>
      <c r="AK252" s="60" t="e">
        <f t="shared" si="178"/>
        <v>#DIV/0!</v>
      </c>
      <c r="AL252" s="60" t="e">
        <f t="shared" si="179"/>
        <v>#DIV/0!</v>
      </c>
      <c r="AM252" s="46">
        <f t="shared" si="180"/>
        <v>0</v>
      </c>
      <c r="AN252" s="46">
        <f t="shared" si="180"/>
        <v>0</v>
      </c>
      <c r="AO252" s="46">
        <f t="shared" si="180"/>
        <v>0</v>
      </c>
      <c r="AP252" s="46">
        <f t="shared" si="180"/>
        <v>0</v>
      </c>
      <c r="AQ252" s="60" t="e">
        <f t="shared" si="181"/>
        <v>#DIV/0!</v>
      </c>
      <c r="AR252" s="60" t="e">
        <f t="shared" si="182"/>
        <v>#DIV/0!</v>
      </c>
      <c r="AT252" s="38"/>
      <c r="AU252" s="38"/>
      <c r="AV252" s="38"/>
      <c r="AW252" s="38"/>
      <c r="AY252" s="38"/>
      <c r="AZ252" s="38"/>
      <c r="BA252" s="38"/>
      <c r="BB252" s="38"/>
    </row>
    <row r="253" spans="1:58" x14ac:dyDescent="0.2">
      <c r="A253" s="39">
        <v>504</v>
      </c>
      <c r="B253" s="39" t="s">
        <v>241</v>
      </c>
      <c r="C253" s="48">
        <f>C254+C269</f>
        <v>0</v>
      </c>
      <c r="D253" s="48">
        <f>D254+D269</f>
        <v>0</v>
      </c>
      <c r="E253" s="48">
        <f>E254+E269</f>
        <v>0</v>
      </c>
      <c r="F253" s="48">
        <f t="shared" ref="F253" si="215">F254+F269</f>
        <v>0</v>
      </c>
      <c r="G253" s="58" t="e">
        <f t="shared" si="166"/>
        <v>#DIV/0!</v>
      </c>
      <c r="H253" s="58" t="e">
        <f t="shared" si="167"/>
        <v>#DIV/0!</v>
      </c>
      <c r="I253" s="48">
        <f>I254+I269</f>
        <v>0</v>
      </c>
      <c r="J253" s="48">
        <f>J254+J269</f>
        <v>0</v>
      </c>
      <c r="K253" s="48">
        <f t="shared" ref="K253:L253" si="216">K254+K269</f>
        <v>0</v>
      </c>
      <c r="L253" s="48">
        <f t="shared" si="216"/>
        <v>0</v>
      </c>
      <c r="M253" s="58" t="e">
        <f t="shared" si="168"/>
        <v>#DIV/0!</v>
      </c>
      <c r="N253" s="58" t="e">
        <f t="shared" si="169"/>
        <v>#DIV/0!</v>
      </c>
      <c r="O253" s="48">
        <f>O254+O269</f>
        <v>0</v>
      </c>
      <c r="P253" s="48">
        <f>P254+P269</f>
        <v>0</v>
      </c>
      <c r="Q253" s="48">
        <f t="shared" ref="Q253:R253" si="217">Q254+Q269</f>
        <v>0</v>
      </c>
      <c r="R253" s="48">
        <f t="shared" si="217"/>
        <v>0</v>
      </c>
      <c r="S253" s="58" t="e">
        <f t="shared" si="170"/>
        <v>#DIV/0!</v>
      </c>
      <c r="T253" s="58" t="e">
        <f t="shared" si="171"/>
        <v>#DIV/0!</v>
      </c>
      <c r="U253" s="48">
        <f t="shared" si="172"/>
        <v>0</v>
      </c>
      <c r="V253" s="48">
        <f t="shared" si="172"/>
        <v>0</v>
      </c>
      <c r="W253" s="48">
        <f t="shared" si="172"/>
        <v>0</v>
      </c>
      <c r="X253" s="48">
        <f t="shared" si="172"/>
        <v>0</v>
      </c>
      <c r="Y253" s="58" t="e">
        <f t="shared" si="173"/>
        <v>#DIV/0!</v>
      </c>
      <c r="Z253" s="58" t="e">
        <f t="shared" si="174"/>
        <v>#DIV/0!</v>
      </c>
      <c r="AA253" s="48">
        <f>AA254+AA269</f>
        <v>0</v>
      </c>
      <c r="AB253" s="48">
        <f>AB254+AB269</f>
        <v>800</v>
      </c>
      <c r="AC253" s="48">
        <f t="shared" ref="AC253:AD253" si="218">AC254+AC269</f>
        <v>0</v>
      </c>
      <c r="AD253" s="48">
        <f t="shared" si="218"/>
        <v>0</v>
      </c>
      <c r="AE253" s="58">
        <f t="shared" si="175"/>
        <v>0</v>
      </c>
      <c r="AF253" s="58">
        <f t="shared" si="176"/>
        <v>0</v>
      </c>
      <c r="AG253" s="48">
        <f t="shared" si="177"/>
        <v>0</v>
      </c>
      <c r="AH253" s="48">
        <f t="shared" si="177"/>
        <v>800</v>
      </c>
      <c r="AI253" s="48">
        <f t="shared" si="177"/>
        <v>0</v>
      </c>
      <c r="AJ253" s="48">
        <f t="shared" si="177"/>
        <v>0</v>
      </c>
      <c r="AK253" s="58">
        <f t="shared" si="178"/>
        <v>0</v>
      </c>
      <c r="AL253" s="58">
        <f t="shared" si="179"/>
        <v>0</v>
      </c>
      <c r="AM253" s="48">
        <f t="shared" si="180"/>
        <v>0</v>
      </c>
      <c r="AN253" s="48">
        <f t="shared" si="180"/>
        <v>800</v>
      </c>
      <c r="AO253" s="48">
        <f t="shared" si="180"/>
        <v>0</v>
      </c>
      <c r="AP253" s="48">
        <f t="shared" si="180"/>
        <v>0</v>
      </c>
      <c r="AQ253" s="58">
        <f t="shared" si="181"/>
        <v>0</v>
      </c>
      <c r="AR253" s="58">
        <f t="shared" si="182"/>
        <v>0</v>
      </c>
      <c r="AT253" s="38"/>
      <c r="AU253" s="38"/>
      <c r="AV253" s="38"/>
      <c r="AW253" s="38"/>
      <c r="AY253" s="38"/>
      <c r="AZ253" s="38"/>
      <c r="BA253" s="38"/>
      <c r="BB253" s="38"/>
    </row>
    <row r="254" spans="1:58" x14ac:dyDescent="0.2">
      <c r="A254" s="41" t="str">
        <f>"504.01"</f>
        <v>504.01</v>
      </c>
      <c r="B254" s="42" t="s">
        <v>243</v>
      </c>
      <c r="C254" s="43">
        <f>SUM(C255:C268)</f>
        <v>0</v>
      </c>
      <c r="D254" s="43">
        <f>SUM(D255:D268)</f>
        <v>0</v>
      </c>
      <c r="E254" s="43">
        <f>SUM(E255:E268)</f>
        <v>0</v>
      </c>
      <c r="F254" s="43">
        <f t="shared" ref="F254" si="219">SUM(F255:F268)</f>
        <v>0</v>
      </c>
      <c r="G254" s="59" t="e">
        <f t="shared" si="166"/>
        <v>#DIV/0!</v>
      </c>
      <c r="H254" s="59" t="e">
        <f t="shared" si="167"/>
        <v>#DIV/0!</v>
      </c>
      <c r="I254" s="43">
        <f>SUM(I255:I268)</f>
        <v>0</v>
      </c>
      <c r="J254" s="43">
        <f>SUM(J255:J268)</f>
        <v>0</v>
      </c>
      <c r="K254" s="43">
        <f t="shared" ref="K254:L254" si="220">SUM(K255:K268)</f>
        <v>0</v>
      </c>
      <c r="L254" s="43">
        <f t="shared" si="220"/>
        <v>0</v>
      </c>
      <c r="M254" s="59" t="e">
        <f t="shared" si="168"/>
        <v>#DIV/0!</v>
      </c>
      <c r="N254" s="59" t="e">
        <f t="shared" si="169"/>
        <v>#DIV/0!</v>
      </c>
      <c r="O254" s="43">
        <f>SUM(O255:O268)</f>
        <v>0</v>
      </c>
      <c r="P254" s="43">
        <f>SUM(P255:P268)</f>
        <v>0</v>
      </c>
      <c r="Q254" s="43">
        <f t="shared" ref="Q254:R254" si="221">SUM(Q255:Q268)</f>
        <v>0</v>
      </c>
      <c r="R254" s="43">
        <f t="shared" si="221"/>
        <v>0</v>
      </c>
      <c r="S254" s="59" t="e">
        <f t="shared" si="170"/>
        <v>#DIV/0!</v>
      </c>
      <c r="T254" s="59" t="e">
        <f t="shared" si="171"/>
        <v>#DIV/0!</v>
      </c>
      <c r="U254" s="43">
        <f t="shared" si="172"/>
        <v>0</v>
      </c>
      <c r="V254" s="43">
        <f t="shared" si="172"/>
        <v>0</v>
      </c>
      <c r="W254" s="43">
        <f t="shared" si="172"/>
        <v>0</v>
      </c>
      <c r="X254" s="43">
        <f t="shared" si="172"/>
        <v>0</v>
      </c>
      <c r="Y254" s="59" t="e">
        <f t="shared" si="173"/>
        <v>#DIV/0!</v>
      </c>
      <c r="Z254" s="59" t="e">
        <f t="shared" si="174"/>
        <v>#DIV/0!</v>
      </c>
      <c r="AA254" s="43">
        <f>SUM(AA255:AA268)</f>
        <v>0</v>
      </c>
      <c r="AB254" s="43">
        <f>SUM(AB255:AB268)</f>
        <v>800</v>
      </c>
      <c r="AC254" s="43">
        <f t="shared" ref="AC254:AD254" si="222">SUM(AC255:AC268)</f>
        <v>0</v>
      </c>
      <c r="AD254" s="43">
        <f t="shared" si="222"/>
        <v>0</v>
      </c>
      <c r="AE254" s="59">
        <f t="shared" si="175"/>
        <v>0</v>
      </c>
      <c r="AF254" s="59">
        <f t="shared" si="176"/>
        <v>0</v>
      </c>
      <c r="AG254" s="43">
        <f t="shared" si="177"/>
        <v>0</v>
      </c>
      <c r="AH254" s="43">
        <f t="shared" si="177"/>
        <v>800</v>
      </c>
      <c r="AI254" s="43">
        <f t="shared" si="177"/>
        <v>0</v>
      </c>
      <c r="AJ254" s="43">
        <f t="shared" si="177"/>
        <v>0</v>
      </c>
      <c r="AK254" s="59">
        <f t="shared" si="178"/>
        <v>0</v>
      </c>
      <c r="AL254" s="59">
        <f t="shared" si="179"/>
        <v>0</v>
      </c>
      <c r="AM254" s="43">
        <f t="shared" si="180"/>
        <v>0</v>
      </c>
      <c r="AN254" s="43">
        <f t="shared" si="180"/>
        <v>800</v>
      </c>
      <c r="AO254" s="43">
        <f t="shared" si="180"/>
        <v>0</v>
      </c>
      <c r="AP254" s="43">
        <f t="shared" si="180"/>
        <v>0</v>
      </c>
      <c r="AQ254" s="59">
        <f t="shared" si="181"/>
        <v>0</v>
      </c>
      <c r="AR254" s="59">
        <f t="shared" si="182"/>
        <v>0</v>
      </c>
      <c r="AT254" s="38"/>
      <c r="AU254" s="38"/>
      <c r="AV254" s="38"/>
      <c r="AW254" s="38"/>
      <c r="AY254" s="38"/>
      <c r="AZ254" s="38"/>
      <c r="BA254" s="38"/>
      <c r="BB254" s="38"/>
    </row>
    <row r="255" spans="1:58" x14ac:dyDescent="0.2">
      <c r="A255" s="45" t="str">
        <f>"504.01.01"</f>
        <v>504.01.01</v>
      </c>
      <c r="B255" s="47" t="s">
        <v>790</v>
      </c>
      <c r="C255" s="46">
        <f>CE_RegimeContributivo!B429</f>
        <v>0</v>
      </c>
      <c r="D255" s="46">
        <f>CE_RegimeContributivo!C429</f>
        <v>0</v>
      </c>
      <c r="E255" s="46">
        <f>CE_RegimeContributivo!E429</f>
        <v>0</v>
      </c>
      <c r="F255" s="46">
        <f>CE_RegimeContributivo!S429</f>
        <v>0</v>
      </c>
      <c r="G255" s="60" t="e">
        <f t="shared" si="166"/>
        <v>#DIV/0!</v>
      </c>
      <c r="H255" s="60" t="e">
        <f t="shared" si="167"/>
        <v>#DIV/0!</v>
      </c>
      <c r="I255" s="46">
        <f>CE_RegimeNaoContributivo!B429</f>
        <v>0</v>
      </c>
      <c r="J255" s="46">
        <f>CE_RegimeNaoContributivo!C429</f>
        <v>0</v>
      </c>
      <c r="K255" s="46">
        <f>CE_RegimeNaoContributivo!E429</f>
        <v>0</v>
      </c>
      <c r="L255" s="46">
        <f>CE_RegimeNaoContributivo!S429</f>
        <v>0</v>
      </c>
      <c r="M255" s="60" t="e">
        <f t="shared" si="168"/>
        <v>#DIV/0!</v>
      </c>
      <c r="N255" s="60" t="e">
        <f t="shared" si="169"/>
        <v>#DIV/0!</v>
      </c>
      <c r="O255" s="46">
        <f>CE_AdministraçãoINSS!B429</f>
        <v>0</v>
      </c>
      <c r="P255" s="46">
        <f>CE_AdministraçãoINSS!C429</f>
        <v>0</v>
      </c>
      <c r="Q255" s="46">
        <f>CE_AdministraçãoINSS!E429</f>
        <v>0</v>
      </c>
      <c r="R255" s="46">
        <f>CE_AdministraçãoINSS!S429</f>
        <v>0</v>
      </c>
      <c r="S255" s="60" t="e">
        <f t="shared" si="170"/>
        <v>#DIV/0!</v>
      </c>
      <c r="T255" s="60" t="e">
        <f t="shared" si="171"/>
        <v>#DIV/0!</v>
      </c>
      <c r="U255" s="46">
        <f t="shared" si="172"/>
        <v>0</v>
      </c>
      <c r="V255" s="46">
        <f t="shared" si="172"/>
        <v>0</v>
      </c>
      <c r="W255" s="46">
        <f t="shared" si="172"/>
        <v>0</v>
      </c>
      <c r="X255" s="46">
        <f t="shared" si="172"/>
        <v>0</v>
      </c>
      <c r="Y255" s="60" t="e">
        <f t="shared" si="173"/>
        <v>#DIV/0!</v>
      </c>
      <c r="Z255" s="60" t="e">
        <f t="shared" si="174"/>
        <v>#DIV/0!</v>
      </c>
      <c r="AA255" s="46">
        <f>CE_AdministraçãoFRSS!B429</f>
        <v>0</v>
      </c>
      <c r="AB255" s="46">
        <f>CE_AdministraçãoFRSS!C429</f>
        <v>0</v>
      </c>
      <c r="AC255" s="46">
        <f>CE_AdministraçãoFRSS!E429</f>
        <v>0</v>
      </c>
      <c r="AD255" s="46">
        <f>CE_AdministraçãoFRSS!S429</f>
        <v>0</v>
      </c>
      <c r="AE255" s="60" t="e">
        <f t="shared" si="175"/>
        <v>#DIV/0!</v>
      </c>
      <c r="AF255" s="60" t="e">
        <f t="shared" si="176"/>
        <v>#DIV/0!</v>
      </c>
      <c r="AG255" s="46">
        <f t="shared" si="177"/>
        <v>0</v>
      </c>
      <c r="AH255" s="46">
        <f t="shared" si="177"/>
        <v>0</v>
      </c>
      <c r="AI255" s="46">
        <f t="shared" si="177"/>
        <v>0</v>
      </c>
      <c r="AJ255" s="46">
        <f t="shared" si="177"/>
        <v>0</v>
      </c>
      <c r="AK255" s="60" t="e">
        <f t="shared" si="178"/>
        <v>#DIV/0!</v>
      </c>
      <c r="AL255" s="60" t="e">
        <f t="shared" si="179"/>
        <v>#DIV/0!</v>
      </c>
      <c r="AM255" s="46">
        <f t="shared" si="180"/>
        <v>0</v>
      </c>
      <c r="AN255" s="46">
        <f t="shared" si="180"/>
        <v>0</v>
      </c>
      <c r="AO255" s="46">
        <f t="shared" si="180"/>
        <v>0</v>
      </c>
      <c r="AP255" s="46">
        <f t="shared" si="180"/>
        <v>0</v>
      </c>
      <c r="AQ255" s="60" t="e">
        <f t="shared" si="181"/>
        <v>#DIV/0!</v>
      </c>
      <c r="AR255" s="60" t="e">
        <f t="shared" si="182"/>
        <v>#DIV/0!</v>
      </c>
      <c r="AT255" s="38"/>
      <c r="AU255" s="38"/>
      <c r="AV255" s="38"/>
      <c r="AW255" s="38"/>
      <c r="AY255" s="38"/>
      <c r="AZ255" s="38"/>
      <c r="BA255" s="38"/>
      <c r="BB255" s="38"/>
    </row>
    <row r="256" spans="1:58" x14ac:dyDescent="0.2">
      <c r="A256" s="45" t="str">
        <f>"504.01.02"</f>
        <v>504.01.02</v>
      </c>
      <c r="B256" s="47" t="s">
        <v>791</v>
      </c>
      <c r="C256" s="46">
        <f>CE_RegimeContributivo!B430</f>
        <v>0</v>
      </c>
      <c r="D256" s="46">
        <f>CE_RegimeContributivo!C430</f>
        <v>0</v>
      </c>
      <c r="E256" s="46">
        <f>CE_RegimeContributivo!E430</f>
        <v>0</v>
      </c>
      <c r="F256" s="46">
        <f>CE_RegimeContributivo!S430</f>
        <v>0</v>
      </c>
      <c r="G256" s="60" t="e">
        <f t="shared" si="166"/>
        <v>#DIV/0!</v>
      </c>
      <c r="H256" s="60" t="e">
        <f t="shared" si="167"/>
        <v>#DIV/0!</v>
      </c>
      <c r="I256" s="46">
        <f>CE_RegimeNaoContributivo!B430</f>
        <v>0</v>
      </c>
      <c r="J256" s="46">
        <f>CE_RegimeNaoContributivo!C430</f>
        <v>0</v>
      </c>
      <c r="K256" s="46">
        <f>CE_RegimeNaoContributivo!E430</f>
        <v>0</v>
      </c>
      <c r="L256" s="46">
        <f>CE_RegimeNaoContributivo!S430</f>
        <v>0</v>
      </c>
      <c r="M256" s="60" t="e">
        <f t="shared" si="168"/>
        <v>#DIV/0!</v>
      </c>
      <c r="N256" s="60" t="e">
        <f t="shared" si="169"/>
        <v>#DIV/0!</v>
      </c>
      <c r="O256" s="46">
        <f>CE_AdministraçãoINSS!B430</f>
        <v>0</v>
      </c>
      <c r="P256" s="46">
        <f>CE_AdministraçãoINSS!C430</f>
        <v>0</v>
      </c>
      <c r="Q256" s="46">
        <f>CE_AdministraçãoINSS!E430</f>
        <v>0</v>
      </c>
      <c r="R256" s="46">
        <f>CE_AdministraçãoINSS!S430</f>
        <v>0</v>
      </c>
      <c r="S256" s="60" t="e">
        <f t="shared" si="170"/>
        <v>#DIV/0!</v>
      </c>
      <c r="T256" s="60" t="e">
        <f t="shared" si="171"/>
        <v>#DIV/0!</v>
      </c>
      <c r="U256" s="46">
        <f t="shared" si="172"/>
        <v>0</v>
      </c>
      <c r="V256" s="46">
        <f t="shared" si="172"/>
        <v>0</v>
      </c>
      <c r="W256" s="46">
        <f t="shared" si="172"/>
        <v>0</v>
      </c>
      <c r="X256" s="46">
        <f t="shared" si="172"/>
        <v>0</v>
      </c>
      <c r="Y256" s="60" t="e">
        <f t="shared" si="173"/>
        <v>#DIV/0!</v>
      </c>
      <c r="Z256" s="60" t="e">
        <f t="shared" si="174"/>
        <v>#DIV/0!</v>
      </c>
      <c r="AA256" s="46">
        <f>CE_AdministraçãoFRSS!B430</f>
        <v>0</v>
      </c>
      <c r="AB256" s="46">
        <f>CE_AdministraçãoFRSS!C430</f>
        <v>0</v>
      </c>
      <c r="AC256" s="46">
        <f>CE_AdministraçãoFRSS!E430</f>
        <v>0</v>
      </c>
      <c r="AD256" s="46">
        <f>CE_AdministraçãoFRSS!S430</f>
        <v>0</v>
      </c>
      <c r="AE256" s="60" t="e">
        <f t="shared" si="175"/>
        <v>#DIV/0!</v>
      </c>
      <c r="AF256" s="60" t="e">
        <f t="shared" si="176"/>
        <v>#DIV/0!</v>
      </c>
      <c r="AG256" s="46">
        <f t="shared" si="177"/>
        <v>0</v>
      </c>
      <c r="AH256" s="46">
        <f t="shared" si="177"/>
        <v>0</v>
      </c>
      <c r="AI256" s="46">
        <f t="shared" si="177"/>
        <v>0</v>
      </c>
      <c r="AJ256" s="46">
        <f t="shared" si="177"/>
        <v>0</v>
      </c>
      <c r="AK256" s="60" t="e">
        <f t="shared" si="178"/>
        <v>#DIV/0!</v>
      </c>
      <c r="AL256" s="60" t="e">
        <f t="shared" si="179"/>
        <v>#DIV/0!</v>
      </c>
      <c r="AM256" s="46">
        <f t="shared" si="180"/>
        <v>0</v>
      </c>
      <c r="AN256" s="46">
        <f t="shared" si="180"/>
        <v>0</v>
      </c>
      <c r="AO256" s="46">
        <f t="shared" si="180"/>
        <v>0</v>
      </c>
      <c r="AP256" s="46">
        <f t="shared" si="180"/>
        <v>0</v>
      </c>
      <c r="AQ256" s="60" t="e">
        <f t="shared" si="181"/>
        <v>#DIV/0!</v>
      </c>
      <c r="AR256" s="60" t="e">
        <f t="shared" si="182"/>
        <v>#DIV/0!</v>
      </c>
      <c r="AT256" s="38"/>
      <c r="AU256" s="38"/>
      <c r="AV256" s="38"/>
      <c r="AW256" s="38"/>
      <c r="AY256" s="38"/>
      <c r="AZ256" s="38"/>
      <c r="BA256" s="38"/>
      <c r="BB256" s="38"/>
    </row>
    <row r="257" spans="1:54" x14ac:dyDescent="0.2">
      <c r="A257" s="45" t="str">
        <f>"504.01.03"</f>
        <v>504.01.03</v>
      </c>
      <c r="B257" s="47" t="s">
        <v>792</v>
      </c>
      <c r="C257" s="46">
        <f>CE_RegimeContributivo!B431</f>
        <v>0</v>
      </c>
      <c r="D257" s="46">
        <f>CE_RegimeContributivo!C431</f>
        <v>0</v>
      </c>
      <c r="E257" s="46">
        <f>CE_RegimeContributivo!E431</f>
        <v>0</v>
      </c>
      <c r="F257" s="46">
        <f>CE_RegimeContributivo!S431</f>
        <v>0</v>
      </c>
      <c r="G257" s="60" t="e">
        <f t="shared" si="166"/>
        <v>#DIV/0!</v>
      </c>
      <c r="H257" s="60" t="e">
        <f t="shared" si="167"/>
        <v>#DIV/0!</v>
      </c>
      <c r="I257" s="46">
        <f>CE_RegimeNaoContributivo!B431</f>
        <v>0</v>
      </c>
      <c r="J257" s="46">
        <f>CE_RegimeNaoContributivo!C431</f>
        <v>0</v>
      </c>
      <c r="K257" s="46">
        <f>CE_RegimeNaoContributivo!E431</f>
        <v>0</v>
      </c>
      <c r="L257" s="46">
        <f>CE_RegimeNaoContributivo!S431</f>
        <v>0</v>
      </c>
      <c r="M257" s="60" t="e">
        <f t="shared" si="168"/>
        <v>#DIV/0!</v>
      </c>
      <c r="N257" s="60" t="e">
        <f t="shared" si="169"/>
        <v>#DIV/0!</v>
      </c>
      <c r="O257" s="46">
        <f>CE_AdministraçãoINSS!B431</f>
        <v>0</v>
      </c>
      <c r="P257" s="46">
        <f>CE_AdministraçãoINSS!C431</f>
        <v>0</v>
      </c>
      <c r="Q257" s="46">
        <f>CE_AdministraçãoINSS!E431</f>
        <v>0</v>
      </c>
      <c r="R257" s="46">
        <f>CE_AdministraçãoINSS!S431</f>
        <v>0</v>
      </c>
      <c r="S257" s="60" t="e">
        <f t="shared" si="170"/>
        <v>#DIV/0!</v>
      </c>
      <c r="T257" s="60" t="e">
        <f t="shared" si="171"/>
        <v>#DIV/0!</v>
      </c>
      <c r="U257" s="46">
        <f t="shared" si="172"/>
        <v>0</v>
      </c>
      <c r="V257" s="46">
        <f t="shared" si="172"/>
        <v>0</v>
      </c>
      <c r="W257" s="46">
        <f t="shared" si="172"/>
        <v>0</v>
      </c>
      <c r="X257" s="46">
        <f t="shared" si="172"/>
        <v>0</v>
      </c>
      <c r="Y257" s="60" t="e">
        <f t="shared" si="173"/>
        <v>#DIV/0!</v>
      </c>
      <c r="Z257" s="60" t="e">
        <f t="shared" si="174"/>
        <v>#DIV/0!</v>
      </c>
      <c r="AA257" s="46">
        <f>CE_AdministraçãoFRSS!B431</f>
        <v>0</v>
      </c>
      <c r="AB257" s="46">
        <f>CE_AdministraçãoFRSS!C431</f>
        <v>500</v>
      </c>
      <c r="AC257" s="46">
        <f>CE_AdministraçãoFRSS!E431</f>
        <v>0</v>
      </c>
      <c r="AD257" s="46">
        <f>CE_AdministraçãoFRSS!S431</f>
        <v>0</v>
      </c>
      <c r="AE257" s="60">
        <f t="shared" si="175"/>
        <v>0</v>
      </c>
      <c r="AF257" s="60">
        <f t="shared" si="176"/>
        <v>0</v>
      </c>
      <c r="AG257" s="46">
        <f t="shared" si="177"/>
        <v>0</v>
      </c>
      <c r="AH257" s="46">
        <f t="shared" si="177"/>
        <v>500</v>
      </c>
      <c r="AI257" s="46">
        <f t="shared" si="177"/>
        <v>0</v>
      </c>
      <c r="AJ257" s="46">
        <f t="shared" si="177"/>
        <v>0</v>
      </c>
      <c r="AK257" s="60">
        <f t="shared" si="178"/>
        <v>0</v>
      </c>
      <c r="AL257" s="60">
        <f t="shared" si="179"/>
        <v>0</v>
      </c>
      <c r="AM257" s="46">
        <f t="shared" si="180"/>
        <v>0</v>
      </c>
      <c r="AN257" s="46">
        <f t="shared" si="180"/>
        <v>500</v>
      </c>
      <c r="AO257" s="46">
        <f t="shared" si="180"/>
        <v>0</v>
      </c>
      <c r="AP257" s="46">
        <f t="shared" si="180"/>
        <v>0</v>
      </c>
      <c r="AQ257" s="60">
        <f t="shared" si="181"/>
        <v>0</v>
      </c>
      <c r="AR257" s="60">
        <f t="shared" si="182"/>
        <v>0</v>
      </c>
      <c r="AT257" s="38"/>
      <c r="AU257" s="38"/>
      <c r="AV257" s="38"/>
      <c r="AW257" s="38"/>
      <c r="AY257" s="38"/>
      <c r="AZ257" s="38"/>
      <c r="BA257" s="38"/>
      <c r="BB257" s="38"/>
    </row>
    <row r="258" spans="1:54" x14ac:dyDescent="0.2">
      <c r="A258" s="45" t="str">
        <f>"504.01.04"</f>
        <v>504.01.04</v>
      </c>
      <c r="B258" s="47" t="s">
        <v>793</v>
      </c>
      <c r="C258" s="46">
        <f>CE_RegimeContributivo!B432</f>
        <v>0</v>
      </c>
      <c r="D258" s="46">
        <f>CE_RegimeContributivo!C432</f>
        <v>0</v>
      </c>
      <c r="E258" s="46">
        <f>CE_RegimeContributivo!E432</f>
        <v>0</v>
      </c>
      <c r="F258" s="46">
        <f>CE_RegimeContributivo!S432</f>
        <v>0</v>
      </c>
      <c r="G258" s="60" t="e">
        <f t="shared" si="166"/>
        <v>#DIV/0!</v>
      </c>
      <c r="H258" s="60" t="e">
        <f t="shared" si="167"/>
        <v>#DIV/0!</v>
      </c>
      <c r="I258" s="46">
        <f>CE_RegimeNaoContributivo!B432</f>
        <v>0</v>
      </c>
      <c r="J258" s="46">
        <f>CE_RegimeNaoContributivo!C432</f>
        <v>0</v>
      </c>
      <c r="K258" s="46">
        <f>CE_RegimeNaoContributivo!E432</f>
        <v>0</v>
      </c>
      <c r="L258" s="46">
        <f>CE_RegimeNaoContributivo!S432</f>
        <v>0</v>
      </c>
      <c r="M258" s="60" t="e">
        <f t="shared" si="168"/>
        <v>#DIV/0!</v>
      </c>
      <c r="N258" s="60" t="e">
        <f t="shared" si="169"/>
        <v>#DIV/0!</v>
      </c>
      <c r="O258" s="46">
        <f>CE_AdministraçãoINSS!B432</f>
        <v>0</v>
      </c>
      <c r="P258" s="46">
        <f>CE_AdministraçãoINSS!C432</f>
        <v>0</v>
      </c>
      <c r="Q258" s="46">
        <f>CE_AdministraçãoINSS!E432</f>
        <v>0</v>
      </c>
      <c r="R258" s="46">
        <f>CE_AdministraçãoINSS!S432</f>
        <v>0</v>
      </c>
      <c r="S258" s="60" t="e">
        <f t="shared" si="170"/>
        <v>#DIV/0!</v>
      </c>
      <c r="T258" s="60" t="e">
        <f t="shared" si="171"/>
        <v>#DIV/0!</v>
      </c>
      <c r="U258" s="46">
        <f t="shared" si="172"/>
        <v>0</v>
      </c>
      <c r="V258" s="46">
        <f t="shared" si="172"/>
        <v>0</v>
      </c>
      <c r="W258" s="46">
        <f t="shared" si="172"/>
        <v>0</v>
      </c>
      <c r="X258" s="46">
        <f t="shared" si="172"/>
        <v>0</v>
      </c>
      <c r="Y258" s="60" t="e">
        <f t="shared" si="173"/>
        <v>#DIV/0!</v>
      </c>
      <c r="Z258" s="60" t="e">
        <f t="shared" si="174"/>
        <v>#DIV/0!</v>
      </c>
      <c r="AA258" s="46">
        <f>CE_AdministraçãoFRSS!B432</f>
        <v>0</v>
      </c>
      <c r="AB258" s="46">
        <f>CE_AdministraçãoFRSS!C432</f>
        <v>0</v>
      </c>
      <c r="AC258" s="46">
        <f>CE_AdministraçãoFRSS!E432</f>
        <v>0</v>
      </c>
      <c r="AD258" s="46">
        <f>CE_AdministraçãoFRSS!S432</f>
        <v>0</v>
      </c>
      <c r="AE258" s="60" t="e">
        <f t="shared" si="175"/>
        <v>#DIV/0!</v>
      </c>
      <c r="AF258" s="60" t="e">
        <f t="shared" si="176"/>
        <v>#DIV/0!</v>
      </c>
      <c r="AG258" s="46">
        <f t="shared" si="177"/>
        <v>0</v>
      </c>
      <c r="AH258" s="46">
        <f t="shared" si="177"/>
        <v>0</v>
      </c>
      <c r="AI258" s="46">
        <f t="shared" si="177"/>
        <v>0</v>
      </c>
      <c r="AJ258" s="46">
        <f t="shared" si="177"/>
        <v>0</v>
      </c>
      <c r="AK258" s="60" t="e">
        <f t="shared" si="178"/>
        <v>#DIV/0!</v>
      </c>
      <c r="AL258" s="60" t="e">
        <f t="shared" si="179"/>
        <v>#DIV/0!</v>
      </c>
      <c r="AM258" s="46">
        <f t="shared" si="180"/>
        <v>0</v>
      </c>
      <c r="AN258" s="46">
        <f t="shared" si="180"/>
        <v>0</v>
      </c>
      <c r="AO258" s="46">
        <f t="shared" si="180"/>
        <v>0</v>
      </c>
      <c r="AP258" s="46">
        <f t="shared" si="180"/>
        <v>0</v>
      </c>
      <c r="AQ258" s="60" t="e">
        <f t="shared" si="181"/>
        <v>#DIV/0!</v>
      </c>
      <c r="AR258" s="60" t="e">
        <f t="shared" si="182"/>
        <v>#DIV/0!</v>
      </c>
      <c r="AT258" s="38"/>
      <c r="AU258" s="38"/>
      <c r="AV258" s="38"/>
      <c r="AW258" s="38"/>
      <c r="AY258" s="38"/>
      <c r="AZ258" s="38"/>
      <c r="BA258" s="38"/>
      <c r="BB258" s="38"/>
    </row>
    <row r="259" spans="1:54" x14ac:dyDescent="0.2">
      <c r="A259" s="45" t="str">
        <f>"504.01.05"</f>
        <v>504.01.05</v>
      </c>
      <c r="B259" s="47" t="s">
        <v>794</v>
      </c>
      <c r="C259" s="46">
        <f>CE_RegimeContributivo!B433</f>
        <v>0</v>
      </c>
      <c r="D259" s="46">
        <f>CE_RegimeContributivo!C433</f>
        <v>0</v>
      </c>
      <c r="E259" s="46">
        <f>CE_RegimeContributivo!E433</f>
        <v>0</v>
      </c>
      <c r="F259" s="46">
        <f>CE_RegimeContributivo!S433</f>
        <v>0</v>
      </c>
      <c r="G259" s="60" t="e">
        <f t="shared" si="166"/>
        <v>#DIV/0!</v>
      </c>
      <c r="H259" s="60" t="e">
        <f t="shared" si="167"/>
        <v>#DIV/0!</v>
      </c>
      <c r="I259" s="46">
        <f>CE_RegimeNaoContributivo!B433</f>
        <v>0</v>
      </c>
      <c r="J259" s="46">
        <f>CE_RegimeNaoContributivo!C433</f>
        <v>0</v>
      </c>
      <c r="K259" s="46">
        <f>CE_RegimeNaoContributivo!E433</f>
        <v>0</v>
      </c>
      <c r="L259" s="46">
        <f>CE_RegimeNaoContributivo!S433</f>
        <v>0</v>
      </c>
      <c r="M259" s="60" t="e">
        <f t="shared" si="168"/>
        <v>#DIV/0!</v>
      </c>
      <c r="N259" s="60" t="e">
        <f t="shared" si="169"/>
        <v>#DIV/0!</v>
      </c>
      <c r="O259" s="46">
        <f>CE_AdministraçãoINSS!B433</f>
        <v>0</v>
      </c>
      <c r="P259" s="46">
        <f>CE_AdministraçãoINSS!C433</f>
        <v>0</v>
      </c>
      <c r="Q259" s="46">
        <f>CE_AdministraçãoINSS!E433</f>
        <v>0</v>
      </c>
      <c r="R259" s="46">
        <f>CE_AdministraçãoINSS!S433</f>
        <v>0</v>
      </c>
      <c r="S259" s="60" t="e">
        <f t="shared" si="170"/>
        <v>#DIV/0!</v>
      </c>
      <c r="T259" s="60" t="e">
        <f t="shared" si="171"/>
        <v>#DIV/0!</v>
      </c>
      <c r="U259" s="46">
        <f t="shared" si="172"/>
        <v>0</v>
      </c>
      <c r="V259" s="46">
        <f t="shared" si="172"/>
        <v>0</v>
      </c>
      <c r="W259" s="46">
        <f t="shared" si="172"/>
        <v>0</v>
      </c>
      <c r="X259" s="46">
        <f t="shared" si="172"/>
        <v>0</v>
      </c>
      <c r="Y259" s="60" t="e">
        <f t="shared" si="173"/>
        <v>#DIV/0!</v>
      </c>
      <c r="Z259" s="60" t="e">
        <f t="shared" si="174"/>
        <v>#DIV/0!</v>
      </c>
      <c r="AA259" s="46">
        <f>CE_AdministraçãoFRSS!B433</f>
        <v>0</v>
      </c>
      <c r="AB259" s="46">
        <f>CE_AdministraçãoFRSS!C433</f>
        <v>0</v>
      </c>
      <c r="AC259" s="46">
        <f>CE_AdministraçãoFRSS!E433</f>
        <v>0</v>
      </c>
      <c r="AD259" s="46">
        <f>CE_AdministraçãoFRSS!S433</f>
        <v>0</v>
      </c>
      <c r="AE259" s="60" t="e">
        <f t="shared" si="175"/>
        <v>#DIV/0!</v>
      </c>
      <c r="AF259" s="60" t="e">
        <f t="shared" si="176"/>
        <v>#DIV/0!</v>
      </c>
      <c r="AG259" s="46">
        <f t="shared" si="177"/>
        <v>0</v>
      </c>
      <c r="AH259" s="46">
        <f t="shared" si="177"/>
        <v>0</v>
      </c>
      <c r="AI259" s="46">
        <f t="shared" si="177"/>
        <v>0</v>
      </c>
      <c r="AJ259" s="46">
        <f t="shared" si="177"/>
        <v>0</v>
      </c>
      <c r="AK259" s="60" t="e">
        <f t="shared" si="178"/>
        <v>#DIV/0!</v>
      </c>
      <c r="AL259" s="60" t="e">
        <f t="shared" si="179"/>
        <v>#DIV/0!</v>
      </c>
      <c r="AM259" s="46">
        <f t="shared" si="180"/>
        <v>0</v>
      </c>
      <c r="AN259" s="46">
        <f t="shared" si="180"/>
        <v>0</v>
      </c>
      <c r="AO259" s="46">
        <f t="shared" si="180"/>
        <v>0</v>
      </c>
      <c r="AP259" s="46">
        <f t="shared" si="180"/>
        <v>0</v>
      </c>
      <c r="AQ259" s="60" t="e">
        <f t="shared" si="181"/>
        <v>#DIV/0!</v>
      </c>
      <c r="AR259" s="60" t="e">
        <f t="shared" si="182"/>
        <v>#DIV/0!</v>
      </c>
      <c r="AT259" s="38"/>
      <c r="AU259" s="38"/>
      <c r="AV259" s="38"/>
      <c r="AW259" s="38"/>
      <c r="AY259" s="38"/>
      <c r="AZ259" s="38"/>
      <c r="BA259" s="38"/>
      <c r="BB259" s="38"/>
    </row>
    <row r="260" spans="1:54" x14ac:dyDescent="0.2">
      <c r="A260" s="45" t="str">
        <f>"504.01.06"</f>
        <v>504.01.06</v>
      </c>
      <c r="B260" s="47" t="s">
        <v>795</v>
      </c>
      <c r="C260" s="46">
        <f>CE_RegimeContributivo!B434</f>
        <v>0</v>
      </c>
      <c r="D260" s="46">
        <f>CE_RegimeContributivo!C434</f>
        <v>0</v>
      </c>
      <c r="E260" s="46">
        <f>CE_RegimeContributivo!E434</f>
        <v>0</v>
      </c>
      <c r="F260" s="46">
        <f>CE_RegimeContributivo!S434</f>
        <v>0</v>
      </c>
      <c r="G260" s="60" t="e">
        <f t="shared" si="166"/>
        <v>#DIV/0!</v>
      </c>
      <c r="H260" s="60" t="e">
        <f t="shared" si="167"/>
        <v>#DIV/0!</v>
      </c>
      <c r="I260" s="46">
        <f>CE_RegimeNaoContributivo!B434</f>
        <v>0</v>
      </c>
      <c r="J260" s="46">
        <f>CE_RegimeNaoContributivo!C434</f>
        <v>0</v>
      </c>
      <c r="K260" s="46">
        <f>CE_RegimeNaoContributivo!E434</f>
        <v>0</v>
      </c>
      <c r="L260" s="46">
        <f>CE_RegimeNaoContributivo!S434</f>
        <v>0</v>
      </c>
      <c r="M260" s="60" t="e">
        <f t="shared" si="168"/>
        <v>#DIV/0!</v>
      </c>
      <c r="N260" s="60" t="e">
        <f t="shared" si="169"/>
        <v>#DIV/0!</v>
      </c>
      <c r="O260" s="46">
        <f>CE_AdministraçãoINSS!B434</f>
        <v>0</v>
      </c>
      <c r="P260" s="46">
        <f>CE_AdministraçãoINSS!C434</f>
        <v>0</v>
      </c>
      <c r="Q260" s="46">
        <f>CE_AdministraçãoINSS!E434</f>
        <v>0</v>
      </c>
      <c r="R260" s="46">
        <f>CE_AdministraçãoINSS!S434</f>
        <v>0</v>
      </c>
      <c r="S260" s="60" t="e">
        <f t="shared" si="170"/>
        <v>#DIV/0!</v>
      </c>
      <c r="T260" s="60" t="e">
        <f t="shared" si="171"/>
        <v>#DIV/0!</v>
      </c>
      <c r="U260" s="46">
        <f t="shared" si="172"/>
        <v>0</v>
      </c>
      <c r="V260" s="46">
        <f t="shared" si="172"/>
        <v>0</v>
      </c>
      <c r="W260" s="46">
        <f t="shared" si="172"/>
        <v>0</v>
      </c>
      <c r="X260" s="46">
        <f t="shared" si="172"/>
        <v>0</v>
      </c>
      <c r="Y260" s="60" t="e">
        <f t="shared" si="173"/>
        <v>#DIV/0!</v>
      </c>
      <c r="Z260" s="60" t="e">
        <f t="shared" si="174"/>
        <v>#DIV/0!</v>
      </c>
      <c r="AA260" s="46">
        <f>CE_AdministraçãoFRSS!B434</f>
        <v>0</v>
      </c>
      <c r="AB260" s="46">
        <f>CE_AdministraçãoFRSS!C434</f>
        <v>0</v>
      </c>
      <c r="AC260" s="46">
        <f>CE_AdministraçãoFRSS!E434</f>
        <v>0</v>
      </c>
      <c r="AD260" s="46">
        <f>CE_AdministraçãoFRSS!S434</f>
        <v>0</v>
      </c>
      <c r="AE260" s="60" t="e">
        <f t="shared" si="175"/>
        <v>#DIV/0!</v>
      </c>
      <c r="AF260" s="60" t="e">
        <f t="shared" si="176"/>
        <v>#DIV/0!</v>
      </c>
      <c r="AG260" s="46">
        <f t="shared" si="177"/>
        <v>0</v>
      </c>
      <c r="AH260" s="46">
        <f t="shared" si="177"/>
        <v>0</v>
      </c>
      <c r="AI260" s="46">
        <f t="shared" si="177"/>
        <v>0</v>
      </c>
      <c r="AJ260" s="46">
        <f t="shared" si="177"/>
        <v>0</v>
      </c>
      <c r="AK260" s="60" t="e">
        <f t="shared" si="178"/>
        <v>#DIV/0!</v>
      </c>
      <c r="AL260" s="60" t="e">
        <f t="shared" si="179"/>
        <v>#DIV/0!</v>
      </c>
      <c r="AM260" s="46">
        <f t="shared" si="180"/>
        <v>0</v>
      </c>
      <c r="AN260" s="46">
        <f t="shared" si="180"/>
        <v>0</v>
      </c>
      <c r="AO260" s="46">
        <f t="shared" si="180"/>
        <v>0</v>
      </c>
      <c r="AP260" s="46">
        <f t="shared" si="180"/>
        <v>0</v>
      </c>
      <c r="AQ260" s="60" t="e">
        <f t="shared" si="181"/>
        <v>#DIV/0!</v>
      </c>
      <c r="AR260" s="60" t="e">
        <f t="shared" si="182"/>
        <v>#DIV/0!</v>
      </c>
      <c r="AT260" s="38"/>
      <c r="AU260" s="38"/>
      <c r="AV260" s="38"/>
      <c r="AW260" s="38"/>
      <c r="AY260" s="38"/>
      <c r="AZ260" s="38"/>
      <c r="BA260" s="38"/>
      <c r="BB260" s="38"/>
    </row>
    <row r="261" spans="1:54" x14ac:dyDescent="0.2">
      <c r="A261" s="45" t="str">
        <f>"504.01.07"</f>
        <v>504.01.07</v>
      </c>
      <c r="B261" s="47" t="s">
        <v>796</v>
      </c>
      <c r="C261" s="46">
        <f>CE_RegimeContributivo!B435</f>
        <v>0</v>
      </c>
      <c r="D261" s="46">
        <f>CE_RegimeContributivo!C435</f>
        <v>0</v>
      </c>
      <c r="E261" s="46">
        <f>CE_RegimeContributivo!E435</f>
        <v>0</v>
      </c>
      <c r="F261" s="46">
        <f>CE_RegimeContributivo!S435</f>
        <v>0</v>
      </c>
      <c r="G261" s="60" t="e">
        <f t="shared" si="166"/>
        <v>#DIV/0!</v>
      </c>
      <c r="H261" s="60" t="e">
        <f t="shared" si="167"/>
        <v>#DIV/0!</v>
      </c>
      <c r="I261" s="46">
        <f>CE_RegimeNaoContributivo!B435</f>
        <v>0</v>
      </c>
      <c r="J261" s="46">
        <f>CE_RegimeNaoContributivo!C435</f>
        <v>0</v>
      </c>
      <c r="K261" s="46">
        <f>CE_RegimeNaoContributivo!E435</f>
        <v>0</v>
      </c>
      <c r="L261" s="46">
        <f>CE_RegimeNaoContributivo!S435</f>
        <v>0</v>
      </c>
      <c r="M261" s="60" t="e">
        <f t="shared" si="168"/>
        <v>#DIV/0!</v>
      </c>
      <c r="N261" s="60" t="e">
        <f t="shared" si="169"/>
        <v>#DIV/0!</v>
      </c>
      <c r="O261" s="46">
        <f>CE_AdministraçãoINSS!B435</f>
        <v>0</v>
      </c>
      <c r="P261" s="46">
        <f>CE_AdministraçãoINSS!C435</f>
        <v>0</v>
      </c>
      <c r="Q261" s="46">
        <f>CE_AdministraçãoINSS!E435</f>
        <v>0</v>
      </c>
      <c r="R261" s="46">
        <f>CE_AdministraçãoINSS!S435</f>
        <v>0</v>
      </c>
      <c r="S261" s="60" t="e">
        <f t="shared" si="170"/>
        <v>#DIV/0!</v>
      </c>
      <c r="T261" s="60" t="e">
        <f t="shared" si="171"/>
        <v>#DIV/0!</v>
      </c>
      <c r="U261" s="46">
        <f t="shared" si="172"/>
        <v>0</v>
      </c>
      <c r="V261" s="46">
        <f t="shared" si="172"/>
        <v>0</v>
      </c>
      <c r="W261" s="46">
        <f t="shared" si="172"/>
        <v>0</v>
      </c>
      <c r="X261" s="46">
        <f t="shared" si="172"/>
        <v>0</v>
      </c>
      <c r="Y261" s="60" t="e">
        <f t="shared" si="173"/>
        <v>#DIV/0!</v>
      </c>
      <c r="Z261" s="60" t="e">
        <f t="shared" si="174"/>
        <v>#DIV/0!</v>
      </c>
      <c r="AA261" s="46">
        <f>CE_AdministraçãoFRSS!B435</f>
        <v>0</v>
      </c>
      <c r="AB261" s="46">
        <f>CE_AdministraçãoFRSS!C435</f>
        <v>0</v>
      </c>
      <c r="AC261" s="46">
        <f>CE_AdministraçãoFRSS!E435</f>
        <v>0</v>
      </c>
      <c r="AD261" s="46">
        <f>CE_AdministraçãoFRSS!S435</f>
        <v>0</v>
      </c>
      <c r="AE261" s="60" t="e">
        <f t="shared" si="175"/>
        <v>#DIV/0!</v>
      </c>
      <c r="AF261" s="60" t="e">
        <f t="shared" si="176"/>
        <v>#DIV/0!</v>
      </c>
      <c r="AG261" s="46">
        <f t="shared" si="177"/>
        <v>0</v>
      </c>
      <c r="AH261" s="46">
        <f t="shared" si="177"/>
        <v>0</v>
      </c>
      <c r="AI261" s="46">
        <f t="shared" si="177"/>
        <v>0</v>
      </c>
      <c r="AJ261" s="46">
        <f t="shared" si="177"/>
        <v>0</v>
      </c>
      <c r="AK261" s="60" t="e">
        <f t="shared" si="178"/>
        <v>#DIV/0!</v>
      </c>
      <c r="AL261" s="60" t="e">
        <f t="shared" si="179"/>
        <v>#DIV/0!</v>
      </c>
      <c r="AM261" s="46">
        <f t="shared" si="180"/>
        <v>0</v>
      </c>
      <c r="AN261" s="46">
        <f t="shared" si="180"/>
        <v>0</v>
      </c>
      <c r="AO261" s="46">
        <f t="shared" si="180"/>
        <v>0</v>
      </c>
      <c r="AP261" s="46">
        <f t="shared" si="180"/>
        <v>0</v>
      </c>
      <c r="AQ261" s="60" t="e">
        <f t="shared" si="181"/>
        <v>#DIV/0!</v>
      </c>
      <c r="AR261" s="60" t="e">
        <f t="shared" si="182"/>
        <v>#DIV/0!</v>
      </c>
      <c r="AT261" s="38"/>
      <c r="AU261" s="38"/>
      <c r="AV261" s="38"/>
      <c r="AW261" s="38"/>
      <c r="AY261" s="38"/>
      <c r="AZ261" s="38"/>
      <c r="BA261" s="38"/>
      <c r="BB261" s="38"/>
    </row>
    <row r="262" spans="1:54" x14ac:dyDescent="0.2">
      <c r="A262" s="45" t="str">
        <f>"504.01.08"</f>
        <v>504.01.08</v>
      </c>
      <c r="B262" s="47" t="s">
        <v>797</v>
      </c>
      <c r="C262" s="46">
        <f>CE_RegimeContributivo!B436</f>
        <v>0</v>
      </c>
      <c r="D262" s="46">
        <f>CE_RegimeContributivo!C436</f>
        <v>0</v>
      </c>
      <c r="E262" s="46">
        <f>CE_RegimeContributivo!E436</f>
        <v>0</v>
      </c>
      <c r="F262" s="46">
        <f>CE_RegimeContributivo!S436</f>
        <v>0</v>
      </c>
      <c r="G262" s="60" t="e">
        <f t="shared" si="166"/>
        <v>#DIV/0!</v>
      </c>
      <c r="H262" s="60" t="e">
        <f t="shared" si="167"/>
        <v>#DIV/0!</v>
      </c>
      <c r="I262" s="46">
        <f>CE_RegimeNaoContributivo!B436</f>
        <v>0</v>
      </c>
      <c r="J262" s="46">
        <f>CE_RegimeNaoContributivo!C436</f>
        <v>0</v>
      </c>
      <c r="K262" s="46">
        <f>CE_RegimeNaoContributivo!E436</f>
        <v>0</v>
      </c>
      <c r="L262" s="46">
        <f>CE_RegimeNaoContributivo!S436</f>
        <v>0</v>
      </c>
      <c r="M262" s="60" t="e">
        <f t="shared" si="168"/>
        <v>#DIV/0!</v>
      </c>
      <c r="N262" s="60" t="e">
        <f t="shared" si="169"/>
        <v>#DIV/0!</v>
      </c>
      <c r="O262" s="46">
        <f>CE_AdministraçãoINSS!B436</f>
        <v>0</v>
      </c>
      <c r="P262" s="46">
        <f>CE_AdministraçãoINSS!C436</f>
        <v>0</v>
      </c>
      <c r="Q262" s="46">
        <f>CE_AdministraçãoINSS!E436</f>
        <v>0</v>
      </c>
      <c r="R262" s="46">
        <f>CE_AdministraçãoINSS!S436</f>
        <v>0</v>
      </c>
      <c r="S262" s="60" t="e">
        <f t="shared" si="170"/>
        <v>#DIV/0!</v>
      </c>
      <c r="T262" s="60" t="e">
        <f t="shared" si="171"/>
        <v>#DIV/0!</v>
      </c>
      <c r="U262" s="46">
        <f t="shared" si="172"/>
        <v>0</v>
      </c>
      <c r="V262" s="46">
        <f t="shared" si="172"/>
        <v>0</v>
      </c>
      <c r="W262" s="46">
        <f t="shared" si="172"/>
        <v>0</v>
      </c>
      <c r="X262" s="46">
        <f t="shared" si="172"/>
        <v>0</v>
      </c>
      <c r="Y262" s="60" t="e">
        <f t="shared" si="173"/>
        <v>#DIV/0!</v>
      </c>
      <c r="Z262" s="60" t="e">
        <f t="shared" si="174"/>
        <v>#DIV/0!</v>
      </c>
      <c r="AA262" s="46">
        <f>CE_AdministraçãoFRSS!B436</f>
        <v>0</v>
      </c>
      <c r="AB262" s="46">
        <f>CE_AdministraçãoFRSS!C436</f>
        <v>0</v>
      </c>
      <c r="AC262" s="46">
        <f>CE_AdministraçãoFRSS!E436</f>
        <v>0</v>
      </c>
      <c r="AD262" s="46">
        <f>CE_AdministraçãoFRSS!S436</f>
        <v>0</v>
      </c>
      <c r="AE262" s="60" t="e">
        <f t="shared" si="175"/>
        <v>#DIV/0!</v>
      </c>
      <c r="AF262" s="60" t="e">
        <f t="shared" si="176"/>
        <v>#DIV/0!</v>
      </c>
      <c r="AG262" s="46">
        <f t="shared" si="177"/>
        <v>0</v>
      </c>
      <c r="AH262" s="46">
        <f t="shared" si="177"/>
        <v>0</v>
      </c>
      <c r="AI262" s="46">
        <f t="shared" si="177"/>
        <v>0</v>
      </c>
      <c r="AJ262" s="46">
        <f t="shared" si="177"/>
        <v>0</v>
      </c>
      <c r="AK262" s="60" t="e">
        <f t="shared" si="178"/>
        <v>#DIV/0!</v>
      </c>
      <c r="AL262" s="60" t="e">
        <f t="shared" si="179"/>
        <v>#DIV/0!</v>
      </c>
      <c r="AM262" s="46">
        <f t="shared" si="180"/>
        <v>0</v>
      </c>
      <c r="AN262" s="46">
        <f t="shared" si="180"/>
        <v>0</v>
      </c>
      <c r="AO262" s="46">
        <f t="shared" si="180"/>
        <v>0</v>
      </c>
      <c r="AP262" s="46">
        <f t="shared" si="180"/>
        <v>0</v>
      </c>
      <c r="AQ262" s="60" t="e">
        <f t="shared" si="181"/>
        <v>#DIV/0!</v>
      </c>
      <c r="AR262" s="60" t="e">
        <f t="shared" si="182"/>
        <v>#DIV/0!</v>
      </c>
      <c r="AT262" s="38"/>
      <c r="AU262" s="38"/>
      <c r="AV262" s="38"/>
      <c r="AW262" s="38"/>
      <c r="AY262" s="38"/>
      <c r="AZ262" s="38"/>
      <c r="BA262" s="38"/>
      <c r="BB262" s="38"/>
    </row>
    <row r="263" spans="1:54" x14ac:dyDescent="0.2">
      <c r="A263" s="45" t="str">
        <f>"504.01.09"</f>
        <v>504.01.09</v>
      </c>
      <c r="B263" s="47" t="s">
        <v>798</v>
      </c>
      <c r="C263" s="46">
        <f>CE_RegimeContributivo!B437</f>
        <v>0</v>
      </c>
      <c r="D263" s="46">
        <f>CE_RegimeContributivo!C437</f>
        <v>0</v>
      </c>
      <c r="E263" s="46">
        <f>CE_RegimeContributivo!E437</f>
        <v>0</v>
      </c>
      <c r="F263" s="46">
        <f>CE_RegimeContributivo!S437</f>
        <v>0</v>
      </c>
      <c r="G263" s="60" t="e">
        <f t="shared" si="166"/>
        <v>#DIV/0!</v>
      </c>
      <c r="H263" s="60" t="e">
        <f t="shared" si="167"/>
        <v>#DIV/0!</v>
      </c>
      <c r="I263" s="46">
        <f>CE_RegimeNaoContributivo!B437</f>
        <v>0</v>
      </c>
      <c r="J263" s="46">
        <f>CE_RegimeNaoContributivo!C437</f>
        <v>0</v>
      </c>
      <c r="K263" s="46">
        <f>CE_RegimeNaoContributivo!E437</f>
        <v>0</v>
      </c>
      <c r="L263" s="46">
        <f>CE_RegimeNaoContributivo!S437</f>
        <v>0</v>
      </c>
      <c r="M263" s="60" t="e">
        <f t="shared" si="168"/>
        <v>#DIV/0!</v>
      </c>
      <c r="N263" s="60" t="e">
        <f t="shared" si="169"/>
        <v>#DIV/0!</v>
      </c>
      <c r="O263" s="46">
        <f>CE_AdministraçãoINSS!B437</f>
        <v>0</v>
      </c>
      <c r="P263" s="46">
        <f>CE_AdministraçãoINSS!C437</f>
        <v>0</v>
      </c>
      <c r="Q263" s="46">
        <f>CE_AdministraçãoINSS!E437</f>
        <v>0</v>
      </c>
      <c r="R263" s="46">
        <f>CE_AdministraçãoINSS!S437</f>
        <v>0</v>
      </c>
      <c r="S263" s="60" t="e">
        <f t="shared" si="170"/>
        <v>#DIV/0!</v>
      </c>
      <c r="T263" s="60" t="e">
        <f t="shared" si="171"/>
        <v>#DIV/0!</v>
      </c>
      <c r="U263" s="46">
        <f t="shared" si="172"/>
        <v>0</v>
      </c>
      <c r="V263" s="46">
        <f t="shared" si="172"/>
        <v>0</v>
      </c>
      <c r="W263" s="46">
        <f t="shared" si="172"/>
        <v>0</v>
      </c>
      <c r="X263" s="46">
        <f t="shared" si="172"/>
        <v>0</v>
      </c>
      <c r="Y263" s="60" t="e">
        <f t="shared" si="173"/>
        <v>#DIV/0!</v>
      </c>
      <c r="Z263" s="60" t="e">
        <f t="shared" si="174"/>
        <v>#DIV/0!</v>
      </c>
      <c r="AA263" s="46">
        <f>CE_AdministraçãoFRSS!B437</f>
        <v>0</v>
      </c>
      <c r="AB263" s="46">
        <f>CE_AdministraçãoFRSS!C437</f>
        <v>0</v>
      </c>
      <c r="AC263" s="46">
        <f>CE_AdministraçãoFRSS!E437</f>
        <v>0</v>
      </c>
      <c r="AD263" s="46">
        <f>CE_AdministraçãoFRSS!S437</f>
        <v>0</v>
      </c>
      <c r="AE263" s="60" t="e">
        <f t="shared" si="175"/>
        <v>#DIV/0!</v>
      </c>
      <c r="AF263" s="60" t="e">
        <f t="shared" si="176"/>
        <v>#DIV/0!</v>
      </c>
      <c r="AG263" s="46">
        <f t="shared" si="177"/>
        <v>0</v>
      </c>
      <c r="AH263" s="46">
        <f t="shared" si="177"/>
        <v>0</v>
      </c>
      <c r="AI263" s="46">
        <f t="shared" si="177"/>
        <v>0</v>
      </c>
      <c r="AJ263" s="46">
        <f t="shared" si="177"/>
        <v>0</v>
      </c>
      <c r="AK263" s="60" t="e">
        <f t="shared" si="178"/>
        <v>#DIV/0!</v>
      </c>
      <c r="AL263" s="60" t="e">
        <f t="shared" si="179"/>
        <v>#DIV/0!</v>
      </c>
      <c r="AM263" s="46">
        <f t="shared" si="180"/>
        <v>0</v>
      </c>
      <c r="AN263" s="46">
        <f t="shared" si="180"/>
        <v>0</v>
      </c>
      <c r="AO263" s="46">
        <f t="shared" si="180"/>
        <v>0</v>
      </c>
      <c r="AP263" s="46">
        <f t="shared" si="180"/>
        <v>0</v>
      </c>
      <c r="AQ263" s="60" t="e">
        <f t="shared" si="181"/>
        <v>#DIV/0!</v>
      </c>
      <c r="AR263" s="60" t="e">
        <f t="shared" si="182"/>
        <v>#DIV/0!</v>
      </c>
      <c r="AT263" s="38"/>
      <c r="AU263" s="38"/>
      <c r="AV263" s="38"/>
      <c r="AW263" s="38"/>
      <c r="AY263" s="38"/>
      <c r="AZ263" s="38"/>
      <c r="BA263" s="38"/>
      <c r="BB263" s="38"/>
    </row>
    <row r="264" spans="1:54" x14ac:dyDescent="0.2">
      <c r="A264" s="45" t="str">
        <f>"504.01.10"</f>
        <v>504.01.10</v>
      </c>
      <c r="B264" s="47" t="s">
        <v>1031</v>
      </c>
      <c r="C264" s="46">
        <f>CE_RegimeContributivo!B438</f>
        <v>0</v>
      </c>
      <c r="D264" s="46">
        <f>CE_RegimeContributivo!C438</f>
        <v>0</v>
      </c>
      <c r="E264" s="46">
        <f>CE_RegimeContributivo!E438</f>
        <v>0</v>
      </c>
      <c r="F264" s="46">
        <f>CE_RegimeContributivo!S438</f>
        <v>0</v>
      </c>
      <c r="G264" s="60" t="e">
        <f t="shared" si="166"/>
        <v>#DIV/0!</v>
      </c>
      <c r="H264" s="60" t="e">
        <f t="shared" si="167"/>
        <v>#DIV/0!</v>
      </c>
      <c r="I264" s="46">
        <f>CE_RegimeNaoContributivo!B438</f>
        <v>0</v>
      </c>
      <c r="J264" s="46">
        <f>CE_RegimeNaoContributivo!C438</f>
        <v>0</v>
      </c>
      <c r="K264" s="46">
        <f>CE_RegimeNaoContributivo!E438</f>
        <v>0</v>
      </c>
      <c r="L264" s="46">
        <f>CE_RegimeNaoContributivo!S438</f>
        <v>0</v>
      </c>
      <c r="M264" s="60" t="e">
        <f t="shared" si="168"/>
        <v>#DIV/0!</v>
      </c>
      <c r="N264" s="60" t="e">
        <f t="shared" si="169"/>
        <v>#DIV/0!</v>
      </c>
      <c r="O264" s="46">
        <f>CE_AdministraçãoINSS!B438</f>
        <v>0</v>
      </c>
      <c r="P264" s="46">
        <f>CE_AdministraçãoINSS!C438</f>
        <v>0</v>
      </c>
      <c r="Q264" s="46">
        <f>CE_AdministraçãoINSS!E438</f>
        <v>0</v>
      </c>
      <c r="R264" s="46">
        <f>CE_AdministraçãoINSS!S438</f>
        <v>0</v>
      </c>
      <c r="S264" s="60" t="e">
        <f t="shared" si="170"/>
        <v>#DIV/0!</v>
      </c>
      <c r="T264" s="60" t="e">
        <f t="shared" si="171"/>
        <v>#DIV/0!</v>
      </c>
      <c r="U264" s="46">
        <f t="shared" si="172"/>
        <v>0</v>
      </c>
      <c r="V264" s="46">
        <f t="shared" si="172"/>
        <v>0</v>
      </c>
      <c r="W264" s="46">
        <f t="shared" si="172"/>
        <v>0</v>
      </c>
      <c r="X264" s="46">
        <f t="shared" si="172"/>
        <v>0</v>
      </c>
      <c r="Y264" s="60" t="e">
        <f t="shared" si="173"/>
        <v>#DIV/0!</v>
      </c>
      <c r="Z264" s="60" t="e">
        <f t="shared" si="174"/>
        <v>#DIV/0!</v>
      </c>
      <c r="AA264" s="46">
        <f>CE_AdministraçãoFRSS!B438</f>
        <v>0</v>
      </c>
      <c r="AB264" s="46">
        <f>CE_AdministraçãoFRSS!C438</f>
        <v>0</v>
      </c>
      <c r="AC264" s="46">
        <f>CE_AdministraçãoFRSS!E438</f>
        <v>0</v>
      </c>
      <c r="AD264" s="46">
        <f>CE_AdministraçãoFRSS!S438</f>
        <v>0</v>
      </c>
      <c r="AE264" s="60" t="e">
        <f t="shared" si="175"/>
        <v>#DIV/0!</v>
      </c>
      <c r="AF264" s="60" t="e">
        <f t="shared" si="176"/>
        <v>#DIV/0!</v>
      </c>
      <c r="AG264" s="46">
        <f t="shared" si="177"/>
        <v>0</v>
      </c>
      <c r="AH264" s="46">
        <f t="shared" si="177"/>
        <v>0</v>
      </c>
      <c r="AI264" s="46">
        <f t="shared" si="177"/>
        <v>0</v>
      </c>
      <c r="AJ264" s="46">
        <f t="shared" si="177"/>
        <v>0</v>
      </c>
      <c r="AK264" s="60" t="e">
        <f t="shared" si="178"/>
        <v>#DIV/0!</v>
      </c>
      <c r="AL264" s="60" t="e">
        <f t="shared" si="179"/>
        <v>#DIV/0!</v>
      </c>
      <c r="AM264" s="46">
        <f t="shared" si="180"/>
        <v>0</v>
      </c>
      <c r="AN264" s="46">
        <f t="shared" si="180"/>
        <v>0</v>
      </c>
      <c r="AO264" s="46">
        <f t="shared" si="180"/>
        <v>0</v>
      </c>
      <c r="AP264" s="46">
        <f t="shared" si="180"/>
        <v>0</v>
      </c>
      <c r="AQ264" s="60" t="e">
        <f t="shared" si="181"/>
        <v>#DIV/0!</v>
      </c>
      <c r="AR264" s="60" t="e">
        <f t="shared" si="182"/>
        <v>#DIV/0!</v>
      </c>
      <c r="AT264" s="38"/>
      <c r="AU264" s="38"/>
      <c r="AV264" s="38"/>
      <c r="AW264" s="38"/>
      <c r="AY264" s="38"/>
      <c r="AZ264" s="38"/>
      <c r="BA264" s="38"/>
      <c r="BB264" s="38"/>
    </row>
    <row r="265" spans="1:54" x14ac:dyDescent="0.2">
      <c r="A265" s="45" t="str">
        <f>"504.01.11"</f>
        <v>504.01.11</v>
      </c>
      <c r="B265" s="47" t="s">
        <v>1032</v>
      </c>
      <c r="C265" s="46">
        <f>CE_RegimeContributivo!B439</f>
        <v>0</v>
      </c>
      <c r="D265" s="46">
        <f>CE_RegimeContributivo!C439</f>
        <v>0</v>
      </c>
      <c r="E265" s="46">
        <f>CE_RegimeContributivo!E439</f>
        <v>0</v>
      </c>
      <c r="F265" s="46">
        <f>CE_RegimeContributivo!S439</f>
        <v>0</v>
      </c>
      <c r="G265" s="60" t="e">
        <f t="shared" si="166"/>
        <v>#DIV/0!</v>
      </c>
      <c r="H265" s="60" t="e">
        <f t="shared" si="167"/>
        <v>#DIV/0!</v>
      </c>
      <c r="I265" s="46">
        <f>CE_RegimeNaoContributivo!B439</f>
        <v>0</v>
      </c>
      <c r="J265" s="46">
        <f>CE_RegimeNaoContributivo!C439</f>
        <v>0</v>
      </c>
      <c r="K265" s="46">
        <f>CE_RegimeNaoContributivo!E439</f>
        <v>0</v>
      </c>
      <c r="L265" s="46">
        <f>CE_RegimeNaoContributivo!S439</f>
        <v>0</v>
      </c>
      <c r="M265" s="60" t="e">
        <f t="shared" si="168"/>
        <v>#DIV/0!</v>
      </c>
      <c r="N265" s="60" t="e">
        <f t="shared" si="169"/>
        <v>#DIV/0!</v>
      </c>
      <c r="O265" s="46">
        <f>CE_AdministraçãoINSS!B439</f>
        <v>0</v>
      </c>
      <c r="P265" s="46">
        <f>CE_AdministraçãoINSS!C439</f>
        <v>0</v>
      </c>
      <c r="Q265" s="46">
        <f>CE_AdministraçãoINSS!E439</f>
        <v>0</v>
      </c>
      <c r="R265" s="46">
        <f>CE_AdministraçãoINSS!S439</f>
        <v>0</v>
      </c>
      <c r="S265" s="60" t="e">
        <f t="shared" si="170"/>
        <v>#DIV/0!</v>
      </c>
      <c r="T265" s="60" t="e">
        <f t="shared" si="171"/>
        <v>#DIV/0!</v>
      </c>
      <c r="U265" s="46">
        <f t="shared" si="172"/>
        <v>0</v>
      </c>
      <c r="V265" s="46">
        <f t="shared" si="172"/>
        <v>0</v>
      </c>
      <c r="W265" s="46">
        <f t="shared" si="172"/>
        <v>0</v>
      </c>
      <c r="X265" s="46">
        <f t="shared" si="172"/>
        <v>0</v>
      </c>
      <c r="Y265" s="60" t="e">
        <f t="shared" si="173"/>
        <v>#DIV/0!</v>
      </c>
      <c r="Z265" s="60" t="e">
        <f t="shared" si="174"/>
        <v>#DIV/0!</v>
      </c>
      <c r="AA265" s="46">
        <f>CE_AdministraçãoFRSS!B439</f>
        <v>0</v>
      </c>
      <c r="AB265" s="46">
        <f>CE_AdministraçãoFRSS!C439</f>
        <v>0</v>
      </c>
      <c r="AC265" s="46">
        <f>CE_AdministraçãoFRSS!E439</f>
        <v>0</v>
      </c>
      <c r="AD265" s="46">
        <f>CE_AdministraçãoFRSS!S439</f>
        <v>0</v>
      </c>
      <c r="AE265" s="60" t="e">
        <f t="shared" si="175"/>
        <v>#DIV/0!</v>
      </c>
      <c r="AF265" s="60" t="e">
        <f t="shared" si="176"/>
        <v>#DIV/0!</v>
      </c>
      <c r="AG265" s="46">
        <f t="shared" si="177"/>
        <v>0</v>
      </c>
      <c r="AH265" s="46">
        <f t="shared" si="177"/>
        <v>0</v>
      </c>
      <c r="AI265" s="46">
        <f t="shared" si="177"/>
        <v>0</v>
      </c>
      <c r="AJ265" s="46">
        <f t="shared" si="177"/>
        <v>0</v>
      </c>
      <c r="AK265" s="60" t="e">
        <f t="shared" si="178"/>
        <v>#DIV/0!</v>
      </c>
      <c r="AL265" s="60" t="e">
        <f t="shared" si="179"/>
        <v>#DIV/0!</v>
      </c>
      <c r="AM265" s="46">
        <f t="shared" si="180"/>
        <v>0</v>
      </c>
      <c r="AN265" s="46">
        <f t="shared" si="180"/>
        <v>0</v>
      </c>
      <c r="AO265" s="46">
        <f t="shared" si="180"/>
        <v>0</v>
      </c>
      <c r="AP265" s="46">
        <f t="shared" si="180"/>
        <v>0</v>
      </c>
      <c r="AQ265" s="60" t="e">
        <f t="shared" si="181"/>
        <v>#DIV/0!</v>
      </c>
      <c r="AR265" s="60" t="e">
        <f t="shared" si="182"/>
        <v>#DIV/0!</v>
      </c>
      <c r="AT265" s="38"/>
      <c r="AU265" s="38"/>
      <c r="AV265" s="38"/>
      <c r="AW265" s="38"/>
      <c r="AY265" s="38"/>
      <c r="AZ265" s="38"/>
      <c r="BA265" s="38"/>
      <c r="BB265" s="38"/>
    </row>
    <row r="266" spans="1:54" x14ac:dyDescent="0.2">
      <c r="A266" s="45" t="str">
        <f>"504.01.12"</f>
        <v>504.01.12</v>
      </c>
      <c r="B266" s="47" t="s">
        <v>799</v>
      </c>
      <c r="C266" s="46">
        <f>CE_RegimeContributivo!B440</f>
        <v>0</v>
      </c>
      <c r="D266" s="46">
        <f>CE_RegimeContributivo!C440</f>
        <v>0</v>
      </c>
      <c r="E266" s="46">
        <f>CE_RegimeContributivo!E440</f>
        <v>0</v>
      </c>
      <c r="F266" s="46">
        <f>CE_RegimeContributivo!S440</f>
        <v>0</v>
      </c>
      <c r="G266" s="60" t="e">
        <f t="shared" si="166"/>
        <v>#DIV/0!</v>
      </c>
      <c r="H266" s="60" t="e">
        <f t="shared" si="167"/>
        <v>#DIV/0!</v>
      </c>
      <c r="I266" s="46">
        <f>CE_RegimeNaoContributivo!B440</f>
        <v>0</v>
      </c>
      <c r="J266" s="46">
        <f>CE_RegimeNaoContributivo!C440</f>
        <v>0</v>
      </c>
      <c r="K266" s="46">
        <f>CE_RegimeNaoContributivo!E440</f>
        <v>0</v>
      </c>
      <c r="L266" s="46">
        <f>CE_RegimeNaoContributivo!S440</f>
        <v>0</v>
      </c>
      <c r="M266" s="60" t="e">
        <f t="shared" si="168"/>
        <v>#DIV/0!</v>
      </c>
      <c r="N266" s="60" t="e">
        <f t="shared" si="169"/>
        <v>#DIV/0!</v>
      </c>
      <c r="O266" s="46">
        <f>CE_AdministraçãoINSS!B440</f>
        <v>0</v>
      </c>
      <c r="P266" s="46">
        <f>CE_AdministraçãoINSS!C440</f>
        <v>0</v>
      </c>
      <c r="Q266" s="46">
        <f>CE_AdministraçãoINSS!E440</f>
        <v>0</v>
      </c>
      <c r="R266" s="46">
        <f>CE_AdministraçãoINSS!S440</f>
        <v>0</v>
      </c>
      <c r="S266" s="60" t="e">
        <f t="shared" si="170"/>
        <v>#DIV/0!</v>
      </c>
      <c r="T266" s="60" t="e">
        <f t="shared" si="171"/>
        <v>#DIV/0!</v>
      </c>
      <c r="U266" s="46">
        <f t="shared" si="172"/>
        <v>0</v>
      </c>
      <c r="V266" s="46">
        <f t="shared" si="172"/>
        <v>0</v>
      </c>
      <c r="W266" s="46">
        <f t="shared" si="172"/>
        <v>0</v>
      </c>
      <c r="X266" s="46">
        <f t="shared" ref="X266:X303" si="223">F266+L266+R266</f>
        <v>0</v>
      </c>
      <c r="Y266" s="60" t="e">
        <f t="shared" si="173"/>
        <v>#DIV/0!</v>
      </c>
      <c r="Z266" s="60" t="e">
        <f t="shared" si="174"/>
        <v>#DIV/0!</v>
      </c>
      <c r="AA266" s="46">
        <f>CE_AdministraçãoFRSS!B440</f>
        <v>0</v>
      </c>
      <c r="AB266" s="46">
        <f>CE_AdministraçãoFRSS!C440</f>
        <v>300</v>
      </c>
      <c r="AC266" s="46">
        <f>CE_AdministraçãoFRSS!E440</f>
        <v>0</v>
      </c>
      <c r="AD266" s="46">
        <f>CE_AdministraçãoFRSS!S440</f>
        <v>0</v>
      </c>
      <c r="AE266" s="60">
        <f t="shared" si="175"/>
        <v>0</v>
      </c>
      <c r="AF266" s="60">
        <f t="shared" si="176"/>
        <v>0</v>
      </c>
      <c r="AG266" s="46">
        <f t="shared" si="177"/>
        <v>0</v>
      </c>
      <c r="AH266" s="46">
        <f t="shared" si="177"/>
        <v>300</v>
      </c>
      <c r="AI266" s="46">
        <f t="shared" si="177"/>
        <v>0</v>
      </c>
      <c r="AJ266" s="46">
        <f t="shared" ref="AJ266:AJ303" si="224">AD266</f>
        <v>0</v>
      </c>
      <c r="AK266" s="60">
        <f t="shared" si="178"/>
        <v>0</v>
      </c>
      <c r="AL266" s="60">
        <f t="shared" si="179"/>
        <v>0</v>
      </c>
      <c r="AM266" s="46">
        <f t="shared" si="180"/>
        <v>0</v>
      </c>
      <c r="AN266" s="46">
        <f t="shared" si="180"/>
        <v>300</v>
      </c>
      <c r="AO266" s="46">
        <f t="shared" si="180"/>
        <v>0</v>
      </c>
      <c r="AP266" s="46">
        <f t="shared" ref="AP266:AP303" si="225">X266+AJ266</f>
        <v>0</v>
      </c>
      <c r="AQ266" s="60">
        <f t="shared" si="181"/>
        <v>0</v>
      </c>
      <c r="AR266" s="60">
        <f t="shared" si="182"/>
        <v>0</v>
      </c>
      <c r="AT266" s="38"/>
      <c r="AU266" s="38"/>
      <c r="AV266" s="38"/>
      <c r="AW266" s="38"/>
      <c r="AY266" s="38"/>
      <c r="AZ266" s="38"/>
      <c r="BA266" s="38"/>
      <c r="BB266" s="38"/>
    </row>
    <row r="267" spans="1:54" x14ac:dyDescent="0.2">
      <c r="A267" s="45" t="str">
        <f>"504.01.13"</f>
        <v>504.01.13</v>
      </c>
      <c r="B267" s="47" t="s">
        <v>120</v>
      </c>
      <c r="C267" s="46">
        <f>CE_RegimeContributivo!B441</f>
        <v>0</v>
      </c>
      <c r="D267" s="46">
        <f>CE_RegimeContributivo!C441</f>
        <v>0</v>
      </c>
      <c r="E267" s="46">
        <f>CE_RegimeContributivo!E441</f>
        <v>0</v>
      </c>
      <c r="F267" s="46">
        <f>CE_RegimeContributivo!S441</f>
        <v>0</v>
      </c>
      <c r="G267" s="60" t="e">
        <f t="shared" si="166"/>
        <v>#DIV/0!</v>
      </c>
      <c r="H267" s="60" t="e">
        <f t="shared" si="167"/>
        <v>#DIV/0!</v>
      </c>
      <c r="I267" s="46">
        <f>CE_RegimeNaoContributivo!B441</f>
        <v>0</v>
      </c>
      <c r="J267" s="46">
        <f>CE_RegimeNaoContributivo!C441</f>
        <v>0</v>
      </c>
      <c r="K267" s="46">
        <f>CE_RegimeNaoContributivo!E441</f>
        <v>0</v>
      </c>
      <c r="L267" s="46">
        <f>CE_RegimeNaoContributivo!S441</f>
        <v>0</v>
      </c>
      <c r="M267" s="60" t="e">
        <f t="shared" si="168"/>
        <v>#DIV/0!</v>
      </c>
      <c r="N267" s="60" t="e">
        <f t="shared" si="169"/>
        <v>#DIV/0!</v>
      </c>
      <c r="O267" s="46">
        <f>CE_AdministraçãoINSS!B441</f>
        <v>0</v>
      </c>
      <c r="P267" s="46">
        <f>CE_AdministraçãoINSS!C441</f>
        <v>0</v>
      </c>
      <c r="Q267" s="46">
        <f>CE_AdministraçãoINSS!E441</f>
        <v>0</v>
      </c>
      <c r="R267" s="46">
        <f>CE_AdministraçãoINSS!S441</f>
        <v>0</v>
      </c>
      <c r="S267" s="60" t="e">
        <f t="shared" si="170"/>
        <v>#DIV/0!</v>
      </c>
      <c r="T267" s="60" t="e">
        <f t="shared" si="171"/>
        <v>#DIV/0!</v>
      </c>
      <c r="U267" s="46">
        <f t="shared" ref="U267:W303" si="226">C267+I267+O267</f>
        <v>0</v>
      </c>
      <c r="V267" s="46">
        <f t="shared" si="226"/>
        <v>0</v>
      </c>
      <c r="W267" s="46">
        <f t="shared" si="226"/>
        <v>0</v>
      </c>
      <c r="X267" s="46">
        <f t="shared" si="223"/>
        <v>0</v>
      </c>
      <c r="Y267" s="60" t="e">
        <f t="shared" si="173"/>
        <v>#DIV/0!</v>
      </c>
      <c r="Z267" s="60" t="e">
        <f t="shared" si="174"/>
        <v>#DIV/0!</v>
      </c>
      <c r="AA267" s="46">
        <f>CE_AdministraçãoFRSS!B441</f>
        <v>0</v>
      </c>
      <c r="AB267" s="46">
        <f>CE_AdministraçãoFRSS!C441</f>
        <v>0</v>
      </c>
      <c r="AC267" s="46">
        <f>CE_AdministraçãoFRSS!E441</f>
        <v>0</v>
      </c>
      <c r="AD267" s="46">
        <f>CE_AdministraçãoFRSS!S441</f>
        <v>0</v>
      </c>
      <c r="AE267" s="60" t="e">
        <f t="shared" si="175"/>
        <v>#DIV/0!</v>
      </c>
      <c r="AF267" s="60" t="e">
        <f t="shared" si="176"/>
        <v>#DIV/0!</v>
      </c>
      <c r="AG267" s="46">
        <f t="shared" ref="AG267:AI303" si="227">AA267</f>
        <v>0</v>
      </c>
      <c r="AH267" s="46">
        <f t="shared" si="227"/>
        <v>0</v>
      </c>
      <c r="AI267" s="46">
        <f t="shared" si="227"/>
        <v>0</v>
      </c>
      <c r="AJ267" s="46">
        <f t="shared" si="224"/>
        <v>0</v>
      </c>
      <c r="AK267" s="60" t="e">
        <f t="shared" si="178"/>
        <v>#DIV/0!</v>
      </c>
      <c r="AL267" s="60" t="e">
        <f t="shared" si="179"/>
        <v>#DIV/0!</v>
      </c>
      <c r="AM267" s="46">
        <f t="shared" ref="AM267:AO303" si="228">U267+AG267</f>
        <v>0</v>
      </c>
      <c r="AN267" s="46">
        <f t="shared" si="228"/>
        <v>0</v>
      </c>
      <c r="AO267" s="46">
        <f t="shared" si="228"/>
        <v>0</v>
      </c>
      <c r="AP267" s="46">
        <f t="shared" si="225"/>
        <v>0</v>
      </c>
      <c r="AQ267" s="60" t="e">
        <f t="shared" si="181"/>
        <v>#DIV/0!</v>
      </c>
      <c r="AR267" s="60" t="e">
        <f t="shared" si="182"/>
        <v>#DIV/0!</v>
      </c>
      <c r="AT267" s="38"/>
      <c r="AU267" s="38"/>
      <c r="AV267" s="38"/>
      <c r="AW267" s="38"/>
      <c r="AY267" s="38"/>
      <c r="AZ267" s="38"/>
      <c r="BA267" s="38"/>
      <c r="BB267" s="38"/>
    </row>
    <row r="268" spans="1:54" x14ac:dyDescent="0.2">
      <c r="A268" s="45" t="str">
        <f>"504.01.14"</f>
        <v>504.01.14</v>
      </c>
      <c r="B268" s="47" t="s">
        <v>1033</v>
      </c>
      <c r="C268" s="46">
        <f>CE_RegimeContributivo!B442</f>
        <v>0</v>
      </c>
      <c r="D268" s="46">
        <f>CE_RegimeContributivo!C442</f>
        <v>0</v>
      </c>
      <c r="E268" s="46">
        <f>CE_RegimeContributivo!E442</f>
        <v>0</v>
      </c>
      <c r="F268" s="46">
        <f>CE_RegimeContributivo!S442</f>
        <v>0</v>
      </c>
      <c r="G268" s="60" t="e">
        <f t="shared" si="166"/>
        <v>#DIV/0!</v>
      </c>
      <c r="H268" s="60" t="e">
        <f t="shared" si="167"/>
        <v>#DIV/0!</v>
      </c>
      <c r="I268" s="46">
        <f>CE_RegimeNaoContributivo!B442</f>
        <v>0</v>
      </c>
      <c r="J268" s="46">
        <f>CE_RegimeNaoContributivo!C442</f>
        <v>0</v>
      </c>
      <c r="K268" s="46">
        <f>CE_RegimeNaoContributivo!E442</f>
        <v>0</v>
      </c>
      <c r="L268" s="46">
        <f>CE_RegimeNaoContributivo!S442</f>
        <v>0</v>
      </c>
      <c r="M268" s="60" t="e">
        <f t="shared" si="168"/>
        <v>#DIV/0!</v>
      </c>
      <c r="N268" s="60" t="e">
        <f t="shared" si="169"/>
        <v>#DIV/0!</v>
      </c>
      <c r="O268" s="46">
        <f>CE_AdministraçãoINSS!B442</f>
        <v>0</v>
      </c>
      <c r="P268" s="46">
        <f>CE_AdministraçãoINSS!C442</f>
        <v>0</v>
      </c>
      <c r="Q268" s="46">
        <f>CE_AdministraçãoINSS!E442</f>
        <v>0</v>
      </c>
      <c r="R268" s="46">
        <f>CE_AdministraçãoINSS!S442</f>
        <v>0</v>
      </c>
      <c r="S268" s="60" t="e">
        <f t="shared" si="170"/>
        <v>#DIV/0!</v>
      </c>
      <c r="T268" s="60" t="e">
        <f t="shared" si="171"/>
        <v>#DIV/0!</v>
      </c>
      <c r="U268" s="46">
        <f t="shared" si="226"/>
        <v>0</v>
      </c>
      <c r="V268" s="46">
        <f t="shared" si="226"/>
        <v>0</v>
      </c>
      <c r="W268" s="46">
        <f t="shared" si="226"/>
        <v>0</v>
      </c>
      <c r="X268" s="46">
        <f t="shared" si="223"/>
        <v>0</v>
      </c>
      <c r="Y268" s="60" t="e">
        <f t="shared" si="173"/>
        <v>#DIV/0!</v>
      </c>
      <c r="Z268" s="60" t="e">
        <f t="shared" si="174"/>
        <v>#DIV/0!</v>
      </c>
      <c r="AA268" s="46">
        <f>CE_AdministraçãoFRSS!B442</f>
        <v>0</v>
      </c>
      <c r="AB268" s="46">
        <f>CE_AdministraçãoFRSS!C442</f>
        <v>0</v>
      </c>
      <c r="AC268" s="46">
        <f>CE_AdministraçãoFRSS!E442</f>
        <v>0</v>
      </c>
      <c r="AD268" s="46">
        <f>CE_AdministraçãoFRSS!S442</f>
        <v>0</v>
      </c>
      <c r="AE268" s="60" t="e">
        <f t="shared" si="175"/>
        <v>#DIV/0!</v>
      </c>
      <c r="AF268" s="60" t="e">
        <f t="shared" si="176"/>
        <v>#DIV/0!</v>
      </c>
      <c r="AG268" s="46">
        <f t="shared" si="227"/>
        <v>0</v>
      </c>
      <c r="AH268" s="46">
        <f t="shared" si="227"/>
        <v>0</v>
      </c>
      <c r="AI268" s="46">
        <f t="shared" si="227"/>
        <v>0</v>
      </c>
      <c r="AJ268" s="46">
        <f t="shared" si="224"/>
        <v>0</v>
      </c>
      <c r="AK268" s="60" t="e">
        <f t="shared" si="178"/>
        <v>#DIV/0!</v>
      </c>
      <c r="AL268" s="60" t="e">
        <f t="shared" si="179"/>
        <v>#DIV/0!</v>
      </c>
      <c r="AM268" s="46">
        <f t="shared" si="228"/>
        <v>0</v>
      </c>
      <c r="AN268" s="46">
        <f t="shared" si="228"/>
        <v>0</v>
      </c>
      <c r="AO268" s="46">
        <f t="shared" si="228"/>
        <v>0</v>
      </c>
      <c r="AP268" s="46">
        <f t="shared" si="225"/>
        <v>0</v>
      </c>
      <c r="AQ268" s="60" t="e">
        <f t="shared" si="181"/>
        <v>#DIV/0!</v>
      </c>
      <c r="AR268" s="60" t="e">
        <f t="shared" si="182"/>
        <v>#DIV/0!</v>
      </c>
      <c r="AT268" s="38"/>
      <c r="AU268" s="38"/>
      <c r="AV268" s="38"/>
      <c r="AW268" s="38"/>
      <c r="AY268" s="38"/>
      <c r="AZ268" s="38"/>
      <c r="BA268" s="38"/>
      <c r="BB268" s="38"/>
    </row>
    <row r="269" spans="1:54" x14ac:dyDescent="0.2">
      <c r="A269" s="41" t="str">
        <f>"504.02"</f>
        <v>504.02</v>
      </c>
      <c r="B269" s="42" t="s">
        <v>142</v>
      </c>
      <c r="C269" s="43">
        <f>CE_RegimeContributivo!B443</f>
        <v>0</v>
      </c>
      <c r="D269" s="43">
        <f>CE_RegimeContributivo!C443</f>
        <v>0</v>
      </c>
      <c r="E269" s="43">
        <f>CE_RegimeContributivo!E443</f>
        <v>0</v>
      </c>
      <c r="F269" s="43">
        <f>CE_RegimeContributivo!S443</f>
        <v>0</v>
      </c>
      <c r="G269" s="59" t="e">
        <f t="shared" ref="G269:G303" si="229">F269/D269</f>
        <v>#DIV/0!</v>
      </c>
      <c r="H269" s="59" t="e">
        <f t="shared" ref="H269:H303" si="230">E269/D269</f>
        <v>#DIV/0!</v>
      </c>
      <c r="I269" s="43">
        <f>CE_RegimeNaoContributivo!B443</f>
        <v>0</v>
      </c>
      <c r="J269" s="43">
        <f>CE_RegimeNaoContributivo!C443</f>
        <v>0</v>
      </c>
      <c r="K269" s="43">
        <f>CE_RegimeNaoContributivo!E443</f>
        <v>0</v>
      </c>
      <c r="L269" s="43">
        <f>CE_RegimeNaoContributivo!S443</f>
        <v>0</v>
      </c>
      <c r="M269" s="59" t="e">
        <f t="shared" ref="M269:M303" si="231">L269/J269</f>
        <v>#DIV/0!</v>
      </c>
      <c r="N269" s="59" t="e">
        <f t="shared" ref="N269:N303" si="232">K269/J269</f>
        <v>#DIV/0!</v>
      </c>
      <c r="O269" s="43">
        <f>CE_AdministraçãoINSS!B443</f>
        <v>0</v>
      </c>
      <c r="P269" s="43">
        <f>CE_AdministraçãoINSS!C443</f>
        <v>0</v>
      </c>
      <c r="Q269" s="43">
        <f>CE_AdministraçãoINSS!E443</f>
        <v>0</v>
      </c>
      <c r="R269" s="43">
        <f>CE_AdministraçãoINSS!S443</f>
        <v>0</v>
      </c>
      <c r="S269" s="59" t="e">
        <f t="shared" ref="S269:S303" si="233">R269/P269</f>
        <v>#DIV/0!</v>
      </c>
      <c r="T269" s="59" t="e">
        <f t="shared" ref="T269:T303" si="234">Q269/P269</f>
        <v>#DIV/0!</v>
      </c>
      <c r="U269" s="43">
        <f t="shared" si="226"/>
        <v>0</v>
      </c>
      <c r="V269" s="43">
        <f t="shared" si="226"/>
        <v>0</v>
      </c>
      <c r="W269" s="43">
        <f t="shared" si="226"/>
        <v>0</v>
      </c>
      <c r="X269" s="43">
        <f t="shared" si="223"/>
        <v>0</v>
      </c>
      <c r="Y269" s="59" t="e">
        <f t="shared" ref="Y269:Y303" si="235">X269/V269</f>
        <v>#DIV/0!</v>
      </c>
      <c r="Z269" s="59" t="e">
        <f t="shared" ref="Z269:Z303" si="236">W269/V269</f>
        <v>#DIV/0!</v>
      </c>
      <c r="AA269" s="43">
        <f>CE_AdministraçãoFRSS!B443</f>
        <v>0</v>
      </c>
      <c r="AB269" s="43">
        <f>CE_AdministraçãoFRSS!C443</f>
        <v>0</v>
      </c>
      <c r="AC269" s="43">
        <f>CE_AdministraçãoFRSS!E443</f>
        <v>0</v>
      </c>
      <c r="AD269" s="43">
        <f>CE_AdministraçãoFRSS!S443</f>
        <v>0</v>
      </c>
      <c r="AE269" s="59" t="e">
        <f t="shared" ref="AE269:AE303" si="237">AD269/AB269</f>
        <v>#DIV/0!</v>
      </c>
      <c r="AF269" s="59" t="e">
        <f t="shared" ref="AF269:AF303" si="238">AC269/AB269</f>
        <v>#DIV/0!</v>
      </c>
      <c r="AG269" s="43">
        <f t="shared" si="227"/>
        <v>0</v>
      </c>
      <c r="AH269" s="43">
        <f t="shared" si="227"/>
        <v>0</v>
      </c>
      <c r="AI269" s="43">
        <f t="shared" si="227"/>
        <v>0</v>
      </c>
      <c r="AJ269" s="43">
        <f t="shared" si="224"/>
        <v>0</v>
      </c>
      <c r="AK269" s="59" t="e">
        <f t="shared" ref="AK269:AK303" si="239">AJ269/AH269</f>
        <v>#DIV/0!</v>
      </c>
      <c r="AL269" s="59" t="e">
        <f t="shared" ref="AL269:AL303" si="240">AI269/AH269</f>
        <v>#DIV/0!</v>
      </c>
      <c r="AM269" s="43">
        <f t="shared" si="228"/>
        <v>0</v>
      </c>
      <c r="AN269" s="43">
        <f t="shared" si="228"/>
        <v>0</v>
      </c>
      <c r="AO269" s="43">
        <f t="shared" si="228"/>
        <v>0</v>
      </c>
      <c r="AP269" s="43">
        <f t="shared" si="225"/>
        <v>0</v>
      </c>
      <c r="AQ269" s="59" t="e">
        <f t="shared" ref="AQ269:AQ303" si="241">AP269/AN269</f>
        <v>#DIV/0!</v>
      </c>
      <c r="AR269" s="59" t="e">
        <f t="shared" ref="AR269:AR303" si="242">AO269/AN269</f>
        <v>#DIV/0!</v>
      </c>
      <c r="AT269" s="38"/>
      <c r="AU269" s="38"/>
      <c r="AV269" s="38"/>
      <c r="AW269" s="38"/>
      <c r="AY269" s="38"/>
      <c r="AZ269" s="38"/>
      <c r="BA269" s="38"/>
      <c r="BB269" s="38"/>
    </row>
    <row r="270" spans="1:54" x14ac:dyDescent="0.2">
      <c r="A270" s="39">
        <v>505</v>
      </c>
      <c r="B270" s="39" t="s">
        <v>242</v>
      </c>
      <c r="C270" s="48">
        <f>C271</f>
        <v>0</v>
      </c>
      <c r="D270" s="48">
        <f>D271</f>
        <v>0</v>
      </c>
      <c r="E270" s="48">
        <f>E271</f>
        <v>0</v>
      </c>
      <c r="F270" s="48">
        <f t="shared" ref="F270" si="243">F271</f>
        <v>0</v>
      </c>
      <c r="G270" s="58" t="e">
        <f t="shared" si="229"/>
        <v>#DIV/0!</v>
      </c>
      <c r="H270" s="58" t="e">
        <f t="shared" si="230"/>
        <v>#DIV/0!</v>
      </c>
      <c r="I270" s="48">
        <f>I271</f>
        <v>0</v>
      </c>
      <c r="J270" s="48">
        <f>J271</f>
        <v>0</v>
      </c>
      <c r="K270" s="48">
        <f t="shared" ref="K270:L270" si="244">K271</f>
        <v>0</v>
      </c>
      <c r="L270" s="48">
        <f t="shared" si="244"/>
        <v>0</v>
      </c>
      <c r="M270" s="58" t="e">
        <f t="shared" si="231"/>
        <v>#DIV/0!</v>
      </c>
      <c r="N270" s="58" t="e">
        <f t="shared" si="232"/>
        <v>#DIV/0!</v>
      </c>
      <c r="O270" s="48">
        <f>O271</f>
        <v>0</v>
      </c>
      <c r="P270" s="48">
        <f>P271</f>
        <v>0</v>
      </c>
      <c r="Q270" s="48">
        <f t="shared" ref="Q270:R270" si="245">Q271</f>
        <v>0</v>
      </c>
      <c r="R270" s="48">
        <f t="shared" si="245"/>
        <v>0</v>
      </c>
      <c r="S270" s="58" t="e">
        <f t="shared" si="233"/>
        <v>#DIV/0!</v>
      </c>
      <c r="T270" s="58" t="e">
        <f t="shared" si="234"/>
        <v>#DIV/0!</v>
      </c>
      <c r="U270" s="48">
        <f t="shared" si="226"/>
        <v>0</v>
      </c>
      <c r="V270" s="48">
        <f t="shared" si="226"/>
        <v>0</v>
      </c>
      <c r="W270" s="48">
        <f t="shared" si="226"/>
        <v>0</v>
      </c>
      <c r="X270" s="48">
        <f t="shared" si="223"/>
        <v>0</v>
      </c>
      <c r="Y270" s="58" t="e">
        <f t="shared" si="235"/>
        <v>#DIV/0!</v>
      </c>
      <c r="Z270" s="58" t="e">
        <f t="shared" si="236"/>
        <v>#DIV/0!</v>
      </c>
      <c r="AA270" s="48">
        <f>AA271</f>
        <v>0</v>
      </c>
      <c r="AB270" s="48">
        <f>AB271</f>
        <v>0</v>
      </c>
      <c r="AC270" s="48">
        <f t="shared" ref="AC270:AD270" si="246">AC271</f>
        <v>0</v>
      </c>
      <c r="AD270" s="48">
        <f t="shared" si="246"/>
        <v>0</v>
      </c>
      <c r="AE270" s="58" t="e">
        <f t="shared" si="237"/>
        <v>#DIV/0!</v>
      </c>
      <c r="AF270" s="58" t="e">
        <f t="shared" si="238"/>
        <v>#DIV/0!</v>
      </c>
      <c r="AG270" s="48">
        <f t="shared" si="227"/>
        <v>0</v>
      </c>
      <c r="AH270" s="48">
        <f t="shared" si="227"/>
        <v>0</v>
      </c>
      <c r="AI270" s="48">
        <f t="shared" si="227"/>
        <v>0</v>
      </c>
      <c r="AJ270" s="48">
        <f t="shared" si="224"/>
        <v>0</v>
      </c>
      <c r="AK270" s="58" t="e">
        <f t="shared" si="239"/>
        <v>#DIV/0!</v>
      </c>
      <c r="AL270" s="58" t="e">
        <f t="shared" si="240"/>
        <v>#DIV/0!</v>
      </c>
      <c r="AM270" s="48">
        <f t="shared" si="228"/>
        <v>0</v>
      </c>
      <c r="AN270" s="48">
        <f t="shared" si="228"/>
        <v>0</v>
      </c>
      <c r="AO270" s="48">
        <f t="shared" si="228"/>
        <v>0</v>
      </c>
      <c r="AP270" s="48">
        <f t="shared" si="225"/>
        <v>0</v>
      </c>
      <c r="AQ270" s="58" t="e">
        <f t="shared" si="241"/>
        <v>#DIV/0!</v>
      </c>
      <c r="AR270" s="58" t="e">
        <f t="shared" si="242"/>
        <v>#DIV/0!</v>
      </c>
      <c r="AT270" s="38"/>
      <c r="AU270" s="38"/>
      <c r="AV270" s="38"/>
      <c r="AW270" s="38"/>
      <c r="AY270" s="38"/>
      <c r="AZ270" s="38"/>
      <c r="BA270" s="38"/>
      <c r="BB270" s="38"/>
    </row>
    <row r="271" spans="1:54" x14ac:dyDescent="0.2">
      <c r="A271" s="41" t="str">
        <f>"505.01"</f>
        <v>505.01</v>
      </c>
      <c r="B271" s="42" t="s">
        <v>244</v>
      </c>
      <c r="C271" s="43">
        <f>SUM(C272:C289)</f>
        <v>0</v>
      </c>
      <c r="D271" s="43">
        <f>SUM(D272:D289)</f>
        <v>0</v>
      </c>
      <c r="E271" s="43">
        <f>SUM(E272:E289)</f>
        <v>0</v>
      </c>
      <c r="F271" s="43">
        <f t="shared" ref="F271" si="247">SUM(F272:F289)</f>
        <v>0</v>
      </c>
      <c r="G271" s="59" t="e">
        <f t="shared" si="229"/>
        <v>#DIV/0!</v>
      </c>
      <c r="H271" s="59" t="e">
        <f t="shared" si="230"/>
        <v>#DIV/0!</v>
      </c>
      <c r="I271" s="43">
        <f>SUM(I272:I289)</f>
        <v>0</v>
      </c>
      <c r="J271" s="43">
        <f>SUM(J272:J289)</f>
        <v>0</v>
      </c>
      <c r="K271" s="43">
        <f t="shared" ref="K271:L271" si="248">SUM(K272:K289)</f>
        <v>0</v>
      </c>
      <c r="L271" s="43">
        <f t="shared" si="248"/>
        <v>0</v>
      </c>
      <c r="M271" s="59" t="e">
        <f t="shared" si="231"/>
        <v>#DIV/0!</v>
      </c>
      <c r="N271" s="59" t="e">
        <f t="shared" si="232"/>
        <v>#DIV/0!</v>
      </c>
      <c r="O271" s="43">
        <f>SUM(O272:O289)</f>
        <v>0</v>
      </c>
      <c r="P271" s="43">
        <f>SUM(P272:P289)</f>
        <v>0</v>
      </c>
      <c r="Q271" s="43">
        <f t="shared" ref="Q271:R271" si="249">SUM(Q272:Q289)</f>
        <v>0</v>
      </c>
      <c r="R271" s="43">
        <f t="shared" si="249"/>
        <v>0</v>
      </c>
      <c r="S271" s="59" t="e">
        <f t="shared" si="233"/>
        <v>#DIV/0!</v>
      </c>
      <c r="T271" s="59" t="e">
        <f t="shared" si="234"/>
        <v>#DIV/0!</v>
      </c>
      <c r="U271" s="43">
        <f t="shared" si="226"/>
        <v>0</v>
      </c>
      <c r="V271" s="43">
        <f t="shared" si="226"/>
        <v>0</v>
      </c>
      <c r="W271" s="43">
        <f t="shared" si="226"/>
        <v>0</v>
      </c>
      <c r="X271" s="43">
        <f t="shared" si="223"/>
        <v>0</v>
      </c>
      <c r="Y271" s="59" t="e">
        <f t="shared" si="235"/>
        <v>#DIV/0!</v>
      </c>
      <c r="Z271" s="59" t="e">
        <f t="shared" si="236"/>
        <v>#DIV/0!</v>
      </c>
      <c r="AA271" s="43">
        <f>SUM(AA272:AA289)</f>
        <v>0</v>
      </c>
      <c r="AB271" s="43">
        <f>SUM(AB272:AB289)</f>
        <v>0</v>
      </c>
      <c r="AC271" s="43">
        <f t="shared" ref="AC271:AD271" si="250">SUM(AC272:AC289)</f>
        <v>0</v>
      </c>
      <c r="AD271" s="43">
        <f t="shared" si="250"/>
        <v>0</v>
      </c>
      <c r="AE271" s="59" t="e">
        <f t="shared" si="237"/>
        <v>#DIV/0!</v>
      </c>
      <c r="AF271" s="59" t="e">
        <f t="shared" si="238"/>
        <v>#DIV/0!</v>
      </c>
      <c r="AG271" s="43">
        <f t="shared" si="227"/>
        <v>0</v>
      </c>
      <c r="AH271" s="43">
        <f t="shared" si="227"/>
        <v>0</v>
      </c>
      <c r="AI271" s="43">
        <f t="shared" si="227"/>
        <v>0</v>
      </c>
      <c r="AJ271" s="43">
        <f t="shared" si="224"/>
        <v>0</v>
      </c>
      <c r="AK271" s="59" t="e">
        <f t="shared" si="239"/>
        <v>#DIV/0!</v>
      </c>
      <c r="AL271" s="59" t="e">
        <f t="shared" si="240"/>
        <v>#DIV/0!</v>
      </c>
      <c r="AM271" s="43">
        <f t="shared" si="228"/>
        <v>0</v>
      </c>
      <c r="AN271" s="43">
        <f t="shared" si="228"/>
        <v>0</v>
      </c>
      <c r="AO271" s="43">
        <f t="shared" si="228"/>
        <v>0</v>
      </c>
      <c r="AP271" s="43">
        <f t="shared" si="225"/>
        <v>0</v>
      </c>
      <c r="AQ271" s="59" t="e">
        <f t="shared" si="241"/>
        <v>#DIV/0!</v>
      </c>
      <c r="AR271" s="59" t="e">
        <f t="shared" si="242"/>
        <v>#DIV/0!</v>
      </c>
      <c r="AT271" s="38"/>
      <c r="AU271" s="38"/>
      <c r="AV271" s="38"/>
      <c r="AW271" s="38"/>
      <c r="AY271" s="38"/>
      <c r="AZ271" s="38"/>
      <c r="BA271" s="38"/>
      <c r="BB271" s="38"/>
    </row>
    <row r="272" spans="1:54" x14ac:dyDescent="0.2">
      <c r="A272" s="45" t="str">
        <f>"505.01.01"</f>
        <v>505.01.01</v>
      </c>
      <c r="B272" s="47" t="s">
        <v>786</v>
      </c>
      <c r="C272" s="46">
        <f>CE_RegimeContributivo!B446</f>
        <v>0</v>
      </c>
      <c r="D272" s="46">
        <f>CE_RegimeContributivo!C446</f>
        <v>0</v>
      </c>
      <c r="E272" s="46">
        <f>CE_RegimeContributivo!E446</f>
        <v>0</v>
      </c>
      <c r="F272" s="46">
        <f>CE_RegimeContributivo!S446</f>
        <v>0</v>
      </c>
      <c r="G272" s="60" t="e">
        <f t="shared" si="229"/>
        <v>#DIV/0!</v>
      </c>
      <c r="H272" s="60" t="e">
        <f t="shared" si="230"/>
        <v>#DIV/0!</v>
      </c>
      <c r="I272" s="46">
        <f>CE_RegimeNaoContributivo!B446</f>
        <v>0</v>
      </c>
      <c r="J272" s="46">
        <f>CE_RegimeNaoContributivo!C446</f>
        <v>0</v>
      </c>
      <c r="K272" s="46">
        <f>CE_RegimeNaoContributivo!E446</f>
        <v>0</v>
      </c>
      <c r="L272" s="46">
        <f>CE_RegimeNaoContributivo!S446</f>
        <v>0</v>
      </c>
      <c r="M272" s="60" t="e">
        <f t="shared" si="231"/>
        <v>#DIV/0!</v>
      </c>
      <c r="N272" s="60" t="e">
        <f t="shared" si="232"/>
        <v>#DIV/0!</v>
      </c>
      <c r="O272" s="46">
        <f>CE_AdministraçãoINSS!B446</f>
        <v>0</v>
      </c>
      <c r="P272" s="46">
        <f>CE_AdministraçãoINSS!C446</f>
        <v>0</v>
      </c>
      <c r="Q272" s="46">
        <f>CE_AdministraçãoINSS!E446</f>
        <v>0</v>
      </c>
      <c r="R272" s="46">
        <f>CE_AdministraçãoINSS!S446</f>
        <v>0</v>
      </c>
      <c r="S272" s="60" t="e">
        <f t="shared" si="233"/>
        <v>#DIV/0!</v>
      </c>
      <c r="T272" s="60" t="e">
        <f t="shared" si="234"/>
        <v>#DIV/0!</v>
      </c>
      <c r="U272" s="46">
        <f t="shared" si="226"/>
        <v>0</v>
      </c>
      <c r="V272" s="46">
        <f t="shared" si="226"/>
        <v>0</v>
      </c>
      <c r="W272" s="46">
        <f t="shared" si="226"/>
        <v>0</v>
      </c>
      <c r="X272" s="46">
        <f t="shared" si="223"/>
        <v>0</v>
      </c>
      <c r="Y272" s="60" t="e">
        <f t="shared" si="235"/>
        <v>#DIV/0!</v>
      </c>
      <c r="Z272" s="60" t="e">
        <f t="shared" si="236"/>
        <v>#DIV/0!</v>
      </c>
      <c r="AA272" s="46">
        <f>CE_AdministraçãoFRSS!B446</f>
        <v>0</v>
      </c>
      <c r="AB272" s="46">
        <f>CE_AdministraçãoFRSS!C446</f>
        <v>0</v>
      </c>
      <c r="AC272" s="46">
        <f>CE_AdministraçãoFRSS!E446</f>
        <v>0</v>
      </c>
      <c r="AD272" s="46">
        <f>CE_AdministraçãoFRSS!S446</f>
        <v>0</v>
      </c>
      <c r="AE272" s="60" t="e">
        <f t="shared" si="237"/>
        <v>#DIV/0!</v>
      </c>
      <c r="AF272" s="60" t="e">
        <f t="shared" si="238"/>
        <v>#DIV/0!</v>
      </c>
      <c r="AG272" s="46">
        <f t="shared" si="227"/>
        <v>0</v>
      </c>
      <c r="AH272" s="46">
        <f t="shared" si="227"/>
        <v>0</v>
      </c>
      <c r="AI272" s="46">
        <f t="shared" si="227"/>
        <v>0</v>
      </c>
      <c r="AJ272" s="46">
        <f t="shared" si="224"/>
        <v>0</v>
      </c>
      <c r="AK272" s="60" t="e">
        <f t="shared" si="239"/>
        <v>#DIV/0!</v>
      </c>
      <c r="AL272" s="60" t="e">
        <f t="shared" si="240"/>
        <v>#DIV/0!</v>
      </c>
      <c r="AM272" s="46">
        <f t="shared" si="228"/>
        <v>0</v>
      </c>
      <c r="AN272" s="46">
        <f t="shared" si="228"/>
        <v>0</v>
      </c>
      <c r="AO272" s="46">
        <f t="shared" si="228"/>
        <v>0</v>
      </c>
      <c r="AP272" s="46">
        <f t="shared" si="225"/>
        <v>0</v>
      </c>
      <c r="AQ272" s="60" t="e">
        <f t="shared" si="241"/>
        <v>#DIV/0!</v>
      </c>
      <c r="AR272" s="60" t="e">
        <f t="shared" si="242"/>
        <v>#DIV/0!</v>
      </c>
      <c r="AT272" s="38"/>
      <c r="AU272" s="38"/>
      <c r="AV272" s="38"/>
      <c r="AW272" s="38"/>
      <c r="AY272" s="38"/>
      <c r="AZ272" s="38"/>
      <c r="BA272" s="38"/>
      <c r="BB272" s="38"/>
    </row>
    <row r="273" spans="1:54" x14ac:dyDescent="0.2">
      <c r="A273" s="45" t="str">
        <f>"505.01.02"</f>
        <v>505.01.02</v>
      </c>
      <c r="B273" s="47" t="s">
        <v>1034</v>
      </c>
      <c r="C273" s="46">
        <f>CE_RegimeContributivo!B447</f>
        <v>0</v>
      </c>
      <c r="D273" s="46">
        <f>CE_RegimeContributivo!C447</f>
        <v>0</v>
      </c>
      <c r="E273" s="46">
        <f>CE_RegimeContributivo!E447</f>
        <v>0</v>
      </c>
      <c r="F273" s="46">
        <f>CE_RegimeContributivo!S447</f>
        <v>0</v>
      </c>
      <c r="G273" s="60" t="e">
        <f t="shared" si="229"/>
        <v>#DIV/0!</v>
      </c>
      <c r="H273" s="60" t="e">
        <f t="shared" si="230"/>
        <v>#DIV/0!</v>
      </c>
      <c r="I273" s="46">
        <f>CE_RegimeNaoContributivo!B447</f>
        <v>0</v>
      </c>
      <c r="J273" s="46">
        <f>CE_RegimeNaoContributivo!C447</f>
        <v>0</v>
      </c>
      <c r="K273" s="46">
        <f>CE_RegimeNaoContributivo!E447</f>
        <v>0</v>
      </c>
      <c r="L273" s="46">
        <f>CE_RegimeNaoContributivo!S447</f>
        <v>0</v>
      </c>
      <c r="M273" s="60" t="e">
        <f t="shared" si="231"/>
        <v>#DIV/0!</v>
      </c>
      <c r="N273" s="60" t="e">
        <f t="shared" si="232"/>
        <v>#DIV/0!</v>
      </c>
      <c r="O273" s="46">
        <f>CE_AdministraçãoINSS!B447</f>
        <v>0</v>
      </c>
      <c r="P273" s="46">
        <f>CE_AdministraçãoINSS!C447</f>
        <v>0</v>
      </c>
      <c r="Q273" s="46">
        <f>CE_AdministraçãoINSS!E447</f>
        <v>0</v>
      </c>
      <c r="R273" s="46">
        <f>CE_AdministraçãoINSS!S447</f>
        <v>0</v>
      </c>
      <c r="S273" s="60" t="e">
        <f t="shared" si="233"/>
        <v>#DIV/0!</v>
      </c>
      <c r="T273" s="60" t="e">
        <f t="shared" si="234"/>
        <v>#DIV/0!</v>
      </c>
      <c r="U273" s="46">
        <f t="shared" si="226"/>
        <v>0</v>
      </c>
      <c r="V273" s="46">
        <f t="shared" si="226"/>
        <v>0</v>
      </c>
      <c r="W273" s="46">
        <f t="shared" si="226"/>
        <v>0</v>
      </c>
      <c r="X273" s="46">
        <f t="shared" si="223"/>
        <v>0</v>
      </c>
      <c r="Y273" s="60" t="e">
        <f t="shared" si="235"/>
        <v>#DIV/0!</v>
      </c>
      <c r="Z273" s="60" t="e">
        <f t="shared" si="236"/>
        <v>#DIV/0!</v>
      </c>
      <c r="AA273" s="46">
        <f>CE_AdministraçãoFRSS!B447</f>
        <v>0</v>
      </c>
      <c r="AB273" s="46">
        <f>CE_AdministraçãoFRSS!C447</f>
        <v>0</v>
      </c>
      <c r="AC273" s="46">
        <f>CE_AdministraçãoFRSS!E447</f>
        <v>0</v>
      </c>
      <c r="AD273" s="46">
        <f>CE_AdministraçãoFRSS!S447</f>
        <v>0</v>
      </c>
      <c r="AE273" s="60" t="e">
        <f t="shared" si="237"/>
        <v>#DIV/0!</v>
      </c>
      <c r="AF273" s="60" t="e">
        <f t="shared" si="238"/>
        <v>#DIV/0!</v>
      </c>
      <c r="AG273" s="46">
        <f t="shared" si="227"/>
        <v>0</v>
      </c>
      <c r="AH273" s="46">
        <f t="shared" si="227"/>
        <v>0</v>
      </c>
      <c r="AI273" s="46">
        <f t="shared" si="227"/>
        <v>0</v>
      </c>
      <c r="AJ273" s="46">
        <f t="shared" si="224"/>
        <v>0</v>
      </c>
      <c r="AK273" s="60" t="e">
        <f t="shared" si="239"/>
        <v>#DIV/0!</v>
      </c>
      <c r="AL273" s="60" t="e">
        <f t="shared" si="240"/>
        <v>#DIV/0!</v>
      </c>
      <c r="AM273" s="46">
        <f t="shared" si="228"/>
        <v>0</v>
      </c>
      <c r="AN273" s="46">
        <f t="shared" si="228"/>
        <v>0</v>
      </c>
      <c r="AO273" s="46">
        <f t="shared" si="228"/>
        <v>0</v>
      </c>
      <c r="AP273" s="46">
        <f t="shared" si="225"/>
        <v>0</v>
      </c>
      <c r="AQ273" s="60" t="e">
        <f t="shared" si="241"/>
        <v>#DIV/0!</v>
      </c>
      <c r="AR273" s="60" t="e">
        <f t="shared" si="242"/>
        <v>#DIV/0!</v>
      </c>
      <c r="AT273" s="38"/>
      <c r="AU273" s="38"/>
      <c r="AV273" s="38"/>
      <c r="AW273" s="38"/>
      <c r="AY273" s="38"/>
      <c r="AZ273" s="38"/>
      <c r="BA273" s="38"/>
      <c r="BB273" s="38"/>
    </row>
    <row r="274" spans="1:54" x14ac:dyDescent="0.2">
      <c r="A274" s="45" t="str">
        <f>"505.01.03"</f>
        <v>505.01.03</v>
      </c>
      <c r="B274" s="47" t="s">
        <v>1035</v>
      </c>
      <c r="C274" s="46">
        <f>CE_RegimeContributivo!B448</f>
        <v>0</v>
      </c>
      <c r="D274" s="46">
        <f>CE_RegimeContributivo!C448</f>
        <v>0</v>
      </c>
      <c r="E274" s="46">
        <f>CE_RegimeContributivo!E448</f>
        <v>0</v>
      </c>
      <c r="F274" s="46">
        <f>CE_RegimeContributivo!S448</f>
        <v>0</v>
      </c>
      <c r="G274" s="60" t="e">
        <f t="shared" si="229"/>
        <v>#DIV/0!</v>
      </c>
      <c r="H274" s="60" t="e">
        <f t="shared" si="230"/>
        <v>#DIV/0!</v>
      </c>
      <c r="I274" s="46">
        <f>CE_RegimeNaoContributivo!B448</f>
        <v>0</v>
      </c>
      <c r="J274" s="46">
        <f>CE_RegimeNaoContributivo!C448</f>
        <v>0</v>
      </c>
      <c r="K274" s="46">
        <f>CE_RegimeNaoContributivo!E448</f>
        <v>0</v>
      </c>
      <c r="L274" s="46">
        <f>CE_RegimeNaoContributivo!S448</f>
        <v>0</v>
      </c>
      <c r="M274" s="60" t="e">
        <f t="shared" si="231"/>
        <v>#DIV/0!</v>
      </c>
      <c r="N274" s="60" t="e">
        <f t="shared" si="232"/>
        <v>#DIV/0!</v>
      </c>
      <c r="O274" s="46">
        <f>CE_AdministraçãoINSS!B448</f>
        <v>0</v>
      </c>
      <c r="P274" s="46">
        <f>CE_AdministraçãoINSS!C448</f>
        <v>0</v>
      </c>
      <c r="Q274" s="46">
        <f>CE_AdministraçãoINSS!E448</f>
        <v>0</v>
      </c>
      <c r="R274" s="46">
        <f>CE_AdministraçãoINSS!S448</f>
        <v>0</v>
      </c>
      <c r="S274" s="60" t="e">
        <f t="shared" si="233"/>
        <v>#DIV/0!</v>
      </c>
      <c r="T274" s="60" t="e">
        <f t="shared" si="234"/>
        <v>#DIV/0!</v>
      </c>
      <c r="U274" s="46">
        <f t="shared" si="226"/>
        <v>0</v>
      </c>
      <c r="V274" s="46">
        <f t="shared" si="226"/>
        <v>0</v>
      </c>
      <c r="W274" s="46">
        <f t="shared" si="226"/>
        <v>0</v>
      </c>
      <c r="X274" s="46">
        <f t="shared" si="223"/>
        <v>0</v>
      </c>
      <c r="Y274" s="60" t="e">
        <f t="shared" si="235"/>
        <v>#DIV/0!</v>
      </c>
      <c r="Z274" s="60" t="e">
        <f t="shared" si="236"/>
        <v>#DIV/0!</v>
      </c>
      <c r="AA274" s="46">
        <f>CE_AdministraçãoFRSS!B448</f>
        <v>0</v>
      </c>
      <c r="AB274" s="46">
        <f>CE_AdministraçãoFRSS!C448</f>
        <v>0</v>
      </c>
      <c r="AC274" s="46">
        <f>CE_AdministraçãoFRSS!E448</f>
        <v>0</v>
      </c>
      <c r="AD274" s="46">
        <f>CE_AdministraçãoFRSS!S448</f>
        <v>0</v>
      </c>
      <c r="AE274" s="60" t="e">
        <f t="shared" si="237"/>
        <v>#DIV/0!</v>
      </c>
      <c r="AF274" s="60" t="e">
        <f t="shared" si="238"/>
        <v>#DIV/0!</v>
      </c>
      <c r="AG274" s="46">
        <f t="shared" si="227"/>
        <v>0</v>
      </c>
      <c r="AH274" s="46">
        <f t="shared" si="227"/>
        <v>0</v>
      </c>
      <c r="AI274" s="46">
        <f t="shared" si="227"/>
        <v>0</v>
      </c>
      <c r="AJ274" s="46">
        <f t="shared" si="224"/>
        <v>0</v>
      </c>
      <c r="AK274" s="60" t="e">
        <f t="shared" si="239"/>
        <v>#DIV/0!</v>
      </c>
      <c r="AL274" s="60" t="e">
        <f t="shared" si="240"/>
        <v>#DIV/0!</v>
      </c>
      <c r="AM274" s="46">
        <f t="shared" si="228"/>
        <v>0</v>
      </c>
      <c r="AN274" s="46">
        <f t="shared" si="228"/>
        <v>0</v>
      </c>
      <c r="AO274" s="46">
        <f t="shared" si="228"/>
        <v>0</v>
      </c>
      <c r="AP274" s="46">
        <f t="shared" si="225"/>
        <v>0</v>
      </c>
      <c r="AQ274" s="60" t="e">
        <f t="shared" si="241"/>
        <v>#DIV/0!</v>
      </c>
      <c r="AR274" s="60" t="e">
        <f t="shared" si="242"/>
        <v>#DIV/0!</v>
      </c>
      <c r="AT274" s="38"/>
      <c r="AU274" s="38"/>
      <c r="AV274" s="38"/>
      <c r="AW274" s="38"/>
      <c r="AY274" s="38"/>
      <c r="AZ274" s="38"/>
      <c r="BA274" s="38"/>
      <c r="BB274" s="38"/>
    </row>
    <row r="275" spans="1:54" x14ac:dyDescent="0.2">
      <c r="A275" s="45" t="str">
        <f>"505.01.04"</f>
        <v>505.01.04</v>
      </c>
      <c r="B275" s="47" t="s">
        <v>1036</v>
      </c>
      <c r="C275" s="46">
        <f>CE_RegimeContributivo!B449</f>
        <v>0</v>
      </c>
      <c r="D275" s="46">
        <f>CE_RegimeContributivo!C449</f>
        <v>0</v>
      </c>
      <c r="E275" s="46">
        <f>CE_RegimeContributivo!E449</f>
        <v>0</v>
      </c>
      <c r="F275" s="46">
        <f>CE_RegimeContributivo!S449</f>
        <v>0</v>
      </c>
      <c r="G275" s="60" t="e">
        <f t="shared" si="229"/>
        <v>#DIV/0!</v>
      </c>
      <c r="H275" s="60" t="e">
        <f t="shared" si="230"/>
        <v>#DIV/0!</v>
      </c>
      <c r="I275" s="46">
        <f>CE_RegimeNaoContributivo!B449</f>
        <v>0</v>
      </c>
      <c r="J275" s="46">
        <f>CE_RegimeNaoContributivo!C449</f>
        <v>0</v>
      </c>
      <c r="K275" s="46">
        <f>CE_RegimeNaoContributivo!E449</f>
        <v>0</v>
      </c>
      <c r="L275" s="46">
        <f>CE_RegimeNaoContributivo!S449</f>
        <v>0</v>
      </c>
      <c r="M275" s="60" t="e">
        <f t="shared" si="231"/>
        <v>#DIV/0!</v>
      </c>
      <c r="N275" s="60" t="e">
        <f t="shared" si="232"/>
        <v>#DIV/0!</v>
      </c>
      <c r="O275" s="46">
        <f>CE_AdministraçãoINSS!B449</f>
        <v>0</v>
      </c>
      <c r="P275" s="46">
        <f>CE_AdministraçãoINSS!C449</f>
        <v>0</v>
      </c>
      <c r="Q275" s="46">
        <f>CE_AdministraçãoINSS!E449</f>
        <v>0</v>
      </c>
      <c r="R275" s="46">
        <f>CE_AdministraçãoINSS!S449</f>
        <v>0</v>
      </c>
      <c r="S275" s="60" t="e">
        <f t="shared" si="233"/>
        <v>#DIV/0!</v>
      </c>
      <c r="T275" s="60" t="e">
        <f t="shared" si="234"/>
        <v>#DIV/0!</v>
      </c>
      <c r="U275" s="46">
        <f t="shared" si="226"/>
        <v>0</v>
      </c>
      <c r="V275" s="46">
        <f t="shared" si="226"/>
        <v>0</v>
      </c>
      <c r="W275" s="46">
        <f t="shared" si="226"/>
        <v>0</v>
      </c>
      <c r="X275" s="46">
        <f t="shared" si="223"/>
        <v>0</v>
      </c>
      <c r="Y275" s="60" t="e">
        <f t="shared" si="235"/>
        <v>#DIV/0!</v>
      </c>
      <c r="Z275" s="60" t="e">
        <f t="shared" si="236"/>
        <v>#DIV/0!</v>
      </c>
      <c r="AA275" s="46">
        <f>CE_AdministraçãoFRSS!B449</f>
        <v>0</v>
      </c>
      <c r="AB275" s="46">
        <f>CE_AdministraçãoFRSS!C449</f>
        <v>0</v>
      </c>
      <c r="AC275" s="46">
        <f>CE_AdministraçãoFRSS!E449</f>
        <v>0</v>
      </c>
      <c r="AD275" s="46">
        <f>CE_AdministraçãoFRSS!S449</f>
        <v>0</v>
      </c>
      <c r="AE275" s="60" t="e">
        <f t="shared" si="237"/>
        <v>#DIV/0!</v>
      </c>
      <c r="AF275" s="60" t="e">
        <f t="shared" si="238"/>
        <v>#DIV/0!</v>
      </c>
      <c r="AG275" s="46">
        <f t="shared" si="227"/>
        <v>0</v>
      </c>
      <c r="AH275" s="46">
        <f t="shared" si="227"/>
        <v>0</v>
      </c>
      <c r="AI275" s="46">
        <f t="shared" si="227"/>
        <v>0</v>
      </c>
      <c r="AJ275" s="46">
        <f t="shared" si="224"/>
        <v>0</v>
      </c>
      <c r="AK275" s="60" t="e">
        <f t="shared" si="239"/>
        <v>#DIV/0!</v>
      </c>
      <c r="AL275" s="60" t="e">
        <f t="shared" si="240"/>
        <v>#DIV/0!</v>
      </c>
      <c r="AM275" s="46">
        <f t="shared" si="228"/>
        <v>0</v>
      </c>
      <c r="AN275" s="46">
        <f t="shared" si="228"/>
        <v>0</v>
      </c>
      <c r="AO275" s="46">
        <f t="shared" si="228"/>
        <v>0</v>
      </c>
      <c r="AP275" s="46">
        <f t="shared" si="225"/>
        <v>0</v>
      </c>
      <c r="AQ275" s="60" t="e">
        <f t="shared" si="241"/>
        <v>#DIV/0!</v>
      </c>
      <c r="AR275" s="60" t="e">
        <f t="shared" si="242"/>
        <v>#DIV/0!</v>
      </c>
      <c r="AT275" s="38"/>
      <c r="AU275" s="38"/>
      <c r="AV275" s="38"/>
      <c r="AW275" s="38"/>
      <c r="AY275" s="38"/>
      <c r="AZ275" s="38"/>
      <c r="BA275" s="38"/>
      <c r="BB275" s="38"/>
    </row>
    <row r="276" spans="1:54" x14ac:dyDescent="0.2">
      <c r="A276" s="45" t="str">
        <f>"505.01.05"</f>
        <v>505.01.05</v>
      </c>
      <c r="B276" s="47" t="s">
        <v>1037</v>
      </c>
      <c r="C276" s="46">
        <f>CE_RegimeContributivo!B450</f>
        <v>0</v>
      </c>
      <c r="D276" s="46">
        <f>CE_RegimeContributivo!C450</f>
        <v>0</v>
      </c>
      <c r="E276" s="46">
        <f>CE_RegimeContributivo!E450</f>
        <v>0</v>
      </c>
      <c r="F276" s="46">
        <f>CE_RegimeContributivo!S450</f>
        <v>0</v>
      </c>
      <c r="G276" s="60" t="e">
        <f t="shared" si="229"/>
        <v>#DIV/0!</v>
      </c>
      <c r="H276" s="60" t="e">
        <f t="shared" si="230"/>
        <v>#DIV/0!</v>
      </c>
      <c r="I276" s="46">
        <f>CE_RegimeNaoContributivo!B450</f>
        <v>0</v>
      </c>
      <c r="J276" s="46">
        <f>CE_RegimeNaoContributivo!C450</f>
        <v>0</v>
      </c>
      <c r="K276" s="46">
        <f>CE_RegimeNaoContributivo!E450</f>
        <v>0</v>
      </c>
      <c r="L276" s="46">
        <f>CE_RegimeNaoContributivo!S450</f>
        <v>0</v>
      </c>
      <c r="M276" s="60" t="e">
        <f t="shared" si="231"/>
        <v>#DIV/0!</v>
      </c>
      <c r="N276" s="60" t="e">
        <f t="shared" si="232"/>
        <v>#DIV/0!</v>
      </c>
      <c r="O276" s="46">
        <f>CE_AdministraçãoINSS!B450</f>
        <v>0</v>
      </c>
      <c r="P276" s="46">
        <f>CE_AdministraçãoINSS!C450</f>
        <v>0</v>
      </c>
      <c r="Q276" s="46">
        <f>CE_AdministraçãoINSS!E450</f>
        <v>0</v>
      </c>
      <c r="R276" s="46">
        <f>CE_AdministraçãoINSS!S450</f>
        <v>0</v>
      </c>
      <c r="S276" s="60" t="e">
        <f t="shared" si="233"/>
        <v>#DIV/0!</v>
      </c>
      <c r="T276" s="60" t="e">
        <f t="shared" si="234"/>
        <v>#DIV/0!</v>
      </c>
      <c r="U276" s="46">
        <f t="shared" si="226"/>
        <v>0</v>
      </c>
      <c r="V276" s="46">
        <f t="shared" si="226"/>
        <v>0</v>
      </c>
      <c r="W276" s="46">
        <f t="shared" si="226"/>
        <v>0</v>
      </c>
      <c r="X276" s="46">
        <f t="shared" si="223"/>
        <v>0</v>
      </c>
      <c r="Y276" s="60" t="e">
        <f t="shared" si="235"/>
        <v>#DIV/0!</v>
      </c>
      <c r="Z276" s="60" t="e">
        <f t="shared" si="236"/>
        <v>#DIV/0!</v>
      </c>
      <c r="AA276" s="46">
        <f>CE_AdministraçãoFRSS!B450</f>
        <v>0</v>
      </c>
      <c r="AB276" s="46">
        <f>CE_AdministraçãoFRSS!C450</f>
        <v>0</v>
      </c>
      <c r="AC276" s="46">
        <f>CE_AdministraçãoFRSS!E450</f>
        <v>0</v>
      </c>
      <c r="AD276" s="46">
        <f>CE_AdministraçãoFRSS!S450</f>
        <v>0</v>
      </c>
      <c r="AE276" s="60" t="e">
        <f t="shared" si="237"/>
        <v>#DIV/0!</v>
      </c>
      <c r="AF276" s="60" t="e">
        <f t="shared" si="238"/>
        <v>#DIV/0!</v>
      </c>
      <c r="AG276" s="46">
        <f t="shared" si="227"/>
        <v>0</v>
      </c>
      <c r="AH276" s="46">
        <f t="shared" si="227"/>
        <v>0</v>
      </c>
      <c r="AI276" s="46">
        <f t="shared" si="227"/>
        <v>0</v>
      </c>
      <c r="AJ276" s="46">
        <f t="shared" si="224"/>
        <v>0</v>
      </c>
      <c r="AK276" s="60" t="e">
        <f t="shared" si="239"/>
        <v>#DIV/0!</v>
      </c>
      <c r="AL276" s="60" t="e">
        <f t="shared" si="240"/>
        <v>#DIV/0!</v>
      </c>
      <c r="AM276" s="46">
        <f t="shared" si="228"/>
        <v>0</v>
      </c>
      <c r="AN276" s="46">
        <f t="shared" si="228"/>
        <v>0</v>
      </c>
      <c r="AO276" s="46">
        <f t="shared" si="228"/>
        <v>0</v>
      </c>
      <c r="AP276" s="46">
        <f t="shared" si="225"/>
        <v>0</v>
      </c>
      <c r="AQ276" s="60" t="e">
        <f t="shared" si="241"/>
        <v>#DIV/0!</v>
      </c>
      <c r="AR276" s="60" t="e">
        <f t="shared" si="242"/>
        <v>#DIV/0!</v>
      </c>
      <c r="AT276" s="38"/>
      <c r="AU276" s="38"/>
      <c r="AV276" s="38"/>
      <c r="AW276" s="38"/>
      <c r="AY276" s="38"/>
      <c r="AZ276" s="38"/>
      <c r="BA276" s="38"/>
      <c r="BB276" s="38"/>
    </row>
    <row r="277" spans="1:54" x14ac:dyDescent="0.2">
      <c r="A277" s="45" t="str">
        <f>"505.01.06"</f>
        <v>505.01.06</v>
      </c>
      <c r="B277" s="47" t="s">
        <v>1038</v>
      </c>
      <c r="C277" s="46">
        <f>CE_RegimeContributivo!B451</f>
        <v>0</v>
      </c>
      <c r="D277" s="46">
        <f>CE_RegimeContributivo!C451</f>
        <v>0</v>
      </c>
      <c r="E277" s="46">
        <f>CE_RegimeContributivo!E451</f>
        <v>0</v>
      </c>
      <c r="F277" s="46">
        <f>CE_RegimeContributivo!S451</f>
        <v>0</v>
      </c>
      <c r="G277" s="60" t="e">
        <f t="shared" si="229"/>
        <v>#DIV/0!</v>
      </c>
      <c r="H277" s="60" t="e">
        <f t="shared" si="230"/>
        <v>#DIV/0!</v>
      </c>
      <c r="I277" s="46">
        <f>CE_RegimeNaoContributivo!B451</f>
        <v>0</v>
      </c>
      <c r="J277" s="46">
        <f>CE_RegimeNaoContributivo!C451</f>
        <v>0</v>
      </c>
      <c r="K277" s="46">
        <f>CE_RegimeNaoContributivo!E451</f>
        <v>0</v>
      </c>
      <c r="L277" s="46">
        <f>CE_RegimeNaoContributivo!S451</f>
        <v>0</v>
      </c>
      <c r="M277" s="60" t="e">
        <f t="shared" si="231"/>
        <v>#DIV/0!</v>
      </c>
      <c r="N277" s="60" t="e">
        <f t="shared" si="232"/>
        <v>#DIV/0!</v>
      </c>
      <c r="O277" s="46">
        <f>CE_AdministraçãoINSS!B451</f>
        <v>0</v>
      </c>
      <c r="P277" s="46">
        <f>CE_AdministraçãoINSS!C451</f>
        <v>0</v>
      </c>
      <c r="Q277" s="46">
        <f>CE_AdministraçãoINSS!E451</f>
        <v>0</v>
      </c>
      <c r="R277" s="46">
        <f>CE_AdministraçãoINSS!S451</f>
        <v>0</v>
      </c>
      <c r="S277" s="60" t="e">
        <f t="shared" si="233"/>
        <v>#DIV/0!</v>
      </c>
      <c r="T277" s="60" t="e">
        <f t="shared" si="234"/>
        <v>#DIV/0!</v>
      </c>
      <c r="U277" s="46">
        <f t="shared" si="226"/>
        <v>0</v>
      </c>
      <c r="V277" s="46">
        <f t="shared" si="226"/>
        <v>0</v>
      </c>
      <c r="W277" s="46">
        <f t="shared" si="226"/>
        <v>0</v>
      </c>
      <c r="X277" s="46">
        <f t="shared" si="223"/>
        <v>0</v>
      </c>
      <c r="Y277" s="60" t="e">
        <f t="shared" si="235"/>
        <v>#DIV/0!</v>
      </c>
      <c r="Z277" s="60" t="e">
        <f t="shared" si="236"/>
        <v>#DIV/0!</v>
      </c>
      <c r="AA277" s="46">
        <f>CE_AdministraçãoFRSS!B451</f>
        <v>0</v>
      </c>
      <c r="AB277" s="46">
        <f>CE_AdministraçãoFRSS!C451</f>
        <v>0</v>
      </c>
      <c r="AC277" s="46">
        <f>CE_AdministraçãoFRSS!E451</f>
        <v>0</v>
      </c>
      <c r="AD277" s="46">
        <f>CE_AdministraçãoFRSS!S451</f>
        <v>0</v>
      </c>
      <c r="AE277" s="60" t="e">
        <f t="shared" si="237"/>
        <v>#DIV/0!</v>
      </c>
      <c r="AF277" s="60" t="e">
        <f t="shared" si="238"/>
        <v>#DIV/0!</v>
      </c>
      <c r="AG277" s="46">
        <f t="shared" si="227"/>
        <v>0</v>
      </c>
      <c r="AH277" s="46">
        <f t="shared" si="227"/>
        <v>0</v>
      </c>
      <c r="AI277" s="46">
        <f t="shared" si="227"/>
        <v>0</v>
      </c>
      <c r="AJ277" s="46">
        <f t="shared" si="224"/>
        <v>0</v>
      </c>
      <c r="AK277" s="60" t="e">
        <f t="shared" si="239"/>
        <v>#DIV/0!</v>
      </c>
      <c r="AL277" s="60" t="e">
        <f t="shared" si="240"/>
        <v>#DIV/0!</v>
      </c>
      <c r="AM277" s="46">
        <f t="shared" si="228"/>
        <v>0</v>
      </c>
      <c r="AN277" s="46">
        <f t="shared" si="228"/>
        <v>0</v>
      </c>
      <c r="AO277" s="46">
        <f t="shared" si="228"/>
        <v>0</v>
      </c>
      <c r="AP277" s="46">
        <f t="shared" si="225"/>
        <v>0</v>
      </c>
      <c r="AQ277" s="60" t="e">
        <f t="shared" si="241"/>
        <v>#DIV/0!</v>
      </c>
      <c r="AR277" s="60" t="e">
        <f t="shared" si="242"/>
        <v>#DIV/0!</v>
      </c>
      <c r="AT277" s="38"/>
      <c r="AU277" s="38"/>
      <c r="AV277" s="38"/>
      <c r="AW277" s="38"/>
      <c r="AY277" s="38"/>
      <c r="AZ277" s="38"/>
      <c r="BA277" s="38"/>
      <c r="BB277" s="38"/>
    </row>
    <row r="278" spans="1:54" x14ac:dyDescent="0.2">
      <c r="A278" s="45" t="str">
        <f>"505.01.07"</f>
        <v>505.01.07</v>
      </c>
      <c r="B278" s="47" t="s">
        <v>1039</v>
      </c>
      <c r="C278" s="46">
        <f>CE_RegimeContributivo!B452</f>
        <v>0</v>
      </c>
      <c r="D278" s="46">
        <f>CE_RegimeContributivo!C452</f>
        <v>0</v>
      </c>
      <c r="E278" s="46">
        <f>CE_RegimeContributivo!E452</f>
        <v>0</v>
      </c>
      <c r="F278" s="46">
        <f>CE_RegimeContributivo!S452</f>
        <v>0</v>
      </c>
      <c r="G278" s="60" t="e">
        <f t="shared" si="229"/>
        <v>#DIV/0!</v>
      </c>
      <c r="H278" s="60" t="e">
        <f t="shared" si="230"/>
        <v>#DIV/0!</v>
      </c>
      <c r="I278" s="46">
        <f>CE_RegimeNaoContributivo!B452</f>
        <v>0</v>
      </c>
      <c r="J278" s="46">
        <f>CE_RegimeNaoContributivo!C452</f>
        <v>0</v>
      </c>
      <c r="K278" s="46">
        <f>CE_RegimeNaoContributivo!E452</f>
        <v>0</v>
      </c>
      <c r="L278" s="46">
        <f>CE_RegimeNaoContributivo!S452</f>
        <v>0</v>
      </c>
      <c r="M278" s="60" t="e">
        <f t="shared" si="231"/>
        <v>#DIV/0!</v>
      </c>
      <c r="N278" s="60" t="e">
        <f t="shared" si="232"/>
        <v>#DIV/0!</v>
      </c>
      <c r="O278" s="46">
        <f>CE_AdministraçãoINSS!B452</f>
        <v>0</v>
      </c>
      <c r="P278" s="46">
        <f>CE_AdministraçãoINSS!C452</f>
        <v>0</v>
      </c>
      <c r="Q278" s="46">
        <f>CE_AdministraçãoINSS!E452</f>
        <v>0</v>
      </c>
      <c r="R278" s="46">
        <f>CE_AdministraçãoINSS!S452</f>
        <v>0</v>
      </c>
      <c r="S278" s="60" t="e">
        <f t="shared" si="233"/>
        <v>#DIV/0!</v>
      </c>
      <c r="T278" s="60" t="e">
        <f t="shared" si="234"/>
        <v>#DIV/0!</v>
      </c>
      <c r="U278" s="46">
        <f t="shared" si="226"/>
        <v>0</v>
      </c>
      <c r="V278" s="46">
        <f t="shared" si="226"/>
        <v>0</v>
      </c>
      <c r="W278" s="46">
        <f t="shared" si="226"/>
        <v>0</v>
      </c>
      <c r="X278" s="46">
        <f t="shared" si="223"/>
        <v>0</v>
      </c>
      <c r="Y278" s="60" t="e">
        <f t="shared" si="235"/>
        <v>#DIV/0!</v>
      </c>
      <c r="Z278" s="60" t="e">
        <f t="shared" si="236"/>
        <v>#DIV/0!</v>
      </c>
      <c r="AA278" s="46">
        <f>CE_AdministraçãoFRSS!B452</f>
        <v>0</v>
      </c>
      <c r="AB278" s="46">
        <f>CE_AdministraçãoFRSS!C452</f>
        <v>0</v>
      </c>
      <c r="AC278" s="46">
        <f>CE_AdministraçãoFRSS!E452</f>
        <v>0</v>
      </c>
      <c r="AD278" s="46">
        <f>CE_AdministraçãoFRSS!S452</f>
        <v>0</v>
      </c>
      <c r="AE278" s="60" t="e">
        <f t="shared" si="237"/>
        <v>#DIV/0!</v>
      </c>
      <c r="AF278" s="60" t="e">
        <f t="shared" si="238"/>
        <v>#DIV/0!</v>
      </c>
      <c r="AG278" s="46">
        <f t="shared" si="227"/>
        <v>0</v>
      </c>
      <c r="AH278" s="46">
        <f t="shared" si="227"/>
        <v>0</v>
      </c>
      <c r="AI278" s="46">
        <f t="shared" si="227"/>
        <v>0</v>
      </c>
      <c r="AJ278" s="46">
        <f t="shared" si="224"/>
        <v>0</v>
      </c>
      <c r="AK278" s="60" t="e">
        <f t="shared" si="239"/>
        <v>#DIV/0!</v>
      </c>
      <c r="AL278" s="60" t="e">
        <f t="shared" si="240"/>
        <v>#DIV/0!</v>
      </c>
      <c r="AM278" s="46">
        <f t="shared" si="228"/>
        <v>0</v>
      </c>
      <c r="AN278" s="46">
        <f t="shared" si="228"/>
        <v>0</v>
      </c>
      <c r="AO278" s="46">
        <f t="shared" si="228"/>
        <v>0</v>
      </c>
      <c r="AP278" s="46">
        <f t="shared" si="225"/>
        <v>0</v>
      </c>
      <c r="AQ278" s="60" t="e">
        <f t="shared" si="241"/>
        <v>#DIV/0!</v>
      </c>
      <c r="AR278" s="60" t="e">
        <f t="shared" si="242"/>
        <v>#DIV/0!</v>
      </c>
      <c r="AT278" s="38"/>
      <c r="AU278" s="38"/>
      <c r="AV278" s="38"/>
      <c r="AW278" s="38"/>
      <c r="AY278" s="38"/>
      <c r="AZ278" s="38"/>
      <c r="BA278" s="38"/>
      <c r="BB278" s="38"/>
    </row>
    <row r="279" spans="1:54" x14ac:dyDescent="0.2">
      <c r="A279" s="45" t="str">
        <f>"505.01.08"</f>
        <v>505.01.08</v>
      </c>
      <c r="B279" s="47" t="s">
        <v>1040</v>
      </c>
      <c r="C279" s="46">
        <f>CE_RegimeContributivo!B453</f>
        <v>0</v>
      </c>
      <c r="D279" s="46">
        <f>CE_RegimeContributivo!C453</f>
        <v>0</v>
      </c>
      <c r="E279" s="46">
        <f>CE_RegimeContributivo!E453</f>
        <v>0</v>
      </c>
      <c r="F279" s="46">
        <f>CE_RegimeContributivo!S453</f>
        <v>0</v>
      </c>
      <c r="G279" s="60" t="e">
        <f t="shared" si="229"/>
        <v>#DIV/0!</v>
      </c>
      <c r="H279" s="60" t="e">
        <f t="shared" si="230"/>
        <v>#DIV/0!</v>
      </c>
      <c r="I279" s="46">
        <f>CE_RegimeNaoContributivo!B453</f>
        <v>0</v>
      </c>
      <c r="J279" s="46">
        <f>CE_RegimeNaoContributivo!C453</f>
        <v>0</v>
      </c>
      <c r="K279" s="46">
        <f>CE_RegimeNaoContributivo!E453</f>
        <v>0</v>
      </c>
      <c r="L279" s="46">
        <f>CE_RegimeNaoContributivo!S453</f>
        <v>0</v>
      </c>
      <c r="M279" s="60" t="e">
        <f t="shared" si="231"/>
        <v>#DIV/0!</v>
      </c>
      <c r="N279" s="60" t="e">
        <f t="shared" si="232"/>
        <v>#DIV/0!</v>
      </c>
      <c r="O279" s="46">
        <f>CE_AdministraçãoINSS!B453</f>
        <v>0</v>
      </c>
      <c r="P279" s="46">
        <f>CE_AdministraçãoINSS!C453</f>
        <v>0</v>
      </c>
      <c r="Q279" s="46">
        <f>CE_AdministraçãoINSS!E453</f>
        <v>0</v>
      </c>
      <c r="R279" s="46">
        <f>CE_AdministraçãoINSS!S453</f>
        <v>0</v>
      </c>
      <c r="S279" s="60" t="e">
        <f t="shared" si="233"/>
        <v>#DIV/0!</v>
      </c>
      <c r="T279" s="60" t="e">
        <f t="shared" si="234"/>
        <v>#DIV/0!</v>
      </c>
      <c r="U279" s="46">
        <f t="shared" si="226"/>
        <v>0</v>
      </c>
      <c r="V279" s="46">
        <f t="shared" si="226"/>
        <v>0</v>
      </c>
      <c r="W279" s="46">
        <f t="shared" si="226"/>
        <v>0</v>
      </c>
      <c r="X279" s="46">
        <f t="shared" si="223"/>
        <v>0</v>
      </c>
      <c r="Y279" s="60" t="e">
        <f t="shared" si="235"/>
        <v>#DIV/0!</v>
      </c>
      <c r="Z279" s="60" t="e">
        <f t="shared" si="236"/>
        <v>#DIV/0!</v>
      </c>
      <c r="AA279" s="46">
        <f>CE_AdministraçãoFRSS!B453</f>
        <v>0</v>
      </c>
      <c r="AB279" s="46">
        <f>CE_AdministraçãoFRSS!C453</f>
        <v>0</v>
      </c>
      <c r="AC279" s="46">
        <f>CE_AdministraçãoFRSS!E453</f>
        <v>0</v>
      </c>
      <c r="AD279" s="46">
        <f>CE_AdministraçãoFRSS!S453</f>
        <v>0</v>
      </c>
      <c r="AE279" s="60" t="e">
        <f t="shared" si="237"/>
        <v>#DIV/0!</v>
      </c>
      <c r="AF279" s="60" t="e">
        <f t="shared" si="238"/>
        <v>#DIV/0!</v>
      </c>
      <c r="AG279" s="46">
        <f t="shared" si="227"/>
        <v>0</v>
      </c>
      <c r="AH279" s="46">
        <f t="shared" si="227"/>
        <v>0</v>
      </c>
      <c r="AI279" s="46">
        <f t="shared" si="227"/>
        <v>0</v>
      </c>
      <c r="AJ279" s="46">
        <f t="shared" si="224"/>
        <v>0</v>
      </c>
      <c r="AK279" s="60" t="e">
        <f t="shared" si="239"/>
        <v>#DIV/0!</v>
      </c>
      <c r="AL279" s="60" t="e">
        <f t="shared" si="240"/>
        <v>#DIV/0!</v>
      </c>
      <c r="AM279" s="46">
        <f t="shared" si="228"/>
        <v>0</v>
      </c>
      <c r="AN279" s="46">
        <f t="shared" si="228"/>
        <v>0</v>
      </c>
      <c r="AO279" s="46">
        <f t="shared" si="228"/>
        <v>0</v>
      </c>
      <c r="AP279" s="46">
        <f t="shared" si="225"/>
        <v>0</v>
      </c>
      <c r="AQ279" s="60" t="e">
        <f t="shared" si="241"/>
        <v>#DIV/0!</v>
      </c>
      <c r="AR279" s="60" t="e">
        <f t="shared" si="242"/>
        <v>#DIV/0!</v>
      </c>
      <c r="AT279" s="38"/>
      <c r="AU279" s="38"/>
      <c r="AV279" s="38"/>
      <c r="AW279" s="38"/>
      <c r="AY279" s="38"/>
      <c r="AZ279" s="38"/>
      <c r="BA279" s="38"/>
      <c r="BB279" s="38"/>
    </row>
    <row r="280" spans="1:54" x14ac:dyDescent="0.2">
      <c r="A280" s="45" t="str">
        <f>"505.01.09"</f>
        <v>505.01.09</v>
      </c>
      <c r="B280" s="47" t="s">
        <v>1041</v>
      </c>
      <c r="C280" s="46">
        <f>CE_RegimeContributivo!B454</f>
        <v>0</v>
      </c>
      <c r="D280" s="46">
        <f>CE_RegimeContributivo!C454</f>
        <v>0</v>
      </c>
      <c r="E280" s="46">
        <f>CE_RegimeContributivo!E454</f>
        <v>0</v>
      </c>
      <c r="F280" s="46">
        <f>CE_RegimeContributivo!S454</f>
        <v>0</v>
      </c>
      <c r="G280" s="60" t="e">
        <f t="shared" si="229"/>
        <v>#DIV/0!</v>
      </c>
      <c r="H280" s="60" t="e">
        <f t="shared" si="230"/>
        <v>#DIV/0!</v>
      </c>
      <c r="I280" s="46">
        <f>CE_RegimeNaoContributivo!B454</f>
        <v>0</v>
      </c>
      <c r="J280" s="46">
        <f>CE_RegimeNaoContributivo!C454</f>
        <v>0</v>
      </c>
      <c r="K280" s="46">
        <f>CE_RegimeNaoContributivo!E454</f>
        <v>0</v>
      </c>
      <c r="L280" s="46">
        <f>CE_RegimeNaoContributivo!S454</f>
        <v>0</v>
      </c>
      <c r="M280" s="60" t="e">
        <f t="shared" si="231"/>
        <v>#DIV/0!</v>
      </c>
      <c r="N280" s="60" t="e">
        <f t="shared" si="232"/>
        <v>#DIV/0!</v>
      </c>
      <c r="O280" s="46">
        <f>CE_AdministraçãoINSS!B454</f>
        <v>0</v>
      </c>
      <c r="P280" s="46">
        <f>CE_AdministraçãoINSS!C454</f>
        <v>0</v>
      </c>
      <c r="Q280" s="46">
        <f>CE_AdministraçãoINSS!E454</f>
        <v>0</v>
      </c>
      <c r="R280" s="46">
        <f>CE_AdministraçãoINSS!S454</f>
        <v>0</v>
      </c>
      <c r="S280" s="60" t="e">
        <f t="shared" si="233"/>
        <v>#DIV/0!</v>
      </c>
      <c r="T280" s="60" t="e">
        <f t="shared" si="234"/>
        <v>#DIV/0!</v>
      </c>
      <c r="U280" s="46">
        <f t="shared" si="226"/>
        <v>0</v>
      </c>
      <c r="V280" s="46">
        <f t="shared" si="226"/>
        <v>0</v>
      </c>
      <c r="W280" s="46">
        <f t="shared" si="226"/>
        <v>0</v>
      </c>
      <c r="X280" s="46">
        <f t="shared" si="223"/>
        <v>0</v>
      </c>
      <c r="Y280" s="60" t="e">
        <f t="shared" si="235"/>
        <v>#DIV/0!</v>
      </c>
      <c r="Z280" s="60" t="e">
        <f t="shared" si="236"/>
        <v>#DIV/0!</v>
      </c>
      <c r="AA280" s="46">
        <f>CE_AdministraçãoFRSS!B454</f>
        <v>0</v>
      </c>
      <c r="AB280" s="46">
        <f>CE_AdministraçãoFRSS!C454</f>
        <v>0</v>
      </c>
      <c r="AC280" s="46">
        <f>CE_AdministraçãoFRSS!E454</f>
        <v>0</v>
      </c>
      <c r="AD280" s="46">
        <f>CE_AdministraçãoFRSS!S454</f>
        <v>0</v>
      </c>
      <c r="AE280" s="60" t="e">
        <f t="shared" si="237"/>
        <v>#DIV/0!</v>
      </c>
      <c r="AF280" s="60" t="e">
        <f t="shared" si="238"/>
        <v>#DIV/0!</v>
      </c>
      <c r="AG280" s="46">
        <f t="shared" si="227"/>
        <v>0</v>
      </c>
      <c r="AH280" s="46">
        <f t="shared" si="227"/>
        <v>0</v>
      </c>
      <c r="AI280" s="46">
        <f t="shared" si="227"/>
        <v>0</v>
      </c>
      <c r="AJ280" s="46">
        <f t="shared" si="224"/>
        <v>0</v>
      </c>
      <c r="AK280" s="60" t="e">
        <f t="shared" si="239"/>
        <v>#DIV/0!</v>
      </c>
      <c r="AL280" s="60" t="e">
        <f t="shared" si="240"/>
        <v>#DIV/0!</v>
      </c>
      <c r="AM280" s="46">
        <f t="shared" si="228"/>
        <v>0</v>
      </c>
      <c r="AN280" s="46">
        <f t="shared" si="228"/>
        <v>0</v>
      </c>
      <c r="AO280" s="46">
        <f t="shared" si="228"/>
        <v>0</v>
      </c>
      <c r="AP280" s="46">
        <f t="shared" si="225"/>
        <v>0</v>
      </c>
      <c r="AQ280" s="60" t="e">
        <f t="shared" si="241"/>
        <v>#DIV/0!</v>
      </c>
      <c r="AR280" s="60" t="e">
        <f t="shared" si="242"/>
        <v>#DIV/0!</v>
      </c>
      <c r="AT280" s="38"/>
      <c r="AU280" s="38"/>
      <c r="AV280" s="38"/>
      <c r="AW280" s="38"/>
      <c r="AY280" s="38"/>
      <c r="AZ280" s="38"/>
      <c r="BA280" s="38"/>
      <c r="BB280" s="38"/>
    </row>
    <row r="281" spans="1:54" x14ac:dyDescent="0.2">
      <c r="A281" s="45" t="str">
        <f>"505.01.10"</f>
        <v>505.01.10</v>
      </c>
      <c r="B281" s="47" t="s">
        <v>1042</v>
      </c>
      <c r="C281" s="46">
        <f>CE_RegimeContributivo!B455</f>
        <v>0</v>
      </c>
      <c r="D281" s="46">
        <f>CE_RegimeContributivo!C455</f>
        <v>0</v>
      </c>
      <c r="E281" s="46">
        <f>CE_RegimeContributivo!E455</f>
        <v>0</v>
      </c>
      <c r="F281" s="46">
        <f>CE_RegimeContributivo!S455</f>
        <v>0</v>
      </c>
      <c r="G281" s="60" t="e">
        <f t="shared" si="229"/>
        <v>#DIV/0!</v>
      </c>
      <c r="H281" s="60" t="e">
        <f t="shared" si="230"/>
        <v>#DIV/0!</v>
      </c>
      <c r="I281" s="46">
        <f>CE_RegimeNaoContributivo!B455</f>
        <v>0</v>
      </c>
      <c r="J281" s="46">
        <f>CE_RegimeNaoContributivo!C455</f>
        <v>0</v>
      </c>
      <c r="K281" s="46">
        <f>CE_RegimeNaoContributivo!E455</f>
        <v>0</v>
      </c>
      <c r="L281" s="46">
        <f>CE_RegimeNaoContributivo!S455</f>
        <v>0</v>
      </c>
      <c r="M281" s="60" t="e">
        <f t="shared" si="231"/>
        <v>#DIV/0!</v>
      </c>
      <c r="N281" s="60" t="e">
        <f t="shared" si="232"/>
        <v>#DIV/0!</v>
      </c>
      <c r="O281" s="46">
        <f>CE_AdministraçãoINSS!B455</f>
        <v>0</v>
      </c>
      <c r="P281" s="46">
        <f>CE_AdministraçãoINSS!C455</f>
        <v>0</v>
      </c>
      <c r="Q281" s="46">
        <f>CE_AdministraçãoINSS!E455</f>
        <v>0</v>
      </c>
      <c r="R281" s="46">
        <f>CE_AdministraçãoINSS!S455</f>
        <v>0</v>
      </c>
      <c r="S281" s="60" t="e">
        <f t="shared" si="233"/>
        <v>#DIV/0!</v>
      </c>
      <c r="T281" s="60" t="e">
        <f t="shared" si="234"/>
        <v>#DIV/0!</v>
      </c>
      <c r="U281" s="46">
        <f t="shared" si="226"/>
        <v>0</v>
      </c>
      <c r="V281" s="46">
        <f t="shared" si="226"/>
        <v>0</v>
      </c>
      <c r="W281" s="46">
        <f t="shared" si="226"/>
        <v>0</v>
      </c>
      <c r="X281" s="46">
        <f t="shared" si="223"/>
        <v>0</v>
      </c>
      <c r="Y281" s="60" t="e">
        <f t="shared" si="235"/>
        <v>#DIV/0!</v>
      </c>
      <c r="Z281" s="60" t="e">
        <f t="shared" si="236"/>
        <v>#DIV/0!</v>
      </c>
      <c r="AA281" s="46">
        <f>CE_AdministraçãoFRSS!B455</f>
        <v>0</v>
      </c>
      <c r="AB281" s="46">
        <f>CE_AdministraçãoFRSS!C455</f>
        <v>0</v>
      </c>
      <c r="AC281" s="46">
        <f>CE_AdministraçãoFRSS!E455</f>
        <v>0</v>
      </c>
      <c r="AD281" s="46">
        <f>CE_AdministraçãoFRSS!S455</f>
        <v>0</v>
      </c>
      <c r="AE281" s="60" t="e">
        <f t="shared" si="237"/>
        <v>#DIV/0!</v>
      </c>
      <c r="AF281" s="60" t="e">
        <f t="shared" si="238"/>
        <v>#DIV/0!</v>
      </c>
      <c r="AG281" s="46">
        <f t="shared" si="227"/>
        <v>0</v>
      </c>
      <c r="AH281" s="46">
        <f t="shared" si="227"/>
        <v>0</v>
      </c>
      <c r="AI281" s="46">
        <f t="shared" si="227"/>
        <v>0</v>
      </c>
      <c r="AJ281" s="46">
        <f t="shared" si="224"/>
        <v>0</v>
      </c>
      <c r="AK281" s="60" t="e">
        <f t="shared" si="239"/>
        <v>#DIV/0!</v>
      </c>
      <c r="AL281" s="60" t="e">
        <f t="shared" si="240"/>
        <v>#DIV/0!</v>
      </c>
      <c r="AM281" s="46">
        <f t="shared" si="228"/>
        <v>0</v>
      </c>
      <c r="AN281" s="46">
        <f t="shared" si="228"/>
        <v>0</v>
      </c>
      <c r="AO281" s="46">
        <f t="shared" si="228"/>
        <v>0</v>
      </c>
      <c r="AP281" s="46">
        <f t="shared" si="225"/>
        <v>0</v>
      </c>
      <c r="AQ281" s="60" t="e">
        <f t="shared" si="241"/>
        <v>#DIV/0!</v>
      </c>
      <c r="AR281" s="60" t="e">
        <f t="shared" si="242"/>
        <v>#DIV/0!</v>
      </c>
      <c r="AT281" s="38"/>
      <c r="AU281" s="38"/>
      <c r="AV281" s="38"/>
      <c r="AW281" s="38"/>
      <c r="AY281" s="38"/>
      <c r="AZ281" s="38"/>
      <c r="BA281" s="38"/>
      <c r="BB281" s="38"/>
    </row>
    <row r="282" spans="1:54" x14ac:dyDescent="0.2">
      <c r="A282" s="45" t="str">
        <f>"505.01.11"</f>
        <v>505.01.11</v>
      </c>
      <c r="B282" s="47" t="s">
        <v>1043</v>
      </c>
      <c r="C282" s="46">
        <f>CE_RegimeContributivo!B456</f>
        <v>0</v>
      </c>
      <c r="D282" s="46">
        <f>CE_RegimeContributivo!C456</f>
        <v>0</v>
      </c>
      <c r="E282" s="46">
        <f>CE_RegimeContributivo!E456</f>
        <v>0</v>
      </c>
      <c r="F282" s="46">
        <f>CE_RegimeContributivo!S456</f>
        <v>0</v>
      </c>
      <c r="G282" s="60" t="e">
        <f t="shared" si="229"/>
        <v>#DIV/0!</v>
      </c>
      <c r="H282" s="60" t="e">
        <f t="shared" si="230"/>
        <v>#DIV/0!</v>
      </c>
      <c r="I282" s="46">
        <f>CE_RegimeNaoContributivo!B456</f>
        <v>0</v>
      </c>
      <c r="J282" s="46">
        <f>CE_RegimeNaoContributivo!C456</f>
        <v>0</v>
      </c>
      <c r="K282" s="46">
        <f>CE_RegimeNaoContributivo!E456</f>
        <v>0</v>
      </c>
      <c r="L282" s="46">
        <f>CE_RegimeNaoContributivo!S456</f>
        <v>0</v>
      </c>
      <c r="M282" s="60" t="e">
        <f t="shared" si="231"/>
        <v>#DIV/0!</v>
      </c>
      <c r="N282" s="60" t="e">
        <f t="shared" si="232"/>
        <v>#DIV/0!</v>
      </c>
      <c r="O282" s="46">
        <f>CE_AdministraçãoINSS!B456</f>
        <v>0</v>
      </c>
      <c r="P282" s="46">
        <f>CE_AdministraçãoINSS!C456</f>
        <v>0</v>
      </c>
      <c r="Q282" s="46">
        <f>CE_AdministraçãoINSS!E456</f>
        <v>0</v>
      </c>
      <c r="R282" s="46">
        <f>CE_AdministraçãoINSS!S456</f>
        <v>0</v>
      </c>
      <c r="S282" s="60" t="e">
        <f t="shared" si="233"/>
        <v>#DIV/0!</v>
      </c>
      <c r="T282" s="60" t="e">
        <f t="shared" si="234"/>
        <v>#DIV/0!</v>
      </c>
      <c r="U282" s="46">
        <f t="shared" si="226"/>
        <v>0</v>
      </c>
      <c r="V282" s="46">
        <f t="shared" si="226"/>
        <v>0</v>
      </c>
      <c r="W282" s="46">
        <f t="shared" si="226"/>
        <v>0</v>
      </c>
      <c r="X282" s="46">
        <f t="shared" si="223"/>
        <v>0</v>
      </c>
      <c r="Y282" s="60" t="e">
        <f t="shared" si="235"/>
        <v>#DIV/0!</v>
      </c>
      <c r="Z282" s="60" t="e">
        <f t="shared" si="236"/>
        <v>#DIV/0!</v>
      </c>
      <c r="AA282" s="46">
        <f>CE_AdministraçãoFRSS!B456</f>
        <v>0</v>
      </c>
      <c r="AB282" s="46">
        <f>CE_AdministraçãoFRSS!C456</f>
        <v>0</v>
      </c>
      <c r="AC282" s="46">
        <f>CE_AdministraçãoFRSS!E456</f>
        <v>0</v>
      </c>
      <c r="AD282" s="46">
        <f>CE_AdministraçãoFRSS!S456</f>
        <v>0</v>
      </c>
      <c r="AE282" s="60" t="e">
        <f t="shared" si="237"/>
        <v>#DIV/0!</v>
      </c>
      <c r="AF282" s="60" t="e">
        <f t="shared" si="238"/>
        <v>#DIV/0!</v>
      </c>
      <c r="AG282" s="46">
        <f t="shared" si="227"/>
        <v>0</v>
      </c>
      <c r="AH282" s="46">
        <f t="shared" si="227"/>
        <v>0</v>
      </c>
      <c r="AI282" s="46">
        <f t="shared" si="227"/>
        <v>0</v>
      </c>
      <c r="AJ282" s="46">
        <f t="shared" si="224"/>
        <v>0</v>
      </c>
      <c r="AK282" s="60" t="e">
        <f t="shared" si="239"/>
        <v>#DIV/0!</v>
      </c>
      <c r="AL282" s="60" t="e">
        <f t="shared" si="240"/>
        <v>#DIV/0!</v>
      </c>
      <c r="AM282" s="46">
        <f t="shared" si="228"/>
        <v>0</v>
      </c>
      <c r="AN282" s="46">
        <f t="shared" si="228"/>
        <v>0</v>
      </c>
      <c r="AO282" s="46">
        <f t="shared" si="228"/>
        <v>0</v>
      </c>
      <c r="AP282" s="46">
        <f t="shared" si="225"/>
        <v>0</v>
      </c>
      <c r="AQ282" s="60" t="e">
        <f t="shared" si="241"/>
        <v>#DIV/0!</v>
      </c>
      <c r="AR282" s="60" t="e">
        <f t="shared" si="242"/>
        <v>#DIV/0!</v>
      </c>
      <c r="AT282" s="38"/>
      <c r="AU282" s="38"/>
      <c r="AV282" s="38"/>
      <c r="AW282" s="38"/>
      <c r="AY282" s="38"/>
      <c r="AZ282" s="38"/>
      <c r="BA282" s="38"/>
      <c r="BB282" s="38"/>
    </row>
    <row r="283" spans="1:54" x14ac:dyDescent="0.2">
      <c r="A283" s="45" t="str">
        <f>"505.01.12"</f>
        <v>505.01.12</v>
      </c>
      <c r="B283" s="47" t="s">
        <v>1044</v>
      </c>
      <c r="C283" s="46">
        <f>CE_RegimeContributivo!B457</f>
        <v>0</v>
      </c>
      <c r="D283" s="46">
        <f>CE_RegimeContributivo!C457</f>
        <v>0</v>
      </c>
      <c r="E283" s="46">
        <f>CE_RegimeContributivo!E457</f>
        <v>0</v>
      </c>
      <c r="F283" s="46">
        <f>CE_RegimeContributivo!S457</f>
        <v>0</v>
      </c>
      <c r="G283" s="60" t="e">
        <f t="shared" si="229"/>
        <v>#DIV/0!</v>
      </c>
      <c r="H283" s="60" t="e">
        <f t="shared" si="230"/>
        <v>#DIV/0!</v>
      </c>
      <c r="I283" s="46">
        <f>CE_RegimeNaoContributivo!B457</f>
        <v>0</v>
      </c>
      <c r="J283" s="46">
        <f>CE_RegimeNaoContributivo!C457</f>
        <v>0</v>
      </c>
      <c r="K283" s="46">
        <f>CE_RegimeNaoContributivo!E457</f>
        <v>0</v>
      </c>
      <c r="L283" s="46">
        <f>CE_RegimeNaoContributivo!S457</f>
        <v>0</v>
      </c>
      <c r="M283" s="60" t="e">
        <f t="shared" si="231"/>
        <v>#DIV/0!</v>
      </c>
      <c r="N283" s="60" t="e">
        <f t="shared" si="232"/>
        <v>#DIV/0!</v>
      </c>
      <c r="O283" s="46">
        <f>CE_AdministraçãoINSS!B457</f>
        <v>0</v>
      </c>
      <c r="P283" s="46">
        <f>CE_AdministraçãoINSS!C457</f>
        <v>0</v>
      </c>
      <c r="Q283" s="46">
        <f>CE_AdministraçãoINSS!E457</f>
        <v>0</v>
      </c>
      <c r="R283" s="46">
        <f>CE_AdministraçãoINSS!S457</f>
        <v>0</v>
      </c>
      <c r="S283" s="60" t="e">
        <f t="shared" si="233"/>
        <v>#DIV/0!</v>
      </c>
      <c r="T283" s="60" t="e">
        <f t="shared" si="234"/>
        <v>#DIV/0!</v>
      </c>
      <c r="U283" s="46">
        <f t="shared" si="226"/>
        <v>0</v>
      </c>
      <c r="V283" s="46">
        <f t="shared" si="226"/>
        <v>0</v>
      </c>
      <c r="W283" s="46">
        <f t="shared" si="226"/>
        <v>0</v>
      </c>
      <c r="X283" s="46">
        <f t="shared" si="223"/>
        <v>0</v>
      </c>
      <c r="Y283" s="60" t="e">
        <f t="shared" si="235"/>
        <v>#DIV/0!</v>
      </c>
      <c r="Z283" s="60" t="e">
        <f t="shared" si="236"/>
        <v>#DIV/0!</v>
      </c>
      <c r="AA283" s="46">
        <f>CE_AdministraçãoFRSS!B457</f>
        <v>0</v>
      </c>
      <c r="AB283" s="46">
        <f>CE_AdministraçãoFRSS!C457</f>
        <v>0</v>
      </c>
      <c r="AC283" s="46">
        <f>CE_AdministraçãoFRSS!E457</f>
        <v>0</v>
      </c>
      <c r="AD283" s="46">
        <f>CE_AdministraçãoFRSS!S457</f>
        <v>0</v>
      </c>
      <c r="AE283" s="60" t="e">
        <f t="shared" si="237"/>
        <v>#DIV/0!</v>
      </c>
      <c r="AF283" s="60" t="e">
        <f t="shared" si="238"/>
        <v>#DIV/0!</v>
      </c>
      <c r="AG283" s="46">
        <f t="shared" si="227"/>
        <v>0</v>
      </c>
      <c r="AH283" s="46">
        <f t="shared" si="227"/>
        <v>0</v>
      </c>
      <c r="AI283" s="46">
        <f t="shared" si="227"/>
        <v>0</v>
      </c>
      <c r="AJ283" s="46">
        <f t="shared" si="224"/>
        <v>0</v>
      </c>
      <c r="AK283" s="60" t="e">
        <f t="shared" si="239"/>
        <v>#DIV/0!</v>
      </c>
      <c r="AL283" s="60" t="e">
        <f t="shared" si="240"/>
        <v>#DIV/0!</v>
      </c>
      <c r="AM283" s="46">
        <f t="shared" si="228"/>
        <v>0</v>
      </c>
      <c r="AN283" s="46">
        <f t="shared" si="228"/>
        <v>0</v>
      </c>
      <c r="AO283" s="46">
        <f t="shared" si="228"/>
        <v>0</v>
      </c>
      <c r="AP283" s="46">
        <f t="shared" si="225"/>
        <v>0</v>
      </c>
      <c r="AQ283" s="60" t="e">
        <f t="shared" si="241"/>
        <v>#DIV/0!</v>
      </c>
      <c r="AR283" s="60" t="e">
        <f t="shared" si="242"/>
        <v>#DIV/0!</v>
      </c>
      <c r="AT283" s="38"/>
      <c r="AU283" s="38"/>
      <c r="AV283" s="38"/>
      <c r="AW283" s="38"/>
      <c r="AY283" s="38"/>
      <c r="AZ283" s="38"/>
      <c r="BA283" s="38"/>
      <c r="BB283" s="38"/>
    </row>
    <row r="284" spans="1:54" x14ac:dyDescent="0.2">
      <c r="A284" s="45" t="str">
        <f>"505.01.13"</f>
        <v>505.01.13</v>
      </c>
      <c r="B284" s="47" t="s">
        <v>1045</v>
      </c>
      <c r="C284" s="46">
        <f>CE_RegimeContributivo!B458</f>
        <v>0</v>
      </c>
      <c r="D284" s="46">
        <f>CE_RegimeContributivo!C458</f>
        <v>0</v>
      </c>
      <c r="E284" s="46">
        <f>CE_RegimeContributivo!E458</f>
        <v>0</v>
      </c>
      <c r="F284" s="46">
        <f>CE_RegimeContributivo!S458</f>
        <v>0</v>
      </c>
      <c r="G284" s="60" t="e">
        <f t="shared" si="229"/>
        <v>#DIV/0!</v>
      </c>
      <c r="H284" s="60" t="e">
        <f t="shared" si="230"/>
        <v>#DIV/0!</v>
      </c>
      <c r="I284" s="46">
        <f>CE_RegimeNaoContributivo!B458</f>
        <v>0</v>
      </c>
      <c r="J284" s="46">
        <f>CE_RegimeNaoContributivo!C458</f>
        <v>0</v>
      </c>
      <c r="K284" s="46">
        <f>CE_RegimeNaoContributivo!E458</f>
        <v>0</v>
      </c>
      <c r="L284" s="46">
        <f>CE_RegimeNaoContributivo!S458</f>
        <v>0</v>
      </c>
      <c r="M284" s="60" t="e">
        <f t="shared" si="231"/>
        <v>#DIV/0!</v>
      </c>
      <c r="N284" s="60" t="e">
        <f t="shared" si="232"/>
        <v>#DIV/0!</v>
      </c>
      <c r="O284" s="46">
        <f>CE_AdministraçãoINSS!B458</f>
        <v>0</v>
      </c>
      <c r="P284" s="46">
        <f>CE_AdministraçãoINSS!C458</f>
        <v>0</v>
      </c>
      <c r="Q284" s="46">
        <f>CE_AdministraçãoINSS!E458</f>
        <v>0</v>
      </c>
      <c r="R284" s="46">
        <f>CE_AdministraçãoINSS!S458</f>
        <v>0</v>
      </c>
      <c r="S284" s="60" t="e">
        <f t="shared" si="233"/>
        <v>#DIV/0!</v>
      </c>
      <c r="T284" s="60" t="e">
        <f t="shared" si="234"/>
        <v>#DIV/0!</v>
      </c>
      <c r="U284" s="46">
        <f t="shared" si="226"/>
        <v>0</v>
      </c>
      <c r="V284" s="46">
        <f t="shared" si="226"/>
        <v>0</v>
      </c>
      <c r="W284" s="46">
        <f t="shared" si="226"/>
        <v>0</v>
      </c>
      <c r="X284" s="46">
        <f t="shared" si="223"/>
        <v>0</v>
      </c>
      <c r="Y284" s="60" t="e">
        <f t="shared" si="235"/>
        <v>#DIV/0!</v>
      </c>
      <c r="Z284" s="60" t="e">
        <f t="shared" si="236"/>
        <v>#DIV/0!</v>
      </c>
      <c r="AA284" s="46">
        <f>CE_AdministraçãoFRSS!B458</f>
        <v>0</v>
      </c>
      <c r="AB284" s="46">
        <f>CE_AdministraçãoFRSS!C458</f>
        <v>0</v>
      </c>
      <c r="AC284" s="46">
        <f>CE_AdministraçãoFRSS!E458</f>
        <v>0</v>
      </c>
      <c r="AD284" s="46">
        <f>CE_AdministraçãoFRSS!S458</f>
        <v>0</v>
      </c>
      <c r="AE284" s="60" t="e">
        <f t="shared" si="237"/>
        <v>#DIV/0!</v>
      </c>
      <c r="AF284" s="60" t="e">
        <f t="shared" si="238"/>
        <v>#DIV/0!</v>
      </c>
      <c r="AG284" s="46">
        <f t="shared" si="227"/>
        <v>0</v>
      </c>
      <c r="AH284" s="46">
        <f t="shared" si="227"/>
        <v>0</v>
      </c>
      <c r="AI284" s="46">
        <f t="shared" si="227"/>
        <v>0</v>
      </c>
      <c r="AJ284" s="46">
        <f t="shared" si="224"/>
        <v>0</v>
      </c>
      <c r="AK284" s="60" t="e">
        <f t="shared" si="239"/>
        <v>#DIV/0!</v>
      </c>
      <c r="AL284" s="60" t="e">
        <f t="shared" si="240"/>
        <v>#DIV/0!</v>
      </c>
      <c r="AM284" s="46">
        <f t="shared" si="228"/>
        <v>0</v>
      </c>
      <c r="AN284" s="46">
        <f t="shared" si="228"/>
        <v>0</v>
      </c>
      <c r="AO284" s="46">
        <f t="shared" si="228"/>
        <v>0</v>
      </c>
      <c r="AP284" s="46">
        <f t="shared" si="225"/>
        <v>0</v>
      </c>
      <c r="AQ284" s="60" t="e">
        <f t="shared" si="241"/>
        <v>#DIV/0!</v>
      </c>
      <c r="AR284" s="60" t="e">
        <f t="shared" si="242"/>
        <v>#DIV/0!</v>
      </c>
      <c r="AT284" s="38"/>
      <c r="AU284" s="38"/>
      <c r="AV284" s="38"/>
      <c r="AW284" s="38"/>
      <c r="AY284" s="38"/>
      <c r="AZ284" s="38"/>
      <c r="BA284" s="38"/>
      <c r="BB284" s="38"/>
    </row>
    <row r="285" spans="1:54" x14ac:dyDescent="0.2">
      <c r="A285" s="45" t="str">
        <f>"505.01.14"</f>
        <v>505.01.14</v>
      </c>
      <c r="B285" s="47" t="s">
        <v>1046</v>
      </c>
      <c r="C285" s="46">
        <f>CE_RegimeContributivo!B459</f>
        <v>0</v>
      </c>
      <c r="D285" s="46">
        <f>CE_RegimeContributivo!C459</f>
        <v>0</v>
      </c>
      <c r="E285" s="46">
        <f>CE_RegimeContributivo!E459</f>
        <v>0</v>
      </c>
      <c r="F285" s="46">
        <f>CE_RegimeContributivo!S459</f>
        <v>0</v>
      </c>
      <c r="G285" s="60" t="e">
        <f t="shared" si="229"/>
        <v>#DIV/0!</v>
      </c>
      <c r="H285" s="60" t="e">
        <f t="shared" si="230"/>
        <v>#DIV/0!</v>
      </c>
      <c r="I285" s="46">
        <f>CE_RegimeNaoContributivo!B459</f>
        <v>0</v>
      </c>
      <c r="J285" s="46">
        <f>CE_RegimeNaoContributivo!C459</f>
        <v>0</v>
      </c>
      <c r="K285" s="46">
        <f>CE_RegimeNaoContributivo!E459</f>
        <v>0</v>
      </c>
      <c r="L285" s="46">
        <f>CE_RegimeNaoContributivo!S459</f>
        <v>0</v>
      </c>
      <c r="M285" s="60" t="e">
        <f t="shared" si="231"/>
        <v>#DIV/0!</v>
      </c>
      <c r="N285" s="60" t="e">
        <f t="shared" si="232"/>
        <v>#DIV/0!</v>
      </c>
      <c r="O285" s="46">
        <f>CE_AdministraçãoINSS!B459</f>
        <v>0</v>
      </c>
      <c r="P285" s="46">
        <f>CE_AdministraçãoINSS!C459</f>
        <v>0</v>
      </c>
      <c r="Q285" s="46">
        <f>CE_AdministraçãoINSS!E459</f>
        <v>0</v>
      </c>
      <c r="R285" s="46">
        <f>CE_AdministraçãoINSS!S459</f>
        <v>0</v>
      </c>
      <c r="S285" s="60" t="e">
        <f t="shared" si="233"/>
        <v>#DIV/0!</v>
      </c>
      <c r="T285" s="60" t="e">
        <f t="shared" si="234"/>
        <v>#DIV/0!</v>
      </c>
      <c r="U285" s="46">
        <f t="shared" si="226"/>
        <v>0</v>
      </c>
      <c r="V285" s="46">
        <f t="shared" si="226"/>
        <v>0</v>
      </c>
      <c r="W285" s="46">
        <f t="shared" si="226"/>
        <v>0</v>
      </c>
      <c r="X285" s="46">
        <f t="shared" si="223"/>
        <v>0</v>
      </c>
      <c r="Y285" s="60" t="e">
        <f t="shared" si="235"/>
        <v>#DIV/0!</v>
      </c>
      <c r="Z285" s="60" t="e">
        <f t="shared" si="236"/>
        <v>#DIV/0!</v>
      </c>
      <c r="AA285" s="46">
        <f>CE_AdministraçãoFRSS!B459</f>
        <v>0</v>
      </c>
      <c r="AB285" s="46">
        <f>CE_AdministraçãoFRSS!C459</f>
        <v>0</v>
      </c>
      <c r="AC285" s="46">
        <f>CE_AdministraçãoFRSS!E459</f>
        <v>0</v>
      </c>
      <c r="AD285" s="46">
        <f>CE_AdministraçãoFRSS!S459</f>
        <v>0</v>
      </c>
      <c r="AE285" s="60" t="e">
        <f t="shared" si="237"/>
        <v>#DIV/0!</v>
      </c>
      <c r="AF285" s="60" t="e">
        <f t="shared" si="238"/>
        <v>#DIV/0!</v>
      </c>
      <c r="AG285" s="46">
        <f t="shared" si="227"/>
        <v>0</v>
      </c>
      <c r="AH285" s="46">
        <f t="shared" si="227"/>
        <v>0</v>
      </c>
      <c r="AI285" s="46">
        <f t="shared" si="227"/>
        <v>0</v>
      </c>
      <c r="AJ285" s="46">
        <f t="shared" si="224"/>
        <v>0</v>
      </c>
      <c r="AK285" s="60" t="e">
        <f t="shared" si="239"/>
        <v>#DIV/0!</v>
      </c>
      <c r="AL285" s="60" t="e">
        <f t="shared" si="240"/>
        <v>#DIV/0!</v>
      </c>
      <c r="AM285" s="46">
        <f t="shared" si="228"/>
        <v>0</v>
      </c>
      <c r="AN285" s="46">
        <f t="shared" si="228"/>
        <v>0</v>
      </c>
      <c r="AO285" s="46">
        <f t="shared" si="228"/>
        <v>0</v>
      </c>
      <c r="AP285" s="46">
        <f t="shared" si="225"/>
        <v>0</v>
      </c>
      <c r="AQ285" s="60" t="e">
        <f t="shared" si="241"/>
        <v>#DIV/0!</v>
      </c>
      <c r="AR285" s="60" t="e">
        <f t="shared" si="242"/>
        <v>#DIV/0!</v>
      </c>
      <c r="AT285" s="38"/>
      <c r="AU285" s="38"/>
      <c r="AV285" s="38"/>
      <c r="AW285" s="38"/>
      <c r="AY285" s="38"/>
      <c r="AZ285" s="38"/>
      <c r="BA285" s="38"/>
      <c r="BB285" s="38"/>
    </row>
    <row r="286" spans="1:54" x14ac:dyDescent="0.2">
      <c r="A286" s="45" t="str">
        <f>"505.01.15"</f>
        <v>505.01.15</v>
      </c>
      <c r="B286" s="47" t="s">
        <v>1047</v>
      </c>
      <c r="C286" s="46">
        <f>CE_RegimeContributivo!B460</f>
        <v>0</v>
      </c>
      <c r="D286" s="46">
        <f>CE_RegimeContributivo!C460</f>
        <v>0</v>
      </c>
      <c r="E286" s="46">
        <f>CE_RegimeContributivo!E460</f>
        <v>0</v>
      </c>
      <c r="F286" s="46">
        <f>CE_RegimeContributivo!S460</f>
        <v>0</v>
      </c>
      <c r="G286" s="60" t="e">
        <f t="shared" si="229"/>
        <v>#DIV/0!</v>
      </c>
      <c r="H286" s="60" t="e">
        <f t="shared" si="230"/>
        <v>#DIV/0!</v>
      </c>
      <c r="I286" s="46">
        <f>CE_RegimeNaoContributivo!B460</f>
        <v>0</v>
      </c>
      <c r="J286" s="46">
        <f>CE_RegimeNaoContributivo!C460</f>
        <v>0</v>
      </c>
      <c r="K286" s="46">
        <f>CE_RegimeNaoContributivo!E460</f>
        <v>0</v>
      </c>
      <c r="L286" s="46">
        <f>CE_RegimeNaoContributivo!S460</f>
        <v>0</v>
      </c>
      <c r="M286" s="60" t="e">
        <f t="shared" si="231"/>
        <v>#DIV/0!</v>
      </c>
      <c r="N286" s="60" t="e">
        <f t="shared" si="232"/>
        <v>#DIV/0!</v>
      </c>
      <c r="O286" s="46">
        <f>CE_AdministraçãoINSS!B460</f>
        <v>0</v>
      </c>
      <c r="P286" s="46">
        <f>CE_AdministraçãoINSS!C460</f>
        <v>0</v>
      </c>
      <c r="Q286" s="46">
        <f>CE_AdministraçãoINSS!E460</f>
        <v>0</v>
      </c>
      <c r="R286" s="46">
        <f>CE_AdministraçãoINSS!S460</f>
        <v>0</v>
      </c>
      <c r="S286" s="60" t="e">
        <f t="shared" si="233"/>
        <v>#DIV/0!</v>
      </c>
      <c r="T286" s="60" t="e">
        <f t="shared" si="234"/>
        <v>#DIV/0!</v>
      </c>
      <c r="U286" s="46">
        <f t="shared" si="226"/>
        <v>0</v>
      </c>
      <c r="V286" s="46">
        <f t="shared" si="226"/>
        <v>0</v>
      </c>
      <c r="W286" s="46">
        <f t="shared" si="226"/>
        <v>0</v>
      </c>
      <c r="X286" s="46">
        <f t="shared" si="223"/>
        <v>0</v>
      </c>
      <c r="Y286" s="60" t="e">
        <f t="shared" si="235"/>
        <v>#DIV/0!</v>
      </c>
      <c r="Z286" s="60" t="e">
        <f t="shared" si="236"/>
        <v>#DIV/0!</v>
      </c>
      <c r="AA286" s="46">
        <f>CE_AdministraçãoFRSS!B460</f>
        <v>0</v>
      </c>
      <c r="AB286" s="46">
        <f>CE_AdministraçãoFRSS!C460</f>
        <v>0</v>
      </c>
      <c r="AC286" s="46">
        <f>CE_AdministraçãoFRSS!E460</f>
        <v>0</v>
      </c>
      <c r="AD286" s="46">
        <f>CE_AdministraçãoFRSS!S460</f>
        <v>0</v>
      </c>
      <c r="AE286" s="60" t="e">
        <f t="shared" si="237"/>
        <v>#DIV/0!</v>
      </c>
      <c r="AF286" s="60" t="e">
        <f t="shared" si="238"/>
        <v>#DIV/0!</v>
      </c>
      <c r="AG286" s="46">
        <f t="shared" si="227"/>
        <v>0</v>
      </c>
      <c r="AH286" s="46">
        <f t="shared" si="227"/>
        <v>0</v>
      </c>
      <c r="AI286" s="46">
        <f t="shared" si="227"/>
        <v>0</v>
      </c>
      <c r="AJ286" s="46">
        <f t="shared" si="224"/>
        <v>0</v>
      </c>
      <c r="AK286" s="60" t="e">
        <f t="shared" si="239"/>
        <v>#DIV/0!</v>
      </c>
      <c r="AL286" s="60" t="e">
        <f t="shared" si="240"/>
        <v>#DIV/0!</v>
      </c>
      <c r="AM286" s="46">
        <f t="shared" si="228"/>
        <v>0</v>
      </c>
      <c r="AN286" s="46">
        <f t="shared" si="228"/>
        <v>0</v>
      </c>
      <c r="AO286" s="46">
        <f t="shared" si="228"/>
        <v>0</v>
      </c>
      <c r="AP286" s="46">
        <f t="shared" si="225"/>
        <v>0</v>
      </c>
      <c r="AQ286" s="60" t="e">
        <f t="shared" si="241"/>
        <v>#DIV/0!</v>
      </c>
      <c r="AR286" s="60" t="e">
        <f t="shared" si="242"/>
        <v>#DIV/0!</v>
      </c>
      <c r="AT286" s="38"/>
      <c r="AU286" s="38"/>
      <c r="AV286" s="38"/>
      <c r="AW286" s="38"/>
      <c r="AY286" s="38"/>
      <c r="AZ286" s="38"/>
      <c r="BA286" s="38"/>
      <c r="BB286" s="38"/>
    </row>
    <row r="287" spans="1:54" x14ac:dyDescent="0.2">
      <c r="A287" s="45" t="str">
        <f>"505.01.16"</f>
        <v>505.01.16</v>
      </c>
      <c r="B287" s="47" t="s">
        <v>1048</v>
      </c>
      <c r="C287" s="46">
        <f>CE_RegimeContributivo!B461</f>
        <v>0</v>
      </c>
      <c r="D287" s="46">
        <f>CE_RegimeContributivo!C461</f>
        <v>0</v>
      </c>
      <c r="E287" s="46">
        <f>CE_RegimeContributivo!E461</f>
        <v>0</v>
      </c>
      <c r="F287" s="46">
        <f>CE_RegimeContributivo!S461</f>
        <v>0</v>
      </c>
      <c r="G287" s="60" t="e">
        <f t="shared" si="229"/>
        <v>#DIV/0!</v>
      </c>
      <c r="H287" s="60" t="e">
        <f t="shared" si="230"/>
        <v>#DIV/0!</v>
      </c>
      <c r="I287" s="46">
        <f>CE_RegimeNaoContributivo!B461</f>
        <v>0</v>
      </c>
      <c r="J287" s="46">
        <f>CE_RegimeNaoContributivo!C461</f>
        <v>0</v>
      </c>
      <c r="K287" s="46">
        <f>CE_RegimeNaoContributivo!E461</f>
        <v>0</v>
      </c>
      <c r="L287" s="46">
        <f>CE_RegimeNaoContributivo!S461</f>
        <v>0</v>
      </c>
      <c r="M287" s="60" t="e">
        <f t="shared" si="231"/>
        <v>#DIV/0!</v>
      </c>
      <c r="N287" s="60" t="e">
        <f t="shared" si="232"/>
        <v>#DIV/0!</v>
      </c>
      <c r="O287" s="46">
        <f>CE_AdministraçãoINSS!B461</f>
        <v>0</v>
      </c>
      <c r="P287" s="46">
        <f>CE_AdministraçãoINSS!C461</f>
        <v>0</v>
      </c>
      <c r="Q287" s="46">
        <f>CE_AdministraçãoINSS!E461</f>
        <v>0</v>
      </c>
      <c r="R287" s="46">
        <f>CE_AdministraçãoINSS!S461</f>
        <v>0</v>
      </c>
      <c r="S287" s="60" t="e">
        <f t="shared" si="233"/>
        <v>#DIV/0!</v>
      </c>
      <c r="T287" s="60" t="e">
        <f t="shared" si="234"/>
        <v>#DIV/0!</v>
      </c>
      <c r="U287" s="46">
        <f t="shared" si="226"/>
        <v>0</v>
      </c>
      <c r="V287" s="46">
        <f t="shared" si="226"/>
        <v>0</v>
      </c>
      <c r="W287" s="46">
        <f t="shared" si="226"/>
        <v>0</v>
      </c>
      <c r="X287" s="46">
        <f t="shared" si="223"/>
        <v>0</v>
      </c>
      <c r="Y287" s="60" t="e">
        <f t="shared" si="235"/>
        <v>#DIV/0!</v>
      </c>
      <c r="Z287" s="60" t="e">
        <f t="shared" si="236"/>
        <v>#DIV/0!</v>
      </c>
      <c r="AA287" s="46">
        <f>CE_AdministraçãoFRSS!B461</f>
        <v>0</v>
      </c>
      <c r="AB287" s="46">
        <f>CE_AdministraçãoFRSS!C461</f>
        <v>0</v>
      </c>
      <c r="AC287" s="46">
        <f>CE_AdministraçãoFRSS!E461</f>
        <v>0</v>
      </c>
      <c r="AD287" s="46">
        <f>CE_AdministraçãoFRSS!S461</f>
        <v>0</v>
      </c>
      <c r="AE287" s="60" t="e">
        <f t="shared" si="237"/>
        <v>#DIV/0!</v>
      </c>
      <c r="AF287" s="60" t="e">
        <f t="shared" si="238"/>
        <v>#DIV/0!</v>
      </c>
      <c r="AG287" s="46">
        <f t="shared" si="227"/>
        <v>0</v>
      </c>
      <c r="AH287" s="46">
        <f t="shared" si="227"/>
        <v>0</v>
      </c>
      <c r="AI287" s="46">
        <f t="shared" si="227"/>
        <v>0</v>
      </c>
      <c r="AJ287" s="46">
        <f t="shared" si="224"/>
        <v>0</v>
      </c>
      <c r="AK287" s="60" t="e">
        <f t="shared" si="239"/>
        <v>#DIV/0!</v>
      </c>
      <c r="AL287" s="60" t="e">
        <f t="shared" si="240"/>
        <v>#DIV/0!</v>
      </c>
      <c r="AM287" s="46">
        <f t="shared" si="228"/>
        <v>0</v>
      </c>
      <c r="AN287" s="46">
        <f t="shared" si="228"/>
        <v>0</v>
      </c>
      <c r="AO287" s="46">
        <f t="shared" si="228"/>
        <v>0</v>
      </c>
      <c r="AP287" s="46">
        <f t="shared" si="225"/>
        <v>0</v>
      </c>
      <c r="AQ287" s="60" t="e">
        <f t="shared" si="241"/>
        <v>#DIV/0!</v>
      </c>
      <c r="AR287" s="60" t="e">
        <f t="shared" si="242"/>
        <v>#DIV/0!</v>
      </c>
      <c r="AT287" s="38"/>
      <c r="AU287" s="38"/>
      <c r="AV287" s="38"/>
      <c r="AW287" s="38"/>
      <c r="AY287" s="38"/>
      <c r="AZ287" s="38"/>
      <c r="BA287" s="38"/>
      <c r="BB287" s="38"/>
    </row>
    <row r="288" spans="1:54" x14ac:dyDescent="0.2">
      <c r="A288" s="45" t="str">
        <f>"505.01.17"</f>
        <v>505.01.17</v>
      </c>
      <c r="B288" s="47" t="s">
        <v>1049</v>
      </c>
      <c r="C288" s="46">
        <f>CE_RegimeContributivo!B462</f>
        <v>0</v>
      </c>
      <c r="D288" s="46">
        <f>CE_RegimeContributivo!C462</f>
        <v>0</v>
      </c>
      <c r="E288" s="46">
        <f>CE_RegimeContributivo!E462</f>
        <v>0</v>
      </c>
      <c r="F288" s="46">
        <f>CE_RegimeContributivo!S462</f>
        <v>0</v>
      </c>
      <c r="G288" s="60" t="e">
        <f t="shared" si="229"/>
        <v>#DIV/0!</v>
      </c>
      <c r="H288" s="60" t="e">
        <f t="shared" si="230"/>
        <v>#DIV/0!</v>
      </c>
      <c r="I288" s="46">
        <f>CE_RegimeNaoContributivo!B462</f>
        <v>0</v>
      </c>
      <c r="J288" s="46">
        <f>CE_RegimeNaoContributivo!C462</f>
        <v>0</v>
      </c>
      <c r="K288" s="46">
        <f>CE_RegimeNaoContributivo!E462</f>
        <v>0</v>
      </c>
      <c r="L288" s="46">
        <f>CE_RegimeNaoContributivo!S462</f>
        <v>0</v>
      </c>
      <c r="M288" s="60" t="e">
        <f t="shared" si="231"/>
        <v>#DIV/0!</v>
      </c>
      <c r="N288" s="60" t="e">
        <f t="shared" si="232"/>
        <v>#DIV/0!</v>
      </c>
      <c r="O288" s="46">
        <f>CE_AdministraçãoINSS!B462</f>
        <v>0</v>
      </c>
      <c r="P288" s="46">
        <f>CE_AdministraçãoINSS!C462</f>
        <v>0</v>
      </c>
      <c r="Q288" s="46">
        <f>CE_AdministraçãoINSS!E462</f>
        <v>0</v>
      </c>
      <c r="R288" s="46">
        <f>CE_AdministraçãoINSS!S462</f>
        <v>0</v>
      </c>
      <c r="S288" s="60" t="e">
        <f t="shared" si="233"/>
        <v>#DIV/0!</v>
      </c>
      <c r="T288" s="60" t="e">
        <f t="shared" si="234"/>
        <v>#DIV/0!</v>
      </c>
      <c r="U288" s="46">
        <f t="shared" si="226"/>
        <v>0</v>
      </c>
      <c r="V288" s="46">
        <f t="shared" si="226"/>
        <v>0</v>
      </c>
      <c r="W288" s="46">
        <f t="shared" si="226"/>
        <v>0</v>
      </c>
      <c r="X288" s="46">
        <f t="shared" si="223"/>
        <v>0</v>
      </c>
      <c r="Y288" s="60" t="e">
        <f t="shared" si="235"/>
        <v>#DIV/0!</v>
      </c>
      <c r="Z288" s="60" t="e">
        <f t="shared" si="236"/>
        <v>#DIV/0!</v>
      </c>
      <c r="AA288" s="46">
        <f>CE_AdministraçãoFRSS!B462</f>
        <v>0</v>
      </c>
      <c r="AB288" s="46">
        <f>CE_AdministraçãoFRSS!C462</f>
        <v>0</v>
      </c>
      <c r="AC288" s="46">
        <f>CE_AdministraçãoFRSS!E462</f>
        <v>0</v>
      </c>
      <c r="AD288" s="46">
        <f>CE_AdministraçãoFRSS!S462</f>
        <v>0</v>
      </c>
      <c r="AE288" s="60" t="e">
        <f t="shared" si="237"/>
        <v>#DIV/0!</v>
      </c>
      <c r="AF288" s="60" t="e">
        <f t="shared" si="238"/>
        <v>#DIV/0!</v>
      </c>
      <c r="AG288" s="46">
        <f t="shared" si="227"/>
        <v>0</v>
      </c>
      <c r="AH288" s="46">
        <f t="shared" si="227"/>
        <v>0</v>
      </c>
      <c r="AI288" s="46">
        <f t="shared" si="227"/>
        <v>0</v>
      </c>
      <c r="AJ288" s="46">
        <f t="shared" si="224"/>
        <v>0</v>
      </c>
      <c r="AK288" s="60" t="e">
        <f t="shared" si="239"/>
        <v>#DIV/0!</v>
      </c>
      <c r="AL288" s="60" t="e">
        <f t="shared" si="240"/>
        <v>#DIV/0!</v>
      </c>
      <c r="AM288" s="46">
        <f t="shared" si="228"/>
        <v>0</v>
      </c>
      <c r="AN288" s="46">
        <f t="shared" si="228"/>
        <v>0</v>
      </c>
      <c r="AO288" s="46">
        <f t="shared" si="228"/>
        <v>0</v>
      </c>
      <c r="AP288" s="46">
        <f t="shared" si="225"/>
        <v>0</v>
      </c>
      <c r="AQ288" s="60" t="e">
        <f t="shared" si="241"/>
        <v>#DIV/0!</v>
      </c>
      <c r="AR288" s="60" t="e">
        <f t="shared" si="242"/>
        <v>#DIV/0!</v>
      </c>
      <c r="AT288" s="38"/>
      <c r="AU288" s="38"/>
      <c r="AV288" s="38"/>
      <c r="AW288" s="38"/>
      <c r="AY288" s="38"/>
      <c r="AZ288" s="38"/>
      <c r="BA288" s="38"/>
      <c r="BB288" s="38"/>
    </row>
    <row r="289" spans="1:58" x14ac:dyDescent="0.2">
      <c r="A289" s="45" t="str">
        <f>"505.01.18"</f>
        <v>505.01.18</v>
      </c>
      <c r="B289" s="47" t="s">
        <v>789</v>
      </c>
      <c r="C289" s="46">
        <f>CE_RegimeContributivo!B463</f>
        <v>0</v>
      </c>
      <c r="D289" s="46">
        <f>CE_RegimeContributivo!C463</f>
        <v>0</v>
      </c>
      <c r="E289" s="46">
        <f>CE_RegimeContributivo!E463</f>
        <v>0</v>
      </c>
      <c r="F289" s="46">
        <f>CE_RegimeContributivo!S463</f>
        <v>0</v>
      </c>
      <c r="G289" s="60" t="e">
        <f t="shared" si="229"/>
        <v>#DIV/0!</v>
      </c>
      <c r="H289" s="60" t="e">
        <f t="shared" si="230"/>
        <v>#DIV/0!</v>
      </c>
      <c r="I289" s="46">
        <f>CE_RegimeNaoContributivo!B463</f>
        <v>0</v>
      </c>
      <c r="J289" s="46">
        <f>CE_RegimeNaoContributivo!C463</f>
        <v>0</v>
      </c>
      <c r="K289" s="46">
        <f>CE_RegimeNaoContributivo!E463</f>
        <v>0</v>
      </c>
      <c r="L289" s="46">
        <f>CE_RegimeNaoContributivo!S463</f>
        <v>0</v>
      </c>
      <c r="M289" s="60" t="e">
        <f t="shared" si="231"/>
        <v>#DIV/0!</v>
      </c>
      <c r="N289" s="60" t="e">
        <f t="shared" si="232"/>
        <v>#DIV/0!</v>
      </c>
      <c r="O289" s="46">
        <f>CE_AdministraçãoINSS!B463</f>
        <v>0</v>
      </c>
      <c r="P289" s="46">
        <f>CE_AdministraçãoINSS!C463</f>
        <v>0</v>
      </c>
      <c r="Q289" s="46">
        <f>CE_AdministraçãoINSS!E463</f>
        <v>0</v>
      </c>
      <c r="R289" s="46">
        <f>CE_AdministraçãoINSS!S463</f>
        <v>0</v>
      </c>
      <c r="S289" s="60" t="e">
        <f t="shared" si="233"/>
        <v>#DIV/0!</v>
      </c>
      <c r="T289" s="60" t="e">
        <f t="shared" si="234"/>
        <v>#DIV/0!</v>
      </c>
      <c r="U289" s="46">
        <f t="shared" si="226"/>
        <v>0</v>
      </c>
      <c r="V289" s="46">
        <f t="shared" si="226"/>
        <v>0</v>
      </c>
      <c r="W289" s="46">
        <f t="shared" si="226"/>
        <v>0</v>
      </c>
      <c r="X289" s="46">
        <f t="shared" si="223"/>
        <v>0</v>
      </c>
      <c r="Y289" s="60" t="e">
        <f t="shared" si="235"/>
        <v>#DIV/0!</v>
      </c>
      <c r="Z289" s="60" t="e">
        <f t="shared" si="236"/>
        <v>#DIV/0!</v>
      </c>
      <c r="AA289" s="46">
        <f>CE_AdministraçãoFRSS!B463</f>
        <v>0</v>
      </c>
      <c r="AB289" s="46">
        <f>CE_AdministraçãoFRSS!C463</f>
        <v>0</v>
      </c>
      <c r="AC289" s="46">
        <f>CE_AdministraçãoFRSS!E463</f>
        <v>0</v>
      </c>
      <c r="AD289" s="46">
        <f>CE_AdministraçãoFRSS!S463</f>
        <v>0</v>
      </c>
      <c r="AE289" s="60" t="e">
        <f t="shared" si="237"/>
        <v>#DIV/0!</v>
      </c>
      <c r="AF289" s="60" t="e">
        <f t="shared" si="238"/>
        <v>#DIV/0!</v>
      </c>
      <c r="AG289" s="46">
        <f t="shared" si="227"/>
        <v>0</v>
      </c>
      <c r="AH289" s="46">
        <f t="shared" si="227"/>
        <v>0</v>
      </c>
      <c r="AI289" s="46">
        <f t="shared" si="227"/>
        <v>0</v>
      </c>
      <c r="AJ289" s="46">
        <f t="shared" si="224"/>
        <v>0</v>
      </c>
      <c r="AK289" s="60" t="e">
        <f t="shared" si="239"/>
        <v>#DIV/0!</v>
      </c>
      <c r="AL289" s="60" t="e">
        <f t="shared" si="240"/>
        <v>#DIV/0!</v>
      </c>
      <c r="AM289" s="46">
        <f t="shared" si="228"/>
        <v>0</v>
      </c>
      <c r="AN289" s="46">
        <f t="shared" si="228"/>
        <v>0</v>
      </c>
      <c r="AO289" s="46">
        <f t="shared" si="228"/>
        <v>0</v>
      </c>
      <c r="AP289" s="46">
        <f t="shared" si="225"/>
        <v>0</v>
      </c>
      <c r="AQ289" s="60" t="e">
        <f t="shared" si="241"/>
        <v>#DIV/0!</v>
      </c>
      <c r="AR289" s="60" t="e">
        <f t="shared" si="242"/>
        <v>#DIV/0!</v>
      </c>
      <c r="AT289" s="38"/>
      <c r="AU289" s="38"/>
      <c r="AV289" s="38"/>
      <c r="AW289" s="38"/>
      <c r="AY289" s="38"/>
      <c r="AZ289" s="38"/>
      <c r="BA289" s="38"/>
      <c r="BB289" s="38"/>
    </row>
    <row r="290" spans="1:58" s="44" customFormat="1" x14ac:dyDescent="0.2">
      <c r="A290" s="39">
        <v>506</v>
      </c>
      <c r="B290" s="39" t="s">
        <v>1050</v>
      </c>
      <c r="C290" s="48">
        <f>C291+C292+C296+C300</f>
        <v>0</v>
      </c>
      <c r="D290" s="48">
        <f>D291+D292+D296+D300</f>
        <v>0</v>
      </c>
      <c r="E290" s="48">
        <f>E291+E292+E296+E300</f>
        <v>0</v>
      </c>
      <c r="F290" s="48">
        <f t="shared" ref="F290" si="251">F291+F292+F296+F300</f>
        <v>0</v>
      </c>
      <c r="G290" s="58" t="e">
        <f t="shared" si="229"/>
        <v>#DIV/0!</v>
      </c>
      <c r="H290" s="58" t="e">
        <f t="shared" si="230"/>
        <v>#DIV/0!</v>
      </c>
      <c r="I290" s="48">
        <f>I291+I292+I296+I300</f>
        <v>0</v>
      </c>
      <c r="J290" s="48">
        <f>J291+J292+J296+J300</f>
        <v>0</v>
      </c>
      <c r="K290" s="48">
        <f t="shared" ref="K290:L290" si="252">K291+K292+K296+K300</f>
        <v>0</v>
      </c>
      <c r="L290" s="48">
        <f t="shared" si="252"/>
        <v>0</v>
      </c>
      <c r="M290" s="58" t="e">
        <f t="shared" si="231"/>
        <v>#DIV/0!</v>
      </c>
      <c r="N290" s="58" t="e">
        <f t="shared" si="232"/>
        <v>#DIV/0!</v>
      </c>
      <c r="O290" s="48">
        <f>O291+O292+O296+O300</f>
        <v>0</v>
      </c>
      <c r="P290" s="48">
        <f>P291+P292+P296+P300</f>
        <v>0</v>
      </c>
      <c r="Q290" s="48">
        <f t="shared" ref="Q290:R290" si="253">Q291+Q292+Q296+Q300</f>
        <v>0</v>
      </c>
      <c r="R290" s="48">
        <f t="shared" si="253"/>
        <v>0</v>
      </c>
      <c r="S290" s="58" t="e">
        <f t="shared" si="233"/>
        <v>#DIV/0!</v>
      </c>
      <c r="T290" s="58" t="e">
        <f t="shared" si="234"/>
        <v>#DIV/0!</v>
      </c>
      <c r="U290" s="48">
        <f t="shared" si="226"/>
        <v>0</v>
      </c>
      <c r="V290" s="48">
        <f t="shared" si="226"/>
        <v>0</v>
      </c>
      <c r="W290" s="48">
        <f t="shared" si="226"/>
        <v>0</v>
      </c>
      <c r="X290" s="48">
        <f t="shared" si="223"/>
        <v>0</v>
      </c>
      <c r="Y290" s="58" t="e">
        <f t="shared" si="235"/>
        <v>#DIV/0!</v>
      </c>
      <c r="Z290" s="58" t="e">
        <f t="shared" si="236"/>
        <v>#DIV/0!</v>
      </c>
      <c r="AA290" s="48">
        <f>AA291+AA292+AA296+AA300</f>
        <v>0</v>
      </c>
      <c r="AB290" s="48">
        <f>AB291+AB292+AB296+AB300</f>
        <v>0</v>
      </c>
      <c r="AC290" s="48">
        <f t="shared" ref="AC290:AD290" si="254">AC291+AC292+AC296+AC300</f>
        <v>0</v>
      </c>
      <c r="AD290" s="48">
        <f t="shared" si="254"/>
        <v>0</v>
      </c>
      <c r="AE290" s="58" t="e">
        <f t="shared" si="237"/>
        <v>#DIV/0!</v>
      </c>
      <c r="AF290" s="58" t="e">
        <f t="shared" si="238"/>
        <v>#DIV/0!</v>
      </c>
      <c r="AG290" s="48">
        <f t="shared" si="227"/>
        <v>0</v>
      </c>
      <c r="AH290" s="48">
        <f t="shared" si="227"/>
        <v>0</v>
      </c>
      <c r="AI290" s="48">
        <f t="shared" si="227"/>
        <v>0</v>
      </c>
      <c r="AJ290" s="48">
        <f t="shared" si="224"/>
        <v>0</v>
      </c>
      <c r="AK290" s="58" t="e">
        <f t="shared" si="239"/>
        <v>#DIV/0!</v>
      </c>
      <c r="AL290" s="58" t="e">
        <f t="shared" si="240"/>
        <v>#DIV/0!</v>
      </c>
      <c r="AM290" s="48">
        <f t="shared" si="228"/>
        <v>0</v>
      </c>
      <c r="AN290" s="48">
        <f t="shared" si="228"/>
        <v>0</v>
      </c>
      <c r="AO290" s="48">
        <f t="shared" si="228"/>
        <v>0</v>
      </c>
      <c r="AP290" s="48">
        <f t="shared" si="225"/>
        <v>0</v>
      </c>
      <c r="AQ290" s="58" t="e">
        <f t="shared" si="241"/>
        <v>#DIV/0!</v>
      </c>
      <c r="AR290" s="58" t="e">
        <f t="shared" si="242"/>
        <v>#DIV/0!</v>
      </c>
      <c r="AT290" s="38"/>
      <c r="AU290" s="38"/>
      <c r="AV290" s="38"/>
      <c r="AW290" s="38"/>
      <c r="AY290" s="38"/>
      <c r="AZ290" s="38"/>
      <c r="BA290" s="38"/>
      <c r="BB290" s="38"/>
      <c r="BC290" s="36"/>
      <c r="BD290" s="36"/>
      <c r="BE290" s="36"/>
      <c r="BF290" s="36"/>
    </row>
    <row r="291" spans="1:58" s="44" customFormat="1" x14ac:dyDescent="0.2">
      <c r="A291" s="41" t="str">
        <f>"506.01"</f>
        <v>506.01</v>
      </c>
      <c r="B291" s="42" t="s">
        <v>823</v>
      </c>
      <c r="C291" s="43">
        <f>CE_RegimeContributivo!B465</f>
        <v>0</v>
      </c>
      <c r="D291" s="43">
        <f>CE_RegimeContributivo!C465</f>
        <v>0</v>
      </c>
      <c r="E291" s="43">
        <f>CE_RegimeContributivo!E465</f>
        <v>0</v>
      </c>
      <c r="F291" s="43">
        <f>CE_RegimeContributivo!S465</f>
        <v>0</v>
      </c>
      <c r="G291" s="59" t="e">
        <f t="shared" si="229"/>
        <v>#DIV/0!</v>
      </c>
      <c r="H291" s="59" t="e">
        <f t="shared" si="230"/>
        <v>#DIV/0!</v>
      </c>
      <c r="I291" s="43">
        <f>CE_RegimeNaoContributivo!B465</f>
        <v>0</v>
      </c>
      <c r="J291" s="43">
        <f>CE_RegimeNaoContributivo!C465</f>
        <v>0</v>
      </c>
      <c r="K291" s="43">
        <f>CE_RegimeNaoContributivo!E465</f>
        <v>0</v>
      </c>
      <c r="L291" s="43">
        <f>CE_RegimeNaoContributivo!S465</f>
        <v>0</v>
      </c>
      <c r="M291" s="59" t="e">
        <f t="shared" si="231"/>
        <v>#DIV/0!</v>
      </c>
      <c r="N291" s="59" t="e">
        <f t="shared" si="232"/>
        <v>#DIV/0!</v>
      </c>
      <c r="O291" s="43">
        <f>CE_AdministraçãoINSS!B465</f>
        <v>0</v>
      </c>
      <c r="P291" s="43">
        <f>CE_AdministraçãoINSS!C465</f>
        <v>0</v>
      </c>
      <c r="Q291" s="43">
        <f>CE_AdministraçãoINSS!E465</f>
        <v>0</v>
      </c>
      <c r="R291" s="43">
        <f>CE_AdministraçãoINSS!S465</f>
        <v>0</v>
      </c>
      <c r="S291" s="59" t="e">
        <f t="shared" si="233"/>
        <v>#DIV/0!</v>
      </c>
      <c r="T291" s="59" t="e">
        <f t="shared" si="234"/>
        <v>#DIV/0!</v>
      </c>
      <c r="U291" s="43">
        <f t="shared" si="226"/>
        <v>0</v>
      </c>
      <c r="V291" s="43">
        <f t="shared" si="226"/>
        <v>0</v>
      </c>
      <c r="W291" s="43">
        <f t="shared" si="226"/>
        <v>0</v>
      </c>
      <c r="X291" s="43">
        <f t="shared" si="223"/>
        <v>0</v>
      </c>
      <c r="Y291" s="59" t="e">
        <f t="shared" si="235"/>
        <v>#DIV/0!</v>
      </c>
      <c r="Z291" s="59" t="e">
        <f t="shared" si="236"/>
        <v>#DIV/0!</v>
      </c>
      <c r="AA291" s="43">
        <f>CE_AdministraçãoFRSS!B465</f>
        <v>0</v>
      </c>
      <c r="AB291" s="43">
        <f>CE_AdministraçãoFRSS!C465</f>
        <v>0</v>
      </c>
      <c r="AC291" s="43">
        <f>CE_AdministraçãoFRSS!E465</f>
        <v>0</v>
      </c>
      <c r="AD291" s="43">
        <f>CE_AdministraçãoFRSS!S465</f>
        <v>0</v>
      </c>
      <c r="AE291" s="59" t="e">
        <f t="shared" si="237"/>
        <v>#DIV/0!</v>
      </c>
      <c r="AF291" s="59" t="e">
        <f t="shared" si="238"/>
        <v>#DIV/0!</v>
      </c>
      <c r="AG291" s="43">
        <f t="shared" si="227"/>
        <v>0</v>
      </c>
      <c r="AH291" s="43">
        <f t="shared" si="227"/>
        <v>0</v>
      </c>
      <c r="AI291" s="43">
        <f t="shared" si="227"/>
        <v>0</v>
      </c>
      <c r="AJ291" s="43">
        <f t="shared" si="224"/>
        <v>0</v>
      </c>
      <c r="AK291" s="59" t="e">
        <f t="shared" si="239"/>
        <v>#DIV/0!</v>
      </c>
      <c r="AL291" s="59" t="e">
        <f t="shared" si="240"/>
        <v>#DIV/0!</v>
      </c>
      <c r="AM291" s="43">
        <f t="shared" si="228"/>
        <v>0</v>
      </c>
      <c r="AN291" s="43">
        <f t="shared" si="228"/>
        <v>0</v>
      </c>
      <c r="AO291" s="43">
        <f t="shared" si="228"/>
        <v>0</v>
      </c>
      <c r="AP291" s="43">
        <f t="shared" si="225"/>
        <v>0</v>
      </c>
      <c r="AQ291" s="59" t="e">
        <f t="shared" si="241"/>
        <v>#DIV/0!</v>
      </c>
      <c r="AR291" s="59" t="e">
        <f t="shared" si="242"/>
        <v>#DIV/0!</v>
      </c>
      <c r="AT291" s="38"/>
      <c r="AU291" s="38"/>
      <c r="AV291" s="38"/>
      <c r="AW291" s="38"/>
      <c r="AY291" s="38"/>
      <c r="AZ291" s="38"/>
      <c r="BA291" s="38"/>
      <c r="BB291" s="38"/>
      <c r="BC291" s="36"/>
      <c r="BD291" s="36"/>
      <c r="BE291" s="36"/>
      <c r="BF291" s="36"/>
    </row>
    <row r="292" spans="1:58" s="44" customFormat="1" x14ac:dyDescent="0.2">
      <c r="A292" s="41" t="str">
        <f>"506.02"</f>
        <v>506.02</v>
      </c>
      <c r="B292" s="42" t="s">
        <v>1058</v>
      </c>
      <c r="C292" s="43">
        <f>SUM(C293:C295)</f>
        <v>0</v>
      </c>
      <c r="D292" s="43">
        <f>SUM(D293:D295)</f>
        <v>0</v>
      </c>
      <c r="E292" s="43">
        <f>SUM(E293:E295)</f>
        <v>0</v>
      </c>
      <c r="F292" s="43">
        <f t="shared" ref="F292" si="255">SUM(F293:F295)</f>
        <v>0</v>
      </c>
      <c r="G292" s="59" t="e">
        <f t="shared" si="229"/>
        <v>#DIV/0!</v>
      </c>
      <c r="H292" s="59" t="e">
        <f t="shared" si="230"/>
        <v>#DIV/0!</v>
      </c>
      <c r="I292" s="43">
        <f>SUM(I293:I295)</f>
        <v>0</v>
      </c>
      <c r="J292" s="43">
        <f>SUM(J293:J295)</f>
        <v>0</v>
      </c>
      <c r="K292" s="43">
        <f t="shared" ref="K292:L292" si="256">SUM(K293:K295)</f>
        <v>0</v>
      </c>
      <c r="L292" s="43">
        <f t="shared" si="256"/>
        <v>0</v>
      </c>
      <c r="M292" s="59" t="e">
        <f t="shared" si="231"/>
        <v>#DIV/0!</v>
      </c>
      <c r="N292" s="59" t="e">
        <f t="shared" si="232"/>
        <v>#DIV/0!</v>
      </c>
      <c r="O292" s="43">
        <f>SUM(O293:O295)</f>
        <v>0</v>
      </c>
      <c r="P292" s="43">
        <f>SUM(P293:P295)</f>
        <v>0</v>
      </c>
      <c r="Q292" s="43">
        <f t="shared" ref="Q292:R292" si="257">SUM(Q293:Q295)</f>
        <v>0</v>
      </c>
      <c r="R292" s="43">
        <f t="shared" si="257"/>
        <v>0</v>
      </c>
      <c r="S292" s="59" t="e">
        <f t="shared" si="233"/>
        <v>#DIV/0!</v>
      </c>
      <c r="T292" s="59" t="e">
        <f t="shared" si="234"/>
        <v>#DIV/0!</v>
      </c>
      <c r="U292" s="43">
        <f t="shared" si="226"/>
        <v>0</v>
      </c>
      <c r="V292" s="43">
        <f t="shared" si="226"/>
        <v>0</v>
      </c>
      <c r="W292" s="43">
        <f t="shared" si="226"/>
        <v>0</v>
      </c>
      <c r="X292" s="43">
        <f t="shared" si="223"/>
        <v>0</v>
      </c>
      <c r="Y292" s="59" t="e">
        <f t="shared" si="235"/>
        <v>#DIV/0!</v>
      </c>
      <c r="Z292" s="59" t="e">
        <f t="shared" si="236"/>
        <v>#DIV/0!</v>
      </c>
      <c r="AA292" s="43">
        <f>SUM(AA293:AA295)</f>
        <v>0</v>
      </c>
      <c r="AB292" s="43">
        <f>SUM(AB293:AB295)</f>
        <v>0</v>
      </c>
      <c r="AC292" s="43">
        <f t="shared" ref="AC292:AD292" si="258">SUM(AC293:AC295)</f>
        <v>0</v>
      </c>
      <c r="AD292" s="43">
        <f t="shared" si="258"/>
        <v>0</v>
      </c>
      <c r="AE292" s="59" t="e">
        <f t="shared" si="237"/>
        <v>#DIV/0!</v>
      </c>
      <c r="AF292" s="59" t="e">
        <f t="shared" si="238"/>
        <v>#DIV/0!</v>
      </c>
      <c r="AG292" s="43">
        <f t="shared" si="227"/>
        <v>0</v>
      </c>
      <c r="AH292" s="43">
        <f t="shared" si="227"/>
        <v>0</v>
      </c>
      <c r="AI292" s="43">
        <f t="shared" si="227"/>
        <v>0</v>
      </c>
      <c r="AJ292" s="43">
        <f t="shared" si="224"/>
        <v>0</v>
      </c>
      <c r="AK292" s="59" t="e">
        <f t="shared" si="239"/>
        <v>#DIV/0!</v>
      </c>
      <c r="AL292" s="59" t="e">
        <f t="shared" si="240"/>
        <v>#DIV/0!</v>
      </c>
      <c r="AM292" s="43">
        <f t="shared" si="228"/>
        <v>0</v>
      </c>
      <c r="AN292" s="43">
        <f t="shared" si="228"/>
        <v>0</v>
      </c>
      <c r="AO292" s="43">
        <f t="shared" si="228"/>
        <v>0</v>
      </c>
      <c r="AP292" s="43">
        <f t="shared" si="225"/>
        <v>0</v>
      </c>
      <c r="AQ292" s="59" t="e">
        <f t="shared" si="241"/>
        <v>#DIV/0!</v>
      </c>
      <c r="AR292" s="59" t="e">
        <f t="shared" si="242"/>
        <v>#DIV/0!</v>
      </c>
      <c r="AT292" s="38"/>
      <c r="AU292" s="38"/>
      <c r="AV292" s="38"/>
      <c r="AW292" s="38"/>
      <c r="AY292" s="38"/>
      <c r="AZ292" s="38"/>
      <c r="BA292" s="38"/>
      <c r="BB292" s="38"/>
      <c r="BC292" s="36"/>
      <c r="BD292" s="36"/>
      <c r="BE292" s="36"/>
      <c r="BF292" s="36"/>
    </row>
    <row r="293" spans="1:58" x14ac:dyDescent="0.2">
      <c r="A293" s="45" t="str">
        <f>"506.02.01"</f>
        <v>506.02.01</v>
      </c>
      <c r="B293" s="47" t="s">
        <v>1057</v>
      </c>
      <c r="C293" s="46">
        <f>CE_RegimeContributivo!B467</f>
        <v>0</v>
      </c>
      <c r="D293" s="46">
        <f>CE_RegimeContributivo!C467</f>
        <v>0</v>
      </c>
      <c r="E293" s="46">
        <f>CE_RegimeContributivo!E467</f>
        <v>0</v>
      </c>
      <c r="F293" s="46">
        <f>CE_RegimeContributivo!S467</f>
        <v>0</v>
      </c>
      <c r="G293" s="60" t="e">
        <f t="shared" si="229"/>
        <v>#DIV/0!</v>
      </c>
      <c r="H293" s="60" t="e">
        <f t="shared" si="230"/>
        <v>#DIV/0!</v>
      </c>
      <c r="I293" s="46">
        <f>CE_RegimeNaoContributivo!B467</f>
        <v>0</v>
      </c>
      <c r="J293" s="46">
        <f>CE_RegimeNaoContributivo!C467</f>
        <v>0</v>
      </c>
      <c r="K293" s="46">
        <f>CE_RegimeNaoContributivo!E467</f>
        <v>0</v>
      </c>
      <c r="L293" s="46">
        <f>CE_RegimeNaoContributivo!S467</f>
        <v>0</v>
      </c>
      <c r="M293" s="60" t="e">
        <f t="shared" si="231"/>
        <v>#DIV/0!</v>
      </c>
      <c r="N293" s="60" t="e">
        <f t="shared" si="232"/>
        <v>#DIV/0!</v>
      </c>
      <c r="O293" s="46">
        <f>CE_AdministraçãoINSS!B467</f>
        <v>0</v>
      </c>
      <c r="P293" s="46">
        <f>CE_AdministraçãoINSS!C467</f>
        <v>0</v>
      </c>
      <c r="Q293" s="46">
        <f>CE_AdministraçãoINSS!E467</f>
        <v>0</v>
      </c>
      <c r="R293" s="46">
        <f>CE_AdministraçãoINSS!S467</f>
        <v>0</v>
      </c>
      <c r="S293" s="60" t="e">
        <f t="shared" si="233"/>
        <v>#DIV/0!</v>
      </c>
      <c r="T293" s="60" t="e">
        <f t="shared" si="234"/>
        <v>#DIV/0!</v>
      </c>
      <c r="U293" s="46">
        <f t="shared" si="226"/>
        <v>0</v>
      </c>
      <c r="V293" s="46">
        <f t="shared" si="226"/>
        <v>0</v>
      </c>
      <c r="W293" s="46">
        <f t="shared" si="226"/>
        <v>0</v>
      </c>
      <c r="X293" s="46">
        <f t="shared" si="223"/>
        <v>0</v>
      </c>
      <c r="Y293" s="60" t="e">
        <f t="shared" si="235"/>
        <v>#DIV/0!</v>
      </c>
      <c r="Z293" s="60" t="e">
        <f t="shared" si="236"/>
        <v>#DIV/0!</v>
      </c>
      <c r="AA293" s="46">
        <f>CE_AdministraçãoFRSS!B467</f>
        <v>0</v>
      </c>
      <c r="AB293" s="46">
        <f>CE_AdministraçãoFRSS!C467</f>
        <v>0</v>
      </c>
      <c r="AC293" s="46">
        <f>CE_AdministraçãoFRSS!E467</f>
        <v>0</v>
      </c>
      <c r="AD293" s="46">
        <f>CE_AdministraçãoFRSS!S467</f>
        <v>0</v>
      </c>
      <c r="AE293" s="60" t="e">
        <f t="shared" si="237"/>
        <v>#DIV/0!</v>
      </c>
      <c r="AF293" s="60" t="e">
        <f t="shared" si="238"/>
        <v>#DIV/0!</v>
      </c>
      <c r="AG293" s="46">
        <f t="shared" si="227"/>
        <v>0</v>
      </c>
      <c r="AH293" s="46">
        <f t="shared" si="227"/>
        <v>0</v>
      </c>
      <c r="AI293" s="46">
        <f t="shared" si="227"/>
        <v>0</v>
      </c>
      <c r="AJ293" s="46">
        <f t="shared" si="224"/>
        <v>0</v>
      </c>
      <c r="AK293" s="60" t="e">
        <f t="shared" si="239"/>
        <v>#DIV/0!</v>
      </c>
      <c r="AL293" s="60" t="e">
        <f t="shared" si="240"/>
        <v>#DIV/0!</v>
      </c>
      <c r="AM293" s="46">
        <f t="shared" si="228"/>
        <v>0</v>
      </c>
      <c r="AN293" s="46">
        <f t="shared" si="228"/>
        <v>0</v>
      </c>
      <c r="AO293" s="46">
        <f t="shared" si="228"/>
        <v>0</v>
      </c>
      <c r="AP293" s="46">
        <f t="shared" si="225"/>
        <v>0</v>
      </c>
      <c r="AQ293" s="60" t="e">
        <f t="shared" si="241"/>
        <v>#DIV/0!</v>
      </c>
      <c r="AR293" s="60" t="e">
        <f t="shared" si="242"/>
        <v>#DIV/0!</v>
      </c>
      <c r="AT293" s="38"/>
      <c r="AU293" s="38"/>
      <c r="AV293" s="38"/>
      <c r="AW293" s="38"/>
      <c r="AY293" s="38"/>
      <c r="AZ293" s="38"/>
      <c r="BA293" s="38"/>
      <c r="BB293" s="38"/>
    </row>
    <row r="294" spans="1:58" x14ac:dyDescent="0.2">
      <c r="A294" s="45" t="str">
        <f>"506.02.02"</f>
        <v>506.02.02</v>
      </c>
      <c r="B294" s="47" t="s">
        <v>1051</v>
      </c>
      <c r="C294" s="46">
        <f>CE_RegimeContributivo!B468</f>
        <v>0</v>
      </c>
      <c r="D294" s="46">
        <f>CE_RegimeContributivo!C468</f>
        <v>0</v>
      </c>
      <c r="E294" s="46">
        <f>CE_RegimeContributivo!E468</f>
        <v>0</v>
      </c>
      <c r="F294" s="46">
        <f>CE_RegimeContributivo!S468</f>
        <v>0</v>
      </c>
      <c r="G294" s="60" t="e">
        <f t="shared" si="229"/>
        <v>#DIV/0!</v>
      </c>
      <c r="H294" s="60" t="e">
        <f t="shared" si="230"/>
        <v>#DIV/0!</v>
      </c>
      <c r="I294" s="46">
        <f>CE_RegimeNaoContributivo!B468</f>
        <v>0</v>
      </c>
      <c r="J294" s="46">
        <f>CE_RegimeNaoContributivo!C468</f>
        <v>0</v>
      </c>
      <c r="K294" s="46">
        <f>CE_RegimeNaoContributivo!E468</f>
        <v>0</v>
      </c>
      <c r="L294" s="46">
        <f>CE_RegimeNaoContributivo!S468</f>
        <v>0</v>
      </c>
      <c r="M294" s="60" t="e">
        <f t="shared" si="231"/>
        <v>#DIV/0!</v>
      </c>
      <c r="N294" s="60" t="e">
        <f t="shared" si="232"/>
        <v>#DIV/0!</v>
      </c>
      <c r="O294" s="46">
        <f>CE_AdministraçãoINSS!B468</f>
        <v>0</v>
      </c>
      <c r="P294" s="46">
        <f>CE_AdministraçãoINSS!C468</f>
        <v>0</v>
      </c>
      <c r="Q294" s="46">
        <f>CE_AdministraçãoINSS!E468</f>
        <v>0</v>
      </c>
      <c r="R294" s="46">
        <f>CE_AdministraçãoINSS!S468</f>
        <v>0</v>
      </c>
      <c r="S294" s="60" t="e">
        <f t="shared" si="233"/>
        <v>#DIV/0!</v>
      </c>
      <c r="T294" s="60" t="e">
        <f t="shared" si="234"/>
        <v>#DIV/0!</v>
      </c>
      <c r="U294" s="46">
        <f t="shared" si="226"/>
        <v>0</v>
      </c>
      <c r="V294" s="46">
        <f t="shared" si="226"/>
        <v>0</v>
      </c>
      <c r="W294" s="46">
        <f t="shared" si="226"/>
        <v>0</v>
      </c>
      <c r="X294" s="46">
        <f t="shared" si="223"/>
        <v>0</v>
      </c>
      <c r="Y294" s="60" t="e">
        <f t="shared" si="235"/>
        <v>#DIV/0!</v>
      </c>
      <c r="Z294" s="60" t="e">
        <f t="shared" si="236"/>
        <v>#DIV/0!</v>
      </c>
      <c r="AA294" s="46">
        <f>CE_AdministraçãoFRSS!B468</f>
        <v>0</v>
      </c>
      <c r="AB294" s="46">
        <f>CE_AdministraçãoFRSS!C468</f>
        <v>0</v>
      </c>
      <c r="AC294" s="46">
        <f>CE_AdministraçãoFRSS!E468</f>
        <v>0</v>
      </c>
      <c r="AD294" s="46">
        <f>CE_AdministraçãoFRSS!S468</f>
        <v>0</v>
      </c>
      <c r="AE294" s="60" t="e">
        <f t="shared" si="237"/>
        <v>#DIV/0!</v>
      </c>
      <c r="AF294" s="60" t="e">
        <f t="shared" si="238"/>
        <v>#DIV/0!</v>
      </c>
      <c r="AG294" s="46">
        <f t="shared" si="227"/>
        <v>0</v>
      </c>
      <c r="AH294" s="46">
        <f t="shared" si="227"/>
        <v>0</v>
      </c>
      <c r="AI294" s="46">
        <f t="shared" si="227"/>
        <v>0</v>
      </c>
      <c r="AJ294" s="46">
        <f t="shared" si="224"/>
        <v>0</v>
      </c>
      <c r="AK294" s="60" t="e">
        <f t="shared" si="239"/>
        <v>#DIV/0!</v>
      </c>
      <c r="AL294" s="60" t="e">
        <f t="shared" si="240"/>
        <v>#DIV/0!</v>
      </c>
      <c r="AM294" s="46">
        <f t="shared" si="228"/>
        <v>0</v>
      </c>
      <c r="AN294" s="46">
        <f t="shared" si="228"/>
        <v>0</v>
      </c>
      <c r="AO294" s="46">
        <f t="shared" si="228"/>
        <v>0</v>
      </c>
      <c r="AP294" s="46">
        <f t="shared" si="225"/>
        <v>0</v>
      </c>
      <c r="AQ294" s="60" t="e">
        <f t="shared" si="241"/>
        <v>#DIV/0!</v>
      </c>
      <c r="AR294" s="60" t="e">
        <f t="shared" si="242"/>
        <v>#DIV/0!</v>
      </c>
      <c r="AT294" s="38"/>
      <c r="AU294" s="38"/>
      <c r="AV294" s="38"/>
      <c r="AW294" s="38"/>
      <c r="AY294" s="38"/>
      <c r="AZ294" s="38"/>
      <c r="BA294" s="38"/>
      <c r="BB294" s="38"/>
    </row>
    <row r="295" spans="1:58" x14ac:dyDescent="0.2">
      <c r="A295" s="45" t="str">
        <f>"506.02.03"</f>
        <v>506.02.03</v>
      </c>
      <c r="B295" s="47" t="s">
        <v>1052</v>
      </c>
      <c r="C295" s="46">
        <f>CE_RegimeContributivo!B469</f>
        <v>0</v>
      </c>
      <c r="D295" s="46">
        <f>CE_RegimeContributivo!C469</f>
        <v>0</v>
      </c>
      <c r="E295" s="46">
        <f>CE_RegimeContributivo!E469</f>
        <v>0</v>
      </c>
      <c r="F295" s="46">
        <f>CE_RegimeContributivo!S469</f>
        <v>0</v>
      </c>
      <c r="G295" s="60" t="e">
        <f t="shared" si="229"/>
        <v>#DIV/0!</v>
      </c>
      <c r="H295" s="60" t="e">
        <f t="shared" si="230"/>
        <v>#DIV/0!</v>
      </c>
      <c r="I295" s="46">
        <f>CE_RegimeNaoContributivo!B469</f>
        <v>0</v>
      </c>
      <c r="J295" s="46">
        <f>CE_RegimeNaoContributivo!C469</f>
        <v>0</v>
      </c>
      <c r="K295" s="46">
        <f>CE_RegimeNaoContributivo!E469</f>
        <v>0</v>
      </c>
      <c r="L295" s="46">
        <f>CE_RegimeNaoContributivo!S469</f>
        <v>0</v>
      </c>
      <c r="M295" s="60" t="e">
        <f t="shared" si="231"/>
        <v>#DIV/0!</v>
      </c>
      <c r="N295" s="60" t="e">
        <f t="shared" si="232"/>
        <v>#DIV/0!</v>
      </c>
      <c r="O295" s="46">
        <f>CE_AdministraçãoINSS!B469</f>
        <v>0</v>
      </c>
      <c r="P295" s="46">
        <f>CE_AdministraçãoINSS!C469</f>
        <v>0</v>
      </c>
      <c r="Q295" s="46">
        <f>CE_AdministraçãoINSS!E469</f>
        <v>0</v>
      </c>
      <c r="R295" s="46">
        <f>CE_AdministraçãoINSS!S469</f>
        <v>0</v>
      </c>
      <c r="S295" s="60" t="e">
        <f t="shared" si="233"/>
        <v>#DIV/0!</v>
      </c>
      <c r="T295" s="60" t="e">
        <f t="shared" si="234"/>
        <v>#DIV/0!</v>
      </c>
      <c r="U295" s="46">
        <f t="shared" si="226"/>
        <v>0</v>
      </c>
      <c r="V295" s="46">
        <f t="shared" si="226"/>
        <v>0</v>
      </c>
      <c r="W295" s="46">
        <f t="shared" si="226"/>
        <v>0</v>
      </c>
      <c r="X295" s="46">
        <f t="shared" si="223"/>
        <v>0</v>
      </c>
      <c r="Y295" s="60" t="e">
        <f t="shared" si="235"/>
        <v>#DIV/0!</v>
      </c>
      <c r="Z295" s="60" t="e">
        <f t="shared" si="236"/>
        <v>#DIV/0!</v>
      </c>
      <c r="AA295" s="46">
        <f>CE_AdministraçãoFRSS!B469</f>
        <v>0</v>
      </c>
      <c r="AB295" s="46">
        <f>CE_AdministraçãoFRSS!C469</f>
        <v>0</v>
      </c>
      <c r="AC295" s="46">
        <f>CE_AdministraçãoFRSS!E469</f>
        <v>0</v>
      </c>
      <c r="AD295" s="46">
        <f>CE_AdministraçãoFRSS!S469</f>
        <v>0</v>
      </c>
      <c r="AE295" s="60" t="e">
        <f t="shared" si="237"/>
        <v>#DIV/0!</v>
      </c>
      <c r="AF295" s="60" t="e">
        <f t="shared" si="238"/>
        <v>#DIV/0!</v>
      </c>
      <c r="AG295" s="46">
        <f t="shared" si="227"/>
        <v>0</v>
      </c>
      <c r="AH295" s="46">
        <f t="shared" si="227"/>
        <v>0</v>
      </c>
      <c r="AI295" s="46">
        <f t="shared" si="227"/>
        <v>0</v>
      </c>
      <c r="AJ295" s="46">
        <f t="shared" si="224"/>
        <v>0</v>
      </c>
      <c r="AK295" s="60" t="e">
        <f t="shared" si="239"/>
        <v>#DIV/0!</v>
      </c>
      <c r="AL295" s="60" t="e">
        <f t="shared" si="240"/>
        <v>#DIV/0!</v>
      </c>
      <c r="AM295" s="46">
        <f t="shared" si="228"/>
        <v>0</v>
      </c>
      <c r="AN295" s="46">
        <f t="shared" si="228"/>
        <v>0</v>
      </c>
      <c r="AO295" s="46">
        <f t="shared" si="228"/>
        <v>0</v>
      </c>
      <c r="AP295" s="46">
        <f t="shared" si="225"/>
        <v>0</v>
      </c>
      <c r="AQ295" s="60" t="e">
        <f t="shared" si="241"/>
        <v>#DIV/0!</v>
      </c>
      <c r="AR295" s="60" t="e">
        <f t="shared" si="242"/>
        <v>#DIV/0!</v>
      </c>
      <c r="AT295" s="38"/>
      <c r="AU295" s="38"/>
      <c r="AV295" s="38"/>
      <c r="AW295" s="38"/>
      <c r="AY295" s="38"/>
      <c r="AZ295" s="38"/>
      <c r="BA295" s="38"/>
      <c r="BB295" s="38"/>
    </row>
    <row r="296" spans="1:58" s="44" customFormat="1" x14ac:dyDescent="0.2">
      <c r="A296" s="41" t="str">
        <f>"506.03"</f>
        <v>506.03</v>
      </c>
      <c r="B296" s="42" t="s">
        <v>1053</v>
      </c>
      <c r="C296" s="43">
        <f>SUM(C297:C299)</f>
        <v>0</v>
      </c>
      <c r="D296" s="43">
        <f>SUM(D297:D299)</f>
        <v>0</v>
      </c>
      <c r="E296" s="43">
        <f>SUM(E297:E299)</f>
        <v>0</v>
      </c>
      <c r="F296" s="43">
        <f t="shared" ref="F296" si="259">SUM(F297:F299)</f>
        <v>0</v>
      </c>
      <c r="G296" s="59" t="e">
        <f t="shared" si="229"/>
        <v>#DIV/0!</v>
      </c>
      <c r="H296" s="59" t="e">
        <f t="shared" si="230"/>
        <v>#DIV/0!</v>
      </c>
      <c r="I296" s="43">
        <f>SUM(I297:I299)</f>
        <v>0</v>
      </c>
      <c r="J296" s="43">
        <f>SUM(J297:J299)</f>
        <v>0</v>
      </c>
      <c r="K296" s="43">
        <f t="shared" ref="K296:L296" si="260">SUM(K297:K299)</f>
        <v>0</v>
      </c>
      <c r="L296" s="43">
        <f t="shared" si="260"/>
        <v>0</v>
      </c>
      <c r="M296" s="59" t="e">
        <f t="shared" si="231"/>
        <v>#DIV/0!</v>
      </c>
      <c r="N296" s="59" t="e">
        <f t="shared" si="232"/>
        <v>#DIV/0!</v>
      </c>
      <c r="O296" s="43">
        <f>SUM(O297:O299)</f>
        <v>0</v>
      </c>
      <c r="P296" s="43">
        <f>SUM(P297:P299)</f>
        <v>0</v>
      </c>
      <c r="Q296" s="43">
        <f t="shared" ref="Q296:R296" si="261">SUM(Q297:Q299)</f>
        <v>0</v>
      </c>
      <c r="R296" s="43">
        <f t="shared" si="261"/>
        <v>0</v>
      </c>
      <c r="S296" s="59" t="e">
        <f t="shared" si="233"/>
        <v>#DIV/0!</v>
      </c>
      <c r="T296" s="59" t="e">
        <f t="shared" si="234"/>
        <v>#DIV/0!</v>
      </c>
      <c r="U296" s="43">
        <f t="shared" si="226"/>
        <v>0</v>
      </c>
      <c r="V296" s="43">
        <f t="shared" si="226"/>
        <v>0</v>
      </c>
      <c r="W296" s="43">
        <f t="shared" si="226"/>
        <v>0</v>
      </c>
      <c r="X296" s="43">
        <f t="shared" si="223"/>
        <v>0</v>
      </c>
      <c r="Y296" s="59" t="e">
        <f t="shared" si="235"/>
        <v>#DIV/0!</v>
      </c>
      <c r="Z296" s="59" t="e">
        <f t="shared" si="236"/>
        <v>#DIV/0!</v>
      </c>
      <c r="AA296" s="43">
        <f>SUM(AA297:AA299)</f>
        <v>0</v>
      </c>
      <c r="AB296" s="43">
        <f>SUM(AB297:AB299)</f>
        <v>0</v>
      </c>
      <c r="AC296" s="43">
        <f t="shared" ref="AC296:AD296" si="262">SUM(AC297:AC299)</f>
        <v>0</v>
      </c>
      <c r="AD296" s="43">
        <f t="shared" si="262"/>
        <v>0</v>
      </c>
      <c r="AE296" s="59" t="e">
        <f t="shared" si="237"/>
        <v>#DIV/0!</v>
      </c>
      <c r="AF296" s="59" t="e">
        <f t="shared" si="238"/>
        <v>#DIV/0!</v>
      </c>
      <c r="AG296" s="43">
        <f t="shared" si="227"/>
        <v>0</v>
      </c>
      <c r="AH296" s="43">
        <f t="shared" si="227"/>
        <v>0</v>
      </c>
      <c r="AI296" s="43">
        <f t="shared" si="227"/>
        <v>0</v>
      </c>
      <c r="AJ296" s="43">
        <f t="shared" si="224"/>
        <v>0</v>
      </c>
      <c r="AK296" s="59" t="e">
        <f t="shared" si="239"/>
        <v>#DIV/0!</v>
      </c>
      <c r="AL296" s="59" t="e">
        <f t="shared" si="240"/>
        <v>#DIV/0!</v>
      </c>
      <c r="AM296" s="43">
        <f t="shared" si="228"/>
        <v>0</v>
      </c>
      <c r="AN296" s="43">
        <f t="shared" si="228"/>
        <v>0</v>
      </c>
      <c r="AO296" s="43">
        <f t="shared" si="228"/>
        <v>0</v>
      </c>
      <c r="AP296" s="43">
        <f t="shared" si="225"/>
        <v>0</v>
      </c>
      <c r="AQ296" s="59" t="e">
        <f t="shared" si="241"/>
        <v>#DIV/0!</v>
      </c>
      <c r="AR296" s="59" t="e">
        <f t="shared" si="242"/>
        <v>#DIV/0!</v>
      </c>
      <c r="AT296" s="38"/>
      <c r="AU296" s="38"/>
      <c r="AV296" s="38"/>
      <c r="AW296" s="38"/>
      <c r="AY296" s="38"/>
      <c r="AZ296" s="38"/>
      <c r="BA296" s="38"/>
      <c r="BB296" s="38"/>
      <c r="BC296" s="36"/>
      <c r="BD296" s="36"/>
      <c r="BE296" s="36"/>
      <c r="BF296" s="36"/>
    </row>
    <row r="297" spans="1:58" x14ac:dyDescent="0.2">
      <c r="A297" s="45" t="str">
        <f>"506.03.01"</f>
        <v>506.03.01</v>
      </c>
      <c r="B297" s="47" t="s">
        <v>1054</v>
      </c>
      <c r="C297" s="46">
        <f>CE_RegimeContributivo!B471</f>
        <v>0</v>
      </c>
      <c r="D297" s="46">
        <f>CE_RegimeContributivo!C471</f>
        <v>0</v>
      </c>
      <c r="E297" s="46">
        <f>CE_RegimeContributivo!E471</f>
        <v>0</v>
      </c>
      <c r="F297" s="46">
        <f>CE_RegimeContributivo!S471</f>
        <v>0</v>
      </c>
      <c r="G297" s="60" t="e">
        <f t="shared" si="229"/>
        <v>#DIV/0!</v>
      </c>
      <c r="H297" s="60" t="e">
        <f t="shared" si="230"/>
        <v>#DIV/0!</v>
      </c>
      <c r="I297" s="46">
        <f>CE_RegimeNaoContributivo!B471</f>
        <v>0</v>
      </c>
      <c r="J297" s="46">
        <f>CE_RegimeNaoContributivo!C471</f>
        <v>0</v>
      </c>
      <c r="K297" s="46">
        <f>CE_RegimeNaoContributivo!E471</f>
        <v>0</v>
      </c>
      <c r="L297" s="46">
        <f>CE_RegimeNaoContributivo!S471</f>
        <v>0</v>
      </c>
      <c r="M297" s="60" t="e">
        <f t="shared" si="231"/>
        <v>#DIV/0!</v>
      </c>
      <c r="N297" s="60" t="e">
        <f t="shared" si="232"/>
        <v>#DIV/0!</v>
      </c>
      <c r="O297" s="46">
        <f>CE_AdministraçãoINSS!B471</f>
        <v>0</v>
      </c>
      <c r="P297" s="46">
        <f>CE_AdministraçãoINSS!C471</f>
        <v>0</v>
      </c>
      <c r="Q297" s="46">
        <f>CE_AdministraçãoINSS!E471</f>
        <v>0</v>
      </c>
      <c r="R297" s="46">
        <f>CE_AdministraçãoINSS!S471</f>
        <v>0</v>
      </c>
      <c r="S297" s="60" t="e">
        <f t="shared" si="233"/>
        <v>#DIV/0!</v>
      </c>
      <c r="T297" s="60" t="e">
        <f t="shared" si="234"/>
        <v>#DIV/0!</v>
      </c>
      <c r="U297" s="46">
        <f t="shared" si="226"/>
        <v>0</v>
      </c>
      <c r="V297" s="46">
        <f t="shared" si="226"/>
        <v>0</v>
      </c>
      <c r="W297" s="46">
        <f t="shared" si="226"/>
        <v>0</v>
      </c>
      <c r="X297" s="46">
        <f t="shared" si="223"/>
        <v>0</v>
      </c>
      <c r="Y297" s="60" t="e">
        <f t="shared" si="235"/>
        <v>#DIV/0!</v>
      </c>
      <c r="Z297" s="60" t="e">
        <f t="shared" si="236"/>
        <v>#DIV/0!</v>
      </c>
      <c r="AA297" s="46">
        <f>CE_AdministraçãoFRSS!B471</f>
        <v>0</v>
      </c>
      <c r="AB297" s="46">
        <f>CE_AdministraçãoFRSS!C471</f>
        <v>0</v>
      </c>
      <c r="AC297" s="46">
        <f>CE_AdministraçãoFRSS!E471</f>
        <v>0</v>
      </c>
      <c r="AD297" s="46">
        <f>CE_AdministraçãoFRSS!S471</f>
        <v>0</v>
      </c>
      <c r="AE297" s="60" t="e">
        <f t="shared" si="237"/>
        <v>#DIV/0!</v>
      </c>
      <c r="AF297" s="60" t="e">
        <f t="shared" si="238"/>
        <v>#DIV/0!</v>
      </c>
      <c r="AG297" s="46">
        <f t="shared" si="227"/>
        <v>0</v>
      </c>
      <c r="AH297" s="46">
        <f t="shared" si="227"/>
        <v>0</v>
      </c>
      <c r="AI297" s="46">
        <f t="shared" si="227"/>
        <v>0</v>
      </c>
      <c r="AJ297" s="46">
        <f t="shared" si="224"/>
        <v>0</v>
      </c>
      <c r="AK297" s="60" t="e">
        <f t="shared" si="239"/>
        <v>#DIV/0!</v>
      </c>
      <c r="AL297" s="60" t="e">
        <f t="shared" si="240"/>
        <v>#DIV/0!</v>
      </c>
      <c r="AM297" s="46">
        <f t="shared" si="228"/>
        <v>0</v>
      </c>
      <c r="AN297" s="46">
        <f t="shared" si="228"/>
        <v>0</v>
      </c>
      <c r="AO297" s="46">
        <f t="shared" si="228"/>
        <v>0</v>
      </c>
      <c r="AP297" s="46">
        <f t="shared" si="225"/>
        <v>0</v>
      </c>
      <c r="AQ297" s="60" t="e">
        <f t="shared" si="241"/>
        <v>#DIV/0!</v>
      </c>
      <c r="AR297" s="60" t="e">
        <f t="shared" si="242"/>
        <v>#DIV/0!</v>
      </c>
      <c r="AT297" s="38"/>
      <c r="AU297" s="38"/>
      <c r="AV297" s="38"/>
      <c r="AW297" s="38"/>
      <c r="AY297" s="38"/>
      <c r="AZ297" s="38"/>
      <c r="BA297" s="38"/>
      <c r="BB297" s="38"/>
    </row>
    <row r="298" spans="1:58" x14ac:dyDescent="0.2">
      <c r="A298" s="45" t="str">
        <f>"506.03.02"</f>
        <v>506.03.02</v>
      </c>
      <c r="B298" s="47" t="s">
        <v>1055</v>
      </c>
      <c r="C298" s="46">
        <f>CE_RegimeContributivo!B472</f>
        <v>0</v>
      </c>
      <c r="D298" s="46">
        <f>CE_RegimeContributivo!C472</f>
        <v>0</v>
      </c>
      <c r="E298" s="46">
        <f>CE_RegimeContributivo!E472</f>
        <v>0</v>
      </c>
      <c r="F298" s="46">
        <f>CE_RegimeContributivo!S472</f>
        <v>0</v>
      </c>
      <c r="G298" s="60" t="e">
        <f t="shared" si="229"/>
        <v>#DIV/0!</v>
      </c>
      <c r="H298" s="60" t="e">
        <f t="shared" si="230"/>
        <v>#DIV/0!</v>
      </c>
      <c r="I298" s="46">
        <f>CE_RegimeNaoContributivo!B472</f>
        <v>0</v>
      </c>
      <c r="J298" s="46">
        <f>CE_RegimeNaoContributivo!C472</f>
        <v>0</v>
      </c>
      <c r="K298" s="46">
        <f>CE_RegimeNaoContributivo!E472</f>
        <v>0</v>
      </c>
      <c r="L298" s="46">
        <f>CE_RegimeNaoContributivo!S472</f>
        <v>0</v>
      </c>
      <c r="M298" s="60" t="e">
        <f t="shared" si="231"/>
        <v>#DIV/0!</v>
      </c>
      <c r="N298" s="60" t="e">
        <f t="shared" si="232"/>
        <v>#DIV/0!</v>
      </c>
      <c r="O298" s="46">
        <f>CE_AdministraçãoINSS!B472</f>
        <v>0</v>
      </c>
      <c r="P298" s="46">
        <f>CE_AdministraçãoINSS!C472</f>
        <v>0</v>
      </c>
      <c r="Q298" s="46">
        <f>CE_AdministraçãoINSS!E472</f>
        <v>0</v>
      </c>
      <c r="R298" s="46">
        <f>CE_AdministraçãoINSS!S472</f>
        <v>0</v>
      </c>
      <c r="S298" s="60" t="e">
        <f t="shared" si="233"/>
        <v>#DIV/0!</v>
      </c>
      <c r="T298" s="60" t="e">
        <f t="shared" si="234"/>
        <v>#DIV/0!</v>
      </c>
      <c r="U298" s="46">
        <f t="shared" si="226"/>
        <v>0</v>
      </c>
      <c r="V298" s="46">
        <f t="shared" si="226"/>
        <v>0</v>
      </c>
      <c r="W298" s="46">
        <f t="shared" si="226"/>
        <v>0</v>
      </c>
      <c r="X298" s="46">
        <f t="shared" si="223"/>
        <v>0</v>
      </c>
      <c r="Y298" s="60" t="e">
        <f t="shared" si="235"/>
        <v>#DIV/0!</v>
      </c>
      <c r="Z298" s="60" t="e">
        <f t="shared" si="236"/>
        <v>#DIV/0!</v>
      </c>
      <c r="AA298" s="46">
        <f>CE_AdministraçãoFRSS!B472</f>
        <v>0</v>
      </c>
      <c r="AB298" s="46">
        <f>CE_AdministraçãoFRSS!C472</f>
        <v>0</v>
      </c>
      <c r="AC298" s="46">
        <f>CE_AdministraçãoFRSS!E472</f>
        <v>0</v>
      </c>
      <c r="AD298" s="46">
        <f>CE_AdministraçãoFRSS!S472</f>
        <v>0</v>
      </c>
      <c r="AE298" s="60" t="e">
        <f t="shared" si="237"/>
        <v>#DIV/0!</v>
      </c>
      <c r="AF298" s="60" t="e">
        <f t="shared" si="238"/>
        <v>#DIV/0!</v>
      </c>
      <c r="AG298" s="46">
        <f t="shared" si="227"/>
        <v>0</v>
      </c>
      <c r="AH298" s="46">
        <f t="shared" si="227"/>
        <v>0</v>
      </c>
      <c r="AI298" s="46">
        <f t="shared" si="227"/>
        <v>0</v>
      </c>
      <c r="AJ298" s="46">
        <f t="shared" si="224"/>
        <v>0</v>
      </c>
      <c r="AK298" s="60" t="e">
        <f t="shared" si="239"/>
        <v>#DIV/0!</v>
      </c>
      <c r="AL298" s="60" t="e">
        <f t="shared" si="240"/>
        <v>#DIV/0!</v>
      </c>
      <c r="AM298" s="46">
        <f t="shared" si="228"/>
        <v>0</v>
      </c>
      <c r="AN298" s="46">
        <f t="shared" si="228"/>
        <v>0</v>
      </c>
      <c r="AO298" s="46">
        <f t="shared" si="228"/>
        <v>0</v>
      </c>
      <c r="AP298" s="46">
        <f t="shared" si="225"/>
        <v>0</v>
      </c>
      <c r="AQ298" s="60" t="e">
        <f t="shared" si="241"/>
        <v>#DIV/0!</v>
      </c>
      <c r="AR298" s="60" t="e">
        <f t="shared" si="242"/>
        <v>#DIV/0!</v>
      </c>
      <c r="AT298" s="38"/>
      <c r="AU298" s="38"/>
      <c r="AV298" s="38"/>
      <c r="AW298" s="38"/>
      <c r="AY298" s="38"/>
      <c r="AZ298" s="38"/>
      <c r="BA298" s="38"/>
      <c r="BB298" s="38"/>
    </row>
    <row r="299" spans="1:58" x14ac:dyDescent="0.2">
      <c r="A299" s="45" t="str">
        <f>"506.03.03"</f>
        <v>506.03.03</v>
      </c>
      <c r="B299" s="47" t="s">
        <v>1056</v>
      </c>
      <c r="C299" s="46">
        <f>CE_RegimeContributivo!B473</f>
        <v>0</v>
      </c>
      <c r="D299" s="46">
        <f>CE_RegimeContributivo!C473</f>
        <v>0</v>
      </c>
      <c r="E299" s="46">
        <f>CE_RegimeContributivo!E473</f>
        <v>0</v>
      </c>
      <c r="F299" s="46">
        <f>CE_RegimeContributivo!S473</f>
        <v>0</v>
      </c>
      <c r="G299" s="60" t="e">
        <f t="shared" si="229"/>
        <v>#DIV/0!</v>
      </c>
      <c r="H299" s="60" t="e">
        <f t="shared" si="230"/>
        <v>#DIV/0!</v>
      </c>
      <c r="I299" s="46">
        <f>CE_RegimeNaoContributivo!B473</f>
        <v>0</v>
      </c>
      <c r="J299" s="46">
        <f>CE_RegimeNaoContributivo!C473</f>
        <v>0</v>
      </c>
      <c r="K299" s="46">
        <f>CE_RegimeNaoContributivo!E473</f>
        <v>0</v>
      </c>
      <c r="L299" s="46">
        <f>CE_RegimeNaoContributivo!S473</f>
        <v>0</v>
      </c>
      <c r="M299" s="60" t="e">
        <f t="shared" si="231"/>
        <v>#DIV/0!</v>
      </c>
      <c r="N299" s="60" t="e">
        <f t="shared" si="232"/>
        <v>#DIV/0!</v>
      </c>
      <c r="O299" s="46">
        <f>CE_AdministraçãoINSS!B473</f>
        <v>0</v>
      </c>
      <c r="P299" s="46">
        <f>CE_AdministraçãoINSS!C473</f>
        <v>0</v>
      </c>
      <c r="Q299" s="46">
        <f>CE_AdministraçãoINSS!E473</f>
        <v>0</v>
      </c>
      <c r="R299" s="46">
        <f>CE_AdministraçãoINSS!S473</f>
        <v>0</v>
      </c>
      <c r="S299" s="60" t="e">
        <f t="shared" si="233"/>
        <v>#DIV/0!</v>
      </c>
      <c r="T299" s="60" t="e">
        <f t="shared" si="234"/>
        <v>#DIV/0!</v>
      </c>
      <c r="U299" s="46">
        <f t="shared" si="226"/>
        <v>0</v>
      </c>
      <c r="V299" s="46">
        <f t="shared" si="226"/>
        <v>0</v>
      </c>
      <c r="W299" s="46">
        <f t="shared" si="226"/>
        <v>0</v>
      </c>
      <c r="X299" s="46">
        <f t="shared" si="223"/>
        <v>0</v>
      </c>
      <c r="Y299" s="60" t="e">
        <f t="shared" si="235"/>
        <v>#DIV/0!</v>
      </c>
      <c r="Z299" s="60" t="e">
        <f t="shared" si="236"/>
        <v>#DIV/0!</v>
      </c>
      <c r="AA299" s="46">
        <f>CE_AdministraçãoFRSS!B473</f>
        <v>0</v>
      </c>
      <c r="AB299" s="46">
        <f>CE_AdministraçãoFRSS!C473</f>
        <v>0</v>
      </c>
      <c r="AC299" s="46">
        <f>CE_AdministraçãoFRSS!E473</f>
        <v>0</v>
      </c>
      <c r="AD299" s="46">
        <f>CE_AdministraçãoFRSS!S473</f>
        <v>0</v>
      </c>
      <c r="AE299" s="60" t="e">
        <f t="shared" si="237"/>
        <v>#DIV/0!</v>
      </c>
      <c r="AF299" s="60" t="e">
        <f t="shared" si="238"/>
        <v>#DIV/0!</v>
      </c>
      <c r="AG299" s="46">
        <f t="shared" si="227"/>
        <v>0</v>
      </c>
      <c r="AH299" s="46">
        <f t="shared" si="227"/>
        <v>0</v>
      </c>
      <c r="AI299" s="46">
        <f t="shared" si="227"/>
        <v>0</v>
      </c>
      <c r="AJ299" s="46">
        <f t="shared" si="224"/>
        <v>0</v>
      </c>
      <c r="AK299" s="60" t="e">
        <f t="shared" si="239"/>
        <v>#DIV/0!</v>
      </c>
      <c r="AL299" s="60" t="e">
        <f t="shared" si="240"/>
        <v>#DIV/0!</v>
      </c>
      <c r="AM299" s="46">
        <f t="shared" si="228"/>
        <v>0</v>
      </c>
      <c r="AN299" s="46">
        <f t="shared" si="228"/>
        <v>0</v>
      </c>
      <c r="AO299" s="46">
        <f t="shared" si="228"/>
        <v>0</v>
      </c>
      <c r="AP299" s="46">
        <f t="shared" si="225"/>
        <v>0</v>
      </c>
      <c r="AQ299" s="60" t="e">
        <f t="shared" si="241"/>
        <v>#DIV/0!</v>
      </c>
      <c r="AR299" s="60" t="e">
        <f t="shared" si="242"/>
        <v>#DIV/0!</v>
      </c>
      <c r="AT299" s="38"/>
      <c r="AU299" s="38"/>
      <c r="AV299" s="38"/>
      <c r="AW299" s="38"/>
      <c r="AY299" s="38"/>
      <c r="AZ299" s="38"/>
      <c r="BA299" s="38"/>
      <c r="BB299" s="38"/>
    </row>
    <row r="300" spans="1:58" x14ac:dyDescent="0.2">
      <c r="A300" s="41" t="str">
        <f>"506.04"</f>
        <v>506.04</v>
      </c>
      <c r="B300" s="42" t="s">
        <v>829</v>
      </c>
      <c r="C300" s="43">
        <f>CE_RegimeContributivo!B474</f>
        <v>0</v>
      </c>
      <c r="D300" s="43">
        <f>CE_RegimeContributivo!C474</f>
        <v>0</v>
      </c>
      <c r="E300" s="43">
        <f>CE_RegimeContributivo!E474</f>
        <v>0</v>
      </c>
      <c r="F300" s="43">
        <f>CE_RegimeContributivo!S474</f>
        <v>0</v>
      </c>
      <c r="G300" s="59" t="e">
        <f t="shared" si="229"/>
        <v>#DIV/0!</v>
      </c>
      <c r="H300" s="59" t="e">
        <f t="shared" si="230"/>
        <v>#DIV/0!</v>
      </c>
      <c r="I300" s="43">
        <f>CE_RegimeNaoContributivo!B474</f>
        <v>0</v>
      </c>
      <c r="J300" s="43">
        <f>CE_RegimeNaoContributivo!C474</f>
        <v>0</v>
      </c>
      <c r="K300" s="43">
        <f>CE_RegimeNaoContributivo!E474</f>
        <v>0</v>
      </c>
      <c r="L300" s="43">
        <f>CE_RegimeNaoContributivo!S474</f>
        <v>0</v>
      </c>
      <c r="M300" s="59" t="e">
        <f t="shared" si="231"/>
        <v>#DIV/0!</v>
      </c>
      <c r="N300" s="59" t="e">
        <f t="shared" si="232"/>
        <v>#DIV/0!</v>
      </c>
      <c r="O300" s="43">
        <f>CE_AdministraçãoINSS!B474</f>
        <v>0</v>
      </c>
      <c r="P300" s="43">
        <f>CE_AdministraçãoINSS!C474</f>
        <v>0</v>
      </c>
      <c r="Q300" s="43">
        <f>CE_AdministraçãoINSS!E474</f>
        <v>0</v>
      </c>
      <c r="R300" s="43">
        <f>CE_AdministraçãoINSS!S474</f>
        <v>0</v>
      </c>
      <c r="S300" s="59" t="e">
        <f t="shared" si="233"/>
        <v>#DIV/0!</v>
      </c>
      <c r="T300" s="59" t="e">
        <f t="shared" si="234"/>
        <v>#DIV/0!</v>
      </c>
      <c r="U300" s="43">
        <f t="shared" si="226"/>
        <v>0</v>
      </c>
      <c r="V300" s="43">
        <f t="shared" si="226"/>
        <v>0</v>
      </c>
      <c r="W300" s="43">
        <f t="shared" si="226"/>
        <v>0</v>
      </c>
      <c r="X300" s="43">
        <f t="shared" si="223"/>
        <v>0</v>
      </c>
      <c r="Y300" s="59" t="e">
        <f t="shared" si="235"/>
        <v>#DIV/0!</v>
      </c>
      <c r="Z300" s="59" t="e">
        <f t="shared" si="236"/>
        <v>#DIV/0!</v>
      </c>
      <c r="AA300" s="43">
        <f>CE_AdministraçãoFRSS!B474</f>
        <v>0</v>
      </c>
      <c r="AB300" s="43">
        <f>CE_AdministraçãoFRSS!C474</f>
        <v>0</v>
      </c>
      <c r="AC300" s="43">
        <f>CE_AdministraçãoFRSS!E474</f>
        <v>0</v>
      </c>
      <c r="AD300" s="43">
        <f>CE_AdministraçãoFRSS!S474</f>
        <v>0</v>
      </c>
      <c r="AE300" s="59" t="e">
        <f t="shared" si="237"/>
        <v>#DIV/0!</v>
      </c>
      <c r="AF300" s="59" t="e">
        <f t="shared" si="238"/>
        <v>#DIV/0!</v>
      </c>
      <c r="AG300" s="43">
        <f t="shared" si="227"/>
        <v>0</v>
      </c>
      <c r="AH300" s="43">
        <f t="shared" si="227"/>
        <v>0</v>
      </c>
      <c r="AI300" s="43">
        <f t="shared" si="227"/>
        <v>0</v>
      </c>
      <c r="AJ300" s="43">
        <f t="shared" si="224"/>
        <v>0</v>
      </c>
      <c r="AK300" s="59" t="e">
        <f t="shared" si="239"/>
        <v>#DIV/0!</v>
      </c>
      <c r="AL300" s="59" t="e">
        <f t="shared" si="240"/>
        <v>#DIV/0!</v>
      </c>
      <c r="AM300" s="43">
        <f t="shared" si="228"/>
        <v>0</v>
      </c>
      <c r="AN300" s="43">
        <f t="shared" si="228"/>
        <v>0</v>
      </c>
      <c r="AO300" s="43">
        <f t="shared" si="228"/>
        <v>0</v>
      </c>
      <c r="AP300" s="43">
        <f t="shared" si="225"/>
        <v>0</v>
      </c>
      <c r="AQ300" s="59" t="e">
        <f t="shared" si="241"/>
        <v>#DIV/0!</v>
      </c>
      <c r="AR300" s="59" t="e">
        <f t="shared" si="242"/>
        <v>#DIV/0!</v>
      </c>
      <c r="AT300" s="38"/>
      <c r="AU300" s="38"/>
      <c r="AV300" s="38"/>
      <c r="AW300" s="38"/>
      <c r="AY300" s="38"/>
      <c r="AZ300" s="38"/>
      <c r="BA300" s="38"/>
      <c r="BB300" s="38"/>
    </row>
    <row r="301" spans="1:58" x14ac:dyDescent="0.2">
      <c r="A301" s="52"/>
      <c r="B301" s="37" t="s">
        <v>122</v>
      </c>
      <c r="C301" s="53">
        <f>C8+C34+C165+C253+C270</f>
        <v>62649205</v>
      </c>
      <c r="D301" s="53">
        <f t="shared" ref="D301:F301" si="263">D8+D34+D165+D253+D270</f>
        <v>90155769.439999998</v>
      </c>
      <c r="E301" s="53">
        <f t="shared" si="263"/>
        <v>65045717.575099051</v>
      </c>
      <c r="F301" s="53">
        <f t="shared" si="263"/>
        <v>64968690.94198744</v>
      </c>
      <c r="G301" s="62">
        <f t="shared" si="229"/>
        <v>0.72062710290798493</v>
      </c>
      <c r="H301" s="62">
        <f t="shared" si="230"/>
        <v>0.72148147566294074</v>
      </c>
      <c r="I301" s="53">
        <f>I8+I34+I165+I253+I270</f>
        <v>104250000</v>
      </c>
      <c r="J301" s="53">
        <f t="shared" ref="J301:L301" si="264">J8+J34+J165+J253+J270</f>
        <v>104250000</v>
      </c>
      <c r="K301" s="53">
        <f t="shared" si="264"/>
        <v>70606713.258999988</v>
      </c>
      <c r="L301" s="53">
        <f t="shared" si="264"/>
        <v>70263770.858999997</v>
      </c>
      <c r="M301" s="62">
        <f t="shared" si="231"/>
        <v>0.67399300584172661</v>
      </c>
      <c r="N301" s="62">
        <f t="shared" si="232"/>
        <v>0.67728262118944837</v>
      </c>
      <c r="O301" s="53">
        <f t="shared" ref="O301:R301" si="265">O8+O34+O165+O253+O270</f>
        <v>3500000</v>
      </c>
      <c r="P301" s="53">
        <f t="shared" si="265"/>
        <v>3364647.21</v>
      </c>
      <c r="Q301" s="53">
        <f t="shared" si="265"/>
        <v>2531217.5499999998</v>
      </c>
      <c r="R301" s="53">
        <f t="shared" si="265"/>
        <v>1953551.4500000002</v>
      </c>
      <c r="S301" s="62">
        <f t="shared" si="233"/>
        <v>0.58061107987603855</v>
      </c>
      <c r="T301" s="62">
        <f t="shared" si="234"/>
        <v>0.75229805445189601</v>
      </c>
      <c r="U301" s="53">
        <f t="shared" si="226"/>
        <v>170399205</v>
      </c>
      <c r="V301" s="53">
        <f t="shared" si="226"/>
        <v>197770416.65000001</v>
      </c>
      <c r="W301" s="53">
        <f t="shared" si="226"/>
        <v>138183648.38409907</v>
      </c>
      <c r="X301" s="53">
        <f t="shared" si="223"/>
        <v>137186013.25098741</v>
      </c>
      <c r="Y301" s="62">
        <f t="shared" si="235"/>
        <v>0.69366296322148846</v>
      </c>
      <c r="Z301" s="62">
        <f t="shared" si="236"/>
        <v>0.69870737355348067</v>
      </c>
      <c r="AA301" s="53">
        <f t="shared" ref="AA301:AD301" si="266">AA8+AA34+AA165+AA253+AA270</f>
        <v>333807</v>
      </c>
      <c r="AB301" s="53">
        <f t="shared" si="266"/>
        <v>333807</v>
      </c>
      <c r="AC301" s="53">
        <f t="shared" si="266"/>
        <v>103398.51</v>
      </c>
      <c r="AD301" s="53">
        <f t="shared" si="266"/>
        <v>90828.329999999987</v>
      </c>
      <c r="AE301" s="62">
        <f t="shared" si="237"/>
        <v>0.27209833826133062</v>
      </c>
      <c r="AF301" s="62">
        <f t="shared" si="238"/>
        <v>0.30975536762260825</v>
      </c>
      <c r="AG301" s="53">
        <f t="shared" si="227"/>
        <v>333807</v>
      </c>
      <c r="AH301" s="53">
        <f t="shared" si="227"/>
        <v>333807</v>
      </c>
      <c r="AI301" s="53">
        <f t="shared" si="227"/>
        <v>103398.51</v>
      </c>
      <c r="AJ301" s="53">
        <f t="shared" si="224"/>
        <v>90828.329999999987</v>
      </c>
      <c r="AK301" s="62">
        <f t="shared" si="239"/>
        <v>0.27209833826133062</v>
      </c>
      <c r="AL301" s="62">
        <f t="shared" si="240"/>
        <v>0.30975536762260825</v>
      </c>
      <c r="AM301" s="53">
        <f t="shared" si="228"/>
        <v>170733012</v>
      </c>
      <c r="AN301" s="53">
        <f t="shared" si="228"/>
        <v>198104223.65000001</v>
      </c>
      <c r="AO301" s="53">
        <f t="shared" si="228"/>
        <v>138287046.89409906</v>
      </c>
      <c r="AP301" s="53">
        <f t="shared" si="225"/>
        <v>137276841.58098742</v>
      </c>
      <c r="AQ301" s="62">
        <f t="shared" si="241"/>
        <v>0.69295262388509615</v>
      </c>
      <c r="AR301" s="62">
        <f t="shared" si="242"/>
        <v>0.69805198670785151</v>
      </c>
      <c r="AT301" s="38"/>
      <c r="AU301" s="38"/>
      <c r="AV301" s="38"/>
      <c r="AW301" s="38"/>
      <c r="AY301" s="38"/>
      <c r="AZ301" s="38"/>
      <c r="BA301" s="38"/>
      <c r="BB301" s="38"/>
    </row>
    <row r="302" spans="1:58" x14ac:dyDescent="0.2">
      <c r="A302" s="52"/>
      <c r="B302" s="37" t="s">
        <v>46</v>
      </c>
      <c r="C302" s="53">
        <f>C301-C169-C233</f>
        <v>62649205</v>
      </c>
      <c r="D302" s="53">
        <f t="shared" ref="D302:F302" si="267">D301-D169-D233</f>
        <v>90155769.439999998</v>
      </c>
      <c r="E302" s="53">
        <f t="shared" si="267"/>
        <v>65045717.575099051</v>
      </c>
      <c r="F302" s="53">
        <f t="shared" si="267"/>
        <v>64968690.94198744</v>
      </c>
      <c r="G302" s="62">
        <f t="shared" si="229"/>
        <v>0.72062710290798493</v>
      </c>
      <c r="H302" s="62">
        <f t="shared" si="230"/>
        <v>0.72148147566294074</v>
      </c>
      <c r="I302" s="53">
        <f>I301-I169-I233</f>
        <v>104250000</v>
      </c>
      <c r="J302" s="53">
        <f t="shared" ref="J302:L302" si="268">J301-J169-J233</f>
        <v>104250000</v>
      </c>
      <c r="K302" s="53">
        <f t="shared" si="268"/>
        <v>70606713.258999988</v>
      </c>
      <c r="L302" s="53">
        <f t="shared" si="268"/>
        <v>70263770.858999997</v>
      </c>
      <c r="M302" s="62">
        <f t="shared" si="231"/>
        <v>0.67399300584172661</v>
      </c>
      <c r="N302" s="62">
        <f t="shared" si="232"/>
        <v>0.67728262118944837</v>
      </c>
      <c r="O302" s="53">
        <f t="shared" ref="O302:R302" si="269">O301-O169-O233</f>
        <v>3166193</v>
      </c>
      <c r="P302" s="53">
        <f t="shared" si="269"/>
        <v>3166193</v>
      </c>
      <c r="Q302" s="53">
        <f t="shared" si="269"/>
        <v>2419123.46</v>
      </c>
      <c r="R302" s="53">
        <f t="shared" si="269"/>
        <v>1841457.36</v>
      </c>
      <c r="S302" s="62">
        <f t="shared" si="233"/>
        <v>0.58159984561901312</v>
      </c>
      <c r="T302" s="62">
        <f t="shared" si="234"/>
        <v>0.76404800970755726</v>
      </c>
      <c r="U302" s="53">
        <f t="shared" si="226"/>
        <v>170065398</v>
      </c>
      <c r="V302" s="53">
        <f t="shared" si="226"/>
        <v>197571962.44</v>
      </c>
      <c r="W302" s="53">
        <f t="shared" si="226"/>
        <v>138071554.29409906</v>
      </c>
      <c r="X302" s="53">
        <f t="shared" si="223"/>
        <v>137073919.16098744</v>
      </c>
      <c r="Y302" s="62">
        <f t="shared" si="235"/>
        <v>0.693792365415285</v>
      </c>
      <c r="Z302" s="62">
        <f t="shared" si="236"/>
        <v>0.69884184268316707</v>
      </c>
      <c r="AA302" s="53">
        <f t="shared" ref="AA302:AD302" si="270">AA301-AA169-AA233</f>
        <v>333807</v>
      </c>
      <c r="AB302" s="53">
        <f t="shared" si="270"/>
        <v>333807</v>
      </c>
      <c r="AC302" s="53">
        <f t="shared" si="270"/>
        <v>103398.51</v>
      </c>
      <c r="AD302" s="53">
        <f t="shared" si="270"/>
        <v>90828.329999999987</v>
      </c>
      <c r="AE302" s="62">
        <f t="shared" si="237"/>
        <v>0.27209833826133062</v>
      </c>
      <c r="AF302" s="62">
        <f t="shared" si="238"/>
        <v>0.30975536762260825</v>
      </c>
      <c r="AG302" s="53">
        <f t="shared" si="227"/>
        <v>333807</v>
      </c>
      <c r="AH302" s="53">
        <f t="shared" si="227"/>
        <v>333807</v>
      </c>
      <c r="AI302" s="53">
        <f t="shared" si="227"/>
        <v>103398.51</v>
      </c>
      <c r="AJ302" s="53">
        <f t="shared" si="224"/>
        <v>90828.329999999987</v>
      </c>
      <c r="AK302" s="62">
        <f t="shared" si="239"/>
        <v>0.27209833826133062</v>
      </c>
      <c r="AL302" s="62">
        <f t="shared" si="240"/>
        <v>0.30975536762260825</v>
      </c>
      <c r="AM302" s="53">
        <f t="shared" si="228"/>
        <v>170399205</v>
      </c>
      <c r="AN302" s="53">
        <f t="shared" si="228"/>
        <v>197905769.44</v>
      </c>
      <c r="AO302" s="53">
        <f t="shared" si="228"/>
        <v>138174952.80409905</v>
      </c>
      <c r="AP302" s="53">
        <f t="shared" si="225"/>
        <v>137164747.49098745</v>
      </c>
      <c r="AQ302" s="62">
        <f t="shared" si="241"/>
        <v>0.69308109550880126</v>
      </c>
      <c r="AR302" s="62">
        <f t="shared" si="242"/>
        <v>0.69818557182583896</v>
      </c>
      <c r="AT302" s="38"/>
      <c r="AU302" s="38"/>
      <c r="AV302" s="38"/>
      <c r="AW302" s="38"/>
      <c r="AY302" s="38"/>
      <c r="AZ302" s="38"/>
      <c r="BA302" s="38"/>
      <c r="BB302" s="38"/>
    </row>
    <row r="303" spans="1:58" s="63" customFormat="1" x14ac:dyDescent="0.2">
      <c r="A303" s="56"/>
      <c r="B303" s="57" t="s">
        <v>245</v>
      </c>
      <c r="C303" s="138">
        <f>C302-C242-C246</f>
        <v>62649205</v>
      </c>
      <c r="D303" s="138">
        <f t="shared" ref="D303:F303" si="271">D302-D242-D246</f>
        <v>90155769.439999998</v>
      </c>
      <c r="E303" s="138">
        <f t="shared" si="271"/>
        <v>65045717.575099051</v>
      </c>
      <c r="F303" s="138">
        <f t="shared" si="271"/>
        <v>64968690.94198744</v>
      </c>
      <c r="G303" s="65">
        <f t="shared" si="229"/>
        <v>0.72062710290798493</v>
      </c>
      <c r="H303" s="65">
        <f t="shared" si="230"/>
        <v>0.72148147566294074</v>
      </c>
      <c r="I303" s="138">
        <f>I302-I242-I246</f>
        <v>104250000</v>
      </c>
      <c r="J303" s="138">
        <f t="shared" ref="J303:L303" si="272">J302-J242-J246</f>
        <v>104250000</v>
      </c>
      <c r="K303" s="138">
        <f t="shared" si="272"/>
        <v>70606713.258999988</v>
      </c>
      <c r="L303" s="138">
        <f t="shared" si="272"/>
        <v>70263770.858999997</v>
      </c>
      <c r="M303" s="65">
        <f t="shared" si="231"/>
        <v>0.67399300584172661</v>
      </c>
      <c r="N303" s="65">
        <f t="shared" si="232"/>
        <v>0.67728262118944837</v>
      </c>
      <c r="O303" s="138">
        <f t="shared" ref="O303:R303" si="273">O302-O242-O246</f>
        <v>3166193</v>
      </c>
      <c r="P303" s="138">
        <f t="shared" si="273"/>
        <v>3166193</v>
      </c>
      <c r="Q303" s="138">
        <f t="shared" si="273"/>
        <v>2419123.46</v>
      </c>
      <c r="R303" s="138">
        <f t="shared" si="273"/>
        <v>1841457.36</v>
      </c>
      <c r="S303" s="65">
        <f t="shared" si="233"/>
        <v>0.58159984561901312</v>
      </c>
      <c r="T303" s="65">
        <f t="shared" si="234"/>
        <v>0.76404800970755726</v>
      </c>
      <c r="U303" s="138">
        <f t="shared" si="226"/>
        <v>170065398</v>
      </c>
      <c r="V303" s="138">
        <f t="shared" si="226"/>
        <v>197571962.44</v>
      </c>
      <c r="W303" s="138">
        <f t="shared" si="226"/>
        <v>138071554.29409906</v>
      </c>
      <c r="X303" s="138">
        <f t="shared" si="223"/>
        <v>137073919.16098744</v>
      </c>
      <c r="Y303" s="65">
        <f t="shared" si="235"/>
        <v>0.693792365415285</v>
      </c>
      <c r="Z303" s="65">
        <f t="shared" si="236"/>
        <v>0.69884184268316707</v>
      </c>
      <c r="AA303" s="138">
        <f t="shared" ref="AA303:AD303" si="274">AA302-AA242-AA246</f>
        <v>333807</v>
      </c>
      <c r="AB303" s="138">
        <f t="shared" si="274"/>
        <v>333807</v>
      </c>
      <c r="AC303" s="138">
        <f t="shared" si="274"/>
        <v>103398.51</v>
      </c>
      <c r="AD303" s="138">
        <f t="shared" si="274"/>
        <v>90828.329999999987</v>
      </c>
      <c r="AE303" s="65">
        <f t="shared" si="237"/>
        <v>0.27209833826133062</v>
      </c>
      <c r="AF303" s="65">
        <f t="shared" si="238"/>
        <v>0.30975536762260825</v>
      </c>
      <c r="AG303" s="138">
        <f t="shared" si="227"/>
        <v>333807</v>
      </c>
      <c r="AH303" s="138">
        <f t="shared" si="227"/>
        <v>333807</v>
      </c>
      <c r="AI303" s="138">
        <f t="shared" si="227"/>
        <v>103398.51</v>
      </c>
      <c r="AJ303" s="138">
        <f t="shared" si="224"/>
        <v>90828.329999999987</v>
      </c>
      <c r="AK303" s="65">
        <f t="shared" si="239"/>
        <v>0.27209833826133062</v>
      </c>
      <c r="AL303" s="65">
        <f t="shared" si="240"/>
        <v>0.30975536762260825</v>
      </c>
      <c r="AM303" s="138">
        <f t="shared" si="228"/>
        <v>170399205</v>
      </c>
      <c r="AN303" s="138">
        <f t="shared" si="228"/>
        <v>197905769.44</v>
      </c>
      <c r="AO303" s="138">
        <f t="shared" si="228"/>
        <v>138174952.80409905</v>
      </c>
      <c r="AP303" s="138">
        <f t="shared" si="225"/>
        <v>137164747.49098745</v>
      </c>
      <c r="AQ303" s="65">
        <f t="shared" si="241"/>
        <v>0.69308109550880126</v>
      </c>
      <c r="AR303" s="65">
        <f t="shared" si="242"/>
        <v>0.69818557182583896</v>
      </c>
      <c r="AT303" s="38"/>
      <c r="AU303" s="38"/>
      <c r="AV303" s="38"/>
      <c r="AW303" s="38"/>
      <c r="AY303" s="38"/>
      <c r="AZ303" s="38"/>
      <c r="BA303" s="38"/>
      <c r="BB303" s="38"/>
      <c r="BC303" s="36"/>
      <c r="BD303" s="36"/>
      <c r="BE303" s="36"/>
      <c r="BF303" s="36"/>
    </row>
    <row r="304" spans="1:58" x14ac:dyDescent="0.2">
      <c r="AM304" s="38"/>
      <c r="AN304" s="38"/>
      <c r="AO304" s="38"/>
      <c r="AP304" s="38"/>
    </row>
    <row r="305" spans="7:43" x14ac:dyDescent="0.2">
      <c r="G305" s="115"/>
      <c r="R305" s="38"/>
      <c r="V305" s="115"/>
      <c r="W305" s="115"/>
      <c r="X305" s="38"/>
      <c r="Y305" s="115"/>
      <c r="AM305" s="38"/>
      <c r="AP305" s="115"/>
      <c r="AQ305" s="115"/>
    </row>
    <row r="306" spans="7:43" x14ac:dyDescent="0.2">
      <c r="G306" s="115"/>
      <c r="U306" s="38"/>
      <c r="V306" s="115"/>
      <c r="W306" s="115"/>
      <c r="X306" s="38"/>
      <c r="Y306" s="115"/>
      <c r="AP306" s="115"/>
      <c r="AQ306" s="115"/>
    </row>
    <row r="307" spans="7:43" x14ac:dyDescent="0.2">
      <c r="G307" s="115"/>
      <c r="U307" s="115"/>
      <c r="V307" s="115"/>
      <c r="W307" s="115"/>
      <c r="X307" s="38"/>
      <c r="Y307" s="115"/>
      <c r="AM307" s="38"/>
      <c r="AP307" s="115"/>
      <c r="AQ307" s="115"/>
    </row>
    <row r="308" spans="7:43" x14ac:dyDescent="0.2">
      <c r="G308" s="115"/>
      <c r="V308" s="115"/>
      <c r="X308" s="38"/>
      <c r="Y308" s="115"/>
      <c r="AP308" s="115"/>
      <c r="AQ308" s="115"/>
    </row>
    <row r="309" spans="7:43" x14ac:dyDescent="0.2">
      <c r="V309" s="115"/>
      <c r="X309" s="38"/>
      <c r="Y309" s="115"/>
      <c r="AP309" s="115"/>
      <c r="AQ309" s="115"/>
    </row>
    <row r="310" spans="7:43" x14ac:dyDescent="0.2">
      <c r="V310" s="115"/>
      <c r="X310" s="38"/>
      <c r="Y310" s="115"/>
      <c r="AP310" s="115"/>
      <c r="AQ310" s="115"/>
    </row>
    <row r="311" spans="7:43" x14ac:dyDescent="0.2">
      <c r="V311" s="115"/>
      <c r="X311" s="38"/>
      <c r="Y311" s="115"/>
      <c r="AP311" s="115"/>
      <c r="AQ311" s="115"/>
    </row>
    <row r="312" spans="7:43" x14ac:dyDescent="0.2">
      <c r="V312" s="115"/>
      <c r="X312" s="38"/>
      <c r="Y312" s="115"/>
      <c r="AP312" s="115"/>
      <c r="AQ312" s="115"/>
    </row>
    <row r="313" spans="7:43" x14ac:dyDescent="0.2">
      <c r="V313" s="115"/>
      <c r="X313" s="38"/>
    </row>
    <row r="314" spans="7:43" x14ac:dyDescent="0.2">
      <c r="V314" s="115"/>
      <c r="X314" s="38"/>
    </row>
    <row r="315" spans="7:43" x14ac:dyDescent="0.2">
      <c r="V315" s="115"/>
    </row>
    <row r="316" spans="7:43" x14ac:dyDescent="0.2">
      <c r="V316" s="115"/>
    </row>
    <row r="317" spans="7:43" x14ac:dyDescent="0.2">
      <c r="V317" s="115"/>
    </row>
    <row r="318" spans="7:43" x14ac:dyDescent="0.2">
      <c r="V318" s="115"/>
    </row>
    <row r="319" spans="7:43" x14ac:dyDescent="0.2">
      <c r="V319" s="115"/>
    </row>
  </sheetData>
  <mergeCells count="14">
    <mergeCell ref="A1:AR1"/>
    <mergeCell ref="A2:AR2"/>
    <mergeCell ref="A3:AR3"/>
    <mergeCell ref="AG6:AL6"/>
    <mergeCell ref="AM6:AR6"/>
    <mergeCell ref="U6:Z6"/>
    <mergeCell ref="AA6:AF6"/>
    <mergeCell ref="A5:B5"/>
    <mergeCell ref="C5:AR5"/>
    <mergeCell ref="A6:A7"/>
    <mergeCell ref="B6:B7"/>
    <mergeCell ref="C6:H6"/>
    <mergeCell ref="I6:N6"/>
    <mergeCell ref="O6:T6"/>
  </mergeCells>
  <pageMargins left="0.7" right="0.7" top="0.75" bottom="0.75" header="0.3" footer="0.3"/>
  <pageSetup paperSize="9" scale="61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CF355-8BDA-4692-A07C-0ECC38714719}">
  <sheetPr>
    <tabColor rgb="FF92D050"/>
  </sheetPr>
  <dimension ref="A1:G28"/>
  <sheetViews>
    <sheetView topLeftCell="A4" workbookViewId="0">
      <selection activeCell="G25" sqref="G25"/>
    </sheetView>
  </sheetViews>
  <sheetFormatPr defaultRowHeight="12.75" x14ac:dyDescent="0.2"/>
  <cols>
    <col min="1" max="1" width="45.140625" style="231" customWidth="1"/>
    <col min="2" max="2" width="16.7109375" style="231" customWidth="1"/>
    <col min="3" max="3" width="13.5703125" style="231" customWidth="1"/>
    <col min="4" max="4" width="10.85546875" style="231" customWidth="1"/>
    <col min="5" max="5" width="11.7109375" style="231" bestFit="1" customWidth="1"/>
    <col min="6" max="7" width="13.85546875" style="231" bestFit="1" customWidth="1"/>
    <col min="8" max="16384" width="9.140625" style="231"/>
  </cols>
  <sheetData>
    <row r="1" spans="1:7" ht="22.5" customHeight="1" x14ac:dyDescent="0.2">
      <c r="A1" s="578" t="s">
        <v>1410</v>
      </c>
      <c r="B1" s="578"/>
      <c r="C1" s="578"/>
      <c r="D1" s="578"/>
    </row>
    <row r="2" spans="1:7" ht="18" customHeight="1" x14ac:dyDescent="0.2">
      <c r="A2" s="578" t="s">
        <v>1411</v>
      </c>
      <c r="B2" s="578"/>
      <c r="C2" s="578"/>
      <c r="D2" s="578"/>
    </row>
    <row r="3" spans="1:7" ht="17.25" customHeight="1" x14ac:dyDescent="0.2">
      <c r="A3" s="578" t="s">
        <v>1425</v>
      </c>
      <c r="B3" s="578"/>
      <c r="C3" s="578"/>
      <c r="D3" s="578"/>
    </row>
    <row r="5" spans="1:7" ht="25.5" x14ac:dyDescent="0.2">
      <c r="A5" s="232" t="s">
        <v>1412</v>
      </c>
      <c r="B5" s="233" t="s">
        <v>1421</v>
      </c>
      <c r="C5" s="233" t="s">
        <v>1422</v>
      </c>
      <c r="D5" s="233" t="s">
        <v>1423</v>
      </c>
    </row>
    <row r="6" spans="1:7" x14ac:dyDescent="0.2">
      <c r="A6" s="234" t="s">
        <v>1413</v>
      </c>
      <c r="B6" s="235">
        <f>SUM(B7:B11)</f>
        <v>197770416.65000001</v>
      </c>
      <c r="C6" s="235">
        <f>SUM(C7:C11)</f>
        <v>137186013.25098744</v>
      </c>
      <c r="D6" s="236">
        <f>IFERROR(C6/B6,"-")</f>
        <v>0.69366296322148868</v>
      </c>
      <c r="F6" s="1"/>
      <c r="G6" s="1"/>
    </row>
    <row r="7" spans="1:7" x14ac:dyDescent="0.2">
      <c r="A7" s="237" t="s">
        <v>1414</v>
      </c>
      <c r="B7" s="129">
        <f>Programas!P29</f>
        <v>2017198</v>
      </c>
      <c r="C7" s="129">
        <f>Programas!T29</f>
        <v>1354471.6400000001</v>
      </c>
      <c r="D7" s="238">
        <f t="shared" ref="D7:D18" si="0">IFERROR(C7/B7,"-")</f>
        <v>0.67146191895887275</v>
      </c>
      <c r="F7" s="1"/>
    </row>
    <row r="8" spans="1:7" x14ac:dyDescent="0.2">
      <c r="A8" s="237" t="s">
        <v>1415</v>
      </c>
      <c r="B8" s="129">
        <f>Programas!AC29</f>
        <v>1148995</v>
      </c>
      <c r="C8" s="129">
        <f>Programas!AG29</f>
        <v>486985.72</v>
      </c>
      <c r="D8" s="238">
        <f t="shared" si="0"/>
        <v>0.42383623949625537</v>
      </c>
      <c r="F8" s="1"/>
    </row>
    <row r="9" spans="1:7" x14ac:dyDescent="0.2">
      <c r="A9" s="237" t="s">
        <v>1416</v>
      </c>
      <c r="B9" s="129">
        <f>Programas!AP29</f>
        <v>194604223.65000001</v>
      </c>
      <c r="C9" s="129">
        <f>Programas!AT29</f>
        <v>135344555.89098743</v>
      </c>
      <c r="D9" s="238">
        <f t="shared" si="0"/>
        <v>0.69548621994149318</v>
      </c>
      <c r="F9" s="1"/>
    </row>
    <row r="10" spans="1:7" x14ac:dyDescent="0.2">
      <c r="A10" s="237" t="s">
        <v>1417</v>
      </c>
      <c r="B10" s="129">
        <f>Programas!BC29</f>
        <v>0</v>
      </c>
      <c r="C10" s="129">
        <f>Programas!BG29</f>
        <v>0</v>
      </c>
      <c r="D10" s="238" t="str">
        <f t="shared" si="0"/>
        <v>-</v>
      </c>
      <c r="F10" s="1"/>
    </row>
    <row r="11" spans="1:7" x14ac:dyDescent="0.2">
      <c r="A11" s="237" t="s">
        <v>1418</v>
      </c>
      <c r="B11" s="129">
        <f>Programas!BP29</f>
        <v>0</v>
      </c>
      <c r="C11" s="129">
        <f>Programas!BT29</f>
        <v>0</v>
      </c>
      <c r="D11" s="238" t="str">
        <f t="shared" si="0"/>
        <v>-</v>
      </c>
      <c r="E11" s="1"/>
    </row>
    <row r="12" spans="1:7" x14ac:dyDescent="0.2">
      <c r="A12" s="234" t="s">
        <v>1419</v>
      </c>
      <c r="B12" s="235">
        <f>SUM(B13:B17)</f>
        <v>333807</v>
      </c>
      <c r="C12" s="235">
        <f>SUM(C13:C17)</f>
        <v>90828.33</v>
      </c>
      <c r="D12" s="236">
        <f t="shared" si="0"/>
        <v>0.27209833826133067</v>
      </c>
      <c r="E12" s="1"/>
      <c r="F12" s="1"/>
    </row>
    <row r="13" spans="1:7" x14ac:dyDescent="0.2">
      <c r="A13" s="237" t="s">
        <v>1414</v>
      </c>
      <c r="B13" s="129">
        <f>Programas!P49</f>
        <v>0</v>
      </c>
      <c r="C13" s="129">
        <f>Programas!T49</f>
        <v>0</v>
      </c>
      <c r="D13" s="238" t="str">
        <f t="shared" si="0"/>
        <v>-</v>
      </c>
      <c r="E13" s="242"/>
      <c r="F13" s="1"/>
    </row>
    <row r="14" spans="1:7" x14ac:dyDescent="0.2">
      <c r="A14" s="237" t="s">
        <v>1415</v>
      </c>
      <c r="B14" s="129">
        <f>Programas!AC49</f>
        <v>333007</v>
      </c>
      <c r="C14" s="129">
        <f>Programas!AG49</f>
        <v>90828.33</v>
      </c>
      <c r="D14" s="238">
        <f t="shared" si="0"/>
        <v>0.27275201422192324</v>
      </c>
      <c r="E14" s="1"/>
    </row>
    <row r="15" spans="1:7" x14ac:dyDescent="0.2">
      <c r="A15" s="237" t="s">
        <v>1416</v>
      </c>
      <c r="B15" s="129">
        <f>Programas!AP49</f>
        <v>0</v>
      </c>
      <c r="C15" s="129">
        <f>Programas!AT49</f>
        <v>0</v>
      </c>
      <c r="D15" s="238" t="str">
        <f t="shared" si="0"/>
        <v>-</v>
      </c>
    </row>
    <row r="16" spans="1:7" x14ac:dyDescent="0.2">
      <c r="A16" s="237" t="s">
        <v>1417</v>
      </c>
      <c r="B16" s="129">
        <f>Programas!BC49</f>
        <v>800</v>
      </c>
      <c r="C16" s="129">
        <f>Programas!BG49</f>
        <v>0</v>
      </c>
      <c r="D16" s="238">
        <f t="shared" si="0"/>
        <v>0</v>
      </c>
    </row>
    <row r="17" spans="1:6" x14ac:dyDescent="0.2">
      <c r="A17" s="237" t="s">
        <v>1418</v>
      </c>
      <c r="B17" s="129">
        <f>Programas!BP49</f>
        <v>0</v>
      </c>
      <c r="C17" s="129">
        <f>Programas!BT49</f>
        <v>0</v>
      </c>
      <c r="D17" s="238" t="str">
        <f t="shared" si="0"/>
        <v>-</v>
      </c>
    </row>
    <row r="18" spans="1:6" x14ac:dyDescent="0.2">
      <c r="A18" s="239" t="s">
        <v>1420</v>
      </c>
      <c r="B18" s="240">
        <f>B6+B12</f>
        <v>198104223.65000001</v>
      </c>
      <c r="C18" s="240">
        <f>C6+C12</f>
        <v>137276841.58098745</v>
      </c>
      <c r="D18" s="241">
        <f t="shared" si="0"/>
        <v>0.69295262388509626</v>
      </c>
      <c r="F18" s="1"/>
    </row>
    <row r="19" spans="1:6" x14ac:dyDescent="0.2">
      <c r="F19" s="1"/>
    </row>
    <row r="21" spans="1:6" ht="25.5" x14ac:dyDescent="0.2">
      <c r="A21" s="232" t="s">
        <v>1424</v>
      </c>
      <c r="B21" s="233" t="s">
        <v>1421</v>
      </c>
      <c r="C21" s="233" t="s">
        <v>1422</v>
      </c>
      <c r="D21" s="233" t="s">
        <v>1423</v>
      </c>
    </row>
    <row r="22" spans="1:6" x14ac:dyDescent="0.2">
      <c r="A22" s="237" t="s">
        <v>1414</v>
      </c>
      <c r="B22" s="129">
        <f>B7+B13</f>
        <v>2017198</v>
      </c>
      <c r="C22" s="129">
        <f t="shared" ref="B22:C26" si="1">C7+C13</f>
        <v>1354471.6400000001</v>
      </c>
      <c r="D22" s="238">
        <f t="shared" ref="D22:D27" si="2">IFERROR(C22/B22,"-")</f>
        <v>0.67146191895887275</v>
      </c>
    </row>
    <row r="23" spans="1:6" x14ac:dyDescent="0.2">
      <c r="A23" s="237" t="s">
        <v>1415</v>
      </c>
      <c r="B23" s="129">
        <f t="shared" si="1"/>
        <v>1482002</v>
      </c>
      <c r="C23" s="129">
        <f t="shared" si="1"/>
        <v>577814.04999999993</v>
      </c>
      <c r="D23" s="238">
        <f t="shared" si="2"/>
        <v>0.38988749677800699</v>
      </c>
    </row>
    <row r="24" spans="1:6" x14ac:dyDescent="0.2">
      <c r="A24" s="237" t="s">
        <v>1416</v>
      </c>
      <c r="B24" s="129">
        <f t="shared" si="1"/>
        <v>194604223.65000001</v>
      </c>
      <c r="C24" s="129">
        <f t="shared" si="1"/>
        <v>135344555.89098743</v>
      </c>
      <c r="D24" s="238">
        <f t="shared" si="2"/>
        <v>0.69548621994149318</v>
      </c>
    </row>
    <row r="25" spans="1:6" x14ac:dyDescent="0.2">
      <c r="A25" s="237" t="s">
        <v>1417</v>
      </c>
      <c r="B25" s="129">
        <f t="shared" si="1"/>
        <v>800</v>
      </c>
      <c r="C25" s="129">
        <f t="shared" si="1"/>
        <v>0</v>
      </c>
      <c r="D25" s="238">
        <f t="shared" si="2"/>
        <v>0</v>
      </c>
    </row>
    <row r="26" spans="1:6" x14ac:dyDescent="0.2">
      <c r="A26" s="237" t="s">
        <v>1418</v>
      </c>
      <c r="B26" s="129">
        <f t="shared" si="1"/>
        <v>0</v>
      </c>
      <c r="C26" s="129">
        <f t="shared" si="1"/>
        <v>0</v>
      </c>
      <c r="D26" s="238" t="str">
        <f t="shared" si="2"/>
        <v>-</v>
      </c>
    </row>
    <row r="27" spans="1:6" x14ac:dyDescent="0.2">
      <c r="A27" s="239" t="s">
        <v>1420</v>
      </c>
      <c r="B27" s="240">
        <f>SUM(B22:B26)</f>
        <v>198104223.65000001</v>
      </c>
      <c r="C27" s="240">
        <f>SUM(C22:C26)</f>
        <v>137276841.58098742</v>
      </c>
      <c r="D27" s="241">
        <f t="shared" si="2"/>
        <v>0.69295262388509615</v>
      </c>
    </row>
    <row r="28" spans="1:6" x14ac:dyDescent="0.2">
      <c r="B28" s="1"/>
      <c r="C28" s="1"/>
    </row>
  </sheetData>
  <mergeCells count="3">
    <mergeCell ref="A1:D1"/>
    <mergeCell ref="A2:D2"/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25</vt:i4>
      </vt:variant>
      <vt:variant>
        <vt:lpstr>Intervalos com Nome</vt:lpstr>
      </vt:variant>
      <vt:variant>
        <vt:i4>1</vt:i4>
      </vt:variant>
    </vt:vector>
  </HeadingPairs>
  <TitlesOfParts>
    <vt:vector size="26" baseType="lpstr">
      <vt:lpstr>ClassificacaoFuncional</vt:lpstr>
      <vt:lpstr>Programas</vt:lpstr>
      <vt:lpstr>Atividade_A040101</vt:lpstr>
      <vt:lpstr>Atividade_A040201</vt:lpstr>
      <vt:lpstr>Atividade_A040202</vt:lpstr>
      <vt:lpstr>Atividade_A050101</vt:lpstr>
      <vt:lpstr>Atividade_A060101</vt:lpstr>
      <vt:lpstr>Atividade_A060102</vt:lpstr>
      <vt:lpstr>Atividade_A060103</vt:lpstr>
      <vt:lpstr>Atividade_A060104</vt:lpstr>
      <vt:lpstr>Atividade_A060201</vt:lpstr>
      <vt:lpstr>Atividade_A060202</vt:lpstr>
      <vt:lpstr>Atividade_A060203</vt:lpstr>
      <vt:lpstr>Atividade_A070101</vt:lpstr>
      <vt:lpstr>Atividade_A070102</vt:lpstr>
      <vt:lpstr>Atividade_A070201</vt:lpstr>
      <vt:lpstr>CE_OSS_Global</vt:lpstr>
      <vt:lpstr>CE_RegimeNaoContributivo</vt:lpstr>
      <vt:lpstr>CE_RegimeContributivo</vt:lpstr>
      <vt:lpstr>CE_AdministraçãoINSS</vt:lpstr>
      <vt:lpstr>CE_AdministraçãoFRSS</vt:lpstr>
      <vt:lpstr>Saldos_TesourariaSS</vt:lpstr>
      <vt:lpstr>NovaLEO_Receitas</vt:lpstr>
      <vt:lpstr>NovaLEO_Despesas</vt:lpstr>
      <vt:lpstr>TABELA_SINTESE</vt:lpstr>
      <vt:lpstr>NovaLEO_Receitas!Área_de_Impressão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Teresa Coelho</cp:lastModifiedBy>
  <cp:lastPrinted>2021-07-15T00:42:41Z</cp:lastPrinted>
  <dcterms:created xsi:type="dcterms:W3CDTF">2021-05-11T11:21:09Z</dcterms:created>
  <dcterms:modified xsi:type="dcterms:W3CDTF">2026-10-19T09:52:32Z</dcterms:modified>
</cp:coreProperties>
</file>